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EstaPasta_de_trabalho" defaultThemeVersion="124226"/>
  <mc:AlternateContent xmlns:mc="http://schemas.openxmlformats.org/markup-compatibility/2006">
    <mc:Choice Requires="x15">
      <x15ac:absPath xmlns:x15ac="http://schemas.microsoft.com/office/spreadsheetml/2010/11/ac" url="R:\0001 - Transportes Ficticios\ZZ-TRANS FICTÍCIOS 2026\10 - AETURB\"/>
    </mc:Choice>
  </mc:AlternateContent>
  <xr:revisionPtr revIDLastSave="0" documentId="13_ncr:1_{FA6525A2-E50C-4785-BF15-27BE8E357429}" xr6:coauthVersionLast="47" xr6:coauthVersionMax="47" xr10:uidLastSave="{00000000-0000-0000-0000-000000000000}"/>
  <bookViews>
    <workbookView xWindow="-120" yWindow="-120" windowWidth="29040" windowHeight="15720" tabRatio="881" firstSheet="3" activeTab="3" xr2:uid="{00000000-000D-0000-FFFF-FFFF00000000}"/>
  </bookViews>
  <sheets>
    <sheet name="TRANSPORTADOS" sheetId="32" state="hidden" r:id="rId1"/>
    <sheet name="BD_EMP" sheetId="35" state="hidden" r:id="rId2"/>
    <sheet name="REL LINHAS" sheetId="28" state="hidden" r:id="rId3"/>
    <sheet name="VS." sheetId="34" r:id="rId4"/>
    <sheet name="PERFIL" sheetId="1" r:id="rId5"/>
    <sheet name="FROTA" sheetId="2" r:id="rId6"/>
    <sheet name="ESCALA" sheetId="29" r:id="rId7"/>
    <sheet name="DEFINA!!!" sheetId="31" r:id="rId8"/>
    <sheet name="SEM" sheetId="11" state="hidden" r:id="rId9"/>
    <sheet name="SAB" sheetId="24" state="hidden" r:id="rId10"/>
    <sheet name="DF" sheetId="23" state="hidden" r:id="rId11"/>
    <sheet name="RECEITAS" sheetId="21" r:id="rId12"/>
    <sheet name="COMBUSTIVEL" sheetId="36" r:id="rId13"/>
    <sheet name="MANUTENÇÃO" sheetId="10" r:id="rId14"/>
    <sheet name="CUSTOS" sheetId="17" r:id="rId15"/>
    <sheet name="DESP. ADM." sheetId="27" r:id="rId16"/>
    <sheet name="INV. HUM." sheetId="30" r:id="rId17"/>
    <sheet name="RECEBÍVEIS" sheetId="15" r:id="rId18"/>
    <sheet name="VISÃO DA POP." sheetId="33" r:id="rId19"/>
  </sheets>
  <externalReferences>
    <externalReference r:id="rId20"/>
  </externalReferences>
  <definedNames>
    <definedName name="_xlnm._FilterDatabase" localSheetId="14" hidden="1">CUSTOS!$B$2:$F$2</definedName>
    <definedName name="_xlnm._FilterDatabase" localSheetId="5" hidden="1">FROTA!$A$5:$CB$306</definedName>
    <definedName name="_xlnm._FilterDatabase" localSheetId="13" hidden="1">MANUTENÇÃO!$B$4:$G$204</definedName>
    <definedName name="_xlnm._FilterDatabase" localSheetId="4" hidden="1">PERFIL!$B$4:$M$4</definedName>
    <definedName name="_xlnm._FilterDatabase" localSheetId="17" hidden="1">RECEBÍVEIS!$C$11:$J$11</definedName>
    <definedName name="_xlnm._FilterDatabase" localSheetId="2" hidden="1">'REL LINHAS'!$A$2:$K$2205</definedName>
    <definedName name="_xlnm.Print_Area" localSheetId="5">FROTA!$B$1:$AH$305</definedName>
    <definedName name="_xlnm.Print_Area" localSheetId="8">SEM!$A$1:$AQ$306</definedName>
    <definedName name="BRASIL_LUXO">BD_EMP!$J$4:$J$13</definedName>
    <definedName name="CONS_AUTOBUSS">BD_EMP!$K$4:$K$17</definedName>
    <definedName name="GRUPO_REBES">BD_EMP!$D$4:$D$13</definedName>
    <definedName name="GRUPO_RECORD">BD_EMP!$E$4:$E$24</definedName>
    <definedName name="GRUPO_RS">BD_EMP!$F$4:$F$35</definedName>
    <definedName name="GRUPO_UNIÃO">BD_EMP!$G$4:$G$18</definedName>
    <definedName name="GRUPO_VIAS">BD_EMP!$H$4:$H$7</definedName>
    <definedName name="GRUPOS">BD_EMP!$D$3:$K$3</definedName>
    <definedName name="PENHA_SAO_MIGUEL">BD_EMP!$I$4:$I$13</definedName>
    <definedName name="Z_8AF28843_E91A_4B21_A4FE_1EF7FC4B25A2_.wvu.FilterData" localSheetId="5" hidden="1">FROTA!$B$5:$AG$5</definedName>
    <definedName name="Z_8AF28843_E91A_4B21_A4FE_1EF7FC4B25A2_.wvu.PrintArea" localSheetId="8" hidden="1">SEM!$A$1:$AQ$306</definedName>
  </definedNames>
  <calcPr calcId="191029"/>
  <customWorkbookViews>
    <customWorkbookView name="urbana" guid="{8AF28843-E91A-4B21-A4FE-1EF7FC4B25A2}" maximized="1" xWindow="1" yWindow="1" windowWidth="1280" windowHeight="580" tabRatio="768" activeSheetId="1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5" i="2" l="1"/>
  <c r="D105" i="2"/>
  <c r="E104" i="2"/>
  <c r="D104" i="2"/>
  <c r="E103" i="2"/>
  <c r="D103" i="2"/>
  <c r="E102" i="2"/>
  <c r="D102" i="2"/>
  <c r="E101" i="2"/>
  <c r="D101" i="2"/>
  <c r="E100" i="2"/>
  <c r="D100" i="2"/>
  <c r="E99" i="2"/>
  <c r="D99" i="2"/>
  <c r="E98" i="2"/>
  <c r="D98" i="2"/>
  <c r="E97" i="2"/>
  <c r="D97" i="2"/>
  <c r="E96" i="2"/>
  <c r="D96" i="2"/>
  <c r="E95" i="2"/>
  <c r="D95" i="2"/>
  <c r="E94" i="2"/>
  <c r="D94" i="2"/>
  <c r="E93" i="2"/>
  <c r="D93" i="2"/>
  <c r="E92" i="2"/>
  <c r="D92" i="2"/>
  <c r="E91" i="2"/>
  <c r="D91" i="2"/>
  <c r="E90" i="2"/>
  <c r="D90" i="2"/>
  <c r="E89" i="2"/>
  <c r="D89" i="2"/>
  <c r="E88" i="2"/>
  <c r="D88" i="2"/>
  <c r="E87" i="2"/>
  <c r="D87" i="2"/>
  <c r="E86" i="2"/>
  <c r="D86" i="2"/>
  <c r="E85" i="2"/>
  <c r="D85" i="2"/>
  <c r="E84" i="2"/>
  <c r="D84" i="2"/>
  <c r="E83" i="2"/>
  <c r="D83" i="2"/>
  <c r="E82" i="2"/>
  <c r="D82" i="2"/>
  <c r="E81" i="2"/>
  <c r="D81" i="2"/>
  <c r="E80" i="2"/>
  <c r="D80" i="2"/>
  <c r="E79" i="2"/>
  <c r="D79" i="2"/>
  <c r="E78" i="2"/>
  <c r="D78" i="2"/>
  <c r="E77" i="2"/>
  <c r="D77" i="2"/>
  <c r="E76" i="2"/>
  <c r="D76" i="2"/>
  <c r="E75" i="2"/>
  <c r="D75" i="2"/>
  <c r="E74" i="2"/>
  <c r="D74" i="2"/>
  <c r="E73" i="2"/>
  <c r="D73" i="2"/>
  <c r="E72" i="2"/>
  <c r="D72" i="2"/>
  <c r="E71" i="2"/>
  <c r="D71" i="2"/>
  <c r="E70" i="2"/>
  <c r="D70" i="2"/>
  <c r="E69" i="2"/>
  <c r="D69" i="2"/>
  <c r="E68" i="2"/>
  <c r="D68" i="2"/>
  <c r="E67" i="2"/>
  <c r="D67" i="2"/>
  <c r="E66" i="2"/>
  <c r="D66" i="2"/>
  <c r="E65" i="2"/>
  <c r="D65" i="2"/>
  <c r="E64" i="2"/>
  <c r="D64" i="2"/>
  <c r="E63" i="2"/>
  <c r="D63" i="2"/>
  <c r="E62" i="2"/>
  <c r="D62" i="2"/>
  <c r="E61" i="2"/>
  <c r="D61" i="2"/>
  <c r="E60" i="2"/>
  <c r="D60" i="2"/>
  <c r="E59" i="2"/>
  <c r="D59" i="2"/>
  <c r="E58" i="2"/>
  <c r="D58" i="2"/>
  <c r="E57" i="2"/>
  <c r="D57" i="2"/>
  <c r="E56" i="2"/>
  <c r="D56" i="2"/>
  <c r="E55" i="2"/>
  <c r="D55" i="2"/>
  <c r="E54" i="2"/>
  <c r="D54" i="2"/>
  <c r="E53" i="2"/>
  <c r="D53" i="2"/>
  <c r="E52" i="2"/>
  <c r="D52" i="2"/>
  <c r="E51" i="2"/>
  <c r="D51" i="2"/>
  <c r="E50" i="2"/>
  <c r="D50" i="2"/>
  <c r="E49" i="2"/>
  <c r="D49" i="2"/>
  <c r="E48" i="2"/>
  <c r="D48" i="2"/>
  <c r="E47" i="2"/>
  <c r="D47" i="2"/>
  <c r="E46" i="2"/>
  <c r="D46" i="2"/>
  <c r="E45" i="2"/>
  <c r="D45" i="2"/>
  <c r="E44" i="2"/>
  <c r="D44" i="2"/>
  <c r="E43" i="2"/>
  <c r="D43" i="2"/>
  <c r="E42" i="2"/>
  <c r="D42" i="2"/>
  <c r="E41" i="2"/>
  <c r="D41" i="2"/>
  <c r="E40" i="2"/>
  <c r="D40" i="2"/>
  <c r="E39" i="2"/>
  <c r="D39" i="2"/>
  <c r="E38" i="2"/>
  <c r="D38" i="2"/>
  <c r="E37" i="2"/>
  <c r="D37" i="2"/>
  <c r="E36" i="2"/>
  <c r="D36" i="2"/>
  <c r="E35" i="2"/>
  <c r="D35" i="2"/>
  <c r="E34" i="2"/>
  <c r="D34" i="2"/>
  <c r="E33" i="2"/>
  <c r="D33" i="2"/>
  <c r="E32" i="2"/>
  <c r="D32" i="2"/>
  <c r="E31" i="2"/>
  <c r="D31" i="2"/>
  <c r="E30" i="2"/>
  <c r="D30" i="2"/>
  <c r="E29" i="2"/>
  <c r="D29" i="2"/>
  <c r="E28" i="2"/>
  <c r="D28" i="2"/>
  <c r="E27" i="2"/>
  <c r="D27" i="2"/>
  <c r="E26" i="2"/>
  <c r="D26" i="2"/>
  <c r="E25" i="2"/>
  <c r="D25" i="2"/>
  <c r="E24" i="2"/>
  <c r="D24" i="2"/>
  <c r="E23" i="2"/>
  <c r="D23" i="2"/>
  <c r="E22" i="2"/>
  <c r="D22" i="2"/>
  <c r="E21" i="2"/>
  <c r="D21" i="2"/>
  <c r="E20" i="2"/>
  <c r="D20" i="2"/>
  <c r="E19" i="2"/>
  <c r="D19" i="2"/>
  <c r="E18" i="2"/>
  <c r="D18" i="2"/>
  <c r="E17" i="2"/>
  <c r="D17" i="2"/>
  <c r="E16" i="2"/>
  <c r="D16" i="2"/>
  <c r="E15" i="2"/>
  <c r="D15" i="2"/>
  <c r="E14" i="2"/>
  <c r="D14" i="2"/>
  <c r="E13" i="2"/>
  <c r="D13" i="2"/>
  <c r="E12" i="2"/>
  <c r="D12" i="2"/>
  <c r="E11" i="2"/>
  <c r="D11" i="2"/>
  <c r="E10" i="2"/>
  <c r="D10" i="2"/>
  <c r="E9" i="2"/>
  <c r="D9" i="2"/>
  <c r="E8" i="2"/>
  <c r="D8" i="2"/>
  <c r="E7" i="2"/>
  <c r="D7" i="2"/>
  <c r="AD2" i="2"/>
  <c r="E145" i="2" l="1"/>
  <c r="D145" i="2"/>
  <c r="E144" i="2"/>
  <c r="D144" i="2"/>
  <c r="E143" i="2"/>
  <c r="D143" i="2"/>
  <c r="E142" i="2"/>
  <c r="D142" i="2"/>
  <c r="E141" i="2"/>
  <c r="D141" i="2"/>
  <c r="E140" i="2"/>
  <c r="D140" i="2"/>
  <c r="E139" i="2"/>
  <c r="D139" i="2"/>
  <c r="E138" i="2"/>
  <c r="D138" i="2"/>
  <c r="E137" i="2"/>
  <c r="D137" i="2"/>
  <c r="E136" i="2"/>
  <c r="D136" i="2"/>
  <c r="E135" i="2"/>
  <c r="D135" i="2"/>
  <c r="E134" i="2"/>
  <c r="D134" i="2"/>
  <c r="E133" i="2"/>
  <c r="D133" i="2"/>
  <c r="E132" i="2"/>
  <c r="D132" i="2"/>
  <c r="E131" i="2"/>
  <c r="D131" i="2"/>
  <c r="E130" i="2"/>
  <c r="D130" i="2"/>
  <c r="E129" i="2"/>
  <c r="D129" i="2"/>
  <c r="E128" i="2"/>
  <c r="D128" i="2"/>
  <c r="E127" i="2"/>
  <c r="D127" i="2"/>
  <c r="E126" i="2"/>
  <c r="D126" i="2"/>
  <c r="E125" i="2"/>
  <c r="D125" i="2"/>
  <c r="E124" i="2"/>
  <c r="D124" i="2"/>
  <c r="E123" i="2"/>
  <c r="D123" i="2"/>
  <c r="E122" i="2"/>
  <c r="D122" i="2"/>
  <c r="E121" i="2"/>
  <c r="D121" i="2"/>
  <c r="E120" i="2"/>
  <c r="D120" i="2"/>
  <c r="E119" i="2"/>
  <c r="D119" i="2"/>
  <c r="E118" i="2"/>
  <c r="D118" i="2"/>
  <c r="E117" i="2"/>
  <c r="D117" i="2"/>
  <c r="E116" i="2"/>
  <c r="D116" i="2"/>
  <c r="E115" i="2"/>
  <c r="D115" i="2"/>
  <c r="E114" i="2"/>
  <c r="D114" i="2"/>
  <c r="E113" i="2"/>
  <c r="D113" i="2"/>
  <c r="E112" i="2"/>
  <c r="D112" i="2"/>
  <c r="E111" i="2"/>
  <c r="D111" i="2"/>
  <c r="E110" i="2"/>
  <c r="D110" i="2"/>
  <c r="E109" i="2"/>
  <c r="D109" i="2"/>
  <c r="E108" i="2"/>
  <c r="D108" i="2"/>
  <c r="E107" i="2"/>
  <c r="D107" i="2"/>
  <c r="E106" i="2"/>
  <c r="D106" i="2"/>
  <c r="D6" i="2"/>
  <c r="AX2" i="10"/>
  <c r="AY2" i="10" s="1"/>
  <c r="BN6" i="2"/>
  <c r="Z3" i="10"/>
  <c r="G2" i="36"/>
  <c r="I1" i="29"/>
  <c r="AG2" i="2" l="1"/>
  <c r="AB2" i="2"/>
  <c r="E155" i="2" l="1"/>
  <c r="D155" i="2"/>
  <c r="E154" i="2"/>
  <c r="D154" i="2"/>
  <c r="E153" i="2"/>
  <c r="D153" i="2"/>
  <c r="E152" i="2"/>
  <c r="D152" i="2"/>
  <c r="E151" i="2"/>
  <c r="D151" i="2"/>
  <c r="E150" i="2"/>
  <c r="D150" i="2"/>
  <c r="E149" i="2"/>
  <c r="D149" i="2"/>
  <c r="E148" i="2"/>
  <c r="D148" i="2"/>
  <c r="E147" i="2"/>
  <c r="D147" i="2"/>
  <c r="E146" i="2"/>
  <c r="D146" i="2"/>
  <c r="B5" i="1"/>
  <c r="E3" i="1"/>
  <c r="W5" i="31"/>
  <c r="V5" i="31" s="1"/>
  <c r="E180" i="2" l="1"/>
  <c r="D180" i="2"/>
  <c r="E179" i="2"/>
  <c r="D179" i="2"/>
  <c r="E178" i="2"/>
  <c r="D178" i="2"/>
  <c r="E177" i="2"/>
  <c r="D177" i="2"/>
  <c r="E176" i="2"/>
  <c r="D176" i="2"/>
  <c r="E175" i="2"/>
  <c r="D175" i="2"/>
  <c r="E174" i="2"/>
  <c r="D174" i="2"/>
  <c r="E173" i="2"/>
  <c r="D173" i="2"/>
  <c r="E172" i="2"/>
  <c r="D172" i="2"/>
  <c r="E171" i="2"/>
  <c r="D171" i="2"/>
  <c r="E170" i="2"/>
  <c r="D170" i="2"/>
  <c r="E169" i="2"/>
  <c r="D169" i="2"/>
  <c r="E168" i="2"/>
  <c r="D168" i="2"/>
  <c r="E167" i="2"/>
  <c r="D167" i="2"/>
  <c r="E166" i="2"/>
  <c r="D166" i="2"/>
  <c r="E165" i="2"/>
  <c r="D165" i="2"/>
  <c r="E164" i="2"/>
  <c r="D164" i="2"/>
  <c r="E163" i="2"/>
  <c r="D163" i="2"/>
  <c r="E162" i="2"/>
  <c r="D162" i="2"/>
  <c r="E161" i="2"/>
  <c r="D161" i="2"/>
  <c r="E160" i="2"/>
  <c r="D160" i="2"/>
  <c r="E159" i="2"/>
  <c r="D159" i="2"/>
  <c r="E158" i="2"/>
  <c r="D158" i="2"/>
  <c r="E157" i="2"/>
  <c r="D157" i="2"/>
  <c r="E156" i="2"/>
  <c r="D156" i="2"/>
  <c r="Y3" i="10" l="1"/>
  <c r="Y4" i="10" l="1"/>
  <c r="R10" i="31"/>
  <c r="R11" i="31" s="1"/>
  <c r="R12" i="31" s="1"/>
  <c r="R13" i="31" s="1"/>
  <c r="R14" i="31" s="1"/>
  <c r="R15" i="31" s="1"/>
  <c r="R16" i="31" s="1"/>
  <c r="R17" i="31" s="1"/>
  <c r="R18" i="31" s="1"/>
  <c r="R19" i="31" s="1"/>
  <c r="R20" i="31" s="1"/>
  <c r="R21" i="31" s="1"/>
  <c r="R22" i="31" s="1"/>
  <c r="R23" i="31" s="1"/>
  <c r="R24" i="31" s="1"/>
  <c r="R25" i="31" s="1"/>
  <c r="R26" i="31" s="1"/>
  <c r="R27" i="31" s="1"/>
  <c r="R28" i="31" s="1"/>
  <c r="R29" i="31" s="1"/>
  <c r="R30" i="31" s="1"/>
  <c r="R31" i="31" s="1"/>
  <c r="R32" i="31" s="1"/>
  <c r="R33" i="31" s="1"/>
  <c r="R34" i="31" s="1"/>
  <c r="R35" i="31" s="1"/>
  <c r="R36" i="31" s="1"/>
  <c r="R37" i="31" s="1"/>
  <c r="R38" i="31" s="1"/>
  <c r="R39" i="31" s="1"/>
  <c r="R40" i="31" s="1"/>
  <c r="R41" i="31" s="1"/>
  <c r="R42" i="31" s="1"/>
  <c r="R43" i="31" s="1"/>
  <c r="R44" i="31" s="1"/>
  <c r="R45" i="31" s="1"/>
  <c r="R46" i="31" s="1"/>
  <c r="R47" i="31" s="1"/>
  <c r="R48" i="31" s="1"/>
  <c r="R49" i="31" s="1"/>
  <c r="R50" i="31" s="1"/>
  <c r="R51" i="31" s="1"/>
  <c r="R52" i="31" s="1"/>
  <c r="R53" i="31" s="1"/>
  <c r="AQ3" i="10"/>
  <c r="AQ4" i="10" s="1"/>
  <c r="AQ5" i="10" s="1"/>
  <c r="AQ6" i="10" s="1"/>
  <c r="AQ7" i="10" s="1"/>
  <c r="AQ8" i="10" s="1"/>
  <c r="AQ9" i="10" s="1"/>
  <c r="AQ10" i="10" s="1"/>
  <c r="AQ11" i="10" s="1"/>
  <c r="AQ12" i="10" s="1"/>
  <c r="AQ13" i="10" s="1"/>
  <c r="AQ14" i="10" s="1"/>
  <c r="AQ15" i="10" s="1"/>
  <c r="AQ16" i="10" s="1"/>
  <c r="AQ17" i="10" s="1"/>
  <c r="AQ18" i="10" s="1"/>
  <c r="AQ19" i="10" s="1"/>
  <c r="AQ20" i="10" s="1"/>
  <c r="AQ21" i="10" s="1"/>
  <c r="AQ22" i="10" s="1"/>
  <c r="AQ23" i="10" s="1"/>
  <c r="AQ24" i="10" s="1"/>
  <c r="AQ25" i="10" s="1"/>
  <c r="AQ26" i="10" s="1"/>
  <c r="AQ27" i="10" s="1"/>
  <c r="AQ28" i="10" s="1"/>
  <c r="AQ29" i="10" s="1"/>
  <c r="AQ30" i="10" s="1"/>
  <c r="AQ31" i="10" s="1"/>
  <c r="AQ32" i="10" s="1"/>
  <c r="AQ33" i="10" s="1"/>
  <c r="AQ34" i="10" s="1"/>
  <c r="AQ35" i="10" s="1"/>
  <c r="AN3" i="10"/>
  <c r="AN4" i="10" s="1"/>
  <c r="AN5" i="10" s="1"/>
  <c r="AN6" i="10" s="1"/>
  <c r="AN7" i="10" s="1"/>
  <c r="AN8" i="10" s="1"/>
  <c r="AN9" i="10" s="1"/>
  <c r="AN10" i="10" s="1"/>
  <c r="AN11" i="10" s="1"/>
  <c r="AN12" i="10" s="1"/>
  <c r="AN13" i="10" s="1"/>
  <c r="AN14" i="10" s="1"/>
  <c r="AN15" i="10" s="1"/>
  <c r="AN16" i="10" s="1"/>
  <c r="AN17" i="10" s="1"/>
  <c r="AN18" i="10" s="1"/>
  <c r="AN19" i="10" s="1"/>
  <c r="AN20" i="10" s="1"/>
  <c r="AN21" i="10" s="1"/>
  <c r="AN22" i="10" s="1"/>
  <c r="AN23" i="10" s="1"/>
  <c r="AN24" i="10" s="1"/>
  <c r="AN25" i="10" s="1"/>
  <c r="AN26" i="10" s="1"/>
  <c r="AN27" i="10" s="1"/>
  <c r="AN28" i="10" s="1"/>
  <c r="AN29" i="10" s="1"/>
  <c r="AN30" i="10" s="1"/>
  <c r="AN31" i="10" s="1"/>
  <c r="AN32" i="10" s="1"/>
  <c r="AN33" i="10" s="1"/>
  <c r="AN34" i="10" s="1"/>
  <c r="AN35" i="10" s="1"/>
  <c r="AK3" i="10"/>
  <c r="AK4" i="10" s="1"/>
  <c r="AK5" i="10" s="1"/>
  <c r="AK6" i="10" s="1"/>
  <c r="AK7" i="10" s="1"/>
  <c r="AK8" i="10" s="1"/>
  <c r="AK9" i="10" s="1"/>
  <c r="AK10" i="10" s="1"/>
  <c r="AK11" i="10" s="1"/>
  <c r="AK12" i="10" s="1"/>
  <c r="AK13" i="10" s="1"/>
  <c r="AK14" i="10" s="1"/>
  <c r="AK15" i="10" s="1"/>
  <c r="AK16" i="10" s="1"/>
  <c r="AK17" i="10" s="1"/>
  <c r="AK18" i="10" s="1"/>
  <c r="AK19" i="10" s="1"/>
  <c r="AK20" i="10" s="1"/>
  <c r="AK21" i="10" s="1"/>
  <c r="AK22" i="10" s="1"/>
  <c r="AK23" i="10" s="1"/>
  <c r="AK24" i="10" s="1"/>
  <c r="AK25" i="10" s="1"/>
  <c r="AK26" i="10" s="1"/>
  <c r="AK27" i="10" s="1"/>
  <c r="AK28" i="10" s="1"/>
  <c r="AK29" i="10" s="1"/>
  <c r="AK30" i="10" s="1"/>
  <c r="AK31" i="10" s="1"/>
  <c r="AK32" i="10" s="1"/>
  <c r="AK33" i="10" s="1"/>
  <c r="AK34" i="10" s="1"/>
  <c r="AK35" i="10" s="1"/>
  <c r="AH3" i="10"/>
  <c r="AH4" i="10" s="1"/>
  <c r="AH5" i="10" s="1"/>
  <c r="AH6" i="10" s="1"/>
  <c r="AH7" i="10" s="1"/>
  <c r="AH8" i="10" s="1"/>
  <c r="AH9" i="10" s="1"/>
  <c r="AH10" i="10" s="1"/>
  <c r="AH11" i="10" s="1"/>
  <c r="AH12" i="10" s="1"/>
  <c r="AH13" i="10" s="1"/>
  <c r="AH14" i="10" s="1"/>
  <c r="AH15" i="10" s="1"/>
  <c r="AH16" i="10" s="1"/>
  <c r="AH17" i="10" s="1"/>
  <c r="AH18" i="10" s="1"/>
  <c r="AH19" i="10" s="1"/>
  <c r="AH20" i="10" s="1"/>
  <c r="AH21" i="10" s="1"/>
  <c r="AH22" i="10" s="1"/>
  <c r="AH23" i="10" s="1"/>
  <c r="AH24" i="10" s="1"/>
  <c r="AH25" i="10" s="1"/>
  <c r="AH26" i="10" s="1"/>
  <c r="AH27" i="10" s="1"/>
  <c r="AH28" i="10" s="1"/>
  <c r="AH29" i="10" s="1"/>
  <c r="AH30" i="10" s="1"/>
  <c r="AH31" i="10" s="1"/>
  <c r="AH32" i="10" s="1"/>
  <c r="AH33" i="10" s="1"/>
  <c r="AH34" i="10" s="1"/>
  <c r="AH35" i="10" s="1"/>
  <c r="AE3" i="10"/>
  <c r="AE4" i="10" s="1"/>
  <c r="AE5" i="10" s="1"/>
  <c r="AE6" i="10" s="1"/>
  <c r="AE7" i="10" s="1"/>
  <c r="AE8" i="10" s="1"/>
  <c r="AE9" i="10" s="1"/>
  <c r="AE10" i="10" s="1"/>
  <c r="AE11" i="10" s="1"/>
  <c r="AE12" i="10" s="1"/>
  <c r="AE13" i="10" s="1"/>
  <c r="AE14" i="10" s="1"/>
  <c r="AE15" i="10" s="1"/>
  <c r="AE16" i="10" s="1"/>
  <c r="AE17" i="10" s="1"/>
  <c r="AE18" i="10" s="1"/>
  <c r="AE19" i="10" s="1"/>
  <c r="AE20" i="10" s="1"/>
  <c r="AE21" i="10" s="1"/>
  <c r="AE22" i="10" s="1"/>
  <c r="AE23" i="10" s="1"/>
  <c r="AE24" i="10" s="1"/>
  <c r="AE25" i="10" s="1"/>
  <c r="AE26" i="10" s="1"/>
  <c r="AE27" i="10" s="1"/>
  <c r="AE28" i="10" s="1"/>
  <c r="AE29" i="10" s="1"/>
  <c r="AE30" i="10" s="1"/>
  <c r="AE31" i="10" s="1"/>
  <c r="AE32" i="10" s="1"/>
  <c r="AE33" i="10" s="1"/>
  <c r="AE34" i="10" s="1"/>
  <c r="AE35" i="10" s="1"/>
  <c r="AB3" i="10"/>
  <c r="AB4" i="10" s="1"/>
  <c r="AB5" i="10" s="1"/>
  <c r="AB6" i="10" s="1"/>
  <c r="AB7" i="10" s="1"/>
  <c r="AB8" i="10" s="1"/>
  <c r="AB9" i="10" s="1"/>
  <c r="AB10" i="10" s="1"/>
  <c r="AB11" i="10" s="1"/>
  <c r="AB12" i="10" s="1"/>
  <c r="AB13" i="10" s="1"/>
  <c r="AB14" i="10" s="1"/>
  <c r="AB15" i="10" s="1"/>
  <c r="AB16" i="10" s="1"/>
  <c r="AB17" i="10" s="1"/>
  <c r="AB18" i="10" s="1"/>
  <c r="AB19" i="10" s="1"/>
  <c r="AB20" i="10" s="1"/>
  <c r="AB21" i="10" s="1"/>
  <c r="AB22" i="10" s="1"/>
  <c r="AB23" i="10" s="1"/>
  <c r="AB24" i="10" s="1"/>
  <c r="AB25" i="10" s="1"/>
  <c r="AB26" i="10" s="1"/>
  <c r="AB27" i="10" s="1"/>
  <c r="AB28" i="10" s="1"/>
  <c r="AB29" i="10" s="1"/>
  <c r="AB30" i="10" s="1"/>
  <c r="AB31" i="10" s="1"/>
  <c r="AB32" i="10" s="1"/>
  <c r="AB33" i="10" s="1"/>
  <c r="AB34" i="10" s="1"/>
  <c r="AB35" i="10" s="1"/>
  <c r="Y5" i="10" l="1"/>
  <c r="Y6" i="10" l="1"/>
  <c r="Y7" i="10" l="1"/>
  <c r="Y8" i="10" l="1"/>
  <c r="E185" i="2"/>
  <c r="D185" i="2"/>
  <c r="E184" i="2"/>
  <c r="D184" i="2"/>
  <c r="E183" i="2"/>
  <c r="D183" i="2"/>
  <c r="E182" i="2"/>
  <c r="D182" i="2"/>
  <c r="E181" i="2"/>
  <c r="D181" i="2"/>
  <c r="Y9" i="10" l="1"/>
  <c r="E7" i="30"/>
  <c r="E8" i="30"/>
  <c r="E9" i="30"/>
  <c r="E10" i="30"/>
  <c r="E11" i="30"/>
  <c r="E12" i="30"/>
  <c r="E13" i="30"/>
  <c r="E14" i="30"/>
  <c r="E15" i="30"/>
  <c r="E16" i="30"/>
  <c r="E17" i="30"/>
  <c r="E19" i="30"/>
  <c r="Z4" i="10"/>
  <c r="Z5" i="10" s="1"/>
  <c r="Z6" i="10" s="1"/>
  <c r="Z7" i="10" s="1"/>
  <c r="Z8" i="10" s="1"/>
  <c r="Z9" i="10" s="1"/>
  <c r="Z10" i="10" s="1"/>
  <c r="Z11" i="10" s="1"/>
  <c r="Z12" i="10" s="1"/>
  <c r="Z13" i="10" s="1"/>
  <c r="Z14" i="10" s="1"/>
  <c r="Z15" i="10" s="1"/>
  <c r="Z16" i="10" s="1"/>
  <c r="Z17" i="10" s="1"/>
  <c r="Z18" i="10" s="1"/>
  <c r="Z19" i="10" s="1"/>
  <c r="Z20" i="10" s="1"/>
  <c r="Z21" i="10" s="1"/>
  <c r="Z22" i="10" s="1"/>
  <c r="Z23" i="10" s="1"/>
  <c r="Z24" i="10" s="1"/>
  <c r="Z25" i="10" s="1"/>
  <c r="Z26" i="10" s="1"/>
  <c r="Z27" i="10" s="1"/>
  <c r="Z28" i="10" s="1"/>
  <c r="Z29" i="10" s="1"/>
  <c r="Z30" i="10" s="1"/>
  <c r="Z31" i="10" s="1"/>
  <c r="Z32" i="10" s="1"/>
  <c r="Z33" i="10" s="1"/>
  <c r="Z34" i="10" s="1"/>
  <c r="Z35" i="10" s="1"/>
  <c r="Y10" i="10" l="1"/>
  <c r="AC12" i="15"/>
  <c r="AC13" i="15"/>
  <c r="AC14" i="15"/>
  <c r="AC15" i="15"/>
  <c r="AC16" i="15"/>
  <c r="AC17" i="15"/>
  <c r="AC18" i="15"/>
  <c r="AB12" i="15"/>
  <c r="BR7" i="2" s="1"/>
  <c r="AB13" i="15"/>
  <c r="BR8" i="2" s="1"/>
  <c r="AB14" i="15"/>
  <c r="BR9" i="2" s="1"/>
  <c r="AB15" i="15"/>
  <c r="BR10" i="2" s="1"/>
  <c r="AB16" i="15"/>
  <c r="BR11" i="2" s="1"/>
  <c r="AB17" i="15"/>
  <c r="BR12" i="2" s="1"/>
  <c r="AB18" i="15"/>
  <c r="BR13" i="2" s="1"/>
  <c r="AB19" i="15"/>
  <c r="BR14" i="2" s="1"/>
  <c r="AA13" i="15"/>
  <c r="BQ8" i="2" s="1"/>
  <c r="AA14" i="15"/>
  <c r="BQ9" i="2" s="1"/>
  <c r="AA15" i="15"/>
  <c r="BQ10" i="2" s="1"/>
  <c r="AA16" i="15"/>
  <c r="BQ11" i="2" s="1"/>
  <c r="AA17" i="15"/>
  <c r="AA44" i="15"/>
  <c r="BQ39" i="2" s="1"/>
  <c r="AA45" i="15"/>
  <c r="BQ40" i="2" s="1"/>
  <c r="AA46" i="15"/>
  <c r="BQ41" i="2" s="1"/>
  <c r="AA47" i="15"/>
  <c r="BQ42" i="2" s="1"/>
  <c r="AA48" i="15"/>
  <c r="BQ43" i="2" s="1"/>
  <c r="AA49" i="15"/>
  <c r="BQ44" i="2" s="1"/>
  <c r="AA50" i="15"/>
  <c r="BQ45" i="2" s="1"/>
  <c r="AA51" i="15"/>
  <c r="BQ46" i="2" s="1"/>
  <c r="AA52" i="15"/>
  <c r="BQ47" i="2" s="1"/>
  <c r="AA53" i="15"/>
  <c r="BQ48" i="2" s="1"/>
  <c r="AA54" i="15"/>
  <c r="BQ49" i="2" s="1"/>
  <c r="AA12" i="15"/>
  <c r="BQ7" i="2" s="1"/>
  <c r="AC11" i="15"/>
  <c r="AB11" i="15"/>
  <c r="BR6" i="2" s="1"/>
  <c r="AA11" i="15"/>
  <c r="BQ6" i="2" s="1"/>
  <c r="AP305" i="2"/>
  <c r="AO305" i="2"/>
  <c r="AN305" i="2"/>
  <c r="AM305" i="2"/>
  <c r="AL305" i="2"/>
  <c r="AK305" i="2"/>
  <c r="AJ305" i="2"/>
  <c r="AP304" i="2"/>
  <c r="AO304" i="2"/>
  <c r="AN304" i="2"/>
  <c r="AM304" i="2"/>
  <c r="AL304" i="2"/>
  <c r="AK304" i="2"/>
  <c r="AJ304" i="2"/>
  <c r="AP303" i="2"/>
  <c r="AO303" i="2"/>
  <c r="AN303" i="2"/>
  <c r="AM303" i="2"/>
  <c r="AL303" i="2"/>
  <c r="AK303" i="2"/>
  <c r="AJ303" i="2"/>
  <c r="AP302" i="2"/>
  <c r="AO302" i="2"/>
  <c r="AN302" i="2"/>
  <c r="AM302" i="2"/>
  <c r="AL302" i="2"/>
  <c r="AK302" i="2"/>
  <c r="AJ302" i="2"/>
  <c r="AP301" i="2"/>
  <c r="AO301" i="2"/>
  <c r="AN301" i="2"/>
  <c r="AM301" i="2"/>
  <c r="AL301" i="2"/>
  <c r="AK301" i="2"/>
  <c r="AJ301" i="2"/>
  <c r="AP300" i="2"/>
  <c r="AO300" i="2"/>
  <c r="AN300" i="2"/>
  <c r="AM300" i="2"/>
  <c r="AL300" i="2"/>
  <c r="AK300" i="2"/>
  <c r="AJ300" i="2"/>
  <c r="AP299" i="2"/>
  <c r="AO299" i="2"/>
  <c r="AN299" i="2"/>
  <c r="AM299" i="2"/>
  <c r="AL299" i="2"/>
  <c r="AK299" i="2"/>
  <c r="AJ299" i="2"/>
  <c r="AP298" i="2"/>
  <c r="AO298" i="2"/>
  <c r="AN298" i="2"/>
  <c r="AM298" i="2"/>
  <c r="AL298" i="2"/>
  <c r="AK298" i="2"/>
  <c r="AJ298" i="2"/>
  <c r="AP297" i="2"/>
  <c r="AO297" i="2"/>
  <c r="AN297" i="2"/>
  <c r="AM297" i="2"/>
  <c r="AL297" i="2"/>
  <c r="AK297" i="2"/>
  <c r="AJ297" i="2"/>
  <c r="AP296" i="2"/>
  <c r="AO296" i="2"/>
  <c r="AN296" i="2"/>
  <c r="AM296" i="2"/>
  <c r="AL296" i="2"/>
  <c r="AK296" i="2"/>
  <c r="AJ296" i="2"/>
  <c r="AP295" i="2"/>
  <c r="AO295" i="2"/>
  <c r="AN295" i="2"/>
  <c r="AM295" i="2"/>
  <c r="AL295" i="2"/>
  <c r="AK295" i="2"/>
  <c r="AJ295" i="2"/>
  <c r="AP294" i="2"/>
  <c r="AO294" i="2"/>
  <c r="AN294" i="2"/>
  <c r="AM294" i="2"/>
  <c r="AL294" i="2"/>
  <c r="AK294" i="2"/>
  <c r="AJ294" i="2"/>
  <c r="AP293" i="2"/>
  <c r="AO293" i="2"/>
  <c r="AN293" i="2"/>
  <c r="AM293" i="2"/>
  <c r="AL293" i="2"/>
  <c r="AK293" i="2"/>
  <c r="AJ293" i="2"/>
  <c r="AP292" i="2"/>
  <c r="AO292" i="2"/>
  <c r="AN292" i="2"/>
  <c r="AM292" i="2"/>
  <c r="AL292" i="2"/>
  <c r="AK292" i="2"/>
  <c r="AJ292" i="2"/>
  <c r="AP291" i="2"/>
  <c r="AO291" i="2"/>
  <c r="AN291" i="2"/>
  <c r="AM291" i="2"/>
  <c r="AL291" i="2"/>
  <c r="AK291" i="2"/>
  <c r="AJ291" i="2"/>
  <c r="AP290" i="2"/>
  <c r="AO290" i="2"/>
  <c r="AN290" i="2"/>
  <c r="AM290" i="2"/>
  <c r="AL290" i="2"/>
  <c r="AK290" i="2"/>
  <c r="AJ290" i="2"/>
  <c r="AP289" i="2"/>
  <c r="AO289" i="2"/>
  <c r="AN289" i="2"/>
  <c r="AM289" i="2"/>
  <c r="AL289" i="2"/>
  <c r="AK289" i="2"/>
  <c r="AJ289" i="2"/>
  <c r="AP288" i="2"/>
  <c r="AO288" i="2"/>
  <c r="AN288" i="2"/>
  <c r="AM288" i="2"/>
  <c r="AL288" i="2"/>
  <c r="AK288" i="2"/>
  <c r="AJ288" i="2"/>
  <c r="AP287" i="2"/>
  <c r="AO287" i="2"/>
  <c r="AN287" i="2"/>
  <c r="AM287" i="2"/>
  <c r="AL287" i="2"/>
  <c r="AK287" i="2"/>
  <c r="AJ287" i="2"/>
  <c r="AP286" i="2"/>
  <c r="AO286" i="2"/>
  <c r="AN286" i="2"/>
  <c r="AM286" i="2"/>
  <c r="AL286" i="2"/>
  <c r="AK286" i="2"/>
  <c r="AJ286" i="2"/>
  <c r="AP285" i="2"/>
  <c r="AO285" i="2"/>
  <c r="AN285" i="2"/>
  <c r="AM285" i="2"/>
  <c r="AL285" i="2"/>
  <c r="AK285" i="2"/>
  <c r="AJ285" i="2"/>
  <c r="AP284" i="2"/>
  <c r="AO284" i="2"/>
  <c r="AN284" i="2"/>
  <c r="AM284" i="2"/>
  <c r="AL284" i="2"/>
  <c r="AK284" i="2"/>
  <c r="AJ284" i="2"/>
  <c r="AP283" i="2"/>
  <c r="AO283" i="2"/>
  <c r="AN283" i="2"/>
  <c r="AM283" i="2"/>
  <c r="AL283" i="2"/>
  <c r="AK283" i="2"/>
  <c r="AJ283" i="2"/>
  <c r="AP282" i="2"/>
  <c r="AO282" i="2"/>
  <c r="AN282" i="2"/>
  <c r="AM282" i="2"/>
  <c r="AL282" i="2"/>
  <c r="AK282" i="2"/>
  <c r="AJ282" i="2"/>
  <c r="AP281" i="2"/>
  <c r="AO281" i="2"/>
  <c r="AN281" i="2"/>
  <c r="AM281" i="2"/>
  <c r="AL281" i="2"/>
  <c r="AK281" i="2"/>
  <c r="AJ281" i="2"/>
  <c r="AP280" i="2"/>
  <c r="AO280" i="2"/>
  <c r="AN280" i="2"/>
  <c r="AM280" i="2"/>
  <c r="AL280" i="2"/>
  <c r="AK280" i="2"/>
  <c r="AJ280" i="2"/>
  <c r="AP279" i="2"/>
  <c r="AO279" i="2"/>
  <c r="AN279" i="2"/>
  <c r="AM279" i="2"/>
  <c r="AL279" i="2"/>
  <c r="AK279" i="2"/>
  <c r="AJ279" i="2"/>
  <c r="AP278" i="2"/>
  <c r="AO278" i="2"/>
  <c r="AN278" i="2"/>
  <c r="AM278" i="2"/>
  <c r="AL278" i="2"/>
  <c r="AK278" i="2"/>
  <c r="AJ278" i="2"/>
  <c r="AP277" i="2"/>
  <c r="AO277" i="2"/>
  <c r="AN277" i="2"/>
  <c r="AM277" i="2"/>
  <c r="AL277" i="2"/>
  <c r="AK277" i="2"/>
  <c r="AJ277" i="2"/>
  <c r="AP276" i="2"/>
  <c r="AO276" i="2"/>
  <c r="AN276" i="2"/>
  <c r="AM276" i="2"/>
  <c r="AL276" i="2"/>
  <c r="AK276" i="2"/>
  <c r="AJ276" i="2"/>
  <c r="AP275" i="2"/>
  <c r="AO275" i="2"/>
  <c r="AN275" i="2"/>
  <c r="AM275" i="2"/>
  <c r="AL275" i="2"/>
  <c r="AK275" i="2"/>
  <c r="AJ275" i="2"/>
  <c r="AP274" i="2"/>
  <c r="AO274" i="2"/>
  <c r="AN274" i="2"/>
  <c r="AM274" i="2"/>
  <c r="AL274" i="2"/>
  <c r="AK274" i="2"/>
  <c r="AJ274" i="2"/>
  <c r="AP273" i="2"/>
  <c r="AO273" i="2"/>
  <c r="AN273" i="2"/>
  <c r="AM273" i="2"/>
  <c r="AL273" i="2"/>
  <c r="AK273" i="2"/>
  <c r="AJ273" i="2"/>
  <c r="AP272" i="2"/>
  <c r="AO272" i="2"/>
  <c r="AN272" i="2"/>
  <c r="AM272" i="2"/>
  <c r="AL272" i="2"/>
  <c r="AK272" i="2"/>
  <c r="AJ272" i="2"/>
  <c r="AP271" i="2"/>
  <c r="AO271" i="2"/>
  <c r="AN271" i="2"/>
  <c r="AM271" i="2"/>
  <c r="AL271" i="2"/>
  <c r="AK271" i="2"/>
  <c r="AJ271" i="2"/>
  <c r="AP270" i="2"/>
  <c r="AO270" i="2"/>
  <c r="AN270" i="2"/>
  <c r="AM270" i="2"/>
  <c r="AL270" i="2"/>
  <c r="AK270" i="2"/>
  <c r="AJ270" i="2"/>
  <c r="AP269" i="2"/>
  <c r="AO269" i="2"/>
  <c r="AN269" i="2"/>
  <c r="AM269" i="2"/>
  <c r="AL269" i="2"/>
  <c r="AK269" i="2"/>
  <c r="AJ269" i="2"/>
  <c r="AP268" i="2"/>
  <c r="AO268" i="2"/>
  <c r="AN268" i="2"/>
  <c r="AM268" i="2"/>
  <c r="AL268" i="2"/>
  <c r="AK268" i="2"/>
  <c r="AJ268" i="2"/>
  <c r="AP267" i="2"/>
  <c r="AO267" i="2"/>
  <c r="AN267" i="2"/>
  <c r="AM267" i="2"/>
  <c r="AL267" i="2"/>
  <c r="AK267" i="2"/>
  <c r="AJ267" i="2"/>
  <c r="AP266" i="2"/>
  <c r="AO266" i="2"/>
  <c r="AN266" i="2"/>
  <c r="AM266" i="2"/>
  <c r="AL266" i="2"/>
  <c r="AK266" i="2"/>
  <c r="AJ266" i="2"/>
  <c r="AP265" i="2"/>
  <c r="AO265" i="2"/>
  <c r="AN265" i="2"/>
  <c r="AM265" i="2"/>
  <c r="AL265" i="2"/>
  <c r="AK265" i="2"/>
  <c r="AJ265" i="2"/>
  <c r="AP264" i="2"/>
  <c r="AO264" i="2"/>
  <c r="AN264" i="2"/>
  <c r="AM264" i="2"/>
  <c r="AL264" i="2"/>
  <c r="AK264" i="2"/>
  <c r="AJ264" i="2"/>
  <c r="AP263" i="2"/>
  <c r="AO263" i="2"/>
  <c r="AN263" i="2"/>
  <c r="AM263" i="2"/>
  <c r="AL263" i="2"/>
  <c r="AK263" i="2"/>
  <c r="AJ263" i="2"/>
  <c r="AP262" i="2"/>
  <c r="AO262" i="2"/>
  <c r="AN262" i="2"/>
  <c r="AM262" i="2"/>
  <c r="AL262" i="2"/>
  <c r="AK262" i="2"/>
  <c r="AJ262" i="2"/>
  <c r="AP261" i="2"/>
  <c r="AO261" i="2"/>
  <c r="AN261" i="2"/>
  <c r="AM261" i="2"/>
  <c r="AL261" i="2"/>
  <c r="AK261" i="2"/>
  <c r="AJ261" i="2"/>
  <c r="AP260" i="2"/>
  <c r="AO260" i="2"/>
  <c r="AN260" i="2"/>
  <c r="AM260" i="2"/>
  <c r="AL260" i="2"/>
  <c r="AK260" i="2"/>
  <c r="AJ260" i="2"/>
  <c r="AP259" i="2"/>
  <c r="AO259" i="2"/>
  <c r="AN259" i="2"/>
  <c r="AM259" i="2"/>
  <c r="AL259" i="2"/>
  <c r="AK259" i="2"/>
  <c r="AJ259" i="2"/>
  <c r="AP258" i="2"/>
  <c r="AO258" i="2"/>
  <c r="AN258" i="2"/>
  <c r="AM258" i="2"/>
  <c r="AL258" i="2"/>
  <c r="AK258" i="2"/>
  <c r="AJ258" i="2"/>
  <c r="AP257" i="2"/>
  <c r="AO257" i="2"/>
  <c r="AN257" i="2"/>
  <c r="AM257" i="2"/>
  <c r="AL257" i="2"/>
  <c r="AK257" i="2"/>
  <c r="AJ257" i="2"/>
  <c r="AP256" i="2"/>
  <c r="AO256" i="2"/>
  <c r="AN256" i="2"/>
  <c r="AM256" i="2"/>
  <c r="AL256" i="2"/>
  <c r="AK256" i="2"/>
  <c r="AJ256" i="2"/>
  <c r="AP255" i="2"/>
  <c r="AO255" i="2"/>
  <c r="AN255" i="2"/>
  <c r="AM255" i="2"/>
  <c r="AL255" i="2"/>
  <c r="AK255" i="2"/>
  <c r="AJ255" i="2"/>
  <c r="AP254" i="2"/>
  <c r="AO254" i="2"/>
  <c r="AN254" i="2"/>
  <c r="AM254" i="2"/>
  <c r="AL254" i="2"/>
  <c r="AK254" i="2"/>
  <c r="AJ254" i="2"/>
  <c r="AP253" i="2"/>
  <c r="AO253" i="2"/>
  <c r="AN253" i="2"/>
  <c r="AM253" i="2"/>
  <c r="AL253" i="2"/>
  <c r="AK253" i="2"/>
  <c r="AJ253" i="2"/>
  <c r="AP252" i="2"/>
  <c r="AO252" i="2"/>
  <c r="AN252" i="2"/>
  <c r="AM252" i="2"/>
  <c r="AL252" i="2"/>
  <c r="AK252" i="2"/>
  <c r="AJ252" i="2"/>
  <c r="AP251" i="2"/>
  <c r="AO251" i="2"/>
  <c r="AN251" i="2"/>
  <c r="AM251" i="2"/>
  <c r="AL251" i="2"/>
  <c r="AK251" i="2"/>
  <c r="AJ251" i="2"/>
  <c r="AP250" i="2"/>
  <c r="AO250" i="2"/>
  <c r="AN250" i="2"/>
  <c r="AM250" i="2"/>
  <c r="AL250" i="2"/>
  <c r="AK250" i="2"/>
  <c r="AJ250" i="2"/>
  <c r="AP249" i="2"/>
  <c r="AO249" i="2"/>
  <c r="AN249" i="2"/>
  <c r="AM249" i="2"/>
  <c r="AL249" i="2"/>
  <c r="AK249" i="2"/>
  <c r="AJ249" i="2"/>
  <c r="AP248" i="2"/>
  <c r="AO248" i="2"/>
  <c r="AN248" i="2"/>
  <c r="AM248" i="2"/>
  <c r="AL248" i="2"/>
  <c r="AK248" i="2"/>
  <c r="AJ248" i="2"/>
  <c r="AP247" i="2"/>
  <c r="AO247" i="2"/>
  <c r="AN247" i="2"/>
  <c r="AM247" i="2"/>
  <c r="AL247" i="2"/>
  <c r="AK247" i="2"/>
  <c r="AJ247" i="2"/>
  <c r="AP246" i="2"/>
  <c r="AO246" i="2"/>
  <c r="AN246" i="2"/>
  <c r="AM246" i="2"/>
  <c r="AL246" i="2"/>
  <c r="AK246" i="2"/>
  <c r="AJ246" i="2"/>
  <c r="AP245" i="2"/>
  <c r="AO245" i="2"/>
  <c r="AN245" i="2"/>
  <c r="AM245" i="2"/>
  <c r="AL245" i="2"/>
  <c r="AK245" i="2"/>
  <c r="AJ245" i="2"/>
  <c r="AP244" i="2"/>
  <c r="AO244" i="2"/>
  <c r="AN244" i="2"/>
  <c r="AM244" i="2"/>
  <c r="AL244" i="2"/>
  <c r="AK244" i="2"/>
  <c r="AJ244" i="2"/>
  <c r="AP243" i="2"/>
  <c r="AO243" i="2"/>
  <c r="AN243" i="2"/>
  <c r="AM243" i="2"/>
  <c r="AL243" i="2"/>
  <c r="AK243" i="2"/>
  <c r="AJ243" i="2"/>
  <c r="AP242" i="2"/>
  <c r="AO242" i="2"/>
  <c r="AN242" i="2"/>
  <c r="AM242" i="2"/>
  <c r="AL242" i="2"/>
  <c r="AK242" i="2"/>
  <c r="AJ242" i="2"/>
  <c r="AP241" i="2"/>
  <c r="AO241" i="2"/>
  <c r="AN241" i="2"/>
  <c r="AM241" i="2"/>
  <c r="AL241" i="2"/>
  <c r="AK241" i="2"/>
  <c r="AJ241" i="2"/>
  <c r="AP240" i="2"/>
  <c r="AO240" i="2"/>
  <c r="AN240" i="2"/>
  <c r="AM240" i="2"/>
  <c r="AL240" i="2"/>
  <c r="AK240" i="2"/>
  <c r="AJ240" i="2"/>
  <c r="AP239" i="2"/>
  <c r="AO239" i="2"/>
  <c r="AN239" i="2"/>
  <c r="AM239" i="2"/>
  <c r="AL239" i="2"/>
  <c r="AK239" i="2"/>
  <c r="AJ239" i="2"/>
  <c r="AP238" i="2"/>
  <c r="AO238" i="2"/>
  <c r="AN238" i="2"/>
  <c r="AM238" i="2"/>
  <c r="AL238" i="2"/>
  <c r="AK238" i="2"/>
  <c r="AJ238" i="2"/>
  <c r="AP237" i="2"/>
  <c r="AO237" i="2"/>
  <c r="AN237" i="2"/>
  <c r="AM237" i="2"/>
  <c r="AL237" i="2"/>
  <c r="AK237" i="2"/>
  <c r="AJ237" i="2"/>
  <c r="AP236" i="2"/>
  <c r="AO236" i="2"/>
  <c r="AN236" i="2"/>
  <c r="AM236" i="2"/>
  <c r="AL236" i="2"/>
  <c r="AK236" i="2"/>
  <c r="AJ236" i="2"/>
  <c r="AP235" i="2"/>
  <c r="AO235" i="2"/>
  <c r="AN235" i="2"/>
  <c r="AM235" i="2"/>
  <c r="AL235" i="2"/>
  <c r="AK235" i="2"/>
  <c r="AJ235" i="2"/>
  <c r="AP234" i="2"/>
  <c r="AO234" i="2"/>
  <c r="AN234" i="2"/>
  <c r="AM234" i="2"/>
  <c r="AL234" i="2"/>
  <c r="AK234" i="2"/>
  <c r="AJ234" i="2"/>
  <c r="AP233" i="2"/>
  <c r="AO233" i="2"/>
  <c r="AN233" i="2"/>
  <c r="AM233" i="2"/>
  <c r="AL233" i="2"/>
  <c r="AK233" i="2"/>
  <c r="AJ233" i="2"/>
  <c r="AP232" i="2"/>
  <c r="AO232" i="2"/>
  <c r="AN232" i="2"/>
  <c r="AM232" i="2"/>
  <c r="AL232" i="2"/>
  <c r="AK232" i="2"/>
  <c r="AJ232" i="2"/>
  <c r="AP231" i="2"/>
  <c r="AO231" i="2"/>
  <c r="AN231" i="2"/>
  <c r="AM231" i="2"/>
  <c r="AL231" i="2"/>
  <c r="AK231" i="2"/>
  <c r="AJ231" i="2"/>
  <c r="AP230" i="2"/>
  <c r="AO230" i="2"/>
  <c r="AN230" i="2"/>
  <c r="AM230" i="2"/>
  <c r="AL230" i="2"/>
  <c r="AK230" i="2"/>
  <c r="AJ230" i="2"/>
  <c r="AP229" i="2"/>
  <c r="AO229" i="2"/>
  <c r="AN229" i="2"/>
  <c r="AM229" i="2"/>
  <c r="AL229" i="2"/>
  <c r="AK229" i="2"/>
  <c r="AJ229" i="2"/>
  <c r="AP228" i="2"/>
  <c r="AO228" i="2"/>
  <c r="AN228" i="2"/>
  <c r="AM228" i="2"/>
  <c r="AL228" i="2"/>
  <c r="AK228" i="2"/>
  <c r="AJ228" i="2"/>
  <c r="AP227" i="2"/>
  <c r="AO227" i="2"/>
  <c r="AN227" i="2"/>
  <c r="AM227" i="2"/>
  <c r="AL227" i="2"/>
  <c r="AK227" i="2"/>
  <c r="AJ227" i="2"/>
  <c r="AP226" i="2"/>
  <c r="AO226" i="2"/>
  <c r="AN226" i="2"/>
  <c r="AM226" i="2"/>
  <c r="AL226" i="2"/>
  <c r="AK226" i="2"/>
  <c r="AJ226" i="2"/>
  <c r="AP225" i="2"/>
  <c r="AO225" i="2"/>
  <c r="AN225" i="2"/>
  <c r="AM225" i="2"/>
  <c r="AL225" i="2"/>
  <c r="AK225" i="2"/>
  <c r="AJ225" i="2"/>
  <c r="AP224" i="2"/>
  <c r="AO224" i="2"/>
  <c r="AN224" i="2"/>
  <c r="AM224" i="2"/>
  <c r="AL224" i="2"/>
  <c r="AK224" i="2"/>
  <c r="AJ224" i="2"/>
  <c r="AP223" i="2"/>
  <c r="AO223" i="2"/>
  <c r="AN223" i="2"/>
  <c r="AM223" i="2"/>
  <c r="AL223" i="2"/>
  <c r="AK223" i="2"/>
  <c r="AJ223" i="2"/>
  <c r="AP222" i="2"/>
  <c r="AO222" i="2"/>
  <c r="AN222" i="2"/>
  <c r="AM222" i="2"/>
  <c r="AL222" i="2"/>
  <c r="AK222" i="2"/>
  <c r="AJ222" i="2"/>
  <c r="AP221" i="2"/>
  <c r="AO221" i="2"/>
  <c r="AN221" i="2"/>
  <c r="AM221" i="2"/>
  <c r="AL221" i="2"/>
  <c r="AK221" i="2"/>
  <c r="AJ221" i="2"/>
  <c r="AP220" i="2"/>
  <c r="AO220" i="2"/>
  <c r="AN220" i="2"/>
  <c r="AM220" i="2"/>
  <c r="AL220" i="2"/>
  <c r="AK220" i="2"/>
  <c r="AJ220" i="2"/>
  <c r="AP219" i="2"/>
  <c r="AO219" i="2"/>
  <c r="AN219" i="2"/>
  <c r="AM219" i="2"/>
  <c r="AL219" i="2"/>
  <c r="AK219" i="2"/>
  <c r="AJ219" i="2"/>
  <c r="AP218" i="2"/>
  <c r="AO218" i="2"/>
  <c r="AN218" i="2"/>
  <c r="AM218" i="2"/>
  <c r="AL218" i="2"/>
  <c r="AK218" i="2"/>
  <c r="AJ218" i="2"/>
  <c r="AP217" i="2"/>
  <c r="AO217" i="2"/>
  <c r="AN217" i="2"/>
  <c r="AM217" i="2"/>
  <c r="AL217" i="2"/>
  <c r="AK217" i="2"/>
  <c r="AJ217" i="2"/>
  <c r="AP216" i="2"/>
  <c r="AO216" i="2"/>
  <c r="AN216" i="2"/>
  <c r="AM216" i="2"/>
  <c r="AL216" i="2"/>
  <c r="AK216" i="2"/>
  <c r="AJ216" i="2"/>
  <c r="AP215" i="2"/>
  <c r="AO215" i="2"/>
  <c r="AN215" i="2"/>
  <c r="AM215" i="2"/>
  <c r="AL215" i="2"/>
  <c r="AK215" i="2"/>
  <c r="AJ215" i="2"/>
  <c r="AP214" i="2"/>
  <c r="AO214" i="2"/>
  <c r="AN214" i="2"/>
  <c r="AM214" i="2"/>
  <c r="AL214" i="2"/>
  <c r="AK214" i="2"/>
  <c r="AJ214" i="2"/>
  <c r="AP213" i="2"/>
  <c r="AO213" i="2"/>
  <c r="AN213" i="2"/>
  <c r="AM213" i="2"/>
  <c r="AL213" i="2"/>
  <c r="AK213" i="2"/>
  <c r="AJ213" i="2"/>
  <c r="AP212" i="2"/>
  <c r="AO212" i="2"/>
  <c r="AN212" i="2"/>
  <c r="AM212" i="2"/>
  <c r="AL212" i="2"/>
  <c r="AK212" i="2"/>
  <c r="AJ212" i="2"/>
  <c r="AP211" i="2"/>
  <c r="AO211" i="2"/>
  <c r="AN211" i="2"/>
  <c r="AM211" i="2"/>
  <c r="AL211" i="2"/>
  <c r="AK211" i="2"/>
  <c r="AJ211" i="2"/>
  <c r="AP210" i="2"/>
  <c r="AO210" i="2"/>
  <c r="AN210" i="2"/>
  <c r="AM210" i="2"/>
  <c r="AL210" i="2"/>
  <c r="AK210" i="2"/>
  <c r="AJ210" i="2"/>
  <c r="AP209" i="2"/>
  <c r="AO209" i="2"/>
  <c r="AN209" i="2"/>
  <c r="AM209" i="2"/>
  <c r="AL209" i="2"/>
  <c r="AK209" i="2"/>
  <c r="AJ209" i="2"/>
  <c r="AP208" i="2"/>
  <c r="AO208" i="2"/>
  <c r="AN208" i="2"/>
  <c r="AM208" i="2"/>
  <c r="AL208" i="2"/>
  <c r="AK208" i="2"/>
  <c r="AJ208" i="2"/>
  <c r="AP207" i="2"/>
  <c r="AO207" i="2"/>
  <c r="AN207" i="2"/>
  <c r="AM207" i="2"/>
  <c r="AL207" i="2"/>
  <c r="AK207" i="2"/>
  <c r="AJ207" i="2"/>
  <c r="AP206" i="2"/>
  <c r="AO206" i="2"/>
  <c r="AN206" i="2"/>
  <c r="AM206" i="2"/>
  <c r="AL206" i="2"/>
  <c r="AK206" i="2"/>
  <c r="AJ206" i="2"/>
  <c r="AP205" i="2"/>
  <c r="AO205" i="2"/>
  <c r="AN205" i="2"/>
  <c r="AM205" i="2"/>
  <c r="AL205" i="2"/>
  <c r="AK205" i="2"/>
  <c r="AJ205" i="2"/>
  <c r="AP204" i="2"/>
  <c r="AO204" i="2"/>
  <c r="AN204" i="2"/>
  <c r="AM204" i="2"/>
  <c r="AL204" i="2"/>
  <c r="AK204" i="2"/>
  <c r="AJ204" i="2"/>
  <c r="AP203" i="2"/>
  <c r="AO203" i="2"/>
  <c r="AN203" i="2"/>
  <c r="AM203" i="2"/>
  <c r="AL203" i="2"/>
  <c r="AK203" i="2"/>
  <c r="AJ203" i="2"/>
  <c r="AP202" i="2"/>
  <c r="AO202" i="2"/>
  <c r="AN202" i="2"/>
  <c r="AM202" i="2"/>
  <c r="AL202" i="2"/>
  <c r="AK202" i="2"/>
  <c r="AJ202" i="2"/>
  <c r="AP201" i="2"/>
  <c r="AO201" i="2"/>
  <c r="AN201" i="2"/>
  <c r="AM201" i="2"/>
  <c r="AL201" i="2"/>
  <c r="AK201" i="2"/>
  <c r="AJ201" i="2"/>
  <c r="AP200" i="2"/>
  <c r="AO200" i="2"/>
  <c r="AN200" i="2"/>
  <c r="AM200" i="2"/>
  <c r="AL200" i="2"/>
  <c r="AK200" i="2"/>
  <c r="AJ200" i="2"/>
  <c r="AP199" i="2"/>
  <c r="AO199" i="2"/>
  <c r="AN199" i="2"/>
  <c r="AM199" i="2"/>
  <c r="AL199" i="2"/>
  <c r="AK199" i="2"/>
  <c r="AJ199" i="2"/>
  <c r="AP198" i="2"/>
  <c r="AO198" i="2"/>
  <c r="AN198" i="2"/>
  <c r="AM198" i="2"/>
  <c r="AL198" i="2"/>
  <c r="AK198" i="2"/>
  <c r="AJ198" i="2"/>
  <c r="AP197" i="2"/>
  <c r="AO197" i="2"/>
  <c r="AN197" i="2"/>
  <c r="AM197" i="2"/>
  <c r="AL197" i="2"/>
  <c r="AK197" i="2"/>
  <c r="AJ197" i="2"/>
  <c r="AP196" i="2"/>
  <c r="AO196" i="2"/>
  <c r="AN196" i="2"/>
  <c r="AM196" i="2"/>
  <c r="AL196" i="2"/>
  <c r="AK196" i="2"/>
  <c r="AJ196" i="2"/>
  <c r="AP195" i="2"/>
  <c r="AO195" i="2"/>
  <c r="AN195" i="2"/>
  <c r="AM195" i="2"/>
  <c r="AL195" i="2"/>
  <c r="AK195" i="2"/>
  <c r="AJ195" i="2"/>
  <c r="AP194" i="2"/>
  <c r="AO194" i="2"/>
  <c r="AN194" i="2"/>
  <c r="AM194" i="2"/>
  <c r="AL194" i="2"/>
  <c r="AK194" i="2"/>
  <c r="AJ194" i="2"/>
  <c r="AP193" i="2"/>
  <c r="AO193" i="2"/>
  <c r="AN193" i="2"/>
  <c r="AM193" i="2"/>
  <c r="AL193" i="2"/>
  <c r="AK193" i="2"/>
  <c r="AJ193" i="2"/>
  <c r="AP192" i="2"/>
  <c r="AO192" i="2"/>
  <c r="AN192" i="2"/>
  <c r="AM192" i="2"/>
  <c r="AL192" i="2"/>
  <c r="AK192" i="2"/>
  <c r="AJ192" i="2"/>
  <c r="AP191" i="2"/>
  <c r="AO191" i="2"/>
  <c r="AN191" i="2"/>
  <c r="AM191" i="2"/>
  <c r="AL191" i="2"/>
  <c r="AK191" i="2"/>
  <c r="AJ191" i="2"/>
  <c r="AP190" i="2"/>
  <c r="AO190" i="2"/>
  <c r="AN190" i="2"/>
  <c r="AM190" i="2"/>
  <c r="AL190" i="2"/>
  <c r="AK190" i="2"/>
  <c r="AJ190" i="2"/>
  <c r="AP189" i="2"/>
  <c r="AO189" i="2"/>
  <c r="AN189" i="2"/>
  <c r="AM189" i="2"/>
  <c r="AL189" i="2"/>
  <c r="AK189" i="2"/>
  <c r="AJ189" i="2"/>
  <c r="AP188" i="2"/>
  <c r="AO188" i="2"/>
  <c r="AN188" i="2"/>
  <c r="AM188" i="2"/>
  <c r="AL188" i="2"/>
  <c r="AK188" i="2"/>
  <c r="AJ188" i="2"/>
  <c r="AP187" i="2"/>
  <c r="AO187" i="2"/>
  <c r="AN187" i="2"/>
  <c r="AM187" i="2"/>
  <c r="AL187" i="2"/>
  <c r="AK187" i="2"/>
  <c r="AJ187" i="2"/>
  <c r="AP186" i="2"/>
  <c r="AO186" i="2"/>
  <c r="AN186" i="2"/>
  <c r="AM186" i="2"/>
  <c r="AL186" i="2"/>
  <c r="AK186" i="2"/>
  <c r="AJ186" i="2"/>
  <c r="AP185" i="2"/>
  <c r="AO185" i="2"/>
  <c r="AN185" i="2"/>
  <c r="AM185" i="2"/>
  <c r="AK185" i="2"/>
  <c r="AJ185" i="2"/>
  <c r="AP184" i="2"/>
  <c r="AO184" i="2"/>
  <c r="AN184" i="2"/>
  <c r="AM184" i="2"/>
  <c r="AK184" i="2"/>
  <c r="AJ184" i="2"/>
  <c r="AP183" i="2"/>
  <c r="AO183" i="2"/>
  <c r="AN183" i="2"/>
  <c r="AM183" i="2"/>
  <c r="AK183" i="2"/>
  <c r="AJ183" i="2"/>
  <c r="AP182" i="2"/>
  <c r="AO182" i="2"/>
  <c r="AN182" i="2"/>
  <c r="AM182" i="2"/>
  <c r="AK182" i="2"/>
  <c r="AJ182" i="2"/>
  <c r="AP181" i="2"/>
  <c r="AO181" i="2"/>
  <c r="AN181" i="2"/>
  <c r="AM181" i="2"/>
  <c r="AK181" i="2"/>
  <c r="AJ181" i="2"/>
  <c r="AP180" i="2"/>
  <c r="AO180" i="2"/>
  <c r="AN180" i="2"/>
  <c r="AM180" i="2"/>
  <c r="AK180" i="2"/>
  <c r="AP179" i="2"/>
  <c r="AO179" i="2"/>
  <c r="AN179" i="2"/>
  <c r="AM179" i="2"/>
  <c r="AK179" i="2"/>
  <c r="AP178" i="2"/>
  <c r="AO178" i="2"/>
  <c r="AN178" i="2"/>
  <c r="AM178" i="2"/>
  <c r="AK178" i="2"/>
  <c r="AP177" i="2"/>
  <c r="AO177" i="2"/>
  <c r="AN177" i="2"/>
  <c r="AM177" i="2"/>
  <c r="AK177" i="2"/>
  <c r="AP176" i="2"/>
  <c r="AO176" i="2"/>
  <c r="AN176" i="2"/>
  <c r="AM176" i="2"/>
  <c r="AK176" i="2"/>
  <c r="AP175" i="2"/>
  <c r="AO175" i="2"/>
  <c r="AN175" i="2"/>
  <c r="AM175" i="2"/>
  <c r="AK175" i="2"/>
  <c r="AP174" i="2"/>
  <c r="AO174" i="2"/>
  <c r="AN174" i="2"/>
  <c r="AM174" i="2"/>
  <c r="AK174" i="2"/>
  <c r="AP173" i="2"/>
  <c r="AO173" i="2"/>
  <c r="AN173" i="2"/>
  <c r="AM173" i="2"/>
  <c r="AK173" i="2"/>
  <c r="AP172" i="2"/>
  <c r="AO172" i="2"/>
  <c r="AN172" i="2"/>
  <c r="AM172" i="2"/>
  <c r="AK172" i="2"/>
  <c r="AP171" i="2"/>
  <c r="AO171" i="2"/>
  <c r="AN171" i="2"/>
  <c r="AM171" i="2"/>
  <c r="AK171" i="2"/>
  <c r="AP170" i="2"/>
  <c r="AO170" i="2"/>
  <c r="AN170" i="2"/>
  <c r="AM170" i="2"/>
  <c r="AK170" i="2"/>
  <c r="AP169" i="2"/>
  <c r="AO169" i="2"/>
  <c r="AN169" i="2"/>
  <c r="AM169" i="2"/>
  <c r="AK169" i="2"/>
  <c r="AP168" i="2"/>
  <c r="AO168" i="2"/>
  <c r="AN168" i="2"/>
  <c r="AM168" i="2"/>
  <c r="AK168" i="2"/>
  <c r="AP167" i="2"/>
  <c r="AO167" i="2"/>
  <c r="AN167" i="2"/>
  <c r="AM167" i="2"/>
  <c r="AK167" i="2"/>
  <c r="AP166" i="2"/>
  <c r="AO166" i="2"/>
  <c r="AN166" i="2"/>
  <c r="AM166" i="2"/>
  <c r="AK166" i="2"/>
  <c r="AP165" i="2"/>
  <c r="AO165" i="2"/>
  <c r="AN165" i="2"/>
  <c r="AM165" i="2"/>
  <c r="AL165" i="2"/>
  <c r="AK165" i="2"/>
  <c r="AP164" i="2"/>
  <c r="AO164" i="2"/>
  <c r="AN164" i="2"/>
  <c r="AM164" i="2"/>
  <c r="AL164" i="2"/>
  <c r="AK164" i="2"/>
  <c r="AP163" i="2"/>
  <c r="AO163" i="2"/>
  <c r="AN163" i="2"/>
  <c r="AM163" i="2"/>
  <c r="AL163" i="2"/>
  <c r="AK163" i="2"/>
  <c r="AP162" i="2"/>
  <c r="AO162" i="2"/>
  <c r="AN162" i="2"/>
  <c r="AM162" i="2"/>
  <c r="AL162" i="2"/>
  <c r="AK162" i="2"/>
  <c r="AP161" i="2"/>
  <c r="AO161" i="2"/>
  <c r="AN161" i="2"/>
  <c r="AM161" i="2"/>
  <c r="AL161" i="2"/>
  <c r="AK161" i="2"/>
  <c r="AP160" i="2"/>
  <c r="AO160" i="2"/>
  <c r="AN160" i="2"/>
  <c r="AM160" i="2"/>
  <c r="AL160" i="2"/>
  <c r="AK160" i="2"/>
  <c r="AP159" i="2"/>
  <c r="AO159" i="2"/>
  <c r="AN159" i="2"/>
  <c r="AM159" i="2"/>
  <c r="AL159" i="2"/>
  <c r="AK159" i="2"/>
  <c r="AP158" i="2"/>
  <c r="AO158" i="2"/>
  <c r="AN158" i="2"/>
  <c r="AM158" i="2"/>
  <c r="AL158" i="2"/>
  <c r="AK158" i="2"/>
  <c r="AP157" i="2"/>
  <c r="AO157" i="2"/>
  <c r="AN157" i="2"/>
  <c r="AM157" i="2"/>
  <c r="AL157" i="2"/>
  <c r="AK157" i="2"/>
  <c r="AP156" i="2"/>
  <c r="AO156" i="2"/>
  <c r="AN156" i="2"/>
  <c r="AM156" i="2"/>
  <c r="AL156" i="2"/>
  <c r="AK156" i="2"/>
  <c r="AP155" i="2"/>
  <c r="AO155" i="2"/>
  <c r="AN155" i="2"/>
  <c r="AL155" i="2"/>
  <c r="AK155" i="2"/>
  <c r="AP154" i="2"/>
  <c r="AO154" i="2"/>
  <c r="AN154" i="2"/>
  <c r="AL154" i="2"/>
  <c r="AK154" i="2"/>
  <c r="AP153" i="2"/>
  <c r="AO153" i="2"/>
  <c r="AN153" i="2"/>
  <c r="AL153" i="2"/>
  <c r="AK153" i="2"/>
  <c r="AP152" i="2"/>
  <c r="AO152" i="2"/>
  <c r="AN152" i="2"/>
  <c r="AL152" i="2"/>
  <c r="AK152" i="2"/>
  <c r="AP151" i="2"/>
  <c r="AO151" i="2"/>
  <c r="AN151" i="2"/>
  <c r="AL151" i="2"/>
  <c r="AK151" i="2"/>
  <c r="AO150" i="2"/>
  <c r="AN150" i="2"/>
  <c r="AM150" i="2"/>
  <c r="AK150" i="2"/>
  <c r="AO149" i="2"/>
  <c r="AN149" i="2"/>
  <c r="AM149" i="2"/>
  <c r="AK149" i="2"/>
  <c r="AO148" i="2"/>
  <c r="AN148" i="2"/>
  <c r="AM148" i="2"/>
  <c r="AK148" i="2"/>
  <c r="AO147" i="2"/>
  <c r="AN147" i="2"/>
  <c r="AM147" i="2"/>
  <c r="AK147" i="2"/>
  <c r="AO146" i="2"/>
  <c r="AN146" i="2"/>
  <c r="AM146" i="2"/>
  <c r="AK146" i="2"/>
  <c r="AO145" i="2"/>
  <c r="AN145" i="2"/>
  <c r="AM145" i="2"/>
  <c r="AK145" i="2"/>
  <c r="AO144" i="2"/>
  <c r="AN144" i="2"/>
  <c r="AM144" i="2"/>
  <c r="AK144" i="2"/>
  <c r="AO143" i="2"/>
  <c r="AN143" i="2"/>
  <c r="AM143" i="2"/>
  <c r="AK143" i="2"/>
  <c r="AO142" i="2"/>
  <c r="AN142" i="2"/>
  <c r="AM142" i="2"/>
  <c r="AK142" i="2"/>
  <c r="AO141" i="2"/>
  <c r="AN141" i="2"/>
  <c r="AM141" i="2"/>
  <c r="AK141" i="2"/>
  <c r="AO140" i="2"/>
  <c r="AN140" i="2"/>
  <c r="AM140" i="2"/>
  <c r="AK140" i="2"/>
  <c r="AO139" i="2"/>
  <c r="AN139" i="2"/>
  <c r="AM139" i="2"/>
  <c r="AK139" i="2"/>
  <c r="AO138" i="2"/>
  <c r="AN138" i="2"/>
  <c r="AM138" i="2"/>
  <c r="AK138" i="2"/>
  <c r="AO137" i="2"/>
  <c r="AN137" i="2"/>
  <c r="AM137" i="2"/>
  <c r="AK137" i="2"/>
  <c r="AO136" i="2"/>
  <c r="AN136" i="2"/>
  <c r="AM136" i="2"/>
  <c r="AK136" i="2"/>
  <c r="AO135" i="2"/>
  <c r="AM135" i="2"/>
  <c r="AK135" i="2"/>
  <c r="AO134" i="2"/>
  <c r="AM134" i="2"/>
  <c r="AK134" i="2"/>
  <c r="AO133" i="2"/>
  <c r="AM133" i="2"/>
  <c r="AK133" i="2"/>
  <c r="AO132" i="2"/>
  <c r="AM132" i="2"/>
  <c r="AK132" i="2"/>
  <c r="AO131" i="2"/>
  <c r="AM131" i="2"/>
  <c r="AK131" i="2"/>
  <c r="AP130" i="2"/>
  <c r="AO130" i="2"/>
  <c r="AM130" i="2"/>
  <c r="AP129" i="2"/>
  <c r="AO129" i="2"/>
  <c r="AM129" i="2"/>
  <c r="AP128" i="2"/>
  <c r="AO128" i="2"/>
  <c r="AM128" i="2"/>
  <c r="AP127" i="2"/>
  <c r="AO127" i="2"/>
  <c r="AM127" i="2"/>
  <c r="AP126" i="2"/>
  <c r="AO126" i="2"/>
  <c r="AM126" i="2"/>
  <c r="AP125" i="2"/>
  <c r="AO125" i="2"/>
  <c r="AN125" i="2"/>
  <c r="AM125" i="2"/>
  <c r="AK125" i="2"/>
  <c r="AP124" i="2"/>
  <c r="AO124" i="2"/>
  <c r="AN124" i="2"/>
  <c r="AM124" i="2"/>
  <c r="AK124" i="2"/>
  <c r="AP123" i="2"/>
  <c r="AO123" i="2"/>
  <c r="AN123" i="2"/>
  <c r="AM123" i="2"/>
  <c r="AK123" i="2"/>
  <c r="AP122" i="2"/>
  <c r="AO122" i="2"/>
  <c r="AN122" i="2"/>
  <c r="AM122" i="2"/>
  <c r="AK122" i="2"/>
  <c r="AP121" i="2"/>
  <c r="AO121" i="2"/>
  <c r="AN121" i="2"/>
  <c r="AM121" i="2"/>
  <c r="AK121" i="2"/>
  <c r="AP120" i="2"/>
  <c r="AO120" i="2"/>
  <c r="AM120" i="2"/>
  <c r="AK120" i="2"/>
  <c r="AP119" i="2"/>
  <c r="AO119" i="2"/>
  <c r="AM119" i="2"/>
  <c r="AK119" i="2"/>
  <c r="AP118" i="2"/>
  <c r="AO118" i="2"/>
  <c r="AM118" i="2"/>
  <c r="AK118" i="2"/>
  <c r="AP117" i="2"/>
  <c r="AO117" i="2"/>
  <c r="AM117" i="2"/>
  <c r="AK117" i="2"/>
  <c r="AP116" i="2"/>
  <c r="AO116" i="2"/>
  <c r="AM116" i="2"/>
  <c r="AK116" i="2"/>
  <c r="AP115" i="2"/>
  <c r="AM115" i="2"/>
  <c r="AK115" i="2"/>
  <c r="AP114" i="2"/>
  <c r="AM114" i="2"/>
  <c r="AK114" i="2"/>
  <c r="AP113" i="2"/>
  <c r="AM113" i="2"/>
  <c r="AK113" i="2"/>
  <c r="AP112" i="2"/>
  <c r="AM112" i="2"/>
  <c r="AK112" i="2"/>
  <c r="AP111" i="2"/>
  <c r="AM111" i="2"/>
  <c r="AK111" i="2"/>
  <c r="AP110" i="2"/>
  <c r="AM110" i="2"/>
  <c r="AK110" i="2"/>
  <c r="AP109" i="2"/>
  <c r="AM109" i="2"/>
  <c r="AK109" i="2"/>
  <c r="AP108" i="2"/>
  <c r="AM108" i="2"/>
  <c r="AK108" i="2"/>
  <c r="AP107" i="2"/>
  <c r="AM107" i="2"/>
  <c r="AK107" i="2"/>
  <c r="AP106" i="2"/>
  <c r="AM106" i="2"/>
  <c r="AK106" i="2"/>
  <c r="AP105" i="2"/>
  <c r="AO105" i="2"/>
  <c r="AM105" i="2"/>
  <c r="AK105" i="2"/>
  <c r="AP104" i="2"/>
  <c r="AO104" i="2"/>
  <c r="AM104" i="2"/>
  <c r="AK104" i="2"/>
  <c r="AP103" i="2"/>
  <c r="AO103" i="2"/>
  <c r="AM103" i="2"/>
  <c r="AK103" i="2"/>
  <c r="AP102" i="2"/>
  <c r="AO102" i="2"/>
  <c r="AM102" i="2"/>
  <c r="AK102" i="2"/>
  <c r="AP101" i="2"/>
  <c r="AO101" i="2"/>
  <c r="AM101" i="2"/>
  <c r="AK101" i="2"/>
  <c r="AP100" i="2"/>
  <c r="AO100" i="2"/>
  <c r="AK100" i="2"/>
  <c r="AP99" i="2"/>
  <c r="AO99" i="2"/>
  <c r="AK99" i="2"/>
  <c r="AP98" i="2"/>
  <c r="AO98" i="2"/>
  <c r="AK98" i="2"/>
  <c r="AP97" i="2"/>
  <c r="AO97" i="2"/>
  <c r="AK97" i="2"/>
  <c r="AP96" i="2"/>
  <c r="AO96" i="2"/>
  <c r="AK96" i="2"/>
  <c r="AP95" i="2"/>
  <c r="AO95" i="2"/>
  <c r="AK95" i="2"/>
  <c r="AP94" i="2"/>
  <c r="AO94" i="2"/>
  <c r="AK94" i="2"/>
  <c r="AP93" i="2"/>
  <c r="AO93" i="2"/>
  <c r="AK93" i="2"/>
  <c r="AP92" i="2"/>
  <c r="AO92" i="2"/>
  <c r="AK92" i="2"/>
  <c r="AP91" i="2"/>
  <c r="AO91" i="2"/>
  <c r="AK91" i="2"/>
  <c r="AP90" i="2"/>
  <c r="AO90" i="2"/>
  <c r="AK90" i="2"/>
  <c r="AP89" i="2"/>
  <c r="AO89" i="2"/>
  <c r="AK89" i="2"/>
  <c r="AP88" i="2"/>
  <c r="AO88" i="2"/>
  <c r="AK88" i="2"/>
  <c r="AP87" i="2"/>
  <c r="AO87" i="2"/>
  <c r="AK87" i="2"/>
  <c r="AP86" i="2"/>
  <c r="AO86" i="2"/>
  <c r="AK86" i="2"/>
  <c r="AP85" i="2"/>
  <c r="AO85" i="2"/>
  <c r="AK85" i="2"/>
  <c r="AP84" i="2"/>
  <c r="AO84" i="2"/>
  <c r="AK84" i="2"/>
  <c r="AP83" i="2"/>
  <c r="AO83" i="2"/>
  <c r="AK83" i="2"/>
  <c r="AP82" i="2"/>
  <c r="AO82" i="2"/>
  <c r="AK82" i="2"/>
  <c r="AP81" i="2"/>
  <c r="AO81" i="2"/>
  <c r="AK81" i="2"/>
  <c r="AP80" i="2"/>
  <c r="AO80" i="2"/>
  <c r="AM80" i="2"/>
  <c r="AK80" i="2"/>
  <c r="AP79" i="2"/>
  <c r="AO79" i="2"/>
  <c r="AM79" i="2"/>
  <c r="AK79" i="2"/>
  <c r="AP78" i="2"/>
  <c r="AO78" i="2"/>
  <c r="AM78" i="2"/>
  <c r="AK78" i="2"/>
  <c r="AP77" i="2"/>
  <c r="AO77" i="2"/>
  <c r="AM77" i="2"/>
  <c r="AK77" i="2"/>
  <c r="AP76" i="2"/>
  <c r="AO76" i="2"/>
  <c r="AM76" i="2"/>
  <c r="AK76" i="2"/>
  <c r="AP75" i="2"/>
  <c r="AO75" i="2"/>
  <c r="AM75" i="2"/>
  <c r="AK75" i="2"/>
  <c r="AP74" i="2"/>
  <c r="AO74" i="2"/>
  <c r="AM74" i="2"/>
  <c r="AK74" i="2"/>
  <c r="AP73" i="2"/>
  <c r="AO73" i="2"/>
  <c r="AM73" i="2"/>
  <c r="AK73" i="2"/>
  <c r="AP72" i="2"/>
  <c r="AO72" i="2"/>
  <c r="AM72" i="2"/>
  <c r="AK72" i="2"/>
  <c r="AP71" i="2"/>
  <c r="AO71" i="2"/>
  <c r="AM71" i="2"/>
  <c r="AK71" i="2"/>
  <c r="AP70" i="2"/>
  <c r="AO70" i="2"/>
  <c r="AM70" i="2"/>
  <c r="AK70" i="2"/>
  <c r="AP69" i="2"/>
  <c r="AO69" i="2"/>
  <c r="AM69" i="2"/>
  <c r="AK69" i="2"/>
  <c r="AP68" i="2"/>
  <c r="AO68" i="2"/>
  <c r="AM68" i="2"/>
  <c r="AK68" i="2"/>
  <c r="AP67" i="2"/>
  <c r="AO67" i="2"/>
  <c r="AM67" i="2"/>
  <c r="AK67" i="2"/>
  <c r="AP66" i="2"/>
  <c r="AO66" i="2"/>
  <c r="AM66" i="2"/>
  <c r="AK66" i="2"/>
  <c r="AP65" i="2"/>
  <c r="AO65" i="2"/>
  <c r="AM65" i="2"/>
  <c r="AK65" i="2"/>
  <c r="AP64" i="2"/>
  <c r="AO64" i="2"/>
  <c r="AM64" i="2"/>
  <c r="AK64" i="2"/>
  <c r="AP63" i="2"/>
  <c r="AO63" i="2"/>
  <c r="AM63" i="2"/>
  <c r="AK63" i="2"/>
  <c r="AP62" i="2"/>
  <c r="AO62" i="2"/>
  <c r="AM62" i="2"/>
  <c r="AK62" i="2"/>
  <c r="AP61" i="2"/>
  <c r="AO61" i="2"/>
  <c r="AM61" i="2"/>
  <c r="AK61" i="2"/>
  <c r="AP60" i="2"/>
  <c r="AO60" i="2"/>
  <c r="AM60" i="2"/>
  <c r="AK60" i="2"/>
  <c r="AP59" i="2"/>
  <c r="AO59" i="2"/>
  <c r="AM59" i="2"/>
  <c r="AK59" i="2"/>
  <c r="AP58" i="2"/>
  <c r="AO58" i="2"/>
  <c r="AM58" i="2"/>
  <c r="AK58" i="2"/>
  <c r="AP57" i="2"/>
  <c r="AO57" i="2"/>
  <c r="AM57" i="2"/>
  <c r="AK57" i="2"/>
  <c r="AP56" i="2"/>
  <c r="AO56" i="2"/>
  <c r="AM56" i="2"/>
  <c r="AK56" i="2"/>
  <c r="AP55" i="2"/>
  <c r="AO55" i="2"/>
  <c r="AM55" i="2"/>
  <c r="AP54" i="2"/>
  <c r="AO54" i="2"/>
  <c r="AM54" i="2"/>
  <c r="AP53" i="2"/>
  <c r="AO53" i="2"/>
  <c r="AM53" i="2"/>
  <c r="AP52" i="2"/>
  <c r="AO52" i="2"/>
  <c r="AM52" i="2"/>
  <c r="AP51" i="2"/>
  <c r="AO51" i="2"/>
  <c r="AM51" i="2"/>
  <c r="AP50" i="2"/>
  <c r="AO50" i="2"/>
  <c r="AM50" i="2"/>
  <c r="AP49" i="2"/>
  <c r="AO49" i="2"/>
  <c r="AM49" i="2"/>
  <c r="AP48" i="2"/>
  <c r="AO48" i="2"/>
  <c r="AM48" i="2"/>
  <c r="AP47" i="2"/>
  <c r="AO47" i="2"/>
  <c r="AM47" i="2"/>
  <c r="AP46" i="2"/>
  <c r="AO46" i="2"/>
  <c r="AM46" i="2"/>
  <c r="AP45" i="2"/>
  <c r="AO45" i="2"/>
  <c r="AM45" i="2"/>
  <c r="AK45" i="2"/>
  <c r="AP44" i="2"/>
  <c r="AO44" i="2"/>
  <c r="AM44" i="2"/>
  <c r="AK44" i="2"/>
  <c r="AP43" i="2"/>
  <c r="AO43" i="2"/>
  <c r="AM43" i="2"/>
  <c r="AK43" i="2"/>
  <c r="AP42" i="2"/>
  <c r="AO42" i="2"/>
  <c r="AM42" i="2"/>
  <c r="AK42" i="2"/>
  <c r="AP41" i="2"/>
  <c r="AO41" i="2"/>
  <c r="AM41" i="2"/>
  <c r="AK41" i="2"/>
  <c r="AP40" i="2"/>
  <c r="AO40" i="2"/>
  <c r="AM40" i="2"/>
  <c r="AK40" i="2"/>
  <c r="AP39" i="2"/>
  <c r="AO39" i="2"/>
  <c r="AM39" i="2"/>
  <c r="AK39" i="2"/>
  <c r="AP38" i="2"/>
  <c r="AO38" i="2"/>
  <c r="AM38" i="2"/>
  <c r="AK38" i="2"/>
  <c r="AP37" i="2"/>
  <c r="AO37" i="2"/>
  <c r="AM37" i="2"/>
  <c r="AK37" i="2"/>
  <c r="AP36" i="2"/>
  <c r="AO36" i="2"/>
  <c r="AM36" i="2"/>
  <c r="AK36" i="2"/>
  <c r="AP35" i="2"/>
  <c r="AO35" i="2"/>
  <c r="AM35" i="2"/>
  <c r="AK35" i="2"/>
  <c r="AP34" i="2"/>
  <c r="AO34" i="2"/>
  <c r="AM34" i="2"/>
  <c r="AK34" i="2"/>
  <c r="AP33" i="2"/>
  <c r="AO33" i="2"/>
  <c r="AM33" i="2"/>
  <c r="AK33" i="2"/>
  <c r="AP32" i="2"/>
  <c r="AO32" i="2"/>
  <c r="AM32" i="2"/>
  <c r="AK32" i="2"/>
  <c r="AP31" i="2"/>
  <c r="AO31" i="2"/>
  <c r="AM31" i="2"/>
  <c r="AK31" i="2"/>
  <c r="AP30" i="2"/>
  <c r="AO30" i="2"/>
  <c r="AM30" i="2"/>
  <c r="AK30" i="2"/>
  <c r="AP29" i="2"/>
  <c r="AO29" i="2"/>
  <c r="AM29" i="2"/>
  <c r="AK29" i="2"/>
  <c r="AP28" i="2"/>
  <c r="AO28" i="2"/>
  <c r="AM28" i="2"/>
  <c r="AK28" i="2"/>
  <c r="AP27" i="2"/>
  <c r="AO27" i="2"/>
  <c r="AM27" i="2"/>
  <c r="AK27" i="2"/>
  <c r="AP26" i="2"/>
  <c r="AO26" i="2"/>
  <c r="AM26" i="2"/>
  <c r="AK26" i="2"/>
  <c r="AP25" i="2"/>
  <c r="AO25" i="2"/>
  <c r="AM25" i="2"/>
  <c r="AL25" i="2"/>
  <c r="AK25" i="2"/>
  <c r="AP24" i="2"/>
  <c r="AO24" i="2"/>
  <c r="AM24" i="2"/>
  <c r="AL24" i="2"/>
  <c r="AK24" i="2"/>
  <c r="AP23" i="2"/>
  <c r="AO23" i="2"/>
  <c r="AM23" i="2"/>
  <c r="AL23" i="2"/>
  <c r="AK23" i="2"/>
  <c r="AP22" i="2"/>
  <c r="AO22" i="2"/>
  <c r="AM22" i="2"/>
  <c r="AL22" i="2"/>
  <c r="AK22" i="2"/>
  <c r="AP21" i="2"/>
  <c r="AO21" i="2"/>
  <c r="AM21" i="2"/>
  <c r="AL21" i="2"/>
  <c r="AK21" i="2"/>
  <c r="AP20" i="2"/>
  <c r="AO20" i="2"/>
  <c r="AM20" i="2"/>
  <c r="AL20" i="2"/>
  <c r="AK20" i="2"/>
  <c r="AP19" i="2"/>
  <c r="AO19" i="2"/>
  <c r="AM19" i="2"/>
  <c r="AL19" i="2"/>
  <c r="AK19" i="2"/>
  <c r="AP18" i="2"/>
  <c r="AO18" i="2"/>
  <c r="AM18" i="2"/>
  <c r="AL18" i="2"/>
  <c r="AK18" i="2"/>
  <c r="AP17" i="2"/>
  <c r="AO17" i="2"/>
  <c r="AM17" i="2"/>
  <c r="AL17" i="2"/>
  <c r="AK17" i="2"/>
  <c r="AP16" i="2"/>
  <c r="AO16" i="2"/>
  <c r="AM16" i="2"/>
  <c r="AL16" i="2"/>
  <c r="AK16" i="2"/>
  <c r="AP15" i="2"/>
  <c r="AO15" i="2"/>
  <c r="AM15" i="2"/>
  <c r="AL15" i="2"/>
  <c r="AK15" i="2"/>
  <c r="AP14" i="2"/>
  <c r="AO14" i="2"/>
  <c r="AM14" i="2"/>
  <c r="AL14" i="2"/>
  <c r="AK14" i="2"/>
  <c r="AP13" i="2"/>
  <c r="AO13" i="2"/>
  <c r="AM13" i="2"/>
  <c r="AL13" i="2"/>
  <c r="AK13" i="2"/>
  <c r="AP12" i="2"/>
  <c r="AO12" i="2"/>
  <c r="AM12" i="2"/>
  <c r="AL12" i="2"/>
  <c r="AK12" i="2"/>
  <c r="AP11" i="2"/>
  <c r="AO11" i="2"/>
  <c r="AM11" i="2"/>
  <c r="AL11" i="2"/>
  <c r="AK11" i="2"/>
  <c r="AP10" i="2"/>
  <c r="AO10" i="2"/>
  <c r="AM10" i="2"/>
  <c r="AL10" i="2"/>
  <c r="AK10" i="2"/>
  <c r="AP9" i="2"/>
  <c r="AO9" i="2"/>
  <c r="AM9" i="2"/>
  <c r="AL9" i="2"/>
  <c r="AK9" i="2"/>
  <c r="AP8" i="2"/>
  <c r="AO8" i="2"/>
  <c r="AM8" i="2"/>
  <c r="AL8" i="2"/>
  <c r="AK8" i="2"/>
  <c r="AP7" i="2"/>
  <c r="AO7" i="2"/>
  <c r="AM7" i="2"/>
  <c r="AL7" i="2"/>
  <c r="AK7" i="2"/>
  <c r="AP6" i="2"/>
  <c r="AO6" i="2"/>
  <c r="AK6" i="2"/>
  <c r="AL6" i="2"/>
  <c r="AM6" i="2"/>
  <c r="BQ12" i="2" l="1"/>
  <c r="BM13" i="2"/>
  <c r="BM12" i="2"/>
  <c r="BM11" i="2"/>
  <c r="BM10" i="2"/>
  <c r="BM8" i="2"/>
  <c r="BM9" i="2"/>
  <c r="BM7" i="2"/>
  <c r="Y11" i="10"/>
  <c r="AA18" i="15"/>
  <c r="BQ13" i="2" l="1"/>
  <c r="W9" i="34"/>
  <c r="BN9" i="2"/>
  <c r="BN8" i="2"/>
  <c r="BN10" i="2"/>
  <c r="BN11" i="2"/>
  <c r="BN12" i="2"/>
  <c r="BN13" i="2"/>
  <c r="BN7" i="2"/>
  <c r="BM14" i="2"/>
  <c r="Z2" i="2" s="1"/>
  <c r="Y12" i="10"/>
  <c r="AA19" i="15"/>
  <c r="BQ14" i="2" s="1"/>
  <c r="W14" i="34" s="1"/>
  <c r="AA5" i="29"/>
  <c r="AA4" i="29"/>
  <c r="BN14" i="2" l="1"/>
  <c r="BM15" i="2"/>
  <c r="Y13" i="10"/>
  <c r="AA20" i="15"/>
  <c r="BQ15" i="2" s="1"/>
  <c r="BN15" i="2" l="1"/>
  <c r="BM16" i="2"/>
  <c r="Y14" i="10"/>
  <c r="AA21" i="15"/>
  <c r="BQ16" i="2" s="1"/>
  <c r="F19" i="30"/>
  <c r="F17" i="30"/>
  <c r="F16" i="30"/>
  <c r="F15" i="30"/>
  <c r="F14" i="30"/>
  <c r="F13" i="30"/>
  <c r="F12" i="30"/>
  <c r="F11" i="30"/>
  <c r="F10" i="30"/>
  <c r="F9" i="30"/>
  <c r="F8" i="30"/>
  <c r="F7" i="30"/>
  <c r="BN16" i="2" l="1"/>
  <c r="BM17" i="2"/>
  <c r="Y15" i="10"/>
  <c r="AA22" i="15"/>
  <c r="M13" i="30"/>
  <c r="BM18" i="2" l="1"/>
  <c r="BN18" i="2" s="1"/>
  <c r="BQ17" i="2"/>
  <c r="BN17" i="2"/>
  <c r="Y16" i="10"/>
  <c r="AA23" i="15"/>
  <c r="AF26" i="36"/>
  <c r="AF23" i="36"/>
  <c r="AF20" i="36"/>
  <c r="AF17" i="36"/>
  <c r="AF14" i="36"/>
  <c r="AF11" i="36"/>
  <c r="AF8" i="36"/>
  <c r="BM19" i="2" l="1"/>
  <c r="BN19" i="2" s="1"/>
  <c r="BQ18" i="2"/>
  <c r="Y17" i="10"/>
  <c r="AA24" i="15"/>
  <c r="W21" i="34" s="1"/>
  <c r="AC3" i="10"/>
  <c r="BM20" i="2" l="1"/>
  <c r="BN20" i="2" s="1"/>
  <c r="BN21" i="2" s="1"/>
  <c r="Z1" i="2" s="1"/>
  <c r="BQ19" i="2"/>
  <c r="Y18" i="10"/>
  <c r="AA25" i="15"/>
  <c r="BQ20" i="2" s="1"/>
  <c r="W26" i="34" s="1"/>
  <c r="M16" i="30"/>
  <c r="M15" i="30"/>
  <c r="M14" i="30"/>
  <c r="M12" i="30"/>
  <c r="M7" i="30"/>
  <c r="BM21" i="2" l="1"/>
  <c r="Y19" i="10"/>
  <c r="AA26" i="15"/>
  <c r="BQ21" i="2" s="1"/>
  <c r="AF3" i="10"/>
  <c r="AI3" i="10" s="1"/>
  <c r="AL3" i="10" s="1"/>
  <c r="AO3" i="10" s="1"/>
  <c r="AR3" i="10" s="1"/>
  <c r="M8" i="30"/>
  <c r="M9" i="30"/>
  <c r="M10" i="30"/>
  <c r="Y20" i="10" l="1"/>
  <c r="AA27" i="15"/>
  <c r="BQ22" i="2" s="1"/>
  <c r="C4" i="15"/>
  <c r="H16" i="30"/>
  <c r="H13" i="30"/>
  <c r="H12" i="30"/>
  <c r="E89" i="27"/>
  <c r="F89" i="27" s="1"/>
  <c r="E88" i="27"/>
  <c r="F88" i="27" s="1"/>
  <c r="E86" i="27"/>
  <c r="F86" i="27" s="1"/>
  <c r="E85" i="27"/>
  <c r="F85" i="27" s="1"/>
  <c r="E83" i="27"/>
  <c r="F83" i="27" s="1"/>
  <c r="E82" i="27"/>
  <c r="F82" i="27" s="1"/>
  <c r="E81" i="27"/>
  <c r="F81" i="27" s="1"/>
  <c r="E80" i="27"/>
  <c r="F80" i="27" s="1"/>
  <c r="E77" i="27"/>
  <c r="F77" i="27" s="1"/>
  <c r="E76" i="27"/>
  <c r="F76" i="27" s="1"/>
  <c r="E75" i="27"/>
  <c r="F75" i="27" s="1"/>
  <c r="E74" i="27"/>
  <c r="F74" i="27" s="1"/>
  <c r="E73" i="27"/>
  <c r="F73" i="27" s="1"/>
  <c r="E72" i="27"/>
  <c r="F72" i="27" s="1"/>
  <c r="E71" i="27"/>
  <c r="F71" i="27" s="1"/>
  <c r="E70" i="27"/>
  <c r="F70" i="27" s="1"/>
  <c r="E69" i="27"/>
  <c r="F69" i="27" s="1"/>
  <c r="E68" i="27"/>
  <c r="F68" i="27" s="1"/>
  <c r="E67" i="27"/>
  <c r="F67" i="27" s="1"/>
  <c r="E66" i="27"/>
  <c r="F66" i="27" s="1"/>
  <c r="B302" i="17"/>
  <c r="B301" i="17"/>
  <c r="B300" i="17"/>
  <c r="B299" i="17"/>
  <c r="B298" i="17"/>
  <c r="B297" i="17"/>
  <c r="B296" i="17"/>
  <c r="B295" i="17"/>
  <c r="B294" i="17"/>
  <c r="B293" i="17"/>
  <c r="B292" i="17"/>
  <c r="B291" i="17"/>
  <c r="B290" i="17"/>
  <c r="B289" i="17"/>
  <c r="B288" i="17"/>
  <c r="B287" i="17"/>
  <c r="B286" i="17"/>
  <c r="B285" i="17"/>
  <c r="B284" i="17"/>
  <c r="B283" i="17"/>
  <c r="B282" i="17"/>
  <c r="B281" i="17"/>
  <c r="B280" i="17"/>
  <c r="B279" i="17"/>
  <c r="B278" i="17"/>
  <c r="B277" i="17"/>
  <c r="B276" i="17"/>
  <c r="B275" i="17"/>
  <c r="B274" i="17"/>
  <c r="B273" i="17"/>
  <c r="B272" i="17"/>
  <c r="B271" i="17"/>
  <c r="B270" i="17"/>
  <c r="B269" i="17"/>
  <c r="B268" i="17"/>
  <c r="B267" i="17"/>
  <c r="B266" i="17"/>
  <c r="B265" i="17"/>
  <c r="B264" i="17"/>
  <c r="B263" i="17"/>
  <c r="B262" i="17"/>
  <c r="B261" i="17"/>
  <c r="B260" i="17"/>
  <c r="B259" i="17"/>
  <c r="B258" i="17"/>
  <c r="B257" i="17"/>
  <c r="B256" i="17"/>
  <c r="B255" i="17"/>
  <c r="B254" i="17"/>
  <c r="B253" i="17"/>
  <c r="B252" i="17"/>
  <c r="B251" i="17"/>
  <c r="B250" i="17"/>
  <c r="B249" i="17"/>
  <c r="B248" i="17"/>
  <c r="B247" i="17"/>
  <c r="B246" i="17"/>
  <c r="B245" i="17"/>
  <c r="B244" i="17"/>
  <c r="B243" i="17"/>
  <c r="B242" i="17"/>
  <c r="B241" i="17"/>
  <c r="B240" i="17"/>
  <c r="B239" i="17"/>
  <c r="B238" i="17"/>
  <c r="B237" i="17"/>
  <c r="B236" i="17"/>
  <c r="B235" i="17"/>
  <c r="B234" i="17"/>
  <c r="B233" i="17"/>
  <c r="B232" i="17"/>
  <c r="B231" i="17"/>
  <c r="B230" i="17"/>
  <c r="B229" i="17"/>
  <c r="B228" i="17"/>
  <c r="B227" i="17"/>
  <c r="B226" i="17"/>
  <c r="B225" i="17"/>
  <c r="B224" i="17"/>
  <c r="B223" i="17"/>
  <c r="B222" i="17"/>
  <c r="B221" i="17"/>
  <c r="B220" i="17"/>
  <c r="B219" i="17"/>
  <c r="B218" i="17"/>
  <c r="B217" i="17"/>
  <c r="B216" i="17"/>
  <c r="B215" i="17"/>
  <c r="B214" i="17"/>
  <c r="B213" i="17"/>
  <c r="B212" i="17"/>
  <c r="B211" i="17"/>
  <c r="B210" i="17"/>
  <c r="B209" i="17"/>
  <c r="B208" i="17"/>
  <c r="B207" i="17"/>
  <c r="B206" i="17"/>
  <c r="B205" i="17"/>
  <c r="B204" i="17"/>
  <c r="B203" i="17"/>
  <c r="B202" i="17"/>
  <c r="B201" i="17"/>
  <c r="B200" i="17"/>
  <c r="B199" i="17"/>
  <c r="B198" i="17"/>
  <c r="B197" i="17"/>
  <c r="B196" i="17"/>
  <c r="B195" i="17"/>
  <c r="B194" i="17"/>
  <c r="B193" i="17"/>
  <c r="B192" i="17"/>
  <c r="B191" i="17"/>
  <c r="B190" i="17"/>
  <c r="B189" i="17"/>
  <c r="B188" i="17"/>
  <c r="B187" i="17"/>
  <c r="B186" i="17"/>
  <c r="B185" i="17"/>
  <c r="B184" i="17"/>
  <c r="B183" i="17"/>
  <c r="B182" i="17"/>
  <c r="B181" i="17"/>
  <c r="B180" i="17"/>
  <c r="B179" i="17"/>
  <c r="B178" i="17"/>
  <c r="B177" i="17"/>
  <c r="B176" i="17"/>
  <c r="B175" i="17"/>
  <c r="B174" i="17"/>
  <c r="B173" i="17"/>
  <c r="B172" i="17"/>
  <c r="B171" i="17"/>
  <c r="B170" i="17"/>
  <c r="B169" i="17"/>
  <c r="B168" i="17"/>
  <c r="B167" i="17"/>
  <c r="B166" i="17"/>
  <c r="B165" i="17"/>
  <c r="B164" i="17"/>
  <c r="B163" i="17"/>
  <c r="B162" i="17"/>
  <c r="B161" i="17"/>
  <c r="B160" i="17"/>
  <c r="B159" i="17"/>
  <c r="B158" i="17"/>
  <c r="B157" i="17"/>
  <c r="B156" i="17"/>
  <c r="B155" i="17"/>
  <c r="B154" i="17"/>
  <c r="B153" i="17"/>
  <c r="B152" i="17"/>
  <c r="B151" i="17"/>
  <c r="B150" i="17"/>
  <c r="B149" i="17"/>
  <c r="B148" i="17"/>
  <c r="B147" i="17"/>
  <c r="B146" i="17"/>
  <c r="B145" i="17"/>
  <c r="B144" i="17"/>
  <c r="B143" i="17"/>
  <c r="B142" i="17"/>
  <c r="B141" i="17"/>
  <c r="B140" i="17"/>
  <c r="B139" i="17"/>
  <c r="B138" i="17"/>
  <c r="B137" i="17"/>
  <c r="B136" i="17"/>
  <c r="B135" i="17"/>
  <c r="B134" i="17"/>
  <c r="B133" i="17"/>
  <c r="B132" i="17"/>
  <c r="B131" i="17"/>
  <c r="B130" i="17"/>
  <c r="B129" i="17"/>
  <c r="B128" i="17"/>
  <c r="B127" i="17"/>
  <c r="B126" i="17"/>
  <c r="B125" i="17"/>
  <c r="B124" i="17"/>
  <c r="B123" i="17"/>
  <c r="B122" i="17"/>
  <c r="B121" i="17"/>
  <c r="B120" i="17"/>
  <c r="B119" i="17"/>
  <c r="B118" i="17"/>
  <c r="B117" i="17"/>
  <c r="B116" i="17"/>
  <c r="B115" i="17"/>
  <c r="B114" i="17"/>
  <c r="B113" i="17"/>
  <c r="B112" i="17"/>
  <c r="B111" i="17"/>
  <c r="B110" i="17"/>
  <c r="B109" i="17"/>
  <c r="B108" i="17"/>
  <c r="B107" i="17"/>
  <c r="B106" i="17"/>
  <c r="B105" i="17"/>
  <c r="B104" i="17"/>
  <c r="B103" i="17"/>
  <c r="B102" i="17"/>
  <c r="B101" i="17"/>
  <c r="B100" i="17"/>
  <c r="B99" i="17"/>
  <c r="B98" i="17"/>
  <c r="B97" i="17"/>
  <c r="B96" i="17"/>
  <c r="B95" i="17"/>
  <c r="B94" i="17"/>
  <c r="B93" i="17"/>
  <c r="B92" i="17"/>
  <c r="B91" i="17"/>
  <c r="B90" i="17"/>
  <c r="B89" i="17"/>
  <c r="B88" i="17"/>
  <c r="B87" i="17"/>
  <c r="B86" i="17"/>
  <c r="B85" i="17"/>
  <c r="B84" i="17"/>
  <c r="B83" i="17"/>
  <c r="B82" i="17"/>
  <c r="B81" i="17"/>
  <c r="B80" i="17"/>
  <c r="B79" i="17"/>
  <c r="B78" i="17"/>
  <c r="B77" i="17"/>
  <c r="B76" i="17"/>
  <c r="B75" i="17"/>
  <c r="B74" i="17"/>
  <c r="B73" i="17"/>
  <c r="B72" i="17"/>
  <c r="B71" i="17"/>
  <c r="B70" i="17"/>
  <c r="B69" i="17"/>
  <c r="B68" i="17"/>
  <c r="B67" i="17"/>
  <c r="B66" i="17"/>
  <c r="C66" i="17" s="1"/>
  <c r="B65" i="17"/>
  <c r="B64" i="17"/>
  <c r="B63" i="17"/>
  <c r="B62" i="17"/>
  <c r="B61" i="17"/>
  <c r="B60" i="17"/>
  <c r="B59" i="17"/>
  <c r="B58" i="17"/>
  <c r="B57" i="17"/>
  <c r="B56" i="17"/>
  <c r="B55" i="17"/>
  <c r="B54" i="17"/>
  <c r="B53" i="17"/>
  <c r="B52" i="17"/>
  <c r="B51" i="17"/>
  <c r="B50" i="17"/>
  <c r="B49" i="17"/>
  <c r="B48" i="17"/>
  <c r="B47" i="17"/>
  <c r="B46" i="17"/>
  <c r="B45" i="17"/>
  <c r="B44" i="17"/>
  <c r="B43" i="17"/>
  <c r="B42" i="17"/>
  <c r="B41" i="17"/>
  <c r="B40" i="17"/>
  <c r="B39" i="17"/>
  <c r="B38" i="17"/>
  <c r="B37" i="17"/>
  <c r="B36" i="17"/>
  <c r="B35" i="17"/>
  <c r="B34" i="17"/>
  <c r="B33" i="17"/>
  <c r="B32" i="17"/>
  <c r="B31" i="17"/>
  <c r="B30" i="17"/>
  <c r="B29" i="17"/>
  <c r="B28" i="17"/>
  <c r="B27" i="17"/>
  <c r="B26" i="17"/>
  <c r="B25" i="17"/>
  <c r="A25" i="17" s="1"/>
  <c r="B24" i="17"/>
  <c r="B23" i="17"/>
  <c r="A23" i="17" s="1"/>
  <c r="B22" i="17"/>
  <c r="B21" i="17"/>
  <c r="A21" i="17" s="1"/>
  <c r="B20" i="17"/>
  <c r="B19" i="17"/>
  <c r="C19" i="17" s="1"/>
  <c r="B18" i="17"/>
  <c r="B17" i="17"/>
  <c r="C17" i="17" s="1"/>
  <c r="B16" i="17"/>
  <c r="B15" i="17"/>
  <c r="C15" i="17" s="1"/>
  <c r="B14" i="17"/>
  <c r="B13" i="17"/>
  <c r="C13" i="17" s="1"/>
  <c r="B12" i="17"/>
  <c r="B11" i="17"/>
  <c r="C11" i="17" s="1"/>
  <c r="B10" i="17"/>
  <c r="B9" i="17"/>
  <c r="C9" i="17" s="1"/>
  <c r="B8" i="17"/>
  <c r="B7" i="17"/>
  <c r="C7" i="17" s="1"/>
  <c r="B6" i="17"/>
  <c r="B5" i="17"/>
  <c r="C5" i="17" s="1"/>
  <c r="B4" i="17"/>
  <c r="B3" i="17"/>
  <c r="C3" i="17" s="1"/>
  <c r="T4" i="17"/>
  <c r="T5" i="17" s="1"/>
  <c r="T6" i="17" s="1"/>
  <c r="T7" i="17" s="1"/>
  <c r="T8" i="17" s="1"/>
  <c r="T9" i="17" s="1"/>
  <c r="T10" i="17" s="1"/>
  <c r="T11" i="17" s="1"/>
  <c r="T12" i="17" s="1"/>
  <c r="T13" i="17" s="1"/>
  <c r="T14" i="17" s="1"/>
  <c r="T15" i="17" s="1"/>
  <c r="T16" i="17" s="1"/>
  <c r="T17" i="17" s="1"/>
  <c r="T18" i="17" s="1"/>
  <c r="T19" i="17" s="1"/>
  <c r="T20" i="17" s="1"/>
  <c r="T21" i="17" s="1"/>
  <c r="T22" i="17" s="1"/>
  <c r="T23" i="17" s="1"/>
  <c r="T24" i="17" s="1"/>
  <c r="T25" i="17" s="1"/>
  <c r="Y21" i="10" l="1"/>
  <c r="AA28" i="15"/>
  <c r="BQ23" i="2" s="1"/>
  <c r="C295" i="17"/>
  <c r="A5" i="17"/>
  <c r="A7" i="17"/>
  <c r="A19" i="17"/>
  <c r="C287" i="17"/>
  <c r="A15" i="17"/>
  <c r="C291" i="17"/>
  <c r="C301" i="17"/>
  <c r="C289" i="17"/>
  <c r="C293" i="17"/>
  <c r="C299" i="17"/>
  <c r="A11" i="17"/>
  <c r="A17" i="17"/>
  <c r="C114" i="17"/>
  <c r="C116" i="17"/>
  <c r="C118" i="17"/>
  <c r="C120" i="17"/>
  <c r="C122" i="17"/>
  <c r="C124" i="17"/>
  <c r="C126" i="17"/>
  <c r="C128" i="17"/>
  <c r="C130" i="17"/>
  <c r="C132" i="17"/>
  <c r="C134" i="17"/>
  <c r="C136" i="17"/>
  <c r="C138" i="17"/>
  <c r="C140" i="17"/>
  <c r="C142" i="17"/>
  <c r="C144" i="17"/>
  <c r="C146" i="17"/>
  <c r="C148" i="17"/>
  <c r="C150" i="17"/>
  <c r="C152" i="17"/>
  <c r="C154" i="17"/>
  <c r="C156" i="17"/>
  <c r="C158" i="17"/>
  <c r="C160" i="17"/>
  <c r="C162" i="17"/>
  <c r="C164" i="17"/>
  <c r="C166" i="17"/>
  <c r="C168" i="17"/>
  <c r="C170" i="17"/>
  <c r="C172" i="17"/>
  <c r="C174" i="17"/>
  <c r="C297" i="17"/>
  <c r="C104" i="17"/>
  <c r="C106" i="17"/>
  <c r="C108" i="17"/>
  <c r="C110" i="17"/>
  <c r="C112" i="17"/>
  <c r="D3" i="17"/>
  <c r="A9" i="17"/>
  <c r="A13" i="17"/>
  <c r="C68" i="17"/>
  <c r="C70" i="17"/>
  <c r="C72" i="17"/>
  <c r="C74" i="17"/>
  <c r="C76" i="17"/>
  <c r="C78" i="17"/>
  <c r="C80" i="17"/>
  <c r="C82" i="17"/>
  <c r="C84" i="17"/>
  <c r="C86" i="17"/>
  <c r="C88" i="17"/>
  <c r="C90" i="17"/>
  <c r="C92" i="17"/>
  <c r="C94" i="17"/>
  <c r="C96" i="17"/>
  <c r="C98" i="17"/>
  <c r="C100" i="17"/>
  <c r="C102" i="17"/>
  <c r="C4" i="17"/>
  <c r="D5" i="17"/>
  <c r="C6" i="17"/>
  <c r="D7" i="17"/>
  <c r="C8" i="17"/>
  <c r="D9" i="17"/>
  <c r="C10" i="17"/>
  <c r="D11" i="17"/>
  <c r="C12" i="17"/>
  <c r="D13" i="17"/>
  <c r="C14" i="17"/>
  <c r="D15" i="17"/>
  <c r="C16" i="17"/>
  <c r="D17" i="17"/>
  <c r="C18" i="17"/>
  <c r="D19" i="17"/>
  <c r="C20" i="17"/>
  <c r="D21" i="17"/>
  <c r="C22" i="17"/>
  <c r="D23" i="17"/>
  <c r="C24" i="17"/>
  <c r="D25" i="17"/>
  <c r="C26" i="17"/>
  <c r="D27" i="17"/>
  <c r="C28" i="17"/>
  <c r="D29" i="17"/>
  <c r="C30" i="17"/>
  <c r="D31" i="17"/>
  <c r="C32" i="17"/>
  <c r="D33" i="17"/>
  <c r="C34" i="17"/>
  <c r="D35" i="17"/>
  <c r="C36" i="17"/>
  <c r="D37" i="17"/>
  <c r="C38" i="17"/>
  <c r="D39" i="17"/>
  <c r="C40" i="17"/>
  <c r="D41" i="17"/>
  <c r="C42" i="17"/>
  <c r="D43" i="17"/>
  <c r="C44" i="17"/>
  <c r="D45" i="17"/>
  <c r="C46" i="17"/>
  <c r="D4" i="17"/>
  <c r="D6" i="17"/>
  <c r="D8" i="17"/>
  <c r="D10" i="17"/>
  <c r="D12" i="17"/>
  <c r="D14" i="17"/>
  <c r="D16" i="17"/>
  <c r="D18" i="17"/>
  <c r="D20" i="17"/>
  <c r="C21" i="17"/>
  <c r="D22" i="17"/>
  <c r="C23" i="17"/>
  <c r="D24" i="17"/>
  <c r="C25" i="17"/>
  <c r="D26" i="17"/>
  <c r="C27" i="17"/>
  <c r="D28" i="17"/>
  <c r="C29" i="17"/>
  <c r="D30" i="17"/>
  <c r="C31" i="17"/>
  <c r="D32" i="17"/>
  <c r="C33" i="17"/>
  <c r="D34" i="17"/>
  <c r="C35" i="17"/>
  <c r="D36" i="17"/>
  <c r="C37" i="17"/>
  <c r="D38" i="17"/>
  <c r="C39" i="17"/>
  <c r="D40" i="17"/>
  <c r="C41" i="17"/>
  <c r="D42" i="17"/>
  <c r="C43" i="17"/>
  <c r="D44" i="17"/>
  <c r="C45" i="17"/>
  <c r="D46" i="17"/>
  <c r="C47" i="17"/>
  <c r="D48" i="17"/>
  <c r="C49" i="17"/>
  <c r="D50" i="17"/>
  <c r="C51" i="17"/>
  <c r="D52" i="17"/>
  <c r="C53" i="17"/>
  <c r="D54" i="17"/>
  <c r="C55" i="17"/>
  <c r="D56" i="17"/>
  <c r="C57" i="17"/>
  <c r="D58" i="17"/>
  <c r="C59" i="17"/>
  <c r="D60" i="17"/>
  <c r="C61" i="17"/>
  <c r="D62" i="17"/>
  <c r="C63" i="17"/>
  <c r="D64" i="17"/>
  <c r="C65" i="17"/>
  <c r="D66" i="17"/>
  <c r="C67" i="17"/>
  <c r="D68" i="17"/>
  <c r="C69" i="17"/>
  <c r="D70" i="17"/>
  <c r="C71" i="17"/>
  <c r="D72" i="17"/>
  <c r="C73" i="17"/>
  <c r="D74" i="17"/>
  <c r="C75" i="17"/>
  <c r="D76" i="17"/>
  <c r="C77" i="17"/>
  <c r="D78" i="17"/>
  <c r="C79" i="17"/>
  <c r="D80" i="17"/>
  <c r="C81" i="17"/>
  <c r="D82" i="17"/>
  <c r="C83" i="17"/>
  <c r="D84" i="17"/>
  <c r="C85" i="17"/>
  <c r="D86" i="17"/>
  <c r="C87" i="17"/>
  <c r="D88" i="17"/>
  <c r="C89" i="17"/>
  <c r="D90" i="17"/>
  <c r="C91" i="17"/>
  <c r="D92" i="17"/>
  <c r="C93" i="17"/>
  <c r="D94" i="17"/>
  <c r="C95" i="17"/>
  <c r="D96" i="17"/>
  <c r="C97" i="17"/>
  <c r="D98" i="17"/>
  <c r="C99" i="17"/>
  <c r="D100" i="17"/>
  <c r="C101" i="17"/>
  <c r="D102" i="17"/>
  <c r="C103" i="17"/>
  <c r="D104" i="17"/>
  <c r="C105" i="17"/>
  <c r="D106" i="17"/>
  <c r="C107" i="17"/>
  <c r="D108" i="17"/>
  <c r="C109" i="17"/>
  <c r="D110" i="17"/>
  <c r="C111" i="17"/>
  <c r="D112" i="17"/>
  <c r="C113" i="17"/>
  <c r="D114" i="17"/>
  <c r="C115" i="17"/>
  <c r="D116" i="17"/>
  <c r="C117" i="17"/>
  <c r="D118" i="17"/>
  <c r="C119" i="17"/>
  <c r="D120" i="17"/>
  <c r="C121" i="17"/>
  <c r="D122" i="17"/>
  <c r="C123" i="17"/>
  <c r="D124" i="17"/>
  <c r="C125" i="17"/>
  <c r="D126" i="17"/>
  <c r="C127" i="17"/>
  <c r="D128" i="17"/>
  <c r="C129" i="17"/>
  <c r="D130" i="17"/>
  <c r="C131" i="17"/>
  <c r="D132" i="17"/>
  <c r="C133" i="17"/>
  <c r="D134" i="17"/>
  <c r="C135" i="17"/>
  <c r="D136" i="17"/>
  <c r="C137" i="17"/>
  <c r="D138" i="17"/>
  <c r="C139" i="17"/>
  <c r="D140" i="17"/>
  <c r="C141" i="17"/>
  <c r="D142" i="17"/>
  <c r="C143" i="17"/>
  <c r="D144" i="17"/>
  <c r="C145" i="17"/>
  <c r="D146" i="17"/>
  <c r="C147" i="17"/>
  <c r="D148" i="17"/>
  <c r="C149" i="17"/>
  <c r="D150" i="17"/>
  <c r="C151" i="17"/>
  <c r="D152" i="17"/>
  <c r="C153" i="17"/>
  <c r="D154" i="17"/>
  <c r="C155" i="17"/>
  <c r="D156" i="17"/>
  <c r="C157" i="17"/>
  <c r="D158" i="17"/>
  <c r="C159" i="17"/>
  <c r="D160" i="17"/>
  <c r="C161" i="17"/>
  <c r="D162" i="17"/>
  <c r="C163" i="17"/>
  <c r="D164" i="17"/>
  <c r="C165" i="17"/>
  <c r="D166" i="17"/>
  <c r="C167" i="17"/>
  <c r="D168" i="17"/>
  <c r="C169" i="17"/>
  <c r="D170" i="17"/>
  <c r="C171" i="17"/>
  <c r="D172" i="17"/>
  <c r="C173" i="17"/>
  <c r="D174" i="17"/>
  <c r="D175" i="17"/>
  <c r="C175" i="17"/>
  <c r="D47" i="17"/>
  <c r="C48" i="17"/>
  <c r="D49" i="17"/>
  <c r="C50" i="17"/>
  <c r="D51" i="17"/>
  <c r="C52" i="17"/>
  <c r="D53" i="17"/>
  <c r="C54" i="17"/>
  <c r="D55" i="17"/>
  <c r="C56" i="17"/>
  <c r="D57" i="17"/>
  <c r="C58" i="17"/>
  <c r="D59" i="17"/>
  <c r="C60" i="17"/>
  <c r="D61" i="17"/>
  <c r="C62" i="17"/>
  <c r="D63" i="17"/>
  <c r="C64" i="17"/>
  <c r="D65" i="17"/>
  <c r="D67" i="17"/>
  <c r="D69" i="17"/>
  <c r="D71" i="17"/>
  <c r="D73" i="17"/>
  <c r="D75" i="17"/>
  <c r="D77" i="17"/>
  <c r="D79" i="17"/>
  <c r="D81" i="17"/>
  <c r="D83" i="17"/>
  <c r="D85" i="17"/>
  <c r="D87" i="17"/>
  <c r="D89" i="17"/>
  <c r="D91" i="17"/>
  <c r="D93" i="17"/>
  <c r="D95" i="17"/>
  <c r="D97" i="17"/>
  <c r="D99" i="17"/>
  <c r="D101" i="17"/>
  <c r="D103" i="17"/>
  <c r="D105" i="17"/>
  <c r="D107" i="17"/>
  <c r="D109" i="17"/>
  <c r="D111" i="17"/>
  <c r="D113" i="17"/>
  <c r="D115" i="17"/>
  <c r="D117" i="17"/>
  <c r="D119" i="17"/>
  <c r="D121" i="17"/>
  <c r="D123" i="17"/>
  <c r="D125" i="17"/>
  <c r="D127" i="17"/>
  <c r="D129" i="17"/>
  <c r="D131" i="17"/>
  <c r="D133" i="17"/>
  <c r="D135" i="17"/>
  <c r="D137" i="17"/>
  <c r="D139" i="17"/>
  <c r="D141" i="17"/>
  <c r="D143" i="17"/>
  <c r="D145" i="17"/>
  <c r="D147" i="17"/>
  <c r="D149" i="17"/>
  <c r="D151" i="17"/>
  <c r="D153" i="17"/>
  <c r="D155" i="17"/>
  <c r="D157" i="17"/>
  <c r="D159" i="17"/>
  <c r="D161" i="17"/>
  <c r="D163" i="17"/>
  <c r="D165" i="17"/>
  <c r="D167" i="17"/>
  <c r="D169" i="17"/>
  <c r="D171" i="17"/>
  <c r="D173" i="17"/>
  <c r="D176" i="17"/>
  <c r="C177" i="17"/>
  <c r="D178" i="17"/>
  <c r="C179" i="17"/>
  <c r="D180" i="17"/>
  <c r="C181" i="17"/>
  <c r="D182" i="17"/>
  <c r="C183" i="17"/>
  <c r="D184" i="17"/>
  <c r="C185" i="17"/>
  <c r="D186" i="17"/>
  <c r="C187" i="17"/>
  <c r="D188" i="17"/>
  <c r="C189" i="17"/>
  <c r="D190" i="17"/>
  <c r="C191" i="17"/>
  <c r="D192" i="17"/>
  <c r="C193" i="17"/>
  <c r="D194" i="17"/>
  <c r="C195" i="17"/>
  <c r="D196" i="17"/>
  <c r="C197" i="17"/>
  <c r="D198" i="17"/>
  <c r="C199" i="17"/>
  <c r="D200" i="17"/>
  <c r="C201" i="17"/>
  <c r="D202" i="17"/>
  <c r="C203" i="17"/>
  <c r="D204" i="17"/>
  <c r="C205" i="17"/>
  <c r="D206" i="17"/>
  <c r="C207" i="17"/>
  <c r="D208" i="17"/>
  <c r="C209" i="17"/>
  <c r="D210" i="17"/>
  <c r="C211" i="17"/>
  <c r="D212" i="17"/>
  <c r="C213" i="17"/>
  <c r="D214" i="17"/>
  <c r="C215" i="17"/>
  <c r="D216" i="17"/>
  <c r="C217" i="17"/>
  <c r="D218" i="17"/>
  <c r="C219" i="17"/>
  <c r="D220" i="17"/>
  <c r="C221" i="17"/>
  <c r="D222" i="17"/>
  <c r="C223" i="17"/>
  <c r="D224" i="17"/>
  <c r="C225" i="17"/>
  <c r="D226" i="17"/>
  <c r="C227" i="17"/>
  <c r="D228" i="17"/>
  <c r="C229" i="17"/>
  <c r="D230" i="17"/>
  <c r="C231" i="17"/>
  <c r="D232" i="17"/>
  <c r="C233" i="17"/>
  <c r="D234" i="17"/>
  <c r="C235" i="17"/>
  <c r="D236" i="17"/>
  <c r="C237" i="17"/>
  <c r="D238" i="17"/>
  <c r="C239" i="17"/>
  <c r="D240" i="17"/>
  <c r="C241" i="17"/>
  <c r="D242" i="17"/>
  <c r="C243" i="17"/>
  <c r="D244" i="17"/>
  <c r="C245" i="17"/>
  <c r="D246" i="17"/>
  <c r="C247" i="17"/>
  <c r="D248" i="17"/>
  <c r="C249" i="17"/>
  <c r="D250" i="17"/>
  <c r="C251" i="17"/>
  <c r="D252" i="17"/>
  <c r="C253" i="17"/>
  <c r="D254" i="17"/>
  <c r="C255" i="17"/>
  <c r="D256" i="17"/>
  <c r="C257" i="17"/>
  <c r="D258" i="17"/>
  <c r="C259" i="17"/>
  <c r="D260" i="17"/>
  <c r="C261" i="17"/>
  <c r="D262" i="17"/>
  <c r="C263" i="17"/>
  <c r="D264" i="17"/>
  <c r="C265" i="17"/>
  <c r="D266" i="17"/>
  <c r="C267" i="17"/>
  <c r="D268" i="17"/>
  <c r="C269" i="17"/>
  <c r="D270" i="17"/>
  <c r="C271" i="17"/>
  <c r="D272" i="17"/>
  <c r="C273" i="17"/>
  <c r="D274" i="17"/>
  <c r="C275" i="17"/>
  <c r="D276" i="17"/>
  <c r="C277" i="17"/>
  <c r="D278" i="17"/>
  <c r="C279" i="17"/>
  <c r="D280" i="17"/>
  <c r="C281" i="17"/>
  <c r="D282" i="17"/>
  <c r="C283" i="17"/>
  <c r="D284" i="17"/>
  <c r="C285" i="17"/>
  <c r="D286" i="17"/>
  <c r="D288" i="17"/>
  <c r="D290" i="17"/>
  <c r="D292" i="17"/>
  <c r="D294" i="17"/>
  <c r="D296" i="17"/>
  <c r="D298" i="17"/>
  <c r="D300" i="17"/>
  <c r="D302" i="17"/>
  <c r="C176" i="17"/>
  <c r="D177" i="17"/>
  <c r="C178" i="17"/>
  <c r="D179" i="17"/>
  <c r="C180" i="17"/>
  <c r="D181" i="17"/>
  <c r="C182" i="17"/>
  <c r="D183" i="17"/>
  <c r="C184" i="17"/>
  <c r="D185" i="17"/>
  <c r="C186" i="17"/>
  <c r="D187" i="17"/>
  <c r="C188" i="17"/>
  <c r="D189" i="17"/>
  <c r="C190" i="17"/>
  <c r="D191" i="17"/>
  <c r="C192" i="17"/>
  <c r="D193" i="17"/>
  <c r="C194" i="17"/>
  <c r="D195" i="17"/>
  <c r="C196" i="17"/>
  <c r="D197" i="17"/>
  <c r="C198" i="17"/>
  <c r="D199" i="17"/>
  <c r="C200" i="17"/>
  <c r="D201" i="17"/>
  <c r="C202" i="17"/>
  <c r="D203" i="17"/>
  <c r="C204" i="17"/>
  <c r="D205" i="17"/>
  <c r="C206" i="17"/>
  <c r="D207" i="17"/>
  <c r="C208" i="17"/>
  <c r="D209" i="17"/>
  <c r="C210" i="17"/>
  <c r="D211" i="17"/>
  <c r="C212" i="17"/>
  <c r="D213" i="17"/>
  <c r="C214" i="17"/>
  <c r="D215" i="17"/>
  <c r="C216" i="17"/>
  <c r="D217" i="17"/>
  <c r="C218" i="17"/>
  <c r="D219" i="17"/>
  <c r="C220" i="17"/>
  <c r="D221" i="17"/>
  <c r="C222" i="17"/>
  <c r="D223" i="17"/>
  <c r="C224" i="17"/>
  <c r="D225" i="17"/>
  <c r="C226" i="17"/>
  <c r="D227" i="17"/>
  <c r="C228" i="17"/>
  <c r="D229" i="17"/>
  <c r="C230" i="17"/>
  <c r="D231" i="17"/>
  <c r="C232" i="17"/>
  <c r="D233" i="17"/>
  <c r="C234" i="17"/>
  <c r="D235" i="17"/>
  <c r="C236" i="17"/>
  <c r="D237" i="17"/>
  <c r="C238" i="17"/>
  <c r="D239" i="17"/>
  <c r="C240" i="17"/>
  <c r="D241" i="17"/>
  <c r="C242" i="17"/>
  <c r="D243" i="17"/>
  <c r="C244" i="17"/>
  <c r="D245" i="17"/>
  <c r="C246" i="17"/>
  <c r="D247" i="17"/>
  <c r="C248" i="17"/>
  <c r="D249" i="17"/>
  <c r="C250" i="17"/>
  <c r="D251" i="17"/>
  <c r="C252" i="17"/>
  <c r="D253" i="17"/>
  <c r="C254" i="17"/>
  <c r="D255" i="17"/>
  <c r="C256" i="17"/>
  <c r="D257" i="17"/>
  <c r="C258" i="17"/>
  <c r="D259" i="17"/>
  <c r="C260" i="17"/>
  <c r="D261" i="17"/>
  <c r="C262" i="17"/>
  <c r="D263" i="17"/>
  <c r="C264" i="17"/>
  <c r="D265" i="17"/>
  <c r="C266" i="17"/>
  <c r="D267" i="17"/>
  <c r="C268" i="17"/>
  <c r="D269" i="17"/>
  <c r="C270" i="17"/>
  <c r="D271" i="17"/>
  <c r="C272" i="17"/>
  <c r="D273" i="17"/>
  <c r="C274" i="17"/>
  <c r="D275" i="17"/>
  <c r="C276" i="17"/>
  <c r="D277" i="17"/>
  <c r="C278" i="17"/>
  <c r="D279" i="17"/>
  <c r="C280" i="17"/>
  <c r="D281" i="17"/>
  <c r="C282" i="17"/>
  <c r="D283" i="17"/>
  <c r="C284" i="17"/>
  <c r="D285" i="17"/>
  <c r="C286" i="17"/>
  <c r="D287" i="17"/>
  <c r="C288" i="17"/>
  <c r="D289" i="17"/>
  <c r="C290" i="17"/>
  <c r="D291" i="17"/>
  <c r="C292" i="17"/>
  <c r="D293" i="17"/>
  <c r="C294" i="17"/>
  <c r="D295" i="17"/>
  <c r="C296" i="17"/>
  <c r="D297" i="17"/>
  <c r="C298" i="17"/>
  <c r="D299" i="17"/>
  <c r="C300" i="17"/>
  <c r="D301" i="17"/>
  <c r="C302" i="17"/>
  <c r="A87" i="17"/>
  <c r="A89" i="17"/>
  <c r="A91" i="17"/>
  <c r="A93" i="17"/>
  <c r="A95" i="17"/>
  <c r="A97" i="17"/>
  <c r="A99" i="17"/>
  <c r="A101" i="17"/>
  <c r="A103" i="17"/>
  <c r="A105" i="17"/>
  <c r="A107" i="17"/>
  <c r="A109" i="17"/>
  <c r="A111" i="17"/>
  <c r="A113" i="17"/>
  <c r="A115" i="17"/>
  <c r="A117" i="17"/>
  <c r="A119" i="17"/>
  <c r="A121" i="17"/>
  <c r="A123" i="17"/>
  <c r="A125" i="17"/>
  <c r="A127" i="17"/>
  <c r="A129" i="17"/>
  <c r="A131" i="17"/>
  <c r="A133" i="17"/>
  <c r="A135" i="17"/>
  <c r="A137" i="17"/>
  <c r="A139" i="17"/>
  <c r="A141" i="17"/>
  <c r="A143" i="17"/>
  <c r="A145" i="17"/>
  <c r="A3" i="17"/>
  <c r="A4" i="17"/>
  <c r="A6" i="17"/>
  <c r="A8" i="17"/>
  <c r="A10" i="17"/>
  <c r="A12" i="17"/>
  <c r="A14" i="17"/>
  <c r="A16" i="17"/>
  <c r="A18" i="17"/>
  <c r="A20" i="17"/>
  <c r="A22" i="17"/>
  <c r="A24"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8" i="17"/>
  <c r="A90" i="17"/>
  <c r="A92" i="17"/>
  <c r="A94" i="17"/>
  <c r="A96" i="17"/>
  <c r="A98" i="17"/>
  <c r="A100" i="17"/>
  <c r="A102" i="17"/>
  <c r="A104" i="17"/>
  <c r="A106" i="17"/>
  <c r="A108" i="17"/>
  <c r="A110" i="17"/>
  <c r="A112" i="17"/>
  <c r="A114" i="17"/>
  <c r="A116" i="17"/>
  <c r="A118" i="17"/>
  <c r="A120" i="17"/>
  <c r="A122" i="17"/>
  <c r="A124" i="17"/>
  <c r="A126" i="17"/>
  <c r="A128" i="17"/>
  <c r="A130" i="17"/>
  <c r="A132" i="17"/>
  <c r="A134" i="17"/>
  <c r="A136" i="17"/>
  <c r="A138" i="17"/>
  <c r="A140" i="17"/>
  <c r="A142" i="17"/>
  <c r="A144" i="17"/>
  <c r="A169" i="17"/>
  <c r="A171" i="17"/>
  <c r="A173" i="17"/>
  <c r="A175" i="17"/>
  <c r="A177" i="17"/>
  <c r="A179" i="17"/>
  <c r="A181" i="17"/>
  <c r="A183" i="17"/>
  <c r="A185" i="17"/>
  <c r="A187" i="17"/>
  <c r="A189" i="17"/>
  <c r="A191" i="17"/>
  <c r="A193" i="17"/>
  <c r="A146" i="17"/>
  <c r="A147" i="17"/>
  <c r="A148" i="17"/>
  <c r="A149" i="17"/>
  <c r="A150" i="17"/>
  <c r="A151" i="17"/>
  <c r="A152" i="17"/>
  <c r="A153" i="17"/>
  <c r="A154" i="17"/>
  <c r="A155" i="17"/>
  <c r="A156" i="17"/>
  <c r="A157" i="17"/>
  <c r="A158" i="17"/>
  <c r="A159" i="17"/>
  <c r="A160" i="17"/>
  <c r="A161" i="17"/>
  <c r="A162" i="17"/>
  <c r="A163" i="17"/>
  <c r="A164" i="17"/>
  <c r="A165" i="17"/>
  <c r="A166" i="17"/>
  <c r="A167" i="17"/>
  <c r="A168" i="17"/>
  <c r="A170" i="17"/>
  <c r="A172" i="17"/>
  <c r="A174" i="17"/>
  <c r="A176" i="17"/>
  <c r="A178" i="17"/>
  <c r="A180" i="17"/>
  <c r="A182" i="17"/>
  <c r="A184" i="17"/>
  <c r="A186" i="17"/>
  <c r="A188" i="17"/>
  <c r="A190" i="17"/>
  <c r="A192" i="17"/>
  <c r="A194" i="17"/>
  <c r="A195" i="17"/>
  <c r="A196" i="17"/>
  <c r="A197" i="17"/>
  <c r="A198" i="17"/>
  <c r="A199" i="17"/>
  <c r="A200" i="17"/>
  <c r="A201" i="17"/>
  <c r="A202" i="17"/>
  <c r="Y22" i="10" l="1"/>
  <c r="AA29" i="15"/>
  <c r="C1" i="17"/>
  <c r="BQ24" i="2" l="1"/>
  <c r="Y23" i="10"/>
  <c r="AA30" i="15"/>
  <c r="BQ25" i="2" s="1"/>
  <c r="D26" i="36"/>
  <c r="D23" i="36"/>
  <c r="D20" i="36"/>
  <c r="D17" i="36"/>
  <c r="D14" i="36"/>
  <c r="D11" i="36"/>
  <c r="D8" i="36"/>
  <c r="D305" i="2"/>
  <c r="D304" i="2"/>
  <c r="D303" i="2"/>
  <c r="D302" i="2"/>
  <c r="D301" i="2"/>
  <c r="D300" i="2"/>
  <c r="D299" i="2"/>
  <c r="D298" i="2"/>
  <c r="D297" i="2"/>
  <c r="D296" i="2"/>
  <c r="D295" i="2"/>
  <c r="D294" i="2"/>
  <c r="D293" i="2"/>
  <c r="D292" i="2"/>
  <c r="D291" i="2"/>
  <c r="D290" i="2"/>
  <c r="D289" i="2"/>
  <c r="D288" i="2"/>
  <c r="D287" i="2"/>
  <c r="D286" i="2"/>
  <c r="D285" i="2"/>
  <c r="D284" i="2"/>
  <c r="D283" i="2"/>
  <c r="D282" i="2"/>
  <c r="D281" i="2"/>
  <c r="D280" i="2"/>
  <c r="D279" i="2"/>
  <c r="D278" i="2"/>
  <c r="D277" i="2"/>
  <c r="D276" i="2"/>
  <c r="D275" i="2"/>
  <c r="D274" i="2"/>
  <c r="D273" i="2"/>
  <c r="D272" i="2"/>
  <c r="D271" i="2"/>
  <c r="D270" i="2"/>
  <c r="D269" i="2"/>
  <c r="D268" i="2"/>
  <c r="D267" i="2"/>
  <c r="D266" i="2"/>
  <c r="D265" i="2"/>
  <c r="D264" i="2"/>
  <c r="D263" i="2"/>
  <c r="D262" i="2"/>
  <c r="D261" i="2"/>
  <c r="D260" i="2"/>
  <c r="D259" i="2"/>
  <c r="D258" i="2"/>
  <c r="D257" i="2"/>
  <c r="D256" i="2"/>
  <c r="D255" i="2"/>
  <c r="D254" i="2"/>
  <c r="D253" i="2"/>
  <c r="D252" i="2"/>
  <c r="D251" i="2"/>
  <c r="D250" i="2"/>
  <c r="D249" i="2"/>
  <c r="D248" i="2"/>
  <c r="D247" i="2"/>
  <c r="D246" i="2"/>
  <c r="D245" i="2"/>
  <c r="D244" i="2"/>
  <c r="D243" i="2"/>
  <c r="D242" i="2"/>
  <c r="D241" i="2"/>
  <c r="D240" i="2"/>
  <c r="D239" i="2"/>
  <c r="D238" i="2"/>
  <c r="D237" i="2"/>
  <c r="D236" i="2"/>
  <c r="D235" i="2"/>
  <c r="D234" i="2"/>
  <c r="D233" i="2"/>
  <c r="D232" i="2"/>
  <c r="D231" i="2"/>
  <c r="D230" i="2"/>
  <c r="D229" i="2"/>
  <c r="D228" i="2"/>
  <c r="D227" i="2"/>
  <c r="D226" i="2"/>
  <c r="D225" i="2"/>
  <c r="D224" i="2"/>
  <c r="D223" i="2"/>
  <c r="D222" i="2"/>
  <c r="D221" i="2"/>
  <c r="D220" i="2"/>
  <c r="D219" i="2"/>
  <c r="D218" i="2"/>
  <c r="D217" i="2"/>
  <c r="D216" i="2"/>
  <c r="D215" i="2"/>
  <c r="D214" i="2"/>
  <c r="D213" i="2"/>
  <c r="D212" i="2"/>
  <c r="D211" i="2"/>
  <c r="D210" i="2"/>
  <c r="D209" i="2"/>
  <c r="D208" i="2"/>
  <c r="D207" i="2"/>
  <c r="D206" i="2"/>
  <c r="D205" i="2"/>
  <c r="D204" i="2"/>
  <c r="D203" i="2"/>
  <c r="D202" i="2"/>
  <c r="D201" i="2"/>
  <c r="D200" i="2"/>
  <c r="D199" i="2"/>
  <c r="D198" i="2"/>
  <c r="D197" i="2"/>
  <c r="D196" i="2"/>
  <c r="D195" i="2"/>
  <c r="D194" i="2"/>
  <c r="D193" i="2"/>
  <c r="D192" i="2"/>
  <c r="D191" i="2"/>
  <c r="D190" i="2"/>
  <c r="D189" i="2"/>
  <c r="D188" i="2"/>
  <c r="D187" i="2"/>
  <c r="D186" i="2"/>
  <c r="Y24" i="10" l="1"/>
  <c r="AA31" i="15"/>
  <c r="BQ26" i="2" s="1"/>
  <c r="G8" i="36"/>
  <c r="J11" i="36"/>
  <c r="J17" i="36"/>
  <c r="J26" i="36"/>
  <c r="D29" i="36"/>
  <c r="J8" i="36"/>
  <c r="J14" i="36"/>
  <c r="J20" i="36"/>
  <c r="J23" i="36"/>
  <c r="G11" i="36"/>
  <c r="G14" i="36"/>
  <c r="G17" i="36"/>
  <c r="G20" i="36"/>
  <c r="G23" i="36"/>
  <c r="G26" i="36"/>
  <c r="Y25" i="10" l="1"/>
  <c r="AA32" i="15"/>
  <c r="BQ27" i="2" s="1"/>
  <c r="B12" i="1"/>
  <c r="B14" i="1"/>
  <c r="B13" i="1"/>
  <c r="B11" i="1"/>
  <c r="B10" i="1"/>
  <c r="B9" i="1"/>
  <c r="B8" i="1"/>
  <c r="B7" i="1"/>
  <c r="B6" i="1"/>
  <c r="Y26" i="10" l="1"/>
  <c r="AA33" i="15"/>
  <c r="BQ28" i="2" s="1"/>
  <c r="D5" i="1"/>
  <c r="D6" i="1"/>
  <c r="D7" i="1"/>
  <c r="D8" i="1"/>
  <c r="D9" i="1"/>
  <c r="D10" i="1"/>
  <c r="D11" i="1"/>
  <c r="D12" i="1"/>
  <c r="D13" i="1"/>
  <c r="D14" i="1"/>
  <c r="E6" i="1"/>
  <c r="E8" i="1"/>
  <c r="E10" i="1"/>
  <c r="E12" i="1"/>
  <c r="E14" i="1"/>
  <c r="I5" i="1"/>
  <c r="H6" i="1"/>
  <c r="J6" i="1"/>
  <c r="I7" i="1"/>
  <c r="H8" i="1"/>
  <c r="J8" i="1"/>
  <c r="I9" i="1"/>
  <c r="H10" i="1"/>
  <c r="J10" i="1"/>
  <c r="I11" i="1"/>
  <c r="H12" i="1"/>
  <c r="J12" i="1"/>
  <c r="I13" i="1"/>
  <c r="H14" i="1"/>
  <c r="J14" i="1"/>
  <c r="C5" i="1"/>
  <c r="C6" i="1"/>
  <c r="C7" i="1"/>
  <c r="C8" i="1"/>
  <c r="C9" i="1"/>
  <c r="C10" i="1"/>
  <c r="C11" i="1"/>
  <c r="C12" i="1"/>
  <c r="C13" i="1"/>
  <c r="C14" i="1"/>
  <c r="E5" i="1"/>
  <c r="E7" i="1"/>
  <c r="E9" i="1"/>
  <c r="E11" i="1"/>
  <c r="E13" i="1"/>
  <c r="H5" i="1"/>
  <c r="J5" i="1"/>
  <c r="I6" i="1"/>
  <c r="H7" i="1"/>
  <c r="J7" i="1"/>
  <c r="I8" i="1"/>
  <c r="H9" i="1"/>
  <c r="J9" i="1"/>
  <c r="I10" i="1"/>
  <c r="H11" i="1"/>
  <c r="J11" i="1"/>
  <c r="I12" i="1"/>
  <c r="H13" i="1"/>
  <c r="J13" i="1"/>
  <c r="I14" i="1"/>
  <c r="Y27" i="10" l="1"/>
  <c r="AA34" i="15"/>
  <c r="BQ29" i="2" s="1"/>
  <c r="E2188" i="28"/>
  <c r="E2169" i="28"/>
  <c r="E2150" i="28"/>
  <c r="E2131" i="28"/>
  <c r="E2112" i="28"/>
  <c r="E2093" i="28"/>
  <c r="E2074" i="28"/>
  <c r="E2055" i="28"/>
  <c r="E2036" i="28"/>
  <c r="E2017" i="28"/>
  <c r="E1998" i="28"/>
  <c r="E1979" i="28"/>
  <c r="E1960" i="28"/>
  <c r="E1941" i="28"/>
  <c r="E1922" i="28"/>
  <c r="E1903" i="28"/>
  <c r="E1884" i="28"/>
  <c r="E1865" i="28"/>
  <c r="E1846" i="28"/>
  <c r="E1827" i="28"/>
  <c r="E1808" i="28"/>
  <c r="E1789" i="28"/>
  <c r="E1770" i="28"/>
  <c r="E1751" i="28"/>
  <c r="E1732" i="28"/>
  <c r="E1713" i="28"/>
  <c r="E1694" i="28"/>
  <c r="E1675" i="28"/>
  <c r="E1656" i="28"/>
  <c r="E1637" i="28"/>
  <c r="E1618" i="28"/>
  <c r="E1599" i="28"/>
  <c r="E1580" i="28"/>
  <c r="E1561" i="28"/>
  <c r="E1542" i="28"/>
  <c r="E1523" i="28"/>
  <c r="E1504" i="28"/>
  <c r="E1485" i="28"/>
  <c r="E1466" i="28"/>
  <c r="E1447" i="28"/>
  <c r="E1428" i="28"/>
  <c r="E1409" i="28"/>
  <c r="E1390" i="28"/>
  <c r="E1371" i="28"/>
  <c r="E1352" i="28"/>
  <c r="E1333" i="28"/>
  <c r="E1314" i="28"/>
  <c r="E1295" i="28"/>
  <c r="E1276" i="28"/>
  <c r="E1257" i="28"/>
  <c r="E1238" i="28"/>
  <c r="E1219" i="28"/>
  <c r="E1200" i="28"/>
  <c r="E1181" i="28"/>
  <c r="E1162" i="28"/>
  <c r="E1143" i="28"/>
  <c r="E1124" i="28"/>
  <c r="E1105" i="28"/>
  <c r="E1086" i="28"/>
  <c r="E1067" i="28"/>
  <c r="E1048" i="28"/>
  <c r="E1029" i="28"/>
  <c r="E1010" i="28"/>
  <c r="E991" i="28"/>
  <c r="E972" i="28"/>
  <c r="E953" i="28"/>
  <c r="E934" i="28"/>
  <c r="E915" i="28"/>
  <c r="E896" i="28"/>
  <c r="E877" i="28"/>
  <c r="E858" i="28"/>
  <c r="E839" i="28"/>
  <c r="E820" i="28"/>
  <c r="E801" i="28"/>
  <c r="E782" i="28"/>
  <c r="E763" i="28"/>
  <c r="E744" i="28"/>
  <c r="E725" i="28"/>
  <c r="E706" i="28"/>
  <c r="E687" i="28"/>
  <c r="E668" i="28"/>
  <c r="E649" i="28"/>
  <c r="E630" i="28"/>
  <c r="E611" i="28"/>
  <c r="E592" i="28"/>
  <c r="E573" i="28"/>
  <c r="E554" i="28"/>
  <c r="E535" i="28"/>
  <c r="E516" i="28"/>
  <c r="E497" i="28"/>
  <c r="E478" i="28"/>
  <c r="E459" i="28"/>
  <c r="E440" i="28"/>
  <c r="E421" i="28"/>
  <c r="E402" i="28"/>
  <c r="E383" i="28"/>
  <c r="E364" i="28"/>
  <c r="E345" i="28"/>
  <c r="E22" i="28"/>
  <c r="E3" i="28"/>
  <c r="K2205" i="28"/>
  <c r="J2205" i="28"/>
  <c r="I2205" i="28"/>
  <c r="K2204" i="28"/>
  <c r="J2204" i="28"/>
  <c r="I2204" i="28"/>
  <c r="K2203" i="28"/>
  <c r="J2203" i="28"/>
  <c r="I2203" i="28"/>
  <c r="K2202" i="28"/>
  <c r="J2202" i="28"/>
  <c r="I2202" i="28"/>
  <c r="K2201" i="28"/>
  <c r="J2201" i="28"/>
  <c r="I2201" i="28"/>
  <c r="K2200" i="28"/>
  <c r="J2200" i="28"/>
  <c r="I2200" i="28"/>
  <c r="K2199" i="28"/>
  <c r="J2199" i="28"/>
  <c r="I2199" i="28"/>
  <c r="K2198" i="28"/>
  <c r="J2198" i="28"/>
  <c r="I2198" i="28"/>
  <c r="K2197" i="28"/>
  <c r="J2197" i="28"/>
  <c r="I2197" i="28"/>
  <c r="K2196" i="28"/>
  <c r="J2196" i="28"/>
  <c r="I2196" i="28"/>
  <c r="K2195" i="28"/>
  <c r="J2195" i="28"/>
  <c r="I2195" i="28"/>
  <c r="K2194" i="28"/>
  <c r="J2194" i="28"/>
  <c r="I2194" i="28"/>
  <c r="K2193" i="28"/>
  <c r="J2193" i="28"/>
  <c r="I2193" i="28"/>
  <c r="K2192" i="28"/>
  <c r="J2192" i="28"/>
  <c r="I2192" i="28"/>
  <c r="K2191" i="28"/>
  <c r="J2191" i="28"/>
  <c r="I2191" i="28"/>
  <c r="K2190" i="28"/>
  <c r="J2190" i="28"/>
  <c r="I2190" i="28"/>
  <c r="K2186" i="28"/>
  <c r="J2186" i="28"/>
  <c r="K2185" i="28"/>
  <c r="J2185" i="28"/>
  <c r="K2184" i="28"/>
  <c r="J2184" i="28"/>
  <c r="K2183" i="28"/>
  <c r="J2183" i="28"/>
  <c r="K2182" i="28"/>
  <c r="J2182" i="28"/>
  <c r="K2181" i="28"/>
  <c r="J2181" i="28"/>
  <c r="K2180" i="28"/>
  <c r="J2180" i="28"/>
  <c r="K2179" i="28"/>
  <c r="J2179" i="28"/>
  <c r="K2178" i="28"/>
  <c r="J2178" i="28"/>
  <c r="I2178" i="28"/>
  <c r="K2177" i="28"/>
  <c r="J2177" i="28"/>
  <c r="I2177" i="28"/>
  <c r="K2176" i="28"/>
  <c r="J2176" i="28"/>
  <c r="I2176" i="28"/>
  <c r="K2175" i="28"/>
  <c r="J2175" i="28"/>
  <c r="I2175" i="28"/>
  <c r="K2174" i="28"/>
  <c r="J2174" i="28"/>
  <c r="I2174" i="28"/>
  <c r="K2173" i="28"/>
  <c r="J2173" i="28"/>
  <c r="I2173" i="28"/>
  <c r="K2172" i="28"/>
  <c r="J2172" i="28"/>
  <c r="I2172" i="28"/>
  <c r="K2171" i="28"/>
  <c r="J2171" i="28"/>
  <c r="I2171" i="28"/>
  <c r="K2167" i="28"/>
  <c r="J2167" i="28"/>
  <c r="K2166" i="28"/>
  <c r="J2166" i="28"/>
  <c r="K2165" i="28"/>
  <c r="J2165" i="28"/>
  <c r="I2165" i="28"/>
  <c r="K2164" i="28"/>
  <c r="J2164" i="28"/>
  <c r="I2164" i="28"/>
  <c r="K2163" i="28"/>
  <c r="J2163" i="28"/>
  <c r="I2163" i="28"/>
  <c r="K2162" i="28"/>
  <c r="J2162" i="28"/>
  <c r="I2162" i="28"/>
  <c r="K2161" i="28"/>
  <c r="J2161" i="28"/>
  <c r="I2161" i="28"/>
  <c r="K2160" i="28"/>
  <c r="J2160" i="28"/>
  <c r="I2160" i="28"/>
  <c r="K2159" i="28"/>
  <c r="J2159" i="28"/>
  <c r="I2159" i="28"/>
  <c r="K2158" i="28"/>
  <c r="J2158" i="28"/>
  <c r="I2158" i="28"/>
  <c r="K2157" i="28"/>
  <c r="J2157" i="28"/>
  <c r="I2157" i="28"/>
  <c r="K2156" i="28"/>
  <c r="J2156" i="28"/>
  <c r="I2156" i="28"/>
  <c r="K2155" i="28"/>
  <c r="J2155" i="28"/>
  <c r="I2155" i="28"/>
  <c r="K2154" i="28"/>
  <c r="J2154" i="28"/>
  <c r="I2154" i="28"/>
  <c r="K2153" i="28"/>
  <c r="J2153" i="28"/>
  <c r="I2153" i="28"/>
  <c r="K2152" i="28"/>
  <c r="J2152" i="28"/>
  <c r="I2152" i="28"/>
  <c r="K2148" i="28"/>
  <c r="J2148" i="28"/>
  <c r="K2147" i="28"/>
  <c r="J2147" i="28"/>
  <c r="K2146" i="28"/>
  <c r="J2146" i="28"/>
  <c r="K2145" i="28"/>
  <c r="J2145" i="28"/>
  <c r="K2144" i="28"/>
  <c r="J2144" i="28"/>
  <c r="K2143" i="28"/>
  <c r="J2143" i="28"/>
  <c r="K2142" i="28"/>
  <c r="J2142" i="28"/>
  <c r="K2141" i="28"/>
  <c r="J2141" i="28"/>
  <c r="K2140" i="28"/>
  <c r="J2140" i="28"/>
  <c r="K2139" i="28"/>
  <c r="J2139" i="28"/>
  <c r="I2139" i="28"/>
  <c r="K2138" i="28"/>
  <c r="J2138" i="28"/>
  <c r="I2138" i="28"/>
  <c r="K2137" i="28"/>
  <c r="J2137" i="28"/>
  <c r="I2137" i="28"/>
  <c r="K2136" i="28"/>
  <c r="J2136" i="28"/>
  <c r="I2136" i="28"/>
  <c r="K2135" i="28"/>
  <c r="J2135" i="28"/>
  <c r="I2135" i="28"/>
  <c r="K2134" i="28"/>
  <c r="J2134" i="28"/>
  <c r="I2134" i="28"/>
  <c r="K2133" i="28"/>
  <c r="J2133" i="28"/>
  <c r="I2133" i="28"/>
  <c r="K2129" i="28"/>
  <c r="J2129" i="28"/>
  <c r="K2128" i="28"/>
  <c r="J2128" i="28"/>
  <c r="K2127" i="28"/>
  <c r="J2127" i="28"/>
  <c r="K2126" i="28"/>
  <c r="J2126" i="28"/>
  <c r="K2125" i="28"/>
  <c r="J2125" i="28"/>
  <c r="K2124" i="28"/>
  <c r="J2124" i="28"/>
  <c r="K2123" i="28"/>
  <c r="J2123" i="28"/>
  <c r="K2122" i="28"/>
  <c r="J2122" i="28"/>
  <c r="K2121" i="28"/>
  <c r="J2121" i="28"/>
  <c r="K2120" i="28"/>
  <c r="J2120" i="28"/>
  <c r="I2120" i="28"/>
  <c r="K2119" i="28"/>
  <c r="J2119" i="28"/>
  <c r="I2119" i="28"/>
  <c r="K2118" i="28"/>
  <c r="J2118" i="28"/>
  <c r="I2118" i="28"/>
  <c r="K2117" i="28"/>
  <c r="J2117" i="28"/>
  <c r="I2117" i="28"/>
  <c r="K2116" i="28"/>
  <c r="J2116" i="28"/>
  <c r="I2116" i="28"/>
  <c r="K2115" i="28"/>
  <c r="J2115" i="28"/>
  <c r="I2115" i="28"/>
  <c r="K2114" i="28"/>
  <c r="J2114" i="28"/>
  <c r="I2114" i="28"/>
  <c r="K2110" i="28"/>
  <c r="J2110" i="28"/>
  <c r="K2109" i="28"/>
  <c r="J2109" i="28"/>
  <c r="K2108" i="28"/>
  <c r="J2108" i="28"/>
  <c r="K2107" i="28"/>
  <c r="J2107" i="28"/>
  <c r="K2106" i="28"/>
  <c r="J2106" i="28"/>
  <c r="K2105" i="28"/>
  <c r="J2105" i="28"/>
  <c r="I2105" i="28"/>
  <c r="K2104" i="28"/>
  <c r="J2104" i="28"/>
  <c r="I2104" i="28"/>
  <c r="K2103" i="28"/>
  <c r="J2103" i="28"/>
  <c r="I2103" i="28"/>
  <c r="K2102" i="28"/>
  <c r="J2102" i="28"/>
  <c r="I2102" i="28"/>
  <c r="K2101" i="28"/>
  <c r="J2101" i="28"/>
  <c r="I2101" i="28"/>
  <c r="K2100" i="28"/>
  <c r="J2100" i="28"/>
  <c r="I2100" i="28"/>
  <c r="K2099" i="28"/>
  <c r="J2099" i="28"/>
  <c r="I2099" i="28"/>
  <c r="K2098" i="28"/>
  <c r="J2098" i="28"/>
  <c r="I2098" i="28"/>
  <c r="K2097" i="28"/>
  <c r="J2097" i="28"/>
  <c r="I2097" i="28"/>
  <c r="K2096" i="28"/>
  <c r="J2096" i="28"/>
  <c r="I2096" i="28"/>
  <c r="K2095" i="28"/>
  <c r="J2095" i="28"/>
  <c r="I2095" i="28"/>
  <c r="K2091" i="28"/>
  <c r="J2091" i="28"/>
  <c r="K2090" i="28"/>
  <c r="J2090" i="28"/>
  <c r="K2089" i="28"/>
  <c r="J2089" i="28"/>
  <c r="K2088" i="28"/>
  <c r="J2088" i="28"/>
  <c r="K2087" i="28"/>
  <c r="J2087" i="28"/>
  <c r="K2086" i="28"/>
  <c r="J2086" i="28"/>
  <c r="K2085" i="28"/>
  <c r="J2085" i="28"/>
  <c r="K2084" i="28"/>
  <c r="J2084" i="28"/>
  <c r="K2083" i="28"/>
  <c r="J2083" i="28"/>
  <c r="K2082" i="28"/>
  <c r="J2082" i="28"/>
  <c r="I2082" i="28"/>
  <c r="K2081" i="28"/>
  <c r="J2081" i="28"/>
  <c r="I2081" i="28"/>
  <c r="K2080" i="28"/>
  <c r="J2080" i="28"/>
  <c r="I2080" i="28"/>
  <c r="K2079" i="28"/>
  <c r="J2079" i="28"/>
  <c r="I2079" i="28"/>
  <c r="K2078" i="28"/>
  <c r="J2078" i="28"/>
  <c r="I2078" i="28"/>
  <c r="K2077" i="28"/>
  <c r="J2077" i="28"/>
  <c r="I2077" i="28"/>
  <c r="K2076" i="28"/>
  <c r="J2076" i="28"/>
  <c r="I2076" i="28"/>
  <c r="K2072" i="28"/>
  <c r="J2072" i="28"/>
  <c r="K2071" i="28"/>
  <c r="J2071" i="28"/>
  <c r="K2070" i="28"/>
  <c r="J2070" i="28"/>
  <c r="K2069" i="28"/>
  <c r="J2069" i="28"/>
  <c r="K2068" i="28"/>
  <c r="J2068" i="28"/>
  <c r="K2067" i="28"/>
  <c r="J2067" i="28"/>
  <c r="K2066" i="28"/>
  <c r="J2066" i="28"/>
  <c r="K2065" i="28"/>
  <c r="J2065" i="28"/>
  <c r="K2064" i="28"/>
  <c r="J2064" i="28"/>
  <c r="K2063" i="28"/>
  <c r="J2063" i="28"/>
  <c r="I2063" i="28"/>
  <c r="K2062" i="28"/>
  <c r="J2062" i="28"/>
  <c r="I2062" i="28"/>
  <c r="K2061" i="28"/>
  <c r="J2061" i="28"/>
  <c r="I2061" i="28"/>
  <c r="K2060" i="28"/>
  <c r="J2060" i="28"/>
  <c r="I2060" i="28"/>
  <c r="K2059" i="28"/>
  <c r="J2059" i="28"/>
  <c r="I2059" i="28"/>
  <c r="K2058" i="28"/>
  <c r="J2058" i="28"/>
  <c r="I2058" i="28"/>
  <c r="K2057" i="28"/>
  <c r="J2057" i="28"/>
  <c r="I2057" i="28"/>
  <c r="K2053" i="28"/>
  <c r="J2053" i="28"/>
  <c r="K2052" i="28"/>
  <c r="J2052" i="28"/>
  <c r="K2051" i="28"/>
  <c r="J2051" i="28"/>
  <c r="K2050" i="28"/>
  <c r="J2050" i="28"/>
  <c r="K2049" i="28"/>
  <c r="J2049" i="28"/>
  <c r="K2048" i="28"/>
  <c r="J2048" i="28"/>
  <c r="I2048" i="28"/>
  <c r="K2047" i="28"/>
  <c r="J2047" i="28"/>
  <c r="I2047" i="28"/>
  <c r="K2046" i="28"/>
  <c r="J2046" i="28"/>
  <c r="I2046" i="28"/>
  <c r="K2045" i="28"/>
  <c r="J2045" i="28"/>
  <c r="I2045" i="28"/>
  <c r="K2044" i="28"/>
  <c r="J2044" i="28"/>
  <c r="I2044" i="28"/>
  <c r="K2043" i="28"/>
  <c r="J2043" i="28"/>
  <c r="I2043" i="28"/>
  <c r="K2042" i="28"/>
  <c r="J2042" i="28"/>
  <c r="I2042" i="28"/>
  <c r="K2041" i="28"/>
  <c r="J2041" i="28"/>
  <c r="I2041" i="28"/>
  <c r="K2040" i="28"/>
  <c r="J2040" i="28"/>
  <c r="I2040" i="28"/>
  <c r="K2039" i="28"/>
  <c r="J2039" i="28"/>
  <c r="I2039" i="28"/>
  <c r="K2038" i="28"/>
  <c r="J2038" i="28"/>
  <c r="I2038" i="28"/>
  <c r="Y28" i="10" l="1"/>
  <c r="AA35" i="15"/>
  <c r="BQ30" i="2" s="1"/>
  <c r="K2034" i="28"/>
  <c r="J2034" i="28"/>
  <c r="I2034" i="28"/>
  <c r="K2033" i="28"/>
  <c r="J2033" i="28"/>
  <c r="I2033" i="28"/>
  <c r="K2032" i="28"/>
  <c r="J2032" i="28"/>
  <c r="I2032" i="28"/>
  <c r="K2031" i="28"/>
  <c r="J2031" i="28"/>
  <c r="I2031" i="28"/>
  <c r="K2030" i="28"/>
  <c r="J2030" i="28"/>
  <c r="I2030" i="28"/>
  <c r="K2029" i="28"/>
  <c r="J2029" i="28"/>
  <c r="I2029" i="28"/>
  <c r="K2028" i="28"/>
  <c r="J2028" i="28"/>
  <c r="I2028" i="28"/>
  <c r="K2027" i="28"/>
  <c r="J2027" i="28"/>
  <c r="I2027" i="28"/>
  <c r="K2026" i="28"/>
  <c r="J2026" i="28"/>
  <c r="I2026" i="28"/>
  <c r="K2025" i="28"/>
  <c r="J2025" i="28"/>
  <c r="I2025" i="28"/>
  <c r="K2024" i="28"/>
  <c r="J2024" i="28"/>
  <c r="I2024" i="28"/>
  <c r="K2023" i="28"/>
  <c r="J2023" i="28"/>
  <c r="I2023" i="28"/>
  <c r="K2022" i="28"/>
  <c r="J2022" i="28"/>
  <c r="I2022" i="28"/>
  <c r="K2021" i="28"/>
  <c r="J2021" i="28"/>
  <c r="I2021" i="28"/>
  <c r="K2020" i="28"/>
  <c r="J2020" i="28"/>
  <c r="I2020" i="28"/>
  <c r="K2019" i="28"/>
  <c r="J2019" i="28"/>
  <c r="I2019" i="28"/>
  <c r="K2015" i="28"/>
  <c r="J2015" i="28"/>
  <c r="I2015" i="28"/>
  <c r="K2014" i="28"/>
  <c r="J2014" i="28"/>
  <c r="I2014" i="28"/>
  <c r="K2013" i="28"/>
  <c r="J2013" i="28"/>
  <c r="I2013" i="28"/>
  <c r="K2012" i="28"/>
  <c r="J2012" i="28"/>
  <c r="I2012" i="28"/>
  <c r="K2011" i="28"/>
  <c r="J2011" i="28"/>
  <c r="I2011" i="28"/>
  <c r="K2010" i="28"/>
  <c r="J2010" i="28"/>
  <c r="I2010" i="28"/>
  <c r="K2009" i="28"/>
  <c r="J2009" i="28"/>
  <c r="I2009" i="28"/>
  <c r="K2008" i="28"/>
  <c r="J2008" i="28"/>
  <c r="I2008" i="28"/>
  <c r="K2007" i="28"/>
  <c r="J2007" i="28"/>
  <c r="I2007" i="28"/>
  <c r="K2006" i="28"/>
  <c r="J2006" i="28"/>
  <c r="I2006" i="28"/>
  <c r="K2005" i="28"/>
  <c r="J2005" i="28"/>
  <c r="I2005" i="28"/>
  <c r="K2004" i="28"/>
  <c r="J2004" i="28"/>
  <c r="I2004" i="28"/>
  <c r="K2003" i="28"/>
  <c r="J2003" i="28"/>
  <c r="I2003" i="28"/>
  <c r="K2002" i="28"/>
  <c r="J2002" i="28"/>
  <c r="I2002" i="28"/>
  <c r="K2001" i="28"/>
  <c r="J2001" i="28"/>
  <c r="I2001" i="28"/>
  <c r="K2000" i="28"/>
  <c r="J2000" i="28"/>
  <c r="I2000" i="28"/>
  <c r="K1996" i="28"/>
  <c r="J1996" i="28"/>
  <c r="K1995" i="28"/>
  <c r="J1995" i="28"/>
  <c r="K1994" i="28"/>
  <c r="J1994" i="28"/>
  <c r="K1993" i="28"/>
  <c r="J1993" i="28"/>
  <c r="K1992" i="28"/>
  <c r="J1992" i="28"/>
  <c r="K1991" i="28"/>
  <c r="J1991" i="28"/>
  <c r="K1990" i="28"/>
  <c r="J1990" i="28"/>
  <c r="I1990" i="28"/>
  <c r="K1989" i="28"/>
  <c r="J1989" i="28"/>
  <c r="I1989" i="28"/>
  <c r="K1988" i="28"/>
  <c r="J1988" i="28"/>
  <c r="I1988" i="28"/>
  <c r="K1987" i="28"/>
  <c r="J1987" i="28"/>
  <c r="I1987" i="28"/>
  <c r="K1986" i="28"/>
  <c r="J1986" i="28"/>
  <c r="I1986" i="28"/>
  <c r="K1985" i="28"/>
  <c r="J1985" i="28"/>
  <c r="I1985" i="28"/>
  <c r="K1984" i="28"/>
  <c r="J1984" i="28"/>
  <c r="I1984" i="28"/>
  <c r="K1983" i="28"/>
  <c r="J1983" i="28"/>
  <c r="I1983" i="28"/>
  <c r="K1982" i="28"/>
  <c r="J1982" i="28"/>
  <c r="I1982" i="28"/>
  <c r="K1981" i="28"/>
  <c r="J1981" i="28"/>
  <c r="I1981" i="28"/>
  <c r="K1977" i="28"/>
  <c r="J1977" i="28"/>
  <c r="I1977" i="28"/>
  <c r="K1976" i="28"/>
  <c r="J1976" i="28"/>
  <c r="I1976" i="28"/>
  <c r="K1975" i="28"/>
  <c r="J1975" i="28"/>
  <c r="I1975" i="28"/>
  <c r="K1974" i="28"/>
  <c r="J1974" i="28"/>
  <c r="I1974" i="28"/>
  <c r="K1973" i="28"/>
  <c r="J1973" i="28"/>
  <c r="I1973" i="28"/>
  <c r="K1972" i="28"/>
  <c r="J1972" i="28"/>
  <c r="I1972" i="28"/>
  <c r="K1971" i="28"/>
  <c r="J1971" i="28"/>
  <c r="I1971" i="28"/>
  <c r="K1970" i="28"/>
  <c r="J1970" i="28"/>
  <c r="I1970" i="28"/>
  <c r="K1969" i="28"/>
  <c r="J1969" i="28"/>
  <c r="I1969" i="28"/>
  <c r="K1968" i="28"/>
  <c r="J1968" i="28"/>
  <c r="I1968" i="28"/>
  <c r="K1967" i="28"/>
  <c r="J1967" i="28"/>
  <c r="I1967" i="28"/>
  <c r="K1966" i="28"/>
  <c r="J1966" i="28"/>
  <c r="I1966" i="28"/>
  <c r="K1965" i="28"/>
  <c r="J1965" i="28"/>
  <c r="I1965" i="28"/>
  <c r="K1964" i="28"/>
  <c r="J1964" i="28"/>
  <c r="I1964" i="28"/>
  <c r="K1963" i="28"/>
  <c r="J1963" i="28"/>
  <c r="I1963" i="28"/>
  <c r="K1962" i="28"/>
  <c r="J1962" i="28"/>
  <c r="I1962" i="28"/>
  <c r="K1958" i="28"/>
  <c r="J1958" i="28"/>
  <c r="I1958" i="28"/>
  <c r="K1957" i="28"/>
  <c r="J1957" i="28"/>
  <c r="I1957" i="28"/>
  <c r="K1956" i="28"/>
  <c r="J1956" i="28"/>
  <c r="I1956" i="28"/>
  <c r="K1955" i="28"/>
  <c r="J1955" i="28"/>
  <c r="I1955" i="28"/>
  <c r="K1954" i="28"/>
  <c r="J1954" i="28"/>
  <c r="I1954" i="28"/>
  <c r="K1953" i="28"/>
  <c r="J1953" i="28"/>
  <c r="I1953" i="28"/>
  <c r="K1952" i="28"/>
  <c r="J1952" i="28"/>
  <c r="I1952" i="28"/>
  <c r="K1951" i="28"/>
  <c r="J1951" i="28"/>
  <c r="I1951" i="28"/>
  <c r="K1950" i="28"/>
  <c r="J1950" i="28"/>
  <c r="I1950" i="28"/>
  <c r="K1949" i="28"/>
  <c r="J1949" i="28"/>
  <c r="I1949" i="28"/>
  <c r="K1948" i="28"/>
  <c r="J1948" i="28"/>
  <c r="I1948" i="28"/>
  <c r="K1947" i="28"/>
  <c r="J1947" i="28"/>
  <c r="I1947" i="28"/>
  <c r="K1946" i="28"/>
  <c r="J1946" i="28"/>
  <c r="I1946" i="28"/>
  <c r="K1945" i="28"/>
  <c r="J1945" i="28"/>
  <c r="I1945" i="28"/>
  <c r="K1944" i="28"/>
  <c r="J1944" i="28"/>
  <c r="I1944" i="28"/>
  <c r="K1943" i="28"/>
  <c r="J1943" i="28"/>
  <c r="I1943" i="28"/>
  <c r="K1939" i="28"/>
  <c r="J1939" i="28"/>
  <c r="K1938" i="28"/>
  <c r="J1938" i="28"/>
  <c r="K1937" i="28"/>
  <c r="J1937" i="28"/>
  <c r="K1936" i="28"/>
  <c r="J1936" i="28"/>
  <c r="K1935" i="28"/>
  <c r="J1935" i="28"/>
  <c r="K1934" i="28"/>
  <c r="J1934" i="28"/>
  <c r="K1933" i="28"/>
  <c r="J1933" i="28"/>
  <c r="K1932" i="28"/>
  <c r="J1932" i="28"/>
  <c r="K1931" i="28"/>
  <c r="J1931" i="28"/>
  <c r="I1931" i="28"/>
  <c r="K1930" i="28"/>
  <c r="J1930" i="28"/>
  <c r="I1930" i="28"/>
  <c r="K1929" i="28"/>
  <c r="J1929" i="28"/>
  <c r="I1929" i="28"/>
  <c r="K1928" i="28"/>
  <c r="J1928" i="28"/>
  <c r="I1928" i="28"/>
  <c r="K1927" i="28"/>
  <c r="J1927" i="28"/>
  <c r="I1927" i="28"/>
  <c r="K1926" i="28"/>
  <c r="J1926" i="28"/>
  <c r="I1926" i="28"/>
  <c r="K1925" i="28"/>
  <c r="J1925" i="28"/>
  <c r="I1925" i="28"/>
  <c r="K1924" i="28"/>
  <c r="J1924" i="28"/>
  <c r="I1924" i="28"/>
  <c r="K1920" i="28"/>
  <c r="J1920" i="28"/>
  <c r="K1919" i="28"/>
  <c r="J1919" i="28"/>
  <c r="K1918" i="28"/>
  <c r="J1918" i="28"/>
  <c r="I1918" i="28"/>
  <c r="K1917" i="28"/>
  <c r="J1917" i="28"/>
  <c r="I1917" i="28"/>
  <c r="K1916" i="28"/>
  <c r="J1916" i="28"/>
  <c r="I1916" i="28"/>
  <c r="K1915" i="28"/>
  <c r="J1915" i="28"/>
  <c r="I1915" i="28"/>
  <c r="K1914" i="28"/>
  <c r="J1914" i="28"/>
  <c r="I1914" i="28"/>
  <c r="K1913" i="28"/>
  <c r="J1913" i="28"/>
  <c r="I1913" i="28"/>
  <c r="K1912" i="28"/>
  <c r="J1912" i="28"/>
  <c r="I1912" i="28"/>
  <c r="K1911" i="28"/>
  <c r="J1911" i="28"/>
  <c r="I1911" i="28"/>
  <c r="K1910" i="28"/>
  <c r="J1910" i="28"/>
  <c r="I1910" i="28"/>
  <c r="K1909" i="28"/>
  <c r="J1909" i="28"/>
  <c r="I1909" i="28"/>
  <c r="K1908" i="28"/>
  <c r="J1908" i="28"/>
  <c r="I1908" i="28"/>
  <c r="K1907" i="28"/>
  <c r="J1907" i="28"/>
  <c r="I1907" i="28"/>
  <c r="K1906" i="28"/>
  <c r="J1906" i="28"/>
  <c r="I1906" i="28"/>
  <c r="K1905" i="28"/>
  <c r="J1905" i="28"/>
  <c r="I1905" i="28"/>
  <c r="K1901" i="28"/>
  <c r="J1901" i="28"/>
  <c r="K1900" i="28"/>
  <c r="J1900" i="28"/>
  <c r="K1899" i="28"/>
  <c r="J1899" i="28"/>
  <c r="K1898" i="28"/>
  <c r="J1898" i="28"/>
  <c r="K1897" i="28"/>
  <c r="J1897" i="28"/>
  <c r="K1896" i="28"/>
  <c r="J1896" i="28"/>
  <c r="K1895" i="28"/>
  <c r="J1895" i="28"/>
  <c r="K1894" i="28"/>
  <c r="J1894" i="28"/>
  <c r="K1893" i="28"/>
  <c r="J1893" i="28"/>
  <c r="K1892" i="28"/>
  <c r="J1892" i="28"/>
  <c r="I1892" i="28"/>
  <c r="K1891" i="28"/>
  <c r="J1891" i="28"/>
  <c r="I1891" i="28"/>
  <c r="K1890" i="28"/>
  <c r="J1890" i="28"/>
  <c r="I1890" i="28"/>
  <c r="K1889" i="28"/>
  <c r="J1889" i="28"/>
  <c r="I1889" i="28"/>
  <c r="K1888" i="28"/>
  <c r="J1888" i="28"/>
  <c r="I1888" i="28"/>
  <c r="K1887" i="28"/>
  <c r="J1887" i="28"/>
  <c r="I1887" i="28"/>
  <c r="K1886" i="28"/>
  <c r="J1886" i="28"/>
  <c r="I1886" i="28"/>
  <c r="K1882" i="28"/>
  <c r="J1882" i="28"/>
  <c r="K1881" i="28"/>
  <c r="J1881" i="28"/>
  <c r="K1880" i="28"/>
  <c r="J1880" i="28"/>
  <c r="K1879" i="28"/>
  <c r="J1879" i="28"/>
  <c r="K1878" i="28"/>
  <c r="J1878" i="28"/>
  <c r="K1877" i="28"/>
  <c r="J1877" i="28"/>
  <c r="K1876" i="28"/>
  <c r="J1876" i="28"/>
  <c r="K1875" i="28"/>
  <c r="J1875" i="28"/>
  <c r="K1874" i="28"/>
  <c r="J1874" i="28"/>
  <c r="K1873" i="28"/>
  <c r="J1873" i="28"/>
  <c r="I1873" i="28"/>
  <c r="K1872" i="28"/>
  <c r="J1872" i="28"/>
  <c r="I1872" i="28"/>
  <c r="K1871" i="28"/>
  <c r="J1871" i="28"/>
  <c r="I1871" i="28"/>
  <c r="K1870" i="28"/>
  <c r="J1870" i="28"/>
  <c r="I1870" i="28"/>
  <c r="K1869" i="28"/>
  <c r="J1869" i="28"/>
  <c r="I1869" i="28"/>
  <c r="K1868" i="28"/>
  <c r="J1868" i="28"/>
  <c r="I1868" i="28"/>
  <c r="K1867" i="28"/>
  <c r="J1867" i="28"/>
  <c r="I1867" i="28"/>
  <c r="K1863" i="28"/>
  <c r="J1863" i="28"/>
  <c r="K1862" i="28"/>
  <c r="J1862" i="28"/>
  <c r="K1861" i="28"/>
  <c r="J1861" i="28"/>
  <c r="K1860" i="28"/>
  <c r="J1860" i="28"/>
  <c r="K1859" i="28"/>
  <c r="J1859" i="28"/>
  <c r="K1858" i="28"/>
  <c r="J1858" i="28"/>
  <c r="I1858" i="28"/>
  <c r="K1857" i="28"/>
  <c r="J1857" i="28"/>
  <c r="I1857" i="28"/>
  <c r="K1856" i="28"/>
  <c r="J1856" i="28"/>
  <c r="I1856" i="28"/>
  <c r="K1855" i="28"/>
  <c r="J1855" i="28"/>
  <c r="I1855" i="28"/>
  <c r="K1854" i="28"/>
  <c r="J1854" i="28"/>
  <c r="I1854" i="28"/>
  <c r="K1853" i="28"/>
  <c r="J1853" i="28"/>
  <c r="I1853" i="28"/>
  <c r="K1852" i="28"/>
  <c r="J1852" i="28"/>
  <c r="I1852" i="28"/>
  <c r="K1851" i="28"/>
  <c r="J1851" i="28"/>
  <c r="I1851" i="28"/>
  <c r="K1850" i="28"/>
  <c r="J1850" i="28"/>
  <c r="I1850" i="28"/>
  <c r="K1849" i="28"/>
  <c r="J1849" i="28"/>
  <c r="I1849" i="28"/>
  <c r="K1848" i="28"/>
  <c r="J1848" i="28"/>
  <c r="I1848" i="28"/>
  <c r="K1844" i="28"/>
  <c r="J1844" i="28"/>
  <c r="K1843" i="28"/>
  <c r="J1843" i="28"/>
  <c r="K1842" i="28"/>
  <c r="J1842" i="28"/>
  <c r="K1841" i="28"/>
  <c r="J1841" i="28"/>
  <c r="K1840" i="28"/>
  <c r="J1840" i="28"/>
  <c r="K1839" i="28"/>
  <c r="J1839" i="28"/>
  <c r="K1838" i="28"/>
  <c r="J1838" i="28"/>
  <c r="K1837" i="28"/>
  <c r="J1837" i="28"/>
  <c r="K1836" i="28"/>
  <c r="J1836" i="28"/>
  <c r="K1835" i="28"/>
  <c r="J1835" i="28"/>
  <c r="I1835" i="28"/>
  <c r="K1834" i="28"/>
  <c r="J1834" i="28"/>
  <c r="I1834" i="28"/>
  <c r="K1833" i="28"/>
  <c r="J1833" i="28"/>
  <c r="I1833" i="28"/>
  <c r="K1832" i="28"/>
  <c r="J1832" i="28"/>
  <c r="I1832" i="28"/>
  <c r="K1831" i="28"/>
  <c r="J1831" i="28"/>
  <c r="I1831" i="28"/>
  <c r="K1830" i="28"/>
  <c r="J1830" i="28"/>
  <c r="I1830" i="28"/>
  <c r="K1829" i="28"/>
  <c r="J1829" i="28"/>
  <c r="I1829" i="28"/>
  <c r="K1825" i="28"/>
  <c r="J1825" i="28"/>
  <c r="K1824" i="28"/>
  <c r="J1824" i="28"/>
  <c r="K1823" i="28"/>
  <c r="J1823" i="28"/>
  <c r="K1822" i="28"/>
  <c r="J1822" i="28"/>
  <c r="K1821" i="28"/>
  <c r="J1821" i="28"/>
  <c r="K1820" i="28"/>
  <c r="J1820" i="28"/>
  <c r="K1819" i="28"/>
  <c r="J1819" i="28"/>
  <c r="K1818" i="28"/>
  <c r="J1818" i="28"/>
  <c r="K1817" i="28"/>
  <c r="J1817" i="28"/>
  <c r="K1816" i="28"/>
  <c r="J1816" i="28"/>
  <c r="I1816" i="28"/>
  <c r="K1815" i="28"/>
  <c r="J1815" i="28"/>
  <c r="I1815" i="28"/>
  <c r="K1814" i="28"/>
  <c r="J1814" i="28"/>
  <c r="I1814" i="28"/>
  <c r="K1813" i="28"/>
  <c r="J1813" i="28"/>
  <c r="I1813" i="28"/>
  <c r="K1812" i="28"/>
  <c r="J1812" i="28"/>
  <c r="I1812" i="28"/>
  <c r="K1811" i="28"/>
  <c r="J1811" i="28"/>
  <c r="I1811" i="28"/>
  <c r="K1810" i="28"/>
  <c r="J1810" i="28"/>
  <c r="I1810" i="28"/>
  <c r="K1806" i="28"/>
  <c r="J1806" i="28"/>
  <c r="K1805" i="28"/>
  <c r="J1805" i="28"/>
  <c r="K1804" i="28"/>
  <c r="J1804" i="28"/>
  <c r="K1803" i="28"/>
  <c r="J1803" i="28"/>
  <c r="K1802" i="28"/>
  <c r="J1802" i="28"/>
  <c r="K1801" i="28"/>
  <c r="J1801" i="28"/>
  <c r="I1801" i="28"/>
  <c r="K1800" i="28"/>
  <c r="J1800" i="28"/>
  <c r="I1800" i="28"/>
  <c r="K1799" i="28"/>
  <c r="J1799" i="28"/>
  <c r="I1799" i="28"/>
  <c r="K1798" i="28"/>
  <c r="J1798" i="28"/>
  <c r="I1798" i="28"/>
  <c r="K1797" i="28"/>
  <c r="J1797" i="28"/>
  <c r="I1797" i="28"/>
  <c r="K1796" i="28"/>
  <c r="J1796" i="28"/>
  <c r="I1796" i="28"/>
  <c r="K1795" i="28"/>
  <c r="J1795" i="28"/>
  <c r="I1795" i="28"/>
  <c r="K1794" i="28"/>
  <c r="J1794" i="28"/>
  <c r="I1794" i="28"/>
  <c r="K1793" i="28"/>
  <c r="J1793" i="28"/>
  <c r="I1793" i="28"/>
  <c r="K1792" i="28"/>
  <c r="J1792" i="28"/>
  <c r="I1792" i="28"/>
  <c r="K1791" i="28"/>
  <c r="J1791" i="28"/>
  <c r="I1791" i="28"/>
  <c r="Y29" i="10" l="1"/>
  <c r="AA36" i="15"/>
  <c r="BQ31" i="2" s="1"/>
  <c r="K1787" i="28"/>
  <c r="J1787" i="28"/>
  <c r="I1787" i="28"/>
  <c r="K1786" i="28"/>
  <c r="J1786" i="28"/>
  <c r="I1786" i="28"/>
  <c r="K1785" i="28"/>
  <c r="J1785" i="28"/>
  <c r="I1785" i="28"/>
  <c r="K1784" i="28"/>
  <c r="J1784" i="28"/>
  <c r="I1784" i="28"/>
  <c r="K1783" i="28"/>
  <c r="J1783" i="28"/>
  <c r="I1783" i="28"/>
  <c r="K1782" i="28"/>
  <c r="J1782" i="28"/>
  <c r="I1782" i="28"/>
  <c r="K1781" i="28"/>
  <c r="J1781" i="28"/>
  <c r="I1781" i="28"/>
  <c r="K1780" i="28"/>
  <c r="J1780" i="28"/>
  <c r="I1780" i="28"/>
  <c r="K1779" i="28"/>
  <c r="J1779" i="28"/>
  <c r="I1779" i="28"/>
  <c r="K1778" i="28"/>
  <c r="J1778" i="28"/>
  <c r="I1778" i="28"/>
  <c r="K1777" i="28"/>
  <c r="J1777" i="28"/>
  <c r="I1777" i="28"/>
  <c r="K1776" i="28"/>
  <c r="J1776" i="28"/>
  <c r="I1776" i="28"/>
  <c r="K1775" i="28"/>
  <c r="J1775" i="28"/>
  <c r="I1775" i="28"/>
  <c r="K1774" i="28"/>
  <c r="J1774" i="28"/>
  <c r="I1774" i="28"/>
  <c r="K1773" i="28"/>
  <c r="J1773" i="28"/>
  <c r="I1773" i="28"/>
  <c r="K1772" i="28"/>
  <c r="J1772" i="28"/>
  <c r="I1772" i="28"/>
  <c r="K1768" i="28"/>
  <c r="J1768" i="28"/>
  <c r="I1768" i="28"/>
  <c r="K1767" i="28"/>
  <c r="J1767" i="28"/>
  <c r="I1767" i="28"/>
  <c r="K1766" i="28"/>
  <c r="J1766" i="28"/>
  <c r="I1766" i="28"/>
  <c r="K1765" i="28"/>
  <c r="J1765" i="28"/>
  <c r="I1765" i="28"/>
  <c r="K1764" i="28"/>
  <c r="J1764" i="28"/>
  <c r="I1764" i="28"/>
  <c r="K1763" i="28"/>
  <c r="J1763" i="28"/>
  <c r="I1763" i="28"/>
  <c r="K1762" i="28"/>
  <c r="J1762" i="28"/>
  <c r="I1762" i="28"/>
  <c r="K1761" i="28"/>
  <c r="J1761" i="28"/>
  <c r="I1761" i="28"/>
  <c r="K1760" i="28"/>
  <c r="J1760" i="28"/>
  <c r="I1760" i="28"/>
  <c r="K1759" i="28"/>
  <c r="J1759" i="28"/>
  <c r="I1759" i="28"/>
  <c r="K1758" i="28"/>
  <c r="J1758" i="28"/>
  <c r="I1758" i="28"/>
  <c r="K1757" i="28"/>
  <c r="J1757" i="28"/>
  <c r="I1757" i="28"/>
  <c r="K1756" i="28"/>
  <c r="J1756" i="28"/>
  <c r="I1756" i="28"/>
  <c r="K1755" i="28"/>
  <c r="J1755" i="28"/>
  <c r="I1755" i="28"/>
  <c r="K1754" i="28"/>
  <c r="J1754" i="28"/>
  <c r="I1754" i="28"/>
  <c r="K1753" i="28"/>
  <c r="J1753" i="28"/>
  <c r="I1753" i="28"/>
  <c r="K1749" i="28"/>
  <c r="J1749" i="28"/>
  <c r="I1749" i="28"/>
  <c r="K1748" i="28"/>
  <c r="J1748" i="28"/>
  <c r="I1748" i="28"/>
  <c r="K1747" i="28"/>
  <c r="J1747" i="28"/>
  <c r="I1747" i="28"/>
  <c r="K1746" i="28"/>
  <c r="J1746" i="28"/>
  <c r="I1746" i="28"/>
  <c r="K1745" i="28"/>
  <c r="J1745" i="28"/>
  <c r="I1745" i="28"/>
  <c r="K1744" i="28"/>
  <c r="J1744" i="28"/>
  <c r="I1744" i="28"/>
  <c r="K1743" i="28"/>
  <c r="J1743" i="28"/>
  <c r="I1743" i="28"/>
  <c r="K1742" i="28"/>
  <c r="J1742" i="28"/>
  <c r="I1742" i="28"/>
  <c r="K1741" i="28"/>
  <c r="J1741" i="28"/>
  <c r="I1741" i="28"/>
  <c r="K1740" i="28"/>
  <c r="J1740" i="28"/>
  <c r="I1740" i="28"/>
  <c r="K1739" i="28"/>
  <c r="J1739" i="28"/>
  <c r="I1739" i="28"/>
  <c r="K1738" i="28"/>
  <c r="J1738" i="28"/>
  <c r="I1738" i="28"/>
  <c r="K1737" i="28"/>
  <c r="J1737" i="28"/>
  <c r="I1737" i="28"/>
  <c r="K1736" i="28"/>
  <c r="J1736" i="28"/>
  <c r="I1736" i="28"/>
  <c r="K1735" i="28"/>
  <c r="J1735" i="28"/>
  <c r="I1735" i="28"/>
  <c r="K1734" i="28"/>
  <c r="J1734" i="28"/>
  <c r="I1734" i="28"/>
  <c r="K1730" i="28"/>
  <c r="J1730" i="28"/>
  <c r="I1730" i="28"/>
  <c r="K1729" i="28"/>
  <c r="J1729" i="28"/>
  <c r="I1729" i="28"/>
  <c r="K1728" i="28"/>
  <c r="J1728" i="28"/>
  <c r="I1728" i="28"/>
  <c r="K1727" i="28"/>
  <c r="J1727" i="28"/>
  <c r="I1727" i="28"/>
  <c r="K1726" i="28"/>
  <c r="J1726" i="28"/>
  <c r="I1726" i="28"/>
  <c r="K1725" i="28"/>
  <c r="J1725" i="28"/>
  <c r="I1725" i="28"/>
  <c r="K1724" i="28"/>
  <c r="J1724" i="28"/>
  <c r="I1724" i="28"/>
  <c r="K1723" i="28"/>
  <c r="J1723" i="28"/>
  <c r="I1723" i="28"/>
  <c r="K1722" i="28"/>
  <c r="J1722" i="28"/>
  <c r="I1722" i="28"/>
  <c r="K1721" i="28"/>
  <c r="J1721" i="28"/>
  <c r="I1721" i="28"/>
  <c r="K1720" i="28"/>
  <c r="J1720" i="28"/>
  <c r="I1720" i="28"/>
  <c r="K1719" i="28"/>
  <c r="J1719" i="28"/>
  <c r="I1719" i="28"/>
  <c r="K1718" i="28"/>
  <c r="J1718" i="28"/>
  <c r="I1718" i="28"/>
  <c r="K1717" i="28"/>
  <c r="J1717" i="28"/>
  <c r="I1717" i="28"/>
  <c r="K1716" i="28"/>
  <c r="J1716" i="28"/>
  <c r="I1716" i="28"/>
  <c r="K1715" i="28"/>
  <c r="J1715" i="28"/>
  <c r="I1715" i="28"/>
  <c r="K1711" i="28"/>
  <c r="J1711" i="28"/>
  <c r="I1711" i="28"/>
  <c r="K1710" i="28"/>
  <c r="J1710" i="28"/>
  <c r="I1710" i="28"/>
  <c r="K1709" i="28"/>
  <c r="J1709" i="28"/>
  <c r="I1709" i="28"/>
  <c r="K1708" i="28"/>
  <c r="J1708" i="28"/>
  <c r="I1708" i="28"/>
  <c r="K1707" i="28"/>
  <c r="J1707" i="28"/>
  <c r="I1707" i="28"/>
  <c r="K1706" i="28"/>
  <c r="J1706" i="28"/>
  <c r="I1706" i="28"/>
  <c r="K1705" i="28"/>
  <c r="J1705" i="28"/>
  <c r="I1705" i="28"/>
  <c r="K1704" i="28"/>
  <c r="J1704" i="28"/>
  <c r="I1704" i="28"/>
  <c r="K1703" i="28"/>
  <c r="J1703" i="28"/>
  <c r="I1703" i="28"/>
  <c r="K1702" i="28"/>
  <c r="J1702" i="28"/>
  <c r="I1702" i="28"/>
  <c r="K1701" i="28"/>
  <c r="J1701" i="28"/>
  <c r="I1701" i="28"/>
  <c r="K1700" i="28"/>
  <c r="J1700" i="28"/>
  <c r="I1700" i="28"/>
  <c r="K1699" i="28"/>
  <c r="J1699" i="28"/>
  <c r="I1699" i="28"/>
  <c r="K1698" i="28"/>
  <c r="J1698" i="28"/>
  <c r="I1698" i="28"/>
  <c r="K1697" i="28"/>
  <c r="J1697" i="28"/>
  <c r="I1697" i="28"/>
  <c r="K1696" i="28"/>
  <c r="J1696" i="28"/>
  <c r="I1696" i="28"/>
  <c r="K1692" i="28"/>
  <c r="J1692" i="28"/>
  <c r="I1692" i="28"/>
  <c r="K1691" i="28"/>
  <c r="J1691" i="28"/>
  <c r="I1691" i="28"/>
  <c r="K1690" i="28"/>
  <c r="J1690" i="28"/>
  <c r="I1690" i="28"/>
  <c r="K1689" i="28"/>
  <c r="J1689" i="28"/>
  <c r="I1689" i="28"/>
  <c r="K1688" i="28"/>
  <c r="J1688" i="28"/>
  <c r="I1688" i="28"/>
  <c r="K1687" i="28"/>
  <c r="J1687" i="28"/>
  <c r="I1687" i="28"/>
  <c r="K1686" i="28"/>
  <c r="J1686" i="28"/>
  <c r="I1686" i="28"/>
  <c r="K1685" i="28"/>
  <c r="J1685" i="28"/>
  <c r="I1685" i="28"/>
  <c r="K1684" i="28"/>
  <c r="J1684" i="28"/>
  <c r="I1684" i="28"/>
  <c r="K1683" i="28"/>
  <c r="J1683" i="28"/>
  <c r="I1683" i="28"/>
  <c r="K1682" i="28"/>
  <c r="J1682" i="28"/>
  <c r="I1682" i="28"/>
  <c r="K1681" i="28"/>
  <c r="J1681" i="28"/>
  <c r="I1681" i="28"/>
  <c r="K1680" i="28"/>
  <c r="J1680" i="28"/>
  <c r="I1680" i="28"/>
  <c r="K1679" i="28"/>
  <c r="J1679" i="28"/>
  <c r="I1679" i="28"/>
  <c r="K1678" i="28"/>
  <c r="J1678" i="28"/>
  <c r="I1678" i="28"/>
  <c r="K1677" i="28"/>
  <c r="J1677" i="28"/>
  <c r="I1677" i="28"/>
  <c r="K1673" i="28"/>
  <c r="J1673" i="28"/>
  <c r="I1673" i="28"/>
  <c r="K1672" i="28"/>
  <c r="J1672" i="28"/>
  <c r="I1672" i="28"/>
  <c r="K1671" i="28"/>
  <c r="J1671" i="28"/>
  <c r="I1671" i="28"/>
  <c r="K1670" i="28"/>
  <c r="J1670" i="28"/>
  <c r="I1670" i="28"/>
  <c r="K1669" i="28"/>
  <c r="J1669" i="28"/>
  <c r="I1669" i="28"/>
  <c r="K1668" i="28"/>
  <c r="J1668" i="28"/>
  <c r="I1668" i="28"/>
  <c r="K1667" i="28"/>
  <c r="J1667" i="28"/>
  <c r="I1667" i="28"/>
  <c r="K1666" i="28"/>
  <c r="J1666" i="28"/>
  <c r="I1666" i="28"/>
  <c r="K1665" i="28"/>
  <c r="J1665" i="28"/>
  <c r="I1665" i="28"/>
  <c r="K1664" i="28"/>
  <c r="J1664" i="28"/>
  <c r="I1664" i="28"/>
  <c r="K1663" i="28"/>
  <c r="J1663" i="28"/>
  <c r="I1663" i="28"/>
  <c r="K1662" i="28"/>
  <c r="J1662" i="28"/>
  <c r="I1662" i="28"/>
  <c r="K1661" i="28"/>
  <c r="J1661" i="28"/>
  <c r="I1661" i="28"/>
  <c r="K1660" i="28"/>
  <c r="J1660" i="28"/>
  <c r="I1660" i="28"/>
  <c r="K1659" i="28"/>
  <c r="J1659" i="28"/>
  <c r="I1659" i="28"/>
  <c r="K1658" i="28"/>
  <c r="J1658" i="28"/>
  <c r="I1658" i="28"/>
  <c r="K1654" i="28"/>
  <c r="J1654" i="28"/>
  <c r="I1654" i="28"/>
  <c r="K1653" i="28"/>
  <c r="J1653" i="28"/>
  <c r="I1653" i="28"/>
  <c r="K1652" i="28"/>
  <c r="J1652" i="28"/>
  <c r="I1652" i="28"/>
  <c r="K1651" i="28"/>
  <c r="J1651" i="28"/>
  <c r="I1651" i="28"/>
  <c r="K1650" i="28"/>
  <c r="J1650" i="28"/>
  <c r="I1650" i="28"/>
  <c r="K1649" i="28"/>
  <c r="J1649" i="28"/>
  <c r="I1649" i="28"/>
  <c r="K1648" i="28"/>
  <c r="J1648" i="28"/>
  <c r="I1648" i="28"/>
  <c r="K1647" i="28"/>
  <c r="J1647" i="28"/>
  <c r="I1647" i="28"/>
  <c r="K1646" i="28"/>
  <c r="J1646" i="28"/>
  <c r="I1646" i="28"/>
  <c r="K1645" i="28"/>
  <c r="J1645" i="28"/>
  <c r="I1645" i="28"/>
  <c r="K1644" i="28"/>
  <c r="J1644" i="28"/>
  <c r="I1644" i="28"/>
  <c r="K1643" i="28"/>
  <c r="J1643" i="28"/>
  <c r="I1643" i="28"/>
  <c r="K1642" i="28"/>
  <c r="J1642" i="28"/>
  <c r="I1642" i="28"/>
  <c r="K1641" i="28"/>
  <c r="J1641" i="28"/>
  <c r="I1641" i="28"/>
  <c r="K1640" i="28"/>
  <c r="J1640" i="28"/>
  <c r="I1640" i="28"/>
  <c r="K1639" i="28"/>
  <c r="J1639" i="28"/>
  <c r="I1639" i="28"/>
  <c r="K1635" i="28"/>
  <c r="J1635" i="28"/>
  <c r="K1634" i="28"/>
  <c r="J1634" i="28"/>
  <c r="K1633" i="28"/>
  <c r="J1633" i="28"/>
  <c r="K1632" i="28"/>
  <c r="J1632" i="28"/>
  <c r="I1632" i="28"/>
  <c r="K1631" i="28"/>
  <c r="J1631" i="28"/>
  <c r="I1631" i="28"/>
  <c r="K1630" i="28"/>
  <c r="J1630" i="28"/>
  <c r="I1630" i="28"/>
  <c r="K1629" i="28"/>
  <c r="J1629" i="28"/>
  <c r="I1629" i="28"/>
  <c r="K1628" i="28"/>
  <c r="J1628" i="28"/>
  <c r="I1628" i="28"/>
  <c r="K1627" i="28"/>
  <c r="J1627" i="28"/>
  <c r="I1627" i="28"/>
  <c r="K1626" i="28"/>
  <c r="J1626" i="28"/>
  <c r="I1626" i="28"/>
  <c r="K1625" i="28"/>
  <c r="J1625" i="28"/>
  <c r="I1625" i="28"/>
  <c r="K1624" i="28"/>
  <c r="J1624" i="28"/>
  <c r="I1624" i="28"/>
  <c r="K1623" i="28"/>
  <c r="J1623" i="28"/>
  <c r="I1623" i="28"/>
  <c r="K1622" i="28"/>
  <c r="J1622" i="28"/>
  <c r="I1622" i="28"/>
  <c r="K1621" i="28"/>
  <c r="J1621" i="28"/>
  <c r="I1621" i="28"/>
  <c r="K1620" i="28"/>
  <c r="J1620" i="28"/>
  <c r="I1620" i="28"/>
  <c r="K1616" i="28"/>
  <c r="J1616" i="28"/>
  <c r="I1616" i="28"/>
  <c r="K1615" i="28"/>
  <c r="J1615" i="28"/>
  <c r="I1615" i="28"/>
  <c r="K1614" i="28"/>
  <c r="J1614" i="28"/>
  <c r="I1614" i="28"/>
  <c r="K1613" i="28"/>
  <c r="J1613" i="28"/>
  <c r="I1613" i="28"/>
  <c r="K1612" i="28"/>
  <c r="J1612" i="28"/>
  <c r="I1612" i="28"/>
  <c r="K1611" i="28"/>
  <c r="J1611" i="28"/>
  <c r="I1611" i="28"/>
  <c r="K1610" i="28"/>
  <c r="J1610" i="28"/>
  <c r="I1610" i="28"/>
  <c r="K1609" i="28"/>
  <c r="J1609" i="28"/>
  <c r="I1609" i="28"/>
  <c r="K1608" i="28"/>
  <c r="J1608" i="28"/>
  <c r="I1608" i="28"/>
  <c r="K1605" i="28"/>
  <c r="J1605" i="28"/>
  <c r="I1605" i="28"/>
  <c r="K1604" i="28"/>
  <c r="J1604" i="28"/>
  <c r="I1604" i="28"/>
  <c r="K1607" i="28"/>
  <c r="J1607" i="28"/>
  <c r="I1607" i="28"/>
  <c r="K1603" i="28"/>
  <c r="J1603" i="28"/>
  <c r="I1603" i="28"/>
  <c r="K1602" i="28"/>
  <c r="J1602" i="28"/>
  <c r="I1602" i="28"/>
  <c r="K1601" i="28"/>
  <c r="J1601" i="28"/>
  <c r="I1601" i="28"/>
  <c r="K1606" i="28"/>
  <c r="J1606" i="28"/>
  <c r="I1606" i="28"/>
  <c r="K1597" i="28"/>
  <c r="J1597" i="28"/>
  <c r="I1597" i="28"/>
  <c r="K1596" i="28"/>
  <c r="J1596" i="28"/>
  <c r="I1596" i="28"/>
  <c r="K1595" i="28"/>
  <c r="J1595" i="28"/>
  <c r="I1595" i="28"/>
  <c r="K1594" i="28"/>
  <c r="J1594" i="28"/>
  <c r="I1594" i="28"/>
  <c r="K1593" i="28"/>
  <c r="J1593" i="28"/>
  <c r="I1593" i="28"/>
  <c r="K1592" i="28"/>
  <c r="J1592" i="28"/>
  <c r="I1592" i="28"/>
  <c r="K1591" i="28"/>
  <c r="J1591" i="28"/>
  <c r="I1591" i="28"/>
  <c r="K1590" i="28"/>
  <c r="J1590" i="28"/>
  <c r="I1590" i="28"/>
  <c r="K1589" i="28"/>
  <c r="J1589" i="28"/>
  <c r="I1589" i="28"/>
  <c r="K1588" i="28"/>
  <c r="J1588" i="28"/>
  <c r="I1588" i="28"/>
  <c r="K1587" i="28"/>
  <c r="J1587" i="28"/>
  <c r="I1587" i="28"/>
  <c r="K1586" i="28"/>
  <c r="J1586" i="28"/>
  <c r="I1586" i="28"/>
  <c r="K1585" i="28"/>
  <c r="J1585" i="28"/>
  <c r="I1585" i="28"/>
  <c r="K1584" i="28"/>
  <c r="J1584" i="28"/>
  <c r="I1584" i="28"/>
  <c r="K1583" i="28"/>
  <c r="J1583" i="28"/>
  <c r="I1583" i="28"/>
  <c r="K1582" i="28"/>
  <c r="J1582" i="28"/>
  <c r="I1582" i="28"/>
  <c r="K1578" i="28"/>
  <c r="J1578" i="28"/>
  <c r="K1577" i="28"/>
  <c r="J1577" i="28"/>
  <c r="K1576" i="28"/>
  <c r="J1576" i="28"/>
  <c r="K1575" i="28"/>
  <c r="J1575" i="28"/>
  <c r="K1574" i="28"/>
  <c r="J1574" i="28"/>
  <c r="K1573" i="28"/>
  <c r="J1573" i="28"/>
  <c r="K1572" i="28"/>
  <c r="J1572" i="28"/>
  <c r="K1571" i="28"/>
  <c r="J1571" i="28"/>
  <c r="K1570" i="28"/>
  <c r="J1570" i="28"/>
  <c r="I1570" i="28"/>
  <c r="K1569" i="28"/>
  <c r="J1569" i="28"/>
  <c r="I1569" i="28"/>
  <c r="K1568" i="28"/>
  <c r="J1568" i="28"/>
  <c r="I1568" i="28"/>
  <c r="K1567" i="28"/>
  <c r="J1567" i="28"/>
  <c r="I1567" i="28"/>
  <c r="K1566" i="28"/>
  <c r="J1566" i="28"/>
  <c r="I1566" i="28"/>
  <c r="K1565" i="28"/>
  <c r="J1565" i="28"/>
  <c r="I1565" i="28"/>
  <c r="K1564" i="28"/>
  <c r="J1564" i="28"/>
  <c r="I1564" i="28"/>
  <c r="K1563" i="28"/>
  <c r="J1563" i="28"/>
  <c r="I1563" i="28"/>
  <c r="K1559" i="28"/>
  <c r="J1559" i="28"/>
  <c r="K1558" i="28"/>
  <c r="J1558" i="28"/>
  <c r="K1557" i="28"/>
  <c r="J1557" i="28"/>
  <c r="I1557" i="28"/>
  <c r="K1556" i="28"/>
  <c r="J1556" i="28"/>
  <c r="I1556" i="28"/>
  <c r="K1555" i="28"/>
  <c r="J1555" i="28"/>
  <c r="I1555" i="28"/>
  <c r="K1554" i="28"/>
  <c r="J1554" i="28"/>
  <c r="I1554" i="28"/>
  <c r="K1553" i="28"/>
  <c r="J1553" i="28"/>
  <c r="I1553" i="28"/>
  <c r="K1549" i="28"/>
  <c r="J1549" i="28"/>
  <c r="I1549" i="28"/>
  <c r="K1552" i="28"/>
  <c r="J1552" i="28"/>
  <c r="I1552" i="28"/>
  <c r="K1548" i="28"/>
  <c r="J1548" i="28"/>
  <c r="I1548" i="28"/>
  <c r="K1551" i="28"/>
  <c r="J1551" i="28"/>
  <c r="I1551" i="28"/>
  <c r="K1547" i="28"/>
  <c r="J1547" i="28"/>
  <c r="I1547" i="28"/>
  <c r="K1546" i="28"/>
  <c r="J1546" i="28"/>
  <c r="I1546" i="28"/>
  <c r="K1550" i="28"/>
  <c r="J1550" i="28"/>
  <c r="I1550" i="28"/>
  <c r="K1545" i="28"/>
  <c r="J1545" i="28"/>
  <c r="I1545" i="28"/>
  <c r="K1544" i="28"/>
  <c r="J1544" i="28"/>
  <c r="I1544" i="28"/>
  <c r="K1540" i="28"/>
  <c r="J1540" i="28"/>
  <c r="K1539" i="28"/>
  <c r="J1539" i="28"/>
  <c r="K1538" i="28"/>
  <c r="J1538" i="28"/>
  <c r="K1537" i="28"/>
  <c r="J1537" i="28"/>
  <c r="K1536" i="28"/>
  <c r="J1536" i="28"/>
  <c r="K1535" i="28"/>
  <c r="J1535" i="28"/>
  <c r="K1534" i="28"/>
  <c r="J1534" i="28"/>
  <c r="K1533" i="28"/>
  <c r="J1533" i="28"/>
  <c r="K1532" i="28"/>
  <c r="J1532" i="28"/>
  <c r="K1531" i="28"/>
  <c r="J1531" i="28"/>
  <c r="I1531" i="28"/>
  <c r="K1530" i="28"/>
  <c r="J1530" i="28"/>
  <c r="I1530" i="28"/>
  <c r="K1529" i="28"/>
  <c r="J1529" i="28"/>
  <c r="I1529" i="28"/>
  <c r="K1528" i="28"/>
  <c r="J1528" i="28"/>
  <c r="I1528" i="28"/>
  <c r="K1527" i="28"/>
  <c r="J1527" i="28"/>
  <c r="I1527" i="28"/>
  <c r="K1526" i="28"/>
  <c r="J1526" i="28"/>
  <c r="I1526" i="28"/>
  <c r="K1525" i="28"/>
  <c r="J1525" i="28"/>
  <c r="I1525" i="28"/>
  <c r="K1521" i="28"/>
  <c r="J1521" i="28"/>
  <c r="K1520" i="28"/>
  <c r="J1520" i="28"/>
  <c r="K1519" i="28"/>
  <c r="J1519" i="28"/>
  <c r="K1518" i="28"/>
  <c r="J1518" i="28"/>
  <c r="K1517" i="28"/>
  <c r="J1517" i="28"/>
  <c r="K1516" i="28"/>
  <c r="J1516" i="28"/>
  <c r="K1515" i="28"/>
  <c r="J1515" i="28"/>
  <c r="K1514" i="28"/>
  <c r="J1514" i="28"/>
  <c r="K1513" i="28"/>
  <c r="J1513" i="28"/>
  <c r="K1512" i="28"/>
  <c r="J1512" i="28"/>
  <c r="I1512" i="28"/>
  <c r="K1511" i="28"/>
  <c r="J1511" i="28"/>
  <c r="I1511" i="28"/>
  <c r="K1510" i="28"/>
  <c r="J1510" i="28"/>
  <c r="I1510" i="28"/>
  <c r="K1509" i="28"/>
  <c r="J1509" i="28"/>
  <c r="I1509" i="28"/>
  <c r="K1508" i="28"/>
  <c r="J1508" i="28"/>
  <c r="I1508" i="28"/>
  <c r="K1507" i="28"/>
  <c r="J1507" i="28"/>
  <c r="I1507" i="28"/>
  <c r="K1506" i="28"/>
  <c r="J1506" i="28"/>
  <c r="I1506" i="28"/>
  <c r="K1502" i="28"/>
  <c r="J1502" i="28"/>
  <c r="K1501" i="28"/>
  <c r="J1501" i="28"/>
  <c r="K1500" i="28"/>
  <c r="J1500" i="28"/>
  <c r="K1499" i="28"/>
  <c r="J1499" i="28"/>
  <c r="K1498" i="28"/>
  <c r="J1498" i="28"/>
  <c r="K1497" i="28"/>
  <c r="J1497" i="28"/>
  <c r="I1497" i="28"/>
  <c r="K1496" i="28"/>
  <c r="J1496" i="28"/>
  <c r="I1496" i="28"/>
  <c r="K1495" i="28"/>
  <c r="J1495" i="28"/>
  <c r="I1495" i="28"/>
  <c r="K1494" i="28"/>
  <c r="J1494" i="28"/>
  <c r="I1494" i="28"/>
  <c r="K1493" i="28"/>
  <c r="J1493" i="28"/>
  <c r="I1493" i="28"/>
  <c r="K1492" i="28"/>
  <c r="J1492" i="28"/>
  <c r="I1492" i="28"/>
  <c r="K1491" i="28"/>
  <c r="J1491" i="28"/>
  <c r="I1491" i="28"/>
  <c r="K1490" i="28"/>
  <c r="J1490" i="28"/>
  <c r="I1490" i="28"/>
  <c r="K1489" i="28"/>
  <c r="J1489" i="28"/>
  <c r="I1489" i="28"/>
  <c r="K1488" i="28"/>
  <c r="J1488" i="28"/>
  <c r="I1488" i="28"/>
  <c r="K1487" i="28"/>
  <c r="J1487" i="28"/>
  <c r="I1487" i="28"/>
  <c r="K1483" i="28"/>
  <c r="J1483" i="28"/>
  <c r="K1482" i="28"/>
  <c r="J1482" i="28"/>
  <c r="K1481" i="28"/>
  <c r="J1481" i="28"/>
  <c r="K1480" i="28"/>
  <c r="J1480" i="28"/>
  <c r="K1479" i="28"/>
  <c r="J1479" i="28"/>
  <c r="K1478" i="28"/>
  <c r="J1478" i="28"/>
  <c r="K1477" i="28"/>
  <c r="J1477" i="28"/>
  <c r="K1476" i="28"/>
  <c r="J1476" i="28"/>
  <c r="K1475" i="28"/>
  <c r="J1475" i="28"/>
  <c r="K1474" i="28"/>
  <c r="J1474" i="28"/>
  <c r="I1474" i="28"/>
  <c r="K1473" i="28"/>
  <c r="J1473" i="28"/>
  <c r="I1473" i="28"/>
  <c r="K1472" i="28"/>
  <c r="J1472" i="28"/>
  <c r="I1472" i="28"/>
  <c r="K1471" i="28"/>
  <c r="J1471" i="28"/>
  <c r="I1471" i="28"/>
  <c r="K1470" i="28"/>
  <c r="J1470" i="28"/>
  <c r="I1470" i="28"/>
  <c r="K1469" i="28"/>
  <c r="J1469" i="28"/>
  <c r="I1469" i="28"/>
  <c r="K1468" i="28"/>
  <c r="J1468" i="28"/>
  <c r="I1468" i="28"/>
  <c r="K1464" i="28"/>
  <c r="J1464" i="28"/>
  <c r="K1463" i="28"/>
  <c r="J1463" i="28"/>
  <c r="K1462" i="28"/>
  <c r="J1462" i="28"/>
  <c r="K1461" i="28"/>
  <c r="J1461" i="28"/>
  <c r="K1460" i="28"/>
  <c r="J1460" i="28"/>
  <c r="K1459" i="28"/>
  <c r="J1459" i="28"/>
  <c r="K1458" i="28"/>
  <c r="J1458" i="28"/>
  <c r="K1457" i="28"/>
  <c r="J1457" i="28"/>
  <c r="K1456" i="28"/>
  <c r="J1456" i="28"/>
  <c r="K1455" i="28"/>
  <c r="J1455" i="28"/>
  <c r="I1455" i="28"/>
  <c r="K1454" i="28"/>
  <c r="J1454" i="28"/>
  <c r="I1454" i="28"/>
  <c r="K1453" i="28"/>
  <c r="J1453" i="28"/>
  <c r="I1453" i="28"/>
  <c r="K1452" i="28"/>
  <c r="J1452" i="28"/>
  <c r="I1452" i="28"/>
  <c r="K1451" i="28"/>
  <c r="J1451" i="28"/>
  <c r="I1451" i="28"/>
  <c r="K1450" i="28"/>
  <c r="J1450" i="28"/>
  <c r="I1450" i="28"/>
  <c r="K1449" i="28"/>
  <c r="J1449" i="28"/>
  <c r="I1449" i="28"/>
  <c r="K1445" i="28"/>
  <c r="J1445" i="28"/>
  <c r="K1444" i="28"/>
  <c r="J1444" i="28"/>
  <c r="K1443" i="28"/>
  <c r="J1443" i="28"/>
  <c r="K1442" i="28"/>
  <c r="J1442" i="28"/>
  <c r="K1441" i="28"/>
  <c r="J1441" i="28"/>
  <c r="K1440" i="28"/>
  <c r="J1440" i="28"/>
  <c r="I1440" i="28"/>
  <c r="K1439" i="28"/>
  <c r="J1439" i="28"/>
  <c r="I1439" i="28"/>
  <c r="K1438" i="28"/>
  <c r="J1438" i="28"/>
  <c r="I1438" i="28"/>
  <c r="K1437" i="28"/>
  <c r="J1437" i="28"/>
  <c r="I1437" i="28"/>
  <c r="K1436" i="28"/>
  <c r="J1436" i="28"/>
  <c r="I1436" i="28"/>
  <c r="K1435" i="28"/>
  <c r="J1435" i="28"/>
  <c r="I1435" i="28"/>
  <c r="K1434" i="28"/>
  <c r="J1434" i="28"/>
  <c r="I1434" i="28"/>
  <c r="K1433" i="28"/>
  <c r="J1433" i="28"/>
  <c r="I1433" i="28"/>
  <c r="K1432" i="28"/>
  <c r="J1432" i="28"/>
  <c r="I1432" i="28"/>
  <c r="K1431" i="28"/>
  <c r="J1431" i="28"/>
  <c r="I1431" i="28"/>
  <c r="K1430" i="28"/>
  <c r="J1430" i="28"/>
  <c r="I1430" i="28"/>
  <c r="Y30" i="10" l="1"/>
  <c r="AA37" i="15"/>
  <c r="BQ32" i="2" s="1"/>
  <c r="K1426" i="28"/>
  <c r="J1426" i="28"/>
  <c r="I1426" i="28"/>
  <c r="K1425" i="28"/>
  <c r="J1425" i="28"/>
  <c r="I1425" i="28"/>
  <c r="K1424" i="28"/>
  <c r="J1424" i="28"/>
  <c r="I1424" i="28"/>
  <c r="K1423" i="28"/>
  <c r="J1423" i="28"/>
  <c r="I1423" i="28"/>
  <c r="K1422" i="28"/>
  <c r="J1422" i="28"/>
  <c r="I1422" i="28"/>
  <c r="K1421" i="28"/>
  <c r="J1421" i="28"/>
  <c r="I1421" i="28"/>
  <c r="K1420" i="28"/>
  <c r="J1420" i="28"/>
  <c r="I1420" i="28"/>
  <c r="K1419" i="28"/>
  <c r="J1419" i="28"/>
  <c r="I1419" i="28"/>
  <c r="K1418" i="28"/>
  <c r="J1418" i="28"/>
  <c r="I1418" i="28"/>
  <c r="K1417" i="28"/>
  <c r="J1417" i="28"/>
  <c r="I1417" i="28"/>
  <c r="K1416" i="28"/>
  <c r="J1416" i="28"/>
  <c r="I1416" i="28"/>
  <c r="K1415" i="28"/>
  <c r="J1415" i="28"/>
  <c r="I1415" i="28"/>
  <c r="K1414" i="28"/>
  <c r="J1414" i="28"/>
  <c r="I1414" i="28"/>
  <c r="K1413" i="28"/>
  <c r="J1413" i="28"/>
  <c r="I1413" i="28"/>
  <c r="K1412" i="28"/>
  <c r="J1412" i="28"/>
  <c r="I1412" i="28"/>
  <c r="K1411" i="28"/>
  <c r="J1411" i="28"/>
  <c r="I1411" i="28"/>
  <c r="K1407" i="28"/>
  <c r="J1407" i="28"/>
  <c r="K1406" i="28"/>
  <c r="J1406" i="28"/>
  <c r="K1405" i="28"/>
  <c r="J1405" i="28"/>
  <c r="K1404" i="28"/>
  <c r="J1404" i="28"/>
  <c r="K1403" i="28"/>
  <c r="J1403" i="28"/>
  <c r="K1402" i="28"/>
  <c r="J1402" i="28"/>
  <c r="K1401" i="28"/>
  <c r="J1401" i="28"/>
  <c r="I1401" i="28"/>
  <c r="K1400" i="28"/>
  <c r="J1400" i="28"/>
  <c r="I1400" i="28"/>
  <c r="K1399" i="28"/>
  <c r="J1399" i="28"/>
  <c r="I1399" i="28"/>
  <c r="K1398" i="28"/>
  <c r="J1398" i="28"/>
  <c r="I1398" i="28"/>
  <c r="K1397" i="28"/>
  <c r="J1397" i="28"/>
  <c r="I1397" i="28"/>
  <c r="K1396" i="28"/>
  <c r="J1396" i="28"/>
  <c r="I1396" i="28"/>
  <c r="K1395" i="28"/>
  <c r="J1395" i="28"/>
  <c r="I1395" i="28"/>
  <c r="K1394" i="28"/>
  <c r="J1394" i="28"/>
  <c r="I1394" i="28"/>
  <c r="K1393" i="28"/>
  <c r="J1393" i="28"/>
  <c r="I1393" i="28"/>
  <c r="K1392" i="28"/>
  <c r="J1392" i="28"/>
  <c r="I1392" i="28"/>
  <c r="K1388" i="28"/>
  <c r="J1388" i="28"/>
  <c r="I1388" i="28"/>
  <c r="K1387" i="28"/>
  <c r="J1387" i="28"/>
  <c r="I1387" i="28"/>
  <c r="K1386" i="28"/>
  <c r="J1386" i="28"/>
  <c r="I1386" i="28"/>
  <c r="K1385" i="28"/>
  <c r="J1385" i="28"/>
  <c r="I1385" i="28"/>
  <c r="K1384" i="28"/>
  <c r="J1384" i="28"/>
  <c r="I1384" i="28"/>
  <c r="K1383" i="28"/>
  <c r="J1383" i="28"/>
  <c r="I1383" i="28"/>
  <c r="K1382" i="28"/>
  <c r="J1382" i="28"/>
  <c r="I1382" i="28"/>
  <c r="K1381" i="28"/>
  <c r="J1381" i="28"/>
  <c r="I1381" i="28"/>
  <c r="K1380" i="28"/>
  <c r="J1380" i="28"/>
  <c r="I1380" i="28"/>
  <c r="K1379" i="28"/>
  <c r="J1379" i="28"/>
  <c r="I1379" i="28"/>
  <c r="K1378" i="28"/>
  <c r="J1378" i="28"/>
  <c r="I1378" i="28"/>
  <c r="K1377" i="28"/>
  <c r="J1377" i="28"/>
  <c r="I1377" i="28"/>
  <c r="K1376" i="28"/>
  <c r="J1376" i="28"/>
  <c r="I1376" i="28"/>
  <c r="K1375" i="28"/>
  <c r="J1375" i="28"/>
  <c r="I1375" i="28"/>
  <c r="K1374" i="28"/>
  <c r="J1374" i="28"/>
  <c r="I1374" i="28"/>
  <c r="K1373" i="28"/>
  <c r="J1373" i="28"/>
  <c r="I1373" i="28"/>
  <c r="K1369" i="28"/>
  <c r="J1369" i="28"/>
  <c r="I1369" i="28"/>
  <c r="K1368" i="28"/>
  <c r="J1368" i="28"/>
  <c r="I1368" i="28"/>
  <c r="K1367" i="28"/>
  <c r="J1367" i="28"/>
  <c r="I1367" i="28"/>
  <c r="K1366" i="28"/>
  <c r="J1366" i="28"/>
  <c r="I1366" i="28"/>
  <c r="K1365" i="28"/>
  <c r="J1365" i="28"/>
  <c r="I1365" i="28"/>
  <c r="K1364" i="28"/>
  <c r="J1364" i="28"/>
  <c r="I1364" i="28"/>
  <c r="K1363" i="28"/>
  <c r="J1363" i="28"/>
  <c r="I1363" i="28"/>
  <c r="K1362" i="28"/>
  <c r="J1362" i="28"/>
  <c r="I1362" i="28"/>
  <c r="K1361" i="28"/>
  <c r="J1361" i="28"/>
  <c r="I1361" i="28"/>
  <c r="K1360" i="28"/>
  <c r="J1360" i="28"/>
  <c r="I1360" i="28"/>
  <c r="K1359" i="28"/>
  <c r="J1359" i="28"/>
  <c r="I1359" i="28"/>
  <c r="K1358" i="28"/>
  <c r="J1358" i="28"/>
  <c r="I1358" i="28"/>
  <c r="K1357" i="28"/>
  <c r="J1357" i="28"/>
  <c r="I1357" i="28"/>
  <c r="K1356" i="28"/>
  <c r="J1356" i="28"/>
  <c r="I1356" i="28"/>
  <c r="K1355" i="28"/>
  <c r="J1355" i="28"/>
  <c r="I1355" i="28"/>
  <c r="K1354" i="28"/>
  <c r="J1354" i="28"/>
  <c r="I1354" i="28"/>
  <c r="K1350" i="28"/>
  <c r="J1350" i="28"/>
  <c r="K1349" i="28"/>
  <c r="J1349" i="28"/>
  <c r="K1348" i="28"/>
  <c r="J1348" i="28"/>
  <c r="K1347" i="28"/>
  <c r="J1347" i="28"/>
  <c r="K1346" i="28"/>
  <c r="J1346" i="28"/>
  <c r="K1345" i="28"/>
  <c r="J1345" i="28"/>
  <c r="K1344" i="28"/>
  <c r="J1344" i="28"/>
  <c r="K1343" i="28"/>
  <c r="J1343" i="28"/>
  <c r="K1342" i="28"/>
  <c r="J1342" i="28"/>
  <c r="I1342" i="28"/>
  <c r="K1341" i="28"/>
  <c r="J1341" i="28"/>
  <c r="I1341" i="28"/>
  <c r="K1340" i="28"/>
  <c r="J1340" i="28"/>
  <c r="I1340" i="28"/>
  <c r="K1339" i="28"/>
  <c r="J1339" i="28"/>
  <c r="I1339" i="28"/>
  <c r="K1338" i="28"/>
  <c r="J1338" i="28"/>
  <c r="I1338" i="28"/>
  <c r="K1337" i="28"/>
  <c r="J1337" i="28"/>
  <c r="I1337" i="28"/>
  <c r="K1336" i="28"/>
  <c r="J1336" i="28"/>
  <c r="I1336" i="28"/>
  <c r="K1335" i="28"/>
  <c r="J1335" i="28"/>
  <c r="I1335" i="28"/>
  <c r="K1331" i="28"/>
  <c r="J1331" i="28"/>
  <c r="K1330" i="28"/>
  <c r="J1330" i="28"/>
  <c r="K1329" i="28"/>
  <c r="J1329" i="28"/>
  <c r="I1329" i="28"/>
  <c r="K1328" i="28"/>
  <c r="J1328" i="28"/>
  <c r="I1328" i="28"/>
  <c r="K1327" i="28"/>
  <c r="J1327" i="28"/>
  <c r="I1327" i="28"/>
  <c r="K1326" i="28"/>
  <c r="J1326" i="28"/>
  <c r="I1326" i="28"/>
  <c r="K1325" i="28"/>
  <c r="J1325" i="28"/>
  <c r="I1325" i="28"/>
  <c r="K1324" i="28"/>
  <c r="J1324" i="28"/>
  <c r="I1324" i="28"/>
  <c r="K1323" i="28"/>
  <c r="J1323" i="28"/>
  <c r="I1323" i="28"/>
  <c r="K1322" i="28"/>
  <c r="J1322" i="28"/>
  <c r="I1322" i="28"/>
  <c r="K1321" i="28"/>
  <c r="J1321" i="28"/>
  <c r="I1321" i="28"/>
  <c r="K1320" i="28"/>
  <c r="J1320" i="28"/>
  <c r="I1320" i="28"/>
  <c r="K1319" i="28"/>
  <c r="J1319" i="28"/>
  <c r="I1319" i="28"/>
  <c r="K1318" i="28"/>
  <c r="J1318" i="28"/>
  <c r="I1318" i="28"/>
  <c r="K1317" i="28"/>
  <c r="J1317" i="28"/>
  <c r="I1317" i="28"/>
  <c r="K1316" i="28"/>
  <c r="J1316" i="28"/>
  <c r="I1316" i="28"/>
  <c r="K1312" i="28"/>
  <c r="J1312" i="28"/>
  <c r="K1311" i="28"/>
  <c r="J1311" i="28"/>
  <c r="K1310" i="28"/>
  <c r="J1310" i="28"/>
  <c r="K1309" i="28"/>
  <c r="J1309" i="28"/>
  <c r="K1308" i="28"/>
  <c r="J1308" i="28"/>
  <c r="K1307" i="28"/>
  <c r="J1307" i="28"/>
  <c r="K1306" i="28"/>
  <c r="J1306" i="28"/>
  <c r="K1305" i="28"/>
  <c r="J1305" i="28"/>
  <c r="K1304" i="28"/>
  <c r="J1304" i="28"/>
  <c r="K1303" i="28"/>
  <c r="J1303" i="28"/>
  <c r="I1303" i="28"/>
  <c r="K1302" i="28"/>
  <c r="J1302" i="28"/>
  <c r="I1302" i="28"/>
  <c r="K1301" i="28"/>
  <c r="J1301" i="28"/>
  <c r="I1301" i="28"/>
  <c r="K1300" i="28"/>
  <c r="J1300" i="28"/>
  <c r="I1300" i="28"/>
  <c r="K1299" i="28"/>
  <c r="J1299" i="28"/>
  <c r="I1299" i="28"/>
  <c r="K1298" i="28"/>
  <c r="J1298" i="28"/>
  <c r="I1298" i="28"/>
  <c r="K1297" i="28"/>
  <c r="J1297" i="28"/>
  <c r="I1297" i="28"/>
  <c r="K1293" i="28"/>
  <c r="J1293" i="28"/>
  <c r="K1292" i="28"/>
  <c r="J1292" i="28"/>
  <c r="K1291" i="28"/>
  <c r="J1291" i="28"/>
  <c r="K1290" i="28"/>
  <c r="J1290" i="28"/>
  <c r="K1289" i="28"/>
  <c r="J1289" i="28"/>
  <c r="K1288" i="28"/>
  <c r="J1288" i="28"/>
  <c r="K1287" i="28"/>
  <c r="J1287" i="28"/>
  <c r="K1286" i="28"/>
  <c r="J1286" i="28"/>
  <c r="K1285" i="28"/>
  <c r="J1285" i="28"/>
  <c r="K1284" i="28"/>
  <c r="J1284" i="28"/>
  <c r="I1284" i="28"/>
  <c r="K1283" i="28"/>
  <c r="J1283" i="28"/>
  <c r="I1283" i="28"/>
  <c r="K1282" i="28"/>
  <c r="J1282" i="28"/>
  <c r="I1282" i="28"/>
  <c r="K1281" i="28"/>
  <c r="J1281" i="28"/>
  <c r="I1281" i="28"/>
  <c r="K1280" i="28"/>
  <c r="J1280" i="28"/>
  <c r="I1280" i="28"/>
  <c r="K1279" i="28"/>
  <c r="J1279" i="28"/>
  <c r="I1279" i="28"/>
  <c r="K1278" i="28"/>
  <c r="J1278" i="28"/>
  <c r="I1278" i="28"/>
  <c r="K1274" i="28"/>
  <c r="J1274" i="28"/>
  <c r="K1273" i="28"/>
  <c r="J1273" i="28"/>
  <c r="K1272" i="28"/>
  <c r="J1272" i="28"/>
  <c r="K1271" i="28"/>
  <c r="J1271" i="28"/>
  <c r="K1270" i="28"/>
  <c r="J1270" i="28"/>
  <c r="K1269" i="28"/>
  <c r="J1269" i="28"/>
  <c r="I1269" i="28"/>
  <c r="K1268" i="28"/>
  <c r="J1268" i="28"/>
  <c r="I1268" i="28"/>
  <c r="K1267" i="28"/>
  <c r="J1267" i="28"/>
  <c r="I1267" i="28"/>
  <c r="K1266" i="28"/>
  <c r="J1266" i="28"/>
  <c r="I1266" i="28"/>
  <c r="K1265" i="28"/>
  <c r="J1265" i="28"/>
  <c r="I1265" i="28"/>
  <c r="K1264" i="28"/>
  <c r="J1264" i="28"/>
  <c r="I1264" i="28"/>
  <c r="K1263" i="28"/>
  <c r="J1263" i="28"/>
  <c r="I1263" i="28"/>
  <c r="K1262" i="28"/>
  <c r="J1262" i="28"/>
  <c r="I1262" i="28"/>
  <c r="K1261" i="28"/>
  <c r="J1261" i="28"/>
  <c r="I1261" i="28"/>
  <c r="K1260" i="28"/>
  <c r="J1260" i="28"/>
  <c r="I1260" i="28"/>
  <c r="K1259" i="28"/>
  <c r="J1259" i="28"/>
  <c r="I1259" i="28"/>
  <c r="K1255" i="28"/>
  <c r="J1255" i="28"/>
  <c r="K1254" i="28"/>
  <c r="J1254" i="28"/>
  <c r="K1253" i="28"/>
  <c r="J1253" i="28"/>
  <c r="K1252" i="28"/>
  <c r="J1252" i="28"/>
  <c r="K1251" i="28"/>
  <c r="J1251" i="28"/>
  <c r="K1250" i="28"/>
  <c r="J1250" i="28"/>
  <c r="K1249" i="28"/>
  <c r="J1249" i="28"/>
  <c r="K1248" i="28"/>
  <c r="J1248" i="28"/>
  <c r="K1247" i="28"/>
  <c r="J1247" i="28"/>
  <c r="K1246" i="28"/>
  <c r="J1246" i="28"/>
  <c r="I1246" i="28"/>
  <c r="K1245" i="28"/>
  <c r="J1245" i="28"/>
  <c r="I1245" i="28"/>
  <c r="K1244" i="28"/>
  <c r="J1244" i="28"/>
  <c r="I1244" i="28"/>
  <c r="K1243" i="28"/>
  <c r="J1243" i="28"/>
  <c r="I1243" i="28"/>
  <c r="K1242" i="28"/>
  <c r="J1242" i="28"/>
  <c r="I1242" i="28"/>
  <c r="K1241" i="28"/>
  <c r="J1241" i="28"/>
  <c r="I1241" i="28"/>
  <c r="K1240" i="28"/>
  <c r="J1240" i="28"/>
  <c r="I1240" i="28"/>
  <c r="K1236" i="28"/>
  <c r="J1236" i="28"/>
  <c r="K1235" i="28"/>
  <c r="J1235" i="28"/>
  <c r="K1234" i="28"/>
  <c r="J1234" i="28"/>
  <c r="K1233" i="28"/>
  <c r="J1233" i="28"/>
  <c r="K1232" i="28"/>
  <c r="J1232" i="28"/>
  <c r="K1231" i="28"/>
  <c r="J1231" i="28"/>
  <c r="K1230" i="28"/>
  <c r="J1230" i="28"/>
  <c r="K1229" i="28"/>
  <c r="J1229" i="28"/>
  <c r="K1228" i="28"/>
  <c r="J1228" i="28"/>
  <c r="K1227" i="28"/>
  <c r="J1227" i="28"/>
  <c r="I1227" i="28"/>
  <c r="K1226" i="28"/>
  <c r="J1226" i="28"/>
  <c r="I1226" i="28"/>
  <c r="K1225" i="28"/>
  <c r="J1225" i="28"/>
  <c r="I1225" i="28"/>
  <c r="K1224" i="28"/>
  <c r="J1224" i="28"/>
  <c r="I1224" i="28"/>
  <c r="K1223" i="28"/>
  <c r="J1223" i="28"/>
  <c r="I1223" i="28"/>
  <c r="K1222" i="28"/>
  <c r="J1222" i="28"/>
  <c r="I1222" i="28"/>
  <c r="K1221" i="28"/>
  <c r="J1221" i="28"/>
  <c r="I1221" i="28"/>
  <c r="K1217" i="28"/>
  <c r="J1217" i="28"/>
  <c r="K1216" i="28"/>
  <c r="J1216" i="28"/>
  <c r="K1215" i="28"/>
  <c r="J1215" i="28"/>
  <c r="K1214" i="28"/>
  <c r="J1214" i="28"/>
  <c r="K1213" i="28"/>
  <c r="J1213" i="28"/>
  <c r="K1212" i="28"/>
  <c r="J1212" i="28"/>
  <c r="I1212" i="28"/>
  <c r="K1211" i="28"/>
  <c r="J1211" i="28"/>
  <c r="I1211" i="28"/>
  <c r="K1210" i="28"/>
  <c r="J1210" i="28"/>
  <c r="I1210" i="28"/>
  <c r="K1209" i="28"/>
  <c r="J1209" i="28"/>
  <c r="I1209" i="28"/>
  <c r="K1208" i="28"/>
  <c r="J1208" i="28"/>
  <c r="I1208" i="28"/>
  <c r="K1207" i="28"/>
  <c r="J1207" i="28"/>
  <c r="I1207" i="28"/>
  <c r="K1206" i="28"/>
  <c r="J1206" i="28"/>
  <c r="I1206" i="28"/>
  <c r="K1205" i="28"/>
  <c r="J1205" i="28"/>
  <c r="I1205" i="28"/>
  <c r="K1204" i="28"/>
  <c r="J1204" i="28"/>
  <c r="I1204" i="28"/>
  <c r="K1203" i="28"/>
  <c r="J1203" i="28"/>
  <c r="I1203" i="28"/>
  <c r="K1202" i="28"/>
  <c r="J1202" i="28"/>
  <c r="I1202" i="28"/>
  <c r="Y31" i="10" l="1"/>
  <c r="AA38" i="15"/>
  <c r="BQ33" i="2" s="1"/>
  <c r="K1198" i="28"/>
  <c r="J1198" i="28"/>
  <c r="I1198" i="28"/>
  <c r="K1197" i="28"/>
  <c r="J1197" i="28"/>
  <c r="I1197" i="28"/>
  <c r="K1196" i="28"/>
  <c r="J1196" i="28"/>
  <c r="I1196" i="28"/>
  <c r="K1195" i="28"/>
  <c r="J1195" i="28"/>
  <c r="I1195" i="28"/>
  <c r="K1194" i="28"/>
  <c r="J1194" i="28"/>
  <c r="I1194" i="28"/>
  <c r="K1193" i="28"/>
  <c r="J1193" i="28"/>
  <c r="I1193" i="28"/>
  <c r="K1192" i="28"/>
  <c r="J1192" i="28"/>
  <c r="I1192" i="28"/>
  <c r="K1191" i="28"/>
  <c r="J1191" i="28"/>
  <c r="I1191" i="28"/>
  <c r="K1190" i="28"/>
  <c r="J1190" i="28"/>
  <c r="I1190" i="28"/>
  <c r="K1189" i="28"/>
  <c r="J1189" i="28"/>
  <c r="I1189" i="28"/>
  <c r="K1188" i="28"/>
  <c r="J1188" i="28"/>
  <c r="I1188" i="28"/>
  <c r="K1187" i="28"/>
  <c r="J1187" i="28"/>
  <c r="I1187" i="28"/>
  <c r="K1186" i="28"/>
  <c r="J1186" i="28"/>
  <c r="I1186" i="28"/>
  <c r="K1185" i="28"/>
  <c r="J1185" i="28"/>
  <c r="I1185" i="28"/>
  <c r="K1184" i="28"/>
  <c r="J1184" i="28"/>
  <c r="I1184" i="28"/>
  <c r="K1183" i="28"/>
  <c r="J1183" i="28"/>
  <c r="I1183" i="28"/>
  <c r="K1179" i="28"/>
  <c r="J1179" i="28"/>
  <c r="K1178" i="28"/>
  <c r="J1178" i="28"/>
  <c r="K1177" i="28"/>
  <c r="J1177" i="28"/>
  <c r="K1176" i="28"/>
  <c r="J1176" i="28"/>
  <c r="K1175" i="28"/>
  <c r="J1175" i="28"/>
  <c r="K1174" i="28"/>
  <c r="J1174" i="28"/>
  <c r="K1173" i="28"/>
  <c r="J1173" i="28"/>
  <c r="K1172" i="28"/>
  <c r="J1172" i="28"/>
  <c r="K1171" i="28"/>
  <c r="J1171" i="28"/>
  <c r="I1171" i="28"/>
  <c r="K1170" i="28"/>
  <c r="J1170" i="28"/>
  <c r="I1170" i="28"/>
  <c r="K1169" i="28"/>
  <c r="J1169" i="28"/>
  <c r="I1169" i="28"/>
  <c r="K1168" i="28"/>
  <c r="J1168" i="28"/>
  <c r="I1168" i="28"/>
  <c r="K1167" i="28"/>
  <c r="J1167" i="28"/>
  <c r="I1167" i="28"/>
  <c r="K1166" i="28"/>
  <c r="J1166" i="28"/>
  <c r="I1166" i="28"/>
  <c r="K1165" i="28"/>
  <c r="J1165" i="28"/>
  <c r="I1165" i="28"/>
  <c r="K1164" i="28"/>
  <c r="J1164" i="28"/>
  <c r="I1164" i="28"/>
  <c r="K1160" i="28"/>
  <c r="J1160" i="28"/>
  <c r="K1159" i="28"/>
  <c r="J1159" i="28"/>
  <c r="K1158" i="28"/>
  <c r="J1158" i="28"/>
  <c r="I1158" i="28"/>
  <c r="K1157" i="28"/>
  <c r="J1157" i="28"/>
  <c r="I1157" i="28"/>
  <c r="K1156" i="28"/>
  <c r="J1156" i="28"/>
  <c r="I1156" i="28"/>
  <c r="K1155" i="28"/>
  <c r="J1155" i="28"/>
  <c r="I1155" i="28"/>
  <c r="K1154" i="28"/>
  <c r="J1154" i="28"/>
  <c r="I1154" i="28"/>
  <c r="K1153" i="28"/>
  <c r="J1153" i="28"/>
  <c r="I1153" i="28"/>
  <c r="K1152" i="28"/>
  <c r="J1152" i="28"/>
  <c r="I1152" i="28"/>
  <c r="K1151" i="28"/>
  <c r="J1151" i="28"/>
  <c r="I1151" i="28"/>
  <c r="K1150" i="28"/>
  <c r="J1150" i="28"/>
  <c r="I1150" i="28"/>
  <c r="K1149" i="28"/>
  <c r="J1149" i="28"/>
  <c r="I1149" i="28"/>
  <c r="K1148" i="28"/>
  <c r="J1148" i="28"/>
  <c r="I1148" i="28"/>
  <c r="K1147" i="28"/>
  <c r="J1147" i="28"/>
  <c r="I1147" i="28"/>
  <c r="K1146" i="28"/>
  <c r="J1146" i="28"/>
  <c r="I1146" i="28"/>
  <c r="K1145" i="28"/>
  <c r="J1145" i="28"/>
  <c r="I1145" i="28"/>
  <c r="K1141" i="28"/>
  <c r="J1141" i="28"/>
  <c r="K1140" i="28"/>
  <c r="J1140" i="28"/>
  <c r="K1139" i="28"/>
  <c r="J1139" i="28"/>
  <c r="K1138" i="28"/>
  <c r="J1138" i="28"/>
  <c r="K1137" i="28"/>
  <c r="J1137" i="28"/>
  <c r="K1136" i="28"/>
  <c r="J1136" i="28"/>
  <c r="K1135" i="28"/>
  <c r="J1135" i="28"/>
  <c r="K1134" i="28"/>
  <c r="J1134" i="28"/>
  <c r="K1133" i="28"/>
  <c r="J1133" i="28"/>
  <c r="I1133" i="28"/>
  <c r="K1132" i="28"/>
  <c r="J1132" i="28"/>
  <c r="I1132" i="28"/>
  <c r="K1131" i="28"/>
  <c r="J1131" i="28"/>
  <c r="I1131" i="28"/>
  <c r="K1130" i="28"/>
  <c r="J1130" i="28"/>
  <c r="I1130" i="28"/>
  <c r="K1129" i="28"/>
  <c r="J1129" i="28"/>
  <c r="I1129" i="28"/>
  <c r="K1128" i="28"/>
  <c r="J1128" i="28"/>
  <c r="I1128" i="28"/>
  <c r="K1127" i="28"/>
  <c r="J1127" i="28"/>
  <c r="I1127" i="28"/>
  <c r="K1126" i="28"/>
  <c r="J1126" i="28"/>
  <c r="I1126" i="28"/>
  <c r="K1122" i="28"/>
  <c r="J1122" i="28"/>
  <c r="K1121" i="28"/>
  <c r="J1121" i="28"/>
  <c r="K1120" i="28"/>
  <c r="J1120" i="28"/>
  <c r="K1119" i="28"/>
  <c r="J1119" i="28"/>
  <c r="K1118" i="28"/>
  <c r="J1118" i="28"/>
  <c r="K1117" i="28"/>
  <c r="J1117" i="28"/>
  <c r="K1116" i="28"/>
  <c r="J1116" i="28"/>
  <c r="K1115" i="28"/>
  <c r="J1115" i="28"/>
  <c r="K1114" i="28"/>
  <c r="J1114" i="28"/>
  <c r="K1113" i="28"/>
  <c r="J1113" i="28"/>
  <c r="I1113" i="28"/>
  <c r="K1112" i="28"/>
  <c r="J1112" i="28"/>
  <c r="I1112" i="28"/>
  <c r="K1111" i="28"/>
  <c r="J1111" i="28"/>
  <c r="I1111" i="28"/>
  <c r="K1110" i="28"/>
  <c r="J1110" i="28"/>
  <c r="I1110" i="28"/>
  <c r="K1109" i="28"/>
  <c r="J1109" i="28"/>
  <c r="I1109" i="28"/>
  <c r="K1108" i="28"/>
  <c r="J1108" i="28"/>
  <c r="I1108" i="28"/>
  <c r="K1107" i="28"/>
  <c r="J1107" i="28"/>
  <c r="I1107" i="28"/>
  <c r="K1103" i="28"/>
  <c r="J1103" i="28"/>
  <c r="K1102" i="28"/>
  <c r="J1102" i="28"/>
  <c r="K1101" i="28"/>
  <c r="J1101" i="28"/>
  <c r="K1100" i="28"/>
  <c r="J1100" i="28"/>
  <c r="K1099" i="28"/>
  <c r="J1099" i="28"/>
  <c r="K1098" i="28"/>
  <c r="J1098" i="28"/>
  <c r="I1098" i="28"/>
  <c r="K1097" i="28"/>
  <c r="J1097" i="28"/>
  <c r="I1097" i="28"/>
  <c r="K1096" i="28"/>
  <c r="J1096" i="28"/>
  <c r="I1096" i="28"/>
  <c r="K1095" i="28"/>
  <c r="J1095" i="28"/>
  <c r="I1095" i="28"/>
  <c r="K1094" i="28"/>
  <c r="J1094" i="28"/>
  <c r="I1094" i="28"/>
  <c r="K1093" i="28"/>
  <c r="J1093" i="28"/>
  <c r="I1093" i="28"/>
  <c r="K1092" i="28"/>
  <c r="J1092" i="28"/>
  <c r="I1092" i="28"/>
  <c r="K1091" i="28"/>
  <c r="J1091" i="28"/>
  <c r="I1091" i="28"/>
  <c r="K1090" i="28"/>
  <c r="J1090" i="28"/>
  <c r="I1090" i="28"/>
  <c r="K1089" i="28"/>
  <c r="J1089" i="28"/>
  <c r="I1089" i="28"/>
  <c r="K1088" i="28"/>
  <c r="J1088" i="28"/>
  <c r="I1088" i="28"/>
  <c r="K1084" i="28"/>
  <c r="J1084" i="28"/>
  <c r="K1083" i="28"/>
  <c r="J1083" i="28"/>
  <c r="K1082" i="28"/>
  <c r="J1082" i="28"/>
  <c r="K1081" i="28"/>
  <c r="J1081" i="28"/>
  <c r="K1080" i="28"/>
  <c r="J1080" i="28"/>
  <c r="K1079" i="28"/>
  <c r="J1079" i="28"/>
  <c r="K1078" i="28"/>
  <c r="J1078" i="28"/>
  <c r="I1078" i="28"/>
  <c r="K1077" i="28"/>
  <c r="J1077" i="28"/>
  <c r="I1077" i="28"/>
  <c r="K1076" i="28"/>
  <c r="J1076" i="28"/>
  <c r="I1076" i="28"/>
  <c r="K1075" i="28"/>
  <c r="J1075" i="28"/>
  <c r="I1075" i="28"/>
  <c r="K1074" i="28"/>
  <c r="J1074" i="28"/>
  <c r="I1074" i="28"/>
  <c r="K1073" i="28"/>
  <c r="J1073" i="28"/>
  <c r="I1073" i="28"/>
  <c r="K1072" i="28"/>
  <c r="J1072" i="28"/>
  <c r="I1072" i="28"/>
  <c r="K1071" i="28"/>
  <c r="J1071" i="28"/>
  <c r="I1071" i="28"/>
  <c r="K1070" i="28"/>
  <c r="J1070" i="28"/>
  <c r="I1070" i="28"/>
  <c r="K1069" i="28"/>
  <c r="J1069" i="28"/>
  <c r="I1069" i="28"/>
  <c r="K1065" i="28"/>
  <c r="J1065" i="28"/>
  <c r="K1064" i="28"/>
  <c r="J1064" i="28"/>
  <c r="K1063" i="28"/>
  <c r="J1063" i="28"/>
  <c r="K1062" i="28"/>
  <c r="J1062" i="28"/>
  <c r="K1061" i="28"/>
  <c r="J1061" i="28"/>
  <c r="I1061" i="28"/>
  <c r="K1060" i="28"/>
  <c r="J1060" i="28"/>
  <c r="I1060" i="28"/>
  <c r="K1059" i="28"/>
  <c r="J1059" i="28"/>
  <c r="I1059" i="28"/>
  <c r="K1058" i="28"/>
  <c r="J1058" i="28"/>
  <c r="I1058" i="28"/>
  <c r="K1057" i="28"/>
  <c r="J1057" i="28"/>
  <c r="I1057" i="28"/>
  <c r="K1056" i="28"/>
  <c r="J1056" i="28"/>
  <c r="I1056" i="28"/>
  <c r="K1055" i="28"/>
  <c r="J1055" i="28"/>
  <c r="I1055" i="28"/>
  <c r="K1054" i="28"/>
  <c r="J1054" i="28"/>
  <c r="I1054" i="28"/>
  <c r="K1053" i="28"/>
  <c r="J1053" i="28"/>
  <c r="I1053" i="28"/>
  <c r="K1052" i="28"/>
  <c r="J1052" i="28"/>
  <c r="I1052" i="28"/>
  <c r="K1051" i="28"/>
  <c r="J1051" i="28"/>
  <c r="I1051" i="28"/>
  <c r="K1050" i="28"/>
  <c r="J1050" i="28"/>
  <c r="I1050" i="28"/>
  <c r="K1046" i="28"/>
  <c r="J1046" i="28"/>
  <c r="K1045" i="28"/>
  <c r="J1045" i="28"/>
  <c r="K1044" i="28"/>
  <c r="J1044" i="28"/>
  <c r="K1043" i="28"/>
  <c r="J1043" i="28"/>
  <c r="K1042" i="28"/>
  <c r="J1042" i="28"/>
  <c r="K1041" i="28"/>
  <c r="J1041" i="28"/>
  <c r="I1041" i="28"/>
  <c r="K1040" i="28"/>
  <c r="J1040" i="28"/>
  <c r="I1040" i="28"/>
  <c r="K1039" i="28"/>
  <c r="J1039" i="28"/>
  <c r="I1039" i="28"/>
  <c r="K1038" i="28"/>
  <c r="J1038" i="28"/>
  <c r="I1038" i="28"/>
  <c r="K1037" i="28"/>
  <c r="J1037" i="28"/>
  <c r="I1037" i="28"/>
  <c r="K1036" i="28"/>
  <c r="J1036" i="28"/>
  <c r="I1036" i="28"/>
  <c r="K1035" i="28"/>
  <c r="J1035" i="28"/>
  <c r="I1035" i="28"/>
  <c r="K1034" i="28"/>
  <c r="J1034" i="28"/>
  <c r="I1034" i="28"/>
  <c r="K1033" i="28"/>
  <c r="J1033" i="28"/>
  <c r="I1033" i="28"/>
  <c r="K1032" i="28"/>
  <c r="J1032" i="28"/>
  <c r="I1032" i="28"/>
  <c r="K1031" i="28"/>
  <c r="J1031" i="28"/>
  <c r="I1031" i="28"/>
  <c r="Y32" i="10" l="1"/>
  <c r="AA39" i="15"/>
  <c r="BQ34" i="2" s="1"/>
  <c r="K1027" i="28"/>
  <c r="J1027" i="28"/>
  <c r="K1026" i="28"/>
  <c r="J1026" i="28"/>
  <c r="K1025" i="28"/>
  <c r="J1025" i="28"/>
  <c r="K1024" i="28"/>
  <c r="J1024" i="28"/>
  <c r="K1023" i="28"/>
  <c r="J1023" i="28"/>
  <c r="K1022" i="28"/>
  <c r="J1022" i="28"/>
  <c r="K1021" i="28"/>
  <c r="J1021" i="28"/>
  <c r="K1020" i="28"/>
  <c r="J1020" i="28"/>
  <c r="K1019" i="28"/>
  <c r="J1019" i="28"/>
  <c r="I1019" i="28"/>
  <c r="K1018" i="28"/>
  <c r="J1018" i="28"/>
  <c r="I1018" i="28"/>
  <c r="K1017" i="28"/>
  <c r="J1017" i="28"/>
  <c r="I1017" i="28"/>
  <c r="K1016" i="28"/>
  <c r="J1016" i="28"/>
  <c r="I1016" i="28"/>
  <c r="K1015" i="28"/>
  <c r="J1015" i="28"/>
  <c r="I1015" i="28"/>
  <c r="K1014" i="28"/>
  <c r="J1014" i="28"/>
  <c r="I1014" i="28"/>
  <c r="K1013" i="28"/>
  <c r="J1013" i="28"/>
  <c r="I1013" i="28"/>
  <c r="K1012" i="28"/>
  <c r="J1012" i="28"/>
  <c r="I1012" i="28"/>
  <c r="K1008" i="28"/>
  <c r="J1008" i="28"/>
  <c r="K1007" i="28"/>
  <c r="J1007" i="28"/>
  <c r="K1006" i="28"/>
  <c r="J1006" i="28"/>
  <c r="I1006" i="28"/>
  <c r="K1005" i="28"/>
  <c r="J1005" i="28"/>
  <c r="I1005" i="28"/>
  <c r="K1004" i="28"/>
  <c r="J1004" i="28"/>
  <c r="I1004" i="28"/>
  <c r="K1003" i="28"/>
  <c r="J1003" i="28"/>
  <c r="I1003" i="28"/>
  <c r="K1002" i="28"/>
  <c r="J1002" i="28"/>
  <c r="I1002" i="28"/>
  <c r="K1001" i="28"/>
  <c r="J1001" i="28"/>
  <c r="I1001" i="28"/>
  <c r="K1000" i="28"/>
  <c r="J1000" i="28"/>
  <c r="I1000" i="28"/>
  <c r="K999" i="28"/>
  <c r="J999" i="28"/>
  <c r="I999" i="28"/>
  <c r="K998" i="28"/>
  <c r="J998" i="28"/>
  <c r="I998" i="28"/>
  <c r="K997" i="28"/>
  <c r="J997" i="28"/>
  <c r="I997" i="28"/>
  <c r="K996" i="28"/>
  <c r="J996" i="28"/>
  <c r="I996" i="28"/>
  <c r="K995" i="28"/>
  <c r="J995" i="28"/>
  <c r="I995" i="28"/>
  <c r="K994" i="28"/>
  <c r="J994" i="28"/>
  <c r="I994" i="28"/>
  <c r="K993" i="28"/>
  <c r="J993" i="28"/>
  <c r="I993" i="28"/>
  <c r="K989" i="28"/>
  <c r="J989" i="28"/>
  <c r="K988" i="28"/>
  <c r="J988" i="28"/>
  <c r="K987" i="28"/>
  <c r="J987" i="28"/>
  <c r="K986" i="28"/>
  <c r="J986" i="28"/>
  <c r="K985" i="28"/>
  <c r="J985" i="28"/>
  <c r="K984" i="28"/>
  <c r="J984" i="28"/>
  <c r="K983" i="28"/>
  <c r="J983" i="28"/>
  <c r="K982" i="28"/>
  <c r="J982" i="28"/>
  <c r="K981" i="28"/>
  <c r="J981" i="28"/>
  <c r="K980" i="28"/>
  <c r="J980" i="28"/>
  <c r="I980" i="28"/>
  <c r="K979" i="28"/>
  <c r="J979" i="28"/>
  <c r="I979" i="28"/>
  <c r="K978" i="28"/>
  <c r="J978" i="28"/>
  <c r="I978" i="28"/>
  <c r="K977" i="28"/>
  <c r="J977" i="28"/>
  <c r="I977" i="28"/>
  <c r="K976" i="28"/>
  <c r="J976" i="28"/>
  <c r="I976" i="28"/>
  <c r="K975" i="28"/>
  <c r="J975" i="28"/>
  <c r="I975" i="28"/>
  <c r="K974" i="28"/>
  <c r="J974" i="28"/>
  <c r="I974" i="28"/>
  <c r="K970" i="28"/>
  <c r="J970" i="28"/>
  <c r="K969" i="28"/>
  <c r="J969" i="28"/>
  <c r="K968" i="28"/>
  <c r="J968" i="28"/>
  <c r="K967" i="28"/>
  <c r="J967" i="28"/>
  <c r="K966" i="28"/>
  <c r="J966" i="28"/>
  <c r="K965" i="28"/>
  <c r="J965" i="28"/>
  <c r="K964" i="28"/>
  <c r="J964" i="28"/>
  <c r="K963" i="28"/>
  <c r="J963" i="28"/>
  <c r="K962" i="28"/>
  <c r="J962" i="28"/>
  <c r="K961" i="28"/>
  <c r="J961" i="28"/>
  <c r="I961" i="28"/>
  <c r="K960" i="28"/>
  <c r="J960" i="28"/>
  <c r="I960" i="28"/>
  <c r="K959" i="28"/>
  <c r="J959" i="28"/>
  <c r="I959" i="28"/>
  <c r="K958" i="28"/>
  <c r="J958" i="28"/>
  <c r="I958" i="28"/>
  <c r="K957" i="28"/>
  <c r="J957" i="28"/>
  <c r="I957" i="28"/>
  <c r="K956" i="28"/>
  <c r="J956" i="28"/>
  <c r="I956" i="28"/>
  <c r="K955" i="28"/>
  <c r="J955" i="28"/>
  <c r="I955" i="28"/>
  <c r="K951" i="28"/>
  <c r="J951" i="28"/>
  <c r="K950" i="28"/>
  <c r="J950" i="28"/>
  <c r="K949" i="28"/>
  <c r="J949" i="28"/>
  <c r="K948" i="28"/>
  <c r="J948" i="28"/>
  <c r="K947" i="28"/>
  <c r="J947" i="28"/>
  <c r="K946" i="28"/>
  <c r="J946" i="28"/>
  <c r="I946" i="28"/>
  <c r="K945" i="28"/>
  <c r="J945" i="28"/>
  <c r="I945" i="28"/>
  <c r="K944" i="28"/>
  <c r="J944" i="28"/>
  <c r="I944" i="28"/>
  <c r="K943" i="28"/>
  <c r="J943" i="28"/>
  <c r="I943" i="28"/>
  <c r="K942" i="28"/>
  <c r="J942" i="28"/>
  <c r="I942" i="28"/>
  <c r="K941" i="28"/>
  <c r="J941" i="28"/>
  <c r="I941" i="28"/>
  <c r="K940" i="28"/>
  <c r="J940" i="28"/>
  <c r="I940" i="28"/>
  <c r="K939" i="28"/>
  <c r="J939" i="28"/>
  <c r="I939" i="28"/>
  <c r="K938" i="28"/>
  <c r="J938" i="28"/>
  <c r="I938" i="28"/>
  <c r="K937" i="28"/>
  <c r="J937" i="28"/>
  <c r="I937" i="28"/>
  <c r="K936" i="28"/>
  <c r="J936" i="28"/>
  <c r="I936" i="28"/>
  <c r="K932" i="28"/>
  <c r="J932" i="28"/>
  <c r="K931" i="28"/>
  <c r="J931" i="28"/>
  <c r="K930" i="28"/>
  <c r="J930" i="28"/>
  <c r="K929" i="28"/>
  <c r="J929" i="28"/>
  <c r="K928" i="28"/>
  <c r="J928" i="28"/>
  <c r="K927" i="28"/>
  <c r="J927" i="28"/>
  <c r="K926" i="28"/>
  <c r="J926" i="28"/>
  <c r="K925" i="28"/>
  <c r="J925" i="28"/>
  <c r="K924" i="28"/>
  <c r="J924" i="28"/>
  <c r="K923" i="28"/>
  <c r="J923" i="28"/>
  <c r="I923" i="28"/>
  <c r="K922" i="28"/>
  <c r="J922" i="28"/>
  <c r="I922" i="28"/>
  <c r="K921" i="28"/>
  <c r="J921" i="28"/>
  <c r="I921" i="28"/>
  <c r="K920" i="28"/>
  <c r="J920" i="28"/>
  <c r="I920" i="28"/>
  <c r="K919" i="28"/>
  <c r="J919" i="28"/>
  <c r="I919" i="28"/>
  <c r="K918" i="28"/>
  <c r="J918" i="28"/>
  <c r="I918" i="28"/>
  <c r="K917" i="28"/>
  <c r="J917" i="28"/>
  <c r="I917" i="28"/>
  <c r="K913" i="28"/>
  <c r="J913" i="28"/>
  <c r="I913" i="28"/>
  <c r="K912" i="28"/>
  <c r="J912" i="28"/>
  <c r="I912" i="28"/>
  <c r="K911" i="28"/>
  <c r="J911" i="28"/>
  <c r="I911" i="28"/>
  <c r="K910" i="28"/>
  <c r="J910" i="28"/>
  <c r="I910" i="28"/>
  <c r="K909" i="28"/>
  <c r="J909" i="28"/>
  <c r="I909" i="28"/>
  <c r="K908" i="28"/>
  <c r="J908" i="28"/>
  <c r="I908" i="28"/>
  <c r="K907" i="28"/>
  <c r="J907" i="28"/>
  <c r="I907" i="28"/>
  <c r="K906" i="28"/>
  <c r="J906" i="28"/>
  <c r="I906" i="28"/>
  <c r="K905" i="28"/>
  <c r="J905" i="28"/>
  <c r="I905" i="28"/>
  <c r="K904" i="28"/>
  <c r="J904" i="28"/>
  <c r="I904" i="28"/>
  <c r="K903" i="28"/>
  <c r="J903" i="28"/>
  <c r="I903" i="28"/>
  <c r="K902" i="28"/>
  <c r="J902" i="28"/>
  <c r="I902" i="28"/>
  <c r="K901" i="28"/>
  <c r="J901" i="28"/>
  <c r="I901" i="28"/>
  <c r="K900" i="28"/>
  <c r="J900" i="28"/>
  <c r="I900" i="28"/>
  <c r="K899" i="28"/>
  <c r="J899" i="28"/>
  <c r="I899" i="28"/>
  <c r="K898" i="28"/>
  <c r="J898" i="28"/>
  <c r="I898" i="28"/>
  <c r="K894" i="28"/>
  <c r="J894" i="28"/>
  <c r="K893" i="28"/>
  <c r="J893" i="28"/>
  <c r="K892" i="28"/>
  <c r="J892" i="28"/>
  <c r="K891" i="28"/>
  <c r="J891" i="28"/>
  <c r="K890" i="28"/>
  <c r="J890" i="28"/>
  <c r="K889" i="28"/>
  <c r="J889" i="28"/>
  <c r="I889" i="28"/>
  <c r="K888" i="28"/>
  <c r="J888" i="28"/>
  <c r="I888" i="28"/>
  <c r="K887" i="28"/>
  <c r="J887" i="28"/>
  <c r="I887" i="28"/>
  <c r="K886" i="28"/>
  <c r="J886" i="28"/>
  <c r="I886" i="28"/>
  <c r="K885" i="28"/>
  <c r="J885" i="28"/>
  <c r="I885" i="28"/>
  <c r="K884" i="28"/>
  <c r="J884" i="28"/>
  <c r="I884" i="28"/>
  <c r="K883" i="28"/>
  <c r="J883" i="28"/>
  <c r="I883" i="28"/>
  <c r="K882" i="28"/>
  <c r="J882" i="28"/>
  <c r="I882" i="28"/>
  <c r="K881" i="28"/>
  <c r="J881" i="28"/>
  <c r="I881" i="28"/>
  <c r="K880" i="28"/>
  <c r="J880" i="28"/>
  <c r="I880" i="28"/>
  <c r="K879" i="28"/>
  <c r="J879" i="28"/>
  <c r="I879" i="28"/>
  <c r="Y33" i="10" l="1"/>
  <c r="AA40" i="15"/>
  <c r="BQ35" i="2" s="1"/>
  <c r="K875" i="28"/>
  <c r="J875" i="28"/>
  <c r="I875" i="28"/>
  <c r="K874" i="28"/>
  <c r="J874" i="28"/>
  <c r="I874" i="28"/>
  <c r="K873" i="28"/>
  <c r="J873" i="28"/>
  <c r="I873" i="28"/>
  <c r="K872" i="28"/>
  <c r="J872" i="28"/>
  <c r="I872" i="28"/>
  <c r="K871" i="28"/>
  <c r="J871" i="28"/>
  <c r="I871" i="28"/>
  <c r="K870" i="28"/>
  <c r="J870" i="28"/>
  <c r="I870" i="28"/>
  <c r="K869" i="28"/>
  <c r="J869" i="28"/>
  <c r="I869" i="28"/>
  <c r="K868" i="28"/>
  <c r="J868" i="28"/>
  <c r="I868" i="28"/>
  <c r="K867" i="28"/>
  <c r="J867" i="28"/>
  <c r="I867" i="28"/>
  <c r="K866" i="28"/>
  <c r="J866" i="28"/>
  <c r="I866" i="28"/>
  <c r="K865" i="28"/>
  <c r="J865" i="28"/>
  <c r="I865" i="28"/>
  <c r="K864" i="28"/>
  <c r="J864" i="28"/>
  <c r="I864" i="28"/>
  <c r="K863" i="28"/>
  <c r="J863" i="28"/>
  <c r="I863" i="28"/>
  <c r="K862" i="28"/>
  <c r="J862" i="28"/>
  <c r="I862" i="28"/>
  <c r="K861" i="28"/>
  <c r="J861" i="28"/>
  <c r="I861" i="28"/>
  <c r="K860" i="28"/>
  <c r="J860" i="28"/>
  <c r="I860" i="28"/>
  <c r="K856" i="28"/>
  <c r="J856" i="28"/>
  <c r="K855" i="28"/>
  <c r="J855" i="28"/>
  <c r="K854" i="28"/>
  <c r="J854" i="28"/>
  <c r="K853" i="28"/>
  <c r="J853" i="28"/>
  <c r="K852" i="28"/>
  <c r="J852" i="28"/>
  <c r="K851" i="28"/>
  <c r="J851" i="28"/>
  <c r="K850" i="28"/>
  <c r="J850" i="28"/>
  <c r="I850" i="28"/>
  <c r="K849" i="28"/>
  <c r="J849" i="28"/>
  <c r="I849" i="28"/>
  <c r="K848" i="28"/>
  <c r="J848" i="28"/>
  <c r="I848" i="28"/>
  <c r="K847" i="28"/>
  <c r="J847" i="28"/>
  <c r="I847" i="28"/>
  <c r="K846" i="28"/>
  <c r="J846" i="28"/>
  <c r="I846" i="28"/>
  <c r="K845" i="28"/>
  <c r="J845" i="28"/>
  <c r="I845" i="28"/>
  <c r="K844" i="28"/>
  <c r="J844" i="28"/>
  <c r="I844" i="28"/>
  <c r="K843" i="28"/>
  <c r="J843" i="28"/>
  <c r="I843" i="28"/>
  <c r="K842" i="28"/>
  <c r="J842" i="28"/>
  <c r="I842" i="28"/>
  <c r="K841" i="28"/>
  <c r="J841" i="28"/>
  <c r="I841" i="28"/>
  <c r="K837" i="28"/>
  <c r="J837" i="28"/>
  <c r="I837" i="28"/>
  <c r="K836" i="28"/>
  <c r="J836" i="28"/>
  <c r="I836" i="28"/>
  <c r="K835" i="28"/>
  <c r="J835" i="28"/>
  <c r="I835" i="28"/>
  <c r="K834" i="28"/>
  <c r="J834" i="28"/>
  <c r="I834" i="28"/>
  <c r="K833" i="28"/>
  <c r="J833" i="28"/>
  <c r="I833" i="28"/>
  <c r="K832" i="28"/>
  <c r="J832" i="28"/>
  <c r="I832" i="28"/>
  <c r="K831" i="28"/>
  <c r="J831" i="28"/>
  <c r="I831" i="28"/>
  <c r="K830" i="28"/>
  <c r="J830" i="28"/>
  <c r="I830" i="28"/>
  <c r="K829" i="28"/>
  <c r="J829" i="28"/>
  <c r="I829" i="28"/>
  <c r="K828" i="28"/>
  <c r="J828" i="28"/>
  <c r="I828" i="28"/>
  <c r="K827" i="28"/>
  <c r="J827" i="28"/>
  <c r="I827" i="28"/>
  <c r="K826" i="28"/>
  <c r="J826" i="28"/>
  <c r="I826" i="28"/>
  <c r="K825" i="28"/>
  <c r="J825" i="28"/>
  <c r="I825" i="28"/>
  <c r="K824" i="28"/>
  <c r="J824" i="28"/>
  <c r="I824" i="28"/>
  <c r="K823" i="28"/>
  <c r="J823" i="28"/>
  <c r="I823" i="28"/>
  <c r="K822" i="28"/>
  <c r="J822" i="28"/>
  <c r="I822" i="28"/>
  <c r="K818" i="28"/>
  <c r="J818" i="28"/>
  <c r="I818" i="28"/>
  <c r="K817" i="28"/>
  <c r="J817" i="28"/>
  <c r="I817" i="28"/>
  <c r="K816" i="28"/>
  <c r="J816" i="28"/>
  <c r="I816" i="28"/>
  <c r="K815" i="28"/>
  <c r="J815" i="28"/>
  <c r="I815" i="28"/>
  <c r="K814" i="28"/>
  <c r="J814" i="28"/>
  <c r="I814" i="28"/>
  <c r="K813" i="28"/>
  <c r="J813" i="28"/>
  <c r="I813" i="28"/>
  <c r="K812" i="28"/>
  <c r="J812" i="28"/>
  <c r="I812" i="28"/>
  <c r="K811" i="28"/>
  <c r="J811" i="28"/>
  <c r="I811" i="28"/>
  <c r="K810" i="28"/>
  <c r="J810" i="28"/>
  <c r="I810" i="28"/>
  <c r="K809" i="28"/>
  <c r="J809" i="28"/>
  <c r="I809" i="28"/>
  <c r="K808" i="28"/>
  <c r="J808" i="28"/>
  <c r="I808" i="28"/>
  <c r="K807" i="28"/>
  <c r="J807" i="28"/>
  <c r="I807" i="28"/>
  <c r="K806" i="28"/>
  <c r="J806" i="28"/>
  <c r="I806" i="28"/>
  <c r="K805" i="28"/>
  <c r="J805" i="28"/>
  <c r="I805" i="28"/>
  <c r="K804" i="28"/>
  <c r="J804" i="28"/>
  <c r="I804" i="28"/>
  <c r="K803" i="28"/>
  <c r="J803" i="28"/>
  <c r="I803" i="28"/>
  <c r="K799" i="28"/>
  <c r="J799" i="28"/>
  <c r="K798" i="28"/>
  <c r="J798" i="28"/>
  <c r="K797" i="28"/>
  <c r="J797" i="28"/>
  <c r="K796" i="28"/>
  <c r="J796" i="28"/>
  <c r="K795" i="28"/>
  <c r="J795" i="28"/>
  <c r="K794" i="28"/>
  <c r="J794" i="28"/>
  <c r="K793" i="28"/>
  <c r="J793" i="28"/>
  <c r="K792" i="28"/>
  <c r="J792" i="28"/>
  <c r="K791" i="28"/>
  <c r="J791" i="28"/>
  <c r="I791" i="28"/>
  <c r="K790" i="28"/>
  <c r="J790" i="28"/>
  <c r="I790" i="28"/>
  <c r="K789" i="28"/>
  <c r="J789" i="28"/>
  <c r="I789" i="28"/>
  <c r="K788" i="28"/>
  <c r="J788" i="28"/>
  <c r="I788" i="28"/>
  <c r="K787" i="28"/>
  <c r="J787" i="28"/>
  <c r="I787" i="28"/>
  <c r="K786" i="28"/>
  <c r="J786" i="28"/>
  <c r="I786" i="28"/>
  <c r="K785" i="28"/>
  <c r="J785" i="28"/>
  <c r="I785" i="28"/>
  <c r="K784" i="28"/>
  <c r="J784" i="28"/>
  <c r="I784" i="28"/>
  <c r="K780" i="28"/>
  <c r="J780" i="28"/>
  <c r="K779" i="28"/>
  <c r="J779" i="28"/>
  <c r="K778" i="28"/>
  <c r="J778" i="28"/>
  <c r="I778" i="28"/>
  <c r="K777" i="28"/>
  <c r="J777" i="28"/>
  <c r="I777" i="28"/>
  <c r="K776" i="28"/>
  <c r="J776" i="28"/>
  <c r="I776" i="28"/>
  <c r="K775" i="28"/>
  <c r="J775" i="28"/>
  <c r="I775" i="28"/>
  <c r="K774" i="28"/>
  <c r="J774" i="28"/>
  <c r="I774" i="28"/>
  <c r="K773" i="28"/>
  <c r="J773" i="28"/>
  <c r="I773" i="28"/>
  <c r="K772" i="28"/>
  <c r="J772" i="28"/>
  <c r="I772" i="28"/>
  <c r="K771" i="28"/>
  <c r="J771" i="28"/>
  <c r="I771" i="28"/>
  <c r="K770" i="28"/>
  <c r="J770" i="28"/>
  <c r="I770" i="28"/>
  <c r="K769" i="28"/>
  <c r="J769" i="28"/>
  <c r="I769" i="28"/>
  <c r="K768" i="28"/>
  <c r="J768" i="28"/>
  <c r="I768" i="28"/>
  <c r="K767" i="28"/>
  <c r="J767" i="28"/>
  <c r="I767" i="28"/>
  <c r="K766" i="28"/>
  <c r="J766" i="28"/>
  <c r="I766" i="28"/>
  <c r="K765" i="28"/>
  <c r="J765" i="28"/>
  <c r="I765" i="28"/>
  <c r="K761" i="28"/>
  <c r="J761" i="28"/>
  <c r="K760" i="28"/>
  <c r="J760" i="28"/>
  <c r="K759" i="28"/>
  <c r="J759" i="28"/>
  <c r="K758" i="28"/>
  <c r="J758" i="28"/>
  <c r="K757" i="28"/>
  <c r="J757" i="28"/>
  <c r="K756" i="28"/>
  <c r="J756" i="28"/>
  <c r="K755" i="28"/>
  <c r="J755" i="28"/>
  <c r="K754" i="28"/>
  <c r="J754" i="28"/>
  <c r="K753" i="28"/>
  <c r="J753" i="28"/>
  <c r="K752" i="28"/>
  <c r="J752" i="28"/>
  <c r="I752" i="28"/>
  <c r="K751" i="28"/>
  <c r="J751" i="28"/>
  <c r="I751" i="28"/>
  <c r="K750" i="28"/>
  <c r="J750" i="28"/>
  <c r="I750" i="28"/>
  <c r="K749" i="28"/>
  <c r="J749" i="28"/>
  <c r="I749" i="28"/>
  <c r="K748" i="28"/>
  <c r="J748" i="28"/>
  <c r="I748" i="28"/>
  <c r="K747" i="28"/>
  <c r="J747" i="28"/>
  <c r="I747" i="28"/>
  <c r="K746" i="28"/>
  <c r="J746" i="28"/>
  <c r="I746" i="28"/>
  <c r="K742" i="28"/>
  <c r="J742" i="28"/>
  <c r="K741" i="28"/>
  <c r="J741" i="28"/>
  <c r="K740" i="28"/>
  <c r="J740" i="28"/>
  <c r="K739" i="28"/>
  <c r="J739" i="28"/>
  <c r="K738" i="28"/>
  <c r="J738" i="28"/>
  <c r="K737" i="28"/>
  <c r="J737" i="28"/>
  <c r="K736" i="28"/>
  <c r="J736" i="28"/>
  <c r="K735" i="28"/>
  <c r="J735" i="28"/>
  <c r="K734" i="28"/>
  <c r="J734" i="28"/>
  <c r="K733" i="28"/>
  <c r="J733" i="28"/>
  <c r="I733" i="28"/>
  <c r="K732" i="28"/>
  <c r="J732" i="28"/>
  <c r="I732" i="28"/>
  <c r="K731" i="28"/>
  <c r="J731" i="28"/>
  <c r="I731" i="28"/>
  <c r="K730" i="28"/>
  <c r="J730" i="28"/>
  <c r="I730" i="28"/>
  <c r="K729" i="28"/>
  <c r="J729" i="28"/>
  <c r="I729" i="28"/>
  <c r="K728" i="28"/>
  <c r="J728" i="28"/>
  <c r="I728" i="28"/>
  <c r="K727" i="28"/>
  <c r="J727" i="28"/>
  <c r="I727" i="28"/>
  <c r="K723" i="28"/>
  <c r="J723" i="28"/>
  <c r="K722" i="28"/>
  <c r="J722" i="28"/>
  <c r="K721" i="28"/>
  <c r="J721" i="28"/>
  <c r="K720" i="28"/>
  <c r="J720" i="28"/>
  <c r="K719" i="28"/>
  <c r="J719" i="28"/>
  <c r="K718" i="28"/>
  <c r="J718" i="28"/>
  <c r="I718" i="28"/>
  <c r="K717" i="28"/>
  <c r="J717" i="28"/>
  <c r="I717" i="28"/>
  <c r="K716" i="28"/>
  <c r="J716" i="28"/>
  <c r="I716" i="28"/>
  <c r="K715" i="28"/>
  <c r="J715" i="28"/>
  <c r="I715" i="28"/>
  <c r="K714" i="28"/>
  <c r="J714" i="28"/>
  <c r="I714" i="28"/>
  <c r="K713" i="28"/>
  <c r="J713" i="28"/>
  <c r="I713" i="28"/>
  <c r="K712" i="28"/>
  <c r="J712" i="28"/>
  <c r="I712" i="28"/>
  <c r="K711" i="28"/>
  <c r="J711" i="28"/>
  <c r="I711" i="28"/>
  <c r="K710" i="28"/>
  <c r="J710" i="28"/>
  <c r="I710" i="28"/>
  <c r="K709" i="28"/>
  <c r="J709" i="28"/>
  <c r="I709" i="28"/>
  <c r="K708" i="28"/>
  <c r="J708" i="28"/>
  <c r="I708" i="28"/>
  <c r="K704" i="28"/>
  <c r="J704" i="28"/>
  <c r="K703" i="28"/>
  <c r="J703" i="28"/>
  <c r="K702" i="28"/>
  <c r="J702" i="28"/>
  <c r="K701" i="28"/>
  <c r="J701" i="28"/>
  <c r="K700" i="28"/>
  <c r="J700" i="28"/>
  <c r="K699" i="28"/>
  <c r="J699" i="28"/>
  <c r="K698" i="28"/>
  <c r="J698" i="28"/>
  <c r="K697" i="28"/>
  <c r="J697" i="28"/>
  <c r="K696" i="28"/>
  <c r="J696" i="28"/>
  <c r="K695" i="28"/>
  <c r="J695" i="28"/>
  <c r="I695" i="28"/>
  <c r="K694" i="28"/>
  <c r="J694" i="28"/>
  <c r="I694" i="28"/>
  <c r="K693" i="28"/>
  <c r="J693" i="28"/>
  <c r="I693" i="28"/>
  <c r="K692" i="28"/>
  <c r="J692" i="28"/>
  <c r="I692" i="28"/>
  <c r="K691" i="28"/>
  <c r="J691" i="28"/>
  <c r="I691" i="28"/>
  <c r="K690" i="28"/>
  <c r="J690" i="28"/>
  <c r="I690" i="28"/>
  <c r="K689" i="28"/>
  <c r="J689" i="28"/>
  <c r="I689" i="28"/>
  <c r="K685" i="28"/>
  <c r="J685" i="28"/>
  <c r="K684" i="28"/>
  <c r="J684" i="28"/>
  <c r="K683" i="28"/>
  <c r="J683" i="28"/>
  <c r="K682" i="28"/>
  <c r="J682" i="28"/>
  <c r="K681" i="28"/>
  <c r="J681" i="28"/>
  <c r="K680" i="28"/>
  <c r="J680" i="28"/>
  <c r="K679" i="28"/>
  <c r="J679" i="28"/>
  <c r="K678" i="28"/>
  <c r="J678" i="28"/>
  <c r="K677" i="28"/>
  <c r="J677" i="28"/>
  <c r="I677" i="28"/>
  <c r="K676" i="28"/>
  <c r="J676" i="28"/>
  <c r="I676" i="28"/>
  <c r="K675" i="28"/>
  <c r="J675" i="28"/>
  <c r="I675" i="28"/>
  <c r="K674" i="28"/>
  <c r="J674" i="28"/>
  <c r="I674" i="28"/>
  <c r="K673" i="28"/>
  <c r="J673" i="28"/>
  <c r="I673" i="28"/>
  <c r="K672" i="28"/>
  <c r="J672" i="28"/>
  <c r="I672" i="28"/>
  <c r="K671" i="28"/>
  <c r="J671" i="28"/>
  <c r="I671" i="28"/>
  <c r="K670" i="28"/>
  <c r="J670" i="28"/>
  <c r="I670" i="28"/>
  <c r="K666" i="28"/>
  <c r="J666" i="28"/>
  <c r="K665" i="28"/>
  <c r="J665" i="28"/>
  <c r="K664" i="28"/>
  <c r="J664" i="28"/>
  <c r="K663" i="28"/>
  <c r="J663" i="28"/>
  <c r="K662" i="28"/>
  <c r="J662" i="28"/>
  <c r="K661" i="28"/>
  <c r="J661" i="28"/>
  <c r="I661" i="28"/>
  <c r="K660" i="28"/>
  <c r="J660" i="28"/>
  <c r="I660" i="28"/>
  <c r="K659" i="28"/>
  <c r="J659" i="28"/>
  <c r="I659" i="28"/>
  <c r="K658" i="28"/>
  <c r="J658" i="28"/>
  <c r="I658" i="28"/>
  <c r="K657" i="28"/>
  <c r="J657" i="28"/>
  <c r="I657" i="28"/>
  <c r="K656" i="28"/>
  <c r="J656" i="28"/>
  <c r="I656" i="28"/>
  <c r="K655" i="28"/>
  <c r="J655" i="28"/>
  <c r="I655" i="28"/>
  <c r="K654" i="28"/>
  <c r="J654" i="28"/>
  <c r="I654" i="28"/>
  <c r="K653" i="28"/>
  <c r="J653" i="28"/>
  <c r="I653" i="28"/>
  <c r="K652" i="28"/>
  <c r="J652" i="28"/>
  <c r="I652" i="28"/>
  <c r="K651" i="28"/>
  <c r="J651" i="28"/>
  <c r="I651" i="28"/>
  <c r="Y34" i="10" l="1"/>
  <c r="AA41" i="15"/>
  <c r="BQ36" i="2" s="1"/>
  <c r="K647" i="28"/>
  <c r="J647" i="28"/>
  <c r="I647" i="28"/>
  <c r="K646" i="28"/>
  <c r="J646" i="28"/>
  <c r="I646" i="28"/>
  <c r="K645" i="28"/>
  <c r="J645" i="28"/>
  <c r="I645" i="28"/>
  <c r="K644" i="28"/>
  <c r="J644" i="28"/>
  <c r="I644" i="28"/>
  <c r="K643" i="28"/>
  <c r="J643" i="28"/>
  <c r="I643" i="28"/>
  <c r="K642" i="28"/>
  <c r="J642" i="28"/>
  <c r="I642" i="28"/>
  <c r="K641" i="28"/>
  <c r="J641" i="28"/>
  <c r="I641" i="28"/>
  <c r="K640" i="28"/>
  <c r="J640" i="28"/>
  <c r="I640" i="28"/>
  <c r="K639" i="28"/>
  <c r="J639" i="28"/>
  <c r="I639" i="28"/>
  <c r="K638" i="28"/>
  <c r="J638" i="28"/>
  <c r="I638" i="28"/>
  <c r="K637" i="28"/>
  <c r="J637" i="28"/>
  <c r="I637" i="28"/>
  <c r="K636" i="28"/>
  <c r="J636" i="28"/>
  <c r="I636" i="28"/>
  <c r="K635" i="28"/>
  <c r="J635" i="28"/>
  <c r="I635" i="28"/>
  <c r="K634" i="28"/>
  <c r="J634" i="28"/>
  <c r="I634" i="28"/>
  <c r="K633" i="28"/>
  <c r="J633" i="28"/>
  <c r="I633" i="28"/>
  <c r="K632" i="28"/>
  <c r="J632" i="28"/>
  <c r="I632" i="28"/>
  <c r="K628" i="28"/>
  <c r="J628" i="28"/>
  <c r="I628" i="28"/>
  <c r="K627" i="28"/>
  <c r="J627" i="28"/>
  <c r="I627" i="28"/>
  <c r="K626" i="28"/>
  <c r="J626" i="28"/>
  <c r="I626" i="28"/>
  <c r="K625" i="28"/>
  <c r="J625" i="28"/>
  <c r="I625" i="28"/>
  <c r="K624" i="28"/>
  <c r="J624" i="28"/>
  <c r="I624" i="28"/>
  <c r="K623" i="28"/>
  <c r="J623" i="28"/>
  <c r="I623" i="28"/>
  <c r="K622" i="28"/>
  <c r="J622" i="28"/>
  <c r="I622" i="28"/>
  <c r="K621" i="28"/>
  <c r="J621" i="28"/>
  <c r="I621" i="28"/>
  <c r="K620" i="28"/>
  <c r="J620" i="28"/>
  <c r="I620" i="28"/>
  <c r="K619" i="28"/>
  <c r="J619" i="28"/>
  <c r="I619" i="28"/>
  <c r="K618" i="28"/>
  <c r="J618" i="28"/>
  <c r="I618" i="28"/>
  <c r="K617" i="28"/>
  <c r="J617" i="28"/>
  <c r="I617" i="28"/>
  <c r="K616" i="28"/>
  <c r="J616" i="28"/>
  <c r="I616" i="28"/>
  <c r="K615" i="28"/>
  <c r="J615" i="28"/>
  <c r="I615" i="28"/>
  <c r="K614" i="28"/>
  <c r="J614" i="28"/>
  <c r="I614" i="28"/>
  <c r="K613" i="28"/>
  <c r="J613" i="28"/>
  <c r="I613" i="28"/>
  <c r="K609" i="28"/>
  <c r="J609" i="28"/>
  <c r="I609" i="28"/>
  <c r="K608" i="28"/>
  <c r="J608" i="28"/>
  <c r="I608" i="28"/>
  <c r="K607" i="28"/>
  <c r="J607" i="28"/>
  <c r="I607" i="28"/>
  <c r="K606" i="28"/>
  <c r="J606" i="28"/>
  <c r="I606" i="28"/>
  <c r="K605" i="28"/>
  <c r="J605" i="28"/>
  <c r="I605" i="28"/>
  <c r="K604" i="28"/>
  <c r="J604" i="28"/>
  <c r="I604" i="28"/>
  <c r="K603" i="28"/>
  <c r="J603" i="28"/>
  <c r="I603" i="28"/>
  <c r="K602" i="28"/>
  <c r="J602" i="28"/>
  <c r="I602" i="28"/>
  <c r="K601" i="28"/>
  <c r="J601" i="28"/>
  <c r="I601" i="28"/>
  <c r="K600" i="28"/>
  <c r="J600" i="28"/>
  <c r="I600" i="28"/>
  <c r="K599" i="28"/>
  <c r="J599" i="28"/>
  <c r="I599" i="28"/>
  <c r="K598" i="28"/>
  <c r="J598" i="28"/>
  <c r="I598" i="28"/>
  <c r="K597" i="28"/>
  <c r="J597" i="28"/>
  <c r="I597" i="28"/>
  <c r="K596" i="28"/>
  <c r="J596" i="28"/>
  <c r="I596" i="28"/>
  <c r="K595" i="28"/>
  <c r="J595" i="28"/>
  <c r="I595" i="28"/>
  <c r="K594" i="28"/>
  <c r="J594" i="28"/>
  <c r="I594" i="28"/>
  <c r="K590" i="28"/>
  <c r="J590" i="28"/>
  <c r="I590" i="28"/>
  <c r="K589" i="28"/>
  <c r="J589" i="28"/>
  <c r="I589" i="28"/>
  <c r="K588" i="28"/>
  <c r="J588" i="28"/>
  <c r="I588" i="28"/>
  <c r="K587" i="28"/>
  <c r="J587" i="28"/>
  <c r="I587" i="28"/>
  <c r="K586" i="28"/>
  <c r="J586" i="28"/>
  <c r="I586" i="28"/>
  <c r="K585" i="28"/>
  <c r="J585" i="28"/>
  <c r="I585" i="28"/>
  <c r="K584" i="28"/>
  <c r="J584" i="28"/>
  <c r="I584" i="28"/>
  <c r="K583" i="28"/>
  <c r="J583" i="28"/>
  <c r="I583" i="28"/>
  <c r="K582" i="28"/>
  <c r="J582" i="28"/>
  <c r="I582" i="28"/>
  <c r="K581" i="28"/>
  <c r="J581" i="28"/>
  <c r="I581" i="28"/>
  <c r="K580" i="28"/>
  <c r="J580" i="28"/>
  <c r="I580" i="28"/>
  <c r="K579" i="28"/>
  <c r="J579" i="28"/>
  <c r="I579" i="28"/>
  <c r="K578" i="28"/>
  <c r="J578" i="28"/>
  <c r="I578" i="28"/>
  <c r="K577" i="28"/>
  <c r="J577" i="28"/>
  <c r="I577" i="28"/>
  <c r="K576" i="28"/>
  <c r="J576" i="28"/>
  <c r="I576" i="28"/>
  <c r="K575" i="28"/>
  <c r="J575" i="28"/>
  <c r="I575" i="28"/>
  <c r="K571" i="28"/>
  <c r="J571" i="28"/>
  <c r="I571" i="28"/>
  <c r="K570" i="28"/>
  <c r="J570" i="28"/>
  <c r="I570" i="28"/>
  <c r="K569" i="28"/>
  <c r="J569" i="28"/>
  <c r="I569" i="28"/>
  <c r="K568" i="28"/>
  <c r="J568" i="28"/>
  <c r="I568" i="28"/>
  <c r="K567" i="28"/>
  <c r="J567" i="28"/>
  <c r="I567" i="28"/>
  <c r="K566" i="28"/>
  <c r="J566" i="28"/>
  <c r="I566" i="28"/>
  <c r="K565" i="28"/>
  <c r="J565" i="28"/>
  <c r="I565" i="28"/>
  <c r="K564" i="28"/>
  <c r="J564" i="28"/>
  <c r="I564" i="28"/>
  <c r="K563" i="28"/>
  <c r="J563" i="28"/>
  <c r="I563" i="28"/>
  <c r="K562" i="28"/>
  <c r="J562" i="28"/>
  <c r="I562" i="28"/>
  <c r="K561" i="28"/>
  <c r="J561" i="28"/>
  <c r="I561" i="28"/>
  <c r="K560" i="28"/>
  <c r="J560" i="28"/>
  <c r="I560" i="28"/>
  <c r="K559" i="28"/>
  <c r="J559" i="28"/>
  <c r="I559" i="28"/>
  <c r="K558" i="28"/>
  <c r="J558" i="28"/>
  <c r="I558" i="28"/>
  <c r="K557" i="28"/>
  <c r="J557" i="28"/>
  <c r="I557" i="28"/>
  <c r="K556" i="28"/>
  <c r="J556" i="28"/>
  <c r="I556" i="28"/>
  <c r="K552" i="28"/>
  <c r="J552" i="28"/>
  <c r="K551" i="28"/>
  <c r="J551" i="28"/>
  <c r="K550" i="28"/>
  <c r="J550" i="28"/>
  <c r="K549" i="28"/>
  <c r="J549" i="28"/>
  <c r="K548" i="28"/>
  <c r="J548" i="28"/>
  <c r="K547" i="28"/>
  <c r="J547" i="28"/>
  <c r="K546" i="28"/>
  <c r="J546" i="28"/>
  <c r="I546" i="28"/>
  <c r="K545" i="28"/>
  <c r="J545" i="28"/>
  <c r="I545" i="28"/>
  <c r="K544" i="28"/>
  <c r="J544" i="28"/>
  <c r="I544" i="28"/>
  <c r="K543" i="28"/>
  <c r="J543" i="28"/>
  <c r="I543" i="28"/>
  <c r="K542" i="28"/>
  <c r="J542" i="28"/>
  <c r="I542" i="28"/>
  <c r="K541" i="28"/>
  <c r="J541" i="28"/>
  <c r="I541" i="28"/>
  <c r="K540" i="28"/>
  <c r="J540" i="28"/>
  <c r="I540" i="28"/>
  <c r="K539" i="28"/>
  <c r="J539" i="28"/>
  <c r="I539" i="28"/>
  <c r="K538" i="28"/>
  <c r="J538" i="28"/>
  <c r="I538" i="28"/>
  <c r="K537" i="28"/>
  <c r="J537" i="28"/>
  <c r="I537" i="28"/>
  <c r="K533" i="28"/>
  <c r="J533" i="28"/>
  <c r="I533" i="28"/>
  <c r="K532" i="28"/>
  <c r="J532" i="28"/>
  <c r="I532" i="28"/>
  <c r="K531" i="28"/>
  <c r="J531" i="28"/>
  <c r="I531" i="28"/>
  <c r="K530" i="28"/>
  <c r="J530" i="28"/>
  <c r="I530" i="28"/>
  <c r="K529" i="28"/>
  <c r="J529" i="28"/>
  <c r="I529" i="28"/>
  <c r="K528" i="28"/>
  <c r="J528" i="28"/>
  <c r="I528" i="28"/>
  <c r="K527" i="28"/>
  <c r="J527" i="28"/>
  <c r="I527" i="28"/>
  <c r="K526" i="28"/>
  <c r="J526" i="28"/>
  <c r="I526" i="28"/>
  <c r="K525" i="28"/>
  <c r="J525" i="28"/>
  <c r="I525" i="28"/>
  <c r="K524" i="28"/>
  <c r="J524" i="28"/>
  <c r="I524" i="28"/>
  <c r="K523" i="28"/>
  <c r="J523" i="28"/>
  <c r="I523" i="28"/>
  <c r="K522" i="28"/>
  <c r="J522" i="28"/>
  <c r="I522" i="28"/>
  <c r="K521" i="28"/>
  <c r="J521" i="28"/>
  <c r="I521" i="28"/>
  <c r="K520" i="28"/>
  <c r="J520" i="28"/>
  <c r="I520" i="28"/>
  <c r="K519" i="28"/>
  <c r="J519" i="28"/>
  <c r="I519" i="28"/>
  <c r="K518" i="28"/>
  <c r="J518" i="28"/>
  <c r="I518" i="28"/>
  <c r="K514" i="28"/>
  <c r="J514" i="28"/>
  <c r="I514" i="28"/>
  <c r="K513" i="28"/>
  <c r="J513" i="28"/>
  <c r="I513" i="28"/>
  <c r="K512" i="28"/>
  <c r="J512" i="28"/>
  <c r="I512" i="28"/>
  <c r="K511" i="28"/>
  <c r="J511" i="28"/>
  <c r="I511" i="28"/>
  <c r="K510" i="28"/>
  <c r="J510" i="28"/>
  <c r="I510" i="28"/>
  <c r="K509" i="28"/>
  <c r="J509" i="28"/>
  <c r="I509" i="28"/>
  <c r="K508" i="28"/>
  <c r="J508" i="28"/>
  <c r="I508" i="28"/>
  <c r="K507" i="28"/>
  <c r="J507" i="28"/>
  <c r="I507" i="28"/>
  <c r="K506" i="28"/>
  <c r="J506" i="28"/>
  <c r="I506" i="28"/>
  <c r="K505" i="28"/>
  <c r="J505" i="28"/>
  <c r="I505" i="28"/>
  <c r="K504" i="28"/>
  <c r="J504" i="28"/>
  <c r="I504" i="28"/>
  <c r="K503" i="28"/>
  <c r="J503" i="28"/>
  <c r="I503" i="28"/>
  <c r="K502" i="28"/>
  <c r="J502" i="28"/>
  <c r="I502" i="28"/>
  <c r="K501" i="28"/>
  <c r="J501" i="28"/>
  <c r="I501" i="28"/>
  <c r="K500" i="28"/>
  <c r="J500" i="28"/>
  <c r="I500" i="28"/>
  <c r="K499" i="28"/>
  <c r="J499" i="28"/>
  <c r="I499" i="28"/>
  <c r="K495" i="28"/>
  <c r="J495" i="28"/>
  <c r="K494" i="28"/>
  <c r="J494" i="28"/>
  <c r="K493" i="28"/>
  <c r="J493" i="28"/>
  <c r="K492" i="28"/>
  <c r="J492" i="28"/>
  <c r="K491" i="28"/>
  <c r="J491" i="28"/>
  <c r="K490" i="28"/>
  <c r="J490" i="28"/>
  <c r="K489" i="28"/>
  <c r="J489" i="28"/>
  <c r="K488" i="28"/>
  <c r="J488" i="28"/>
  <c r="K487" i="28"/>
  <c r="J487" i="28"/>
  <c r="I487" i="28"/>
  <c r="K486" i="28"/>
  <c r="J486" i="28"/>
  <c r="I486" i="28"/>
  <c r="K485" i="28"/>
  <c r="J485" i="28"/>
  <c r="I485" i="28"/>
  <c r="K484" i="28"/>
  <c r="J484" i="28"/>
  <c r="I484" i="28"/>
  <c r="K483" i="28"/>
  <c r="J483" i="28"/>
  <c r="I483" i="28"/>
  <c r="K482" i="28"/>
  <c r="J482" i="28"/>
  <c r="I482" i="28"/>
  <c r="K481" i="28"/>
  <c r="J481" i="28"/>
  <c r="I481" i="28"/>
  <c r="K480" i="28"/>
  <c r="J480" i="28"/>
  <c r="I480" i="28"/>
  <c r="K476" i="28"/>
  <c r="J476" i="28"/>
  <c r="K475" i="28"/>
  <c r="J475" i="28"/>
  <c r="K474" i="28"/>
  <c r="J474" i="28"/>
  <c r="I474" i="28"/>
  <c r="K473" i="28"/>
  <c r="J473" i="28"/>
  <c r="I473" i="28"/>
  <c r="K472" i="28"/>
  <c r="J472" i="28"/>
  <c r="I472" i="28"/>
  <c r="K471" i="28"/>
  <c r="J471" i="28"/>
  <c r="I471" i="28"/>
  <c r="K470" i="28"/>
  <c r="J470" i="28"/>
  <c r="I470" i="28"/>
  <c r="K469" i="28"/>
  <c r="J469" i="28"/>
  <c r="I469" i="28"/>
  <c r="K468" i="28"/>
  <c r="J468" i="28"/>
  <c r="I468" i="28"/>
  <c r="K467" i="28"/>
  <c r="J467" i="28"/>
  <c r="I467" i="28"/>
  <c r="K466" i="28"/>
  <c r="J466" i="28"/>
  <c r="I466" i="28"/>
  <c r="K465" i="28"/>
  <c r="J465" i="28"/>
  <c r="I465" i="28"/>
  <c r="K464" i="28"/>
  <c r="J464" i="28"/>
  <c r="I464" i="28"/>
  <c r="K463" i="28"/>
  <c r="J463" i="28"/>
  <c r="I463" i="28"/>
  <c r="K462" i="28"/>
  <c r="J462" i="28"/>
  <c r="I462" i="28"/>
  <c r="K461" i="28"/>
  <c r="J461" i="28"/>
  <c r="I461" i="28"/>
  <c r="K457" i="28"/>
  <c r="J457" i="28"/>
  <c r="K456" i="28"/>
  <c r="J456" i="28"/>
  <c r="K455" i="28"/>
  <c r="J455" i="28"/>
  <c r="K454" i="28"/>
  <c r="J454" i="28"/>
  <c r="K453" i="28"/>
  <c r="J453" i="28"/>
  <c r="K452" i="28"/>
  <c r="J452" i="28"/>
  <c r="K451" i="28"/>
  <c r="J451" i="28"/>
  <c r="K450" i="28"/>
  <c r="J450" i="28"/>
  <c r="K449" i="28"/>
  <c r="J449" i="28"/>
  <c r="K448" i="28"/>
  <c r="J448" i="28"/>
  <c r="I448" i="28"/>
  <c r="K447" i="28"/>
  <c r="J447" i="28"/>
  <c r="I447" i="28"/>
  <c r="K446" i="28"/>
  <c r="J446" i="28"/>
  <c r="I446" i="28"/>
  <c r="K445" i="28"/>
  <c r="J445" i="28"/>
  <c r="I445" i="28"/>
  <c r="K444" i="28"/>
  <c r="J444" i="28"/>
  <c r="I444" i="28"/>
  <c r="K443" i="28"/>
  <c r="J443" i="28"/>
  <c r="I443" i="28"/>
  <c r="K442" i="28"/>
  <c r="J442" i="28"/>
  <c r="I442" i="28"/>
  <c r="K438" i="28"/>
  <c r="J438" i="28"/>
  <c r="K437" i="28"/>
  <c r="J437" i="28"/>
  <c r="K436" i="28"/>
  <c r="J436" i="28"/>
  <c r="K435" i="28"/>
  <c r="J435" i="28"/>
  <c r="K434" i="28"/>
  <c r="J434" i="28"/>
  <c r="I434" i="28"/>
  <c r="K433" i="28"/>
  <c r="J433" i="28"/>
  <c r="I433" i="28"/>
  <c r="K432" i="28"/>
  <c r="J432" i="28"/>
  <c r="I432" i="28"/>
  <c r="K431" i="28"/>
  <c r="J431" i="28"/>
  <c r="I431" i="28"/>
  <c r="K430" i="28"/>
  <c r="J430" i="28"/>
  <c r="I430" i="28"/>
  <c r="K429" i="28"/>
  <c r="J429" i="28"/>
  <c r="I429" i="28"/>
  <c r="K428" i="28"/>
  <c r="J428" i="28"/>
  <c r="I428" i="28"/>
  <c r="K427" i="28"/>
  <c r="J427" i="28"/>
  <c r="I427" i="28"/>
  <c r="K426" i="28"/>
  <c r="J426" i="28"/>
  <c r="I426" i="28"/>
  <c r="K425" i="28"/>
  <c r="J425" i="28"/>
  <c r="I425" i="28"/>
  <c r="K424" i="28"/>
  <c r="J424" i="28"/>
  <c r="I424" i="28"/>
  <c r="K423" i="28"/>
  <c r="J423" i="28"/>
  <c r="I423" i="28"/>
  <c r="K419" i="28"/>
  <c r="J419" i="28"/>
  <c r="K418" i="28"/>
  <c r="J418" i="28"/>
  <c r="K417" i="28"/>
  <c r="J417" i="28"/>
  <c r="K416" i="28"/>
  <c r="J416" i="28"/>
  <c r="K415" i="28"/>
  <c r="J415" i="28"/>
  <c r="K414" i="28"/>
  <c r="J414" i="28"/>
  <c r="I414" i="28"/>
  <c r="K413" i="28"/>
  <c r="J413" i="28"/>
  <c r="I413" i="28"/>
  <c r="K412" i="28"/>
  <c r="J412" i="28"/>
  <c r="I412" i="28"/>
  <c r="K411" i="28"/>
  <c r="J411" i="28"/>
  <c r="I411" i="28"/>
  <c r="K410" i="28"/>
  <c r="J410" i="28"/>
  <c r="I410" i="28"/>
  <c r="K409" i="28"/>
  <c r="J409" i="28"/>
  <c r="I409" i="28"/>
  <c r="K408" i="28"/>
  <c r="J408" i="28"/>
  <c r="I408" i="28"/>
  <c r="K407" i="28"/>
  <c r="J407" i="28"/>
  <c r="I407" i="28"/>
  <c r="K406" i="28"/>
  <c r="J406" i="28"/>
  <c r="I406" i="28"/>
  <c r="K405" i="28"/>
  <c r="J405" i="28"/>
  <c r="I405" i="28"/>
  <c r="K404" i="28"/>
  <c r="J404" i="28"/>
  <c r="I404" i="28"/>
  <c r="K400" i="28"/>
  <c r="J400" i="28"/>
  <c r="K399" i="28"/>
  <c r="J399" i="28"/>
  <c r="K398" i="28"/>
  <c r="J398" i="28"/>
  <c r="K397" i="28"/>
  <c r="J397" i="28"/>
  <c r="K396" i="28"/>
  <c r="J396" i="28"/>
  <c r="K395" i="28"/>
  <c r="J395" i="28"/>
  <c r="K394" i="28"/>
  <c r="J394" i="28"/>
  <c r="K393" i="28"/>
  <c r="J393" i="28"/>
  <c r="K392" i="28"/>
  <c r="J392" i="28"/>
  <c r="K391" i="28"/>
  <c r="J391" i="28"/>
  <c r="I391" i="28"/>
  <c r="K390" i="28"/>
  <c r="J390" i="28"/>
  <c r="I390" i="28"/>
  <c r="K389" i="28"/>
  <c r="J389" i="28"/>
  <c r="I389" i="28"/>
  <c r="K388" i="28"/>
  <c r="J388" i="28"/>
  <c r="I388" i="28"/>
  <c r="K387" i="28"/>
  <c r="J387" i="28"/>
  <c r="I387" i="28"/>
  <c r="K386" i="28"/>
  <c r="J386" i="28"/>
  <c r="I386" i="28"/>
  <c r="K385" i="28"/>
  <c r="J385" i="28"/>
  <c r="I385" i="28"/>
  <c r="K381" i="28"/>
  <c r="J381" i="28"/>
  <c r="K380" i="28"/>
  <c r="J380" i="28"/>
  <c r="K379" i="28"/>
  <c r="J379" i="28"/>
  <c r="K378" i="28"/>
  <c r="J378" i="28"/>
  <c r="K377" i="28"/>
  <c r="J377" i="28"/>
  <c r="K376" i="28"/>
  <c r="J376" i="28"/>
  <c r="K375" i="28"/>
  <c r="J375" i="28"/>
  <c r="K374" i="28"/>
  <c r="J374" i="28"/>
  <c r="K373" i="28"/>
  <c r="J373" i="28"/>
  <c r="K372" i="28"/>
  <c r="J372" i="28"/>
  <c r="I372" i="28"/>
  <c r="K371" i="28"/>
  <c r="J371" i="28"/>
  <c r="I371" i="28"/>
  <c r="K370" i="28"/>
  <c r="J370" i="28"/>
  <c r="I370" i="28"/>
  <c r="K369" i="28"/>
  <c r="J369" i="28"/>
  <c r="I369" i="28"/>
  <c r="K368" i="28"/>
  <c r="J368" i="28"/>
  <c r="I368" i="28"/>
  <c r="K367" i="28"/>
  <c r="J367" i="28"/>
  <c r="I367" i="28"/>
  <c r="K366" i="28"/>
  <c r="J366" i="28"/>
  <c r="I366" i="28"/>
  <c r="K362" i="28"/>
  <c r="J362" i="28"/>
  <c r="K361" i="28"/>
  <c r="J361" i="28"/>
  <c r="K360" i="28"/>
  <c r="J360" i="28"/>
  <c r="K359" i="28"/>
  <c r="J359" i="28"/>
  <c r="K358" i="28"/>
  <c r="J358" i="28"/>
  <c r="K357" i="28"/>
  <c r="J357" i="28"/>
  <c r="I357" i="28"/>
  <c r="K356" i="28"/>
  <c r="J356" i="28"/>
  <c r="I356" i="28"/>
  <c r="K355" i="28"/>
  <c r="J355" i="28"/>
  <c r="I355" i="28"/>
  <c r="K354" i="28"/>
  <c r="J354" i="28"/>
  <c r="I354" i="28"/>
  <c r="K353" i="28"/>
  <c r="J353" i="28"/>
  <c r="I353" i="28"/>
  <c r="K352" i="28"/>
  <c r="J352" i="28"/>
  <c r="I352" i="28"/>
  <c r="K351" i="28"/>
  <c r="J351" i="28"/>
  <c r="I351" i="28"/>
  <c r="K350" i="28"/>
  <c r="J350" i="28"/>
  <c r="I350" i="28"/>
  <c r="K349" i="28"/>
  <c r="J349" i="28"/>
  <c r="I349" i="28"/>
  <c r="K348" i="28"/>
  <c r="J348" i="28"/>
  <c r="I348" i="28"/>
  <c r="K347" i="28"/>
  <c r="J347" i="28"/>
  <c r="I347" i="28"/>
  <c r="Y35" i="10" l="1"/>
  <c r="AA43" i="15" s="1"/>
  <c r="BQ38" i="2" s="1"/>
  <c r="AA42" i="15"/>
  <c r="BQ37" i="2" s="1"/>
  <c r="C303" i="11"/>
  <c r="C302" i="11"/>
  <c r="C301" i="11"/>
  <c r="C300" i="11"/>
  <c r="C299" i="11"/>
  <c r="C298" i="11"/>
  <c r="C297" i="11"/>
  <c r="C296" i="11"/>
  <c r="C295" i="11"/>
  <c r="C294" i="1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64" i="11"/>
  <c r="C263" i="11"/>
  <c r="C262" i="11"/>
  <c r="C261" i="11"/>
  <c r="C260" i="11"/>
  <c r="C259" i="11"/>
  <c r="C258" i="11"/>
  <c r="C257" i="11"/>
  <c r="E257" i="11" s="1"/>
  <c r="C256" i="11"/>
  <c r="C255" i="11"/>
  <c r="C254" i="11"/>
  <c r="C253" i="11"/>
  <c r="C252" i="11"/>
  <c r="E252" i="11" s="1"/>
  <c r="C251" i="11"/>
  <c r="E251" i="11" s="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21" i="11"/>
  <c r="C220" i="11"/>
  <c r="C219" i="11"/>
  <c r="C218" i="11"/>
  <c r="C217" i="11"/>
  <c r="C216" i="11"/>
  <c r="C215"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E185" i="11" l="1"/>
  <c r="F185" i="11" s="1"/>
  <c r="E187" i="11"/>
  <c r="F187" i="11" s="1"/>
  <c r="E189" i="11"/>
  <c r="F189" i="11" s="1"/>
  <c r="E191" i="11"/>
  <c r="F191" i="11" s="1"/>
  <c r="E193" i="11"/>
  <c r="F193" i="11" s="1"/>
  <c r="E195" i="11"/>
  <c r="F195" i="11" s="1"/>
  <c r="E197" i="11"/>
  <c r="F197" i="11" s="1"/>
  <c r="E199" i="11"/>
  <c r="F199" i="11" s="1"/>
  <c r="E201" i="11"/>
  <c r="F201" i="11" s="1"/>
  <c r="E203" i="11"/>
  <c r="F203" i="11" s="1"/>
  <c r="E205" i="11"/>
  <c r="F205" i="11" s="1"/>
  <c r="E207" i="11"/>
  <c r="F207" i="11" s="1"/>
  <c r="E209" i="11"/>
  <c r="F209" i="11" s="1"/>
  <c r="E211" i="11"/>
  <c r="F211" i="11" s="1"/>
  <c r="E213" i="11"/>
  <c r="F213" i="11" s="1"/>
  <c r="E215" i="11"/>
  <c r="F215" i="11" s="1"/>
  <c r="E217" i="11"/>
  <c r="F217" i="11" s="1"/>
  <c r="E219" i="11"/>
  <c r="F219" i="11" s="1"/>
  <c r="E221" i="11"/>
  <c r="F221" i="11" s="1"/>
  <c r="E223" i="11"/>
  <c r="F223" i="11" s="1"/>
  <c r="E225" i="11"/>
  <c r="F225" i="11" s="1"/>
  <c r="E227" i="11"/>
  <c r="F227" i="11" s="1"/>
  <c r="E229" i="11"/>
  <c r="F229" i="11" s="1"/>
  <c r="E231" i="11"/>
  <c r="F231" i="11" s="1"/>
  <c r="E233" i="11"/>
  <c r="F233" i="11" s="1"/>
  <c r="E235" i="11"/>
  <c r="F235" i="11" s="1"/>
  <c r="E237" i="11"/>
  <c r="F237" i="11" s="1"/>
  <c r="E239" i="11"/>
  <c r="F239" i="11" s="1"/>
  <c r="E241" i="11"/>
  <c r="F241" i="11" s="1"/>
  <c r="E243" i="11"/>
  <c r="F243" i="11" s="1"/>
  <c r="E245" i="11"/>
  <c r="F245" i="11" s="1"/>
  <c r="E247" i="11"/>
  <c r="F247" i="11" s="1"/>
  <c r="E249" i="11"/>
  <c r="F249" i="11" s="1"/>
  <c r="E253" i="11"/>
  <c r="F253" i="11" s="1"/>
  <c r="E255" i="11"/>
  <c r="F255" i="11" s="1"/>
  <c r="E259" i="11"/>
  <c r="F259" i="11" s="1"/>
  <c r="E261" i="11"/>
  <c r="F261" i="11" s="1"/>
  <c r="E263" i="11"/>
  <c r="F263" i="11" s="1"/>
  <c r="E265" i="11"/>
  <c r="F265" i="11" s="1"/>
  <c r="E267" i="11"/>
  <c r="F267" i="11" s="1"/>
  <c r="E269" i="11"/>
  <c r="F269" i="11" s="1"/>
  <c r="E271" i="11"/>
  <c r="F271" i="11" s="1"/>
  <c r="E273" i="11"/>
  <c r="F273" i="11" s="1"/>
  <c r="E275" i="11"/>
  <c r="F275" i="11" s="1"/>
  <c r="E277" i="11"/>
  <c r="F277" i="11" s="1"/>
  <c r="E279" i="11"/>
  <c r="F279" i="11" s="1"/>
  <c r="E281" i="11"/>
  <c r="F281" i="11" s="1"/>
  <c r="E283" i="11"/>
  <c r="F283" i="11" s="1"/>
  <c r="E285" i="11"/>
  <c r="F285" i="11" s="1"/>
  <c r="E287" i="11"/>
  <c r="F287" i="11" s="1"/>
  <c r="E289" i="11"/>
  <c r="F289" i="11" s="1"/>
  <c r="E291" i="11"/>
  <c r="F291" i="11" s="1"/>
  <c r="E293" i="11"/>
  <c r="F293" i="11" s="1"/>
  <c r="E295" i="11"/>
  <c r="F295" i="11" s="1"/>
  <c r="E297" i="11"/>
  <c r="F297" i="11" s="1"/>
  <c r="E299" i="11"/>
  <c r="F299" i="11" s="1"/>
  <c r="E301" i="11"/>
  <c r="F301" i="11" s="1"/>
  <c r="E303" i="11"/>
  <c r="F303" i="11" s="1"/>
  <c r="E184" i="11"/>
  <c r="F184" i="11" s="1"/>
  <c r="E186" i="11"/>
  <c r="F186" i="11" s="1"/>
  <c r="E188" i="11"/>
  <c r="F188" i="11" s="1"/>
  <c r="E190" i="11"/>
  <c r="F190" i="11" s="1"/>
  <c r="E192" i="11"/>
  <c r="F192" i="11" s="1"/>
  <c r="E194" i="11"/>
  <c r="F194" i="11" s="1"/>
  <c r="E196" i="11"/>
  <c r="F196" i="11" s="1"/>
  <c r="E198" i="11"/>
  <c r="F198" i="11" s="1"/>
  <c r="E200" i="11"/>
  <c r="F200" i="11" s="1"/>
  <c r="E202" i="11"/>
  <c r="F202" i="11" s="1"/>
  <c r="E204" i="11"/>
  <c r="F204" i="11" s="1"/>
  <c r="E206" i="11"/>
  <c r="E208" i="11"/>
  <c r="F208" i="11" s="1"/>
  <c r="E210" i="11"/>
  <c r="E212" i="11"/>
  <c r="F212" i="11" s="1"/>
  <c r="E214" i="11"/>
  <c r="E216" i="11"/>
  <c r="F216" i="11" s="1"/>
  <c r="E218" i="11"/>
  <c r="E220" i="11"/>
  <c r="F220" i="11" s="1"/>
  <c r="E222" i="11"/>
  <c r="E224" i="11"/>
  <c r="F224" i="11" s="1"/>
  <c r="E226" i="11"/>
  <c r="F226" i="11" s="1"/>
  <c r="E228" i="11"/>
  <c r="F228" i="11" s="1"/>
  <c r="E230" i="11"/>
  <c r="F230" i="11" s="1"/>
  <c r="E232" i="11"/>
  <c r="F232" i="11" s="1"/>
  <c r="E234" i="11"/>
  <c r="F234" i="11" s="1"/>
  <c r="E236" i="11"/>
  <c r="F236" i="11" s="1"/>
  <c r="E238" i="11"/>
  <c r="F238" i="11" s="1"/>
  <c r="E240" i="11"/>
  <c r="F240" i="11" s="1"/>
  <c r="E242" i="11"/>
  <c r="F242" i="11" s="1"/>
  <c r="E244" i="11"/>
  <c r="F244" i="11" s="1"/>
  <c r="E246" i="11"/>
  <c r="F246" i="11" s="1"/>
  <c r="E248" i="11"/>
  <c r="F248" i="11" s="1"/>
  <c r="E250" i="11"/>
  <c r="F250" i="11" s="1"/>
  <c r="E254" i="11"/>
  <c r="F254" i="11" s="1"/>
  <c r="E256" i="11"/>
  <c r="F256" i="11" s="1"/>
  <c r="E258" i="11"/>
  <c r="F258" i="11" s="1"/>
  <c r="E260" i="11"/>
  <c r="F260" i="11" s="1"/>
  <c r="E262" i="11"/>
  <c r="F262" i="11" s="1"/>
  <c r="E264" i="11"/>
  <c r="F264" i="11" s="1"/>
  <c r="E266" i="11"/>
  <c r="F266" i="11" s="1"/>
  <c r="E268" i="11"/>
  <c r="F268" i="11" s="1"/>
  <c r="E270" i="11"/>
  <c r="F270" i="11" s="1"/>
  <c r="E272" i="11"/>
  <c r="F272" i="11" s="1"/>
  <c r="E274" i="11"/>
  <c r="F274" i="11" s="1"/>
  <c r="E276" i="11"/>
  <c r="F276" i="11" s="1"/>
  <c r="E278" i="11"/>
  <c r="F278" i="11" s="1"/>
  <c r="E280" i="11"/>
  <c r="F280" i="11" s="1"/>
  <c r="E282" i="11"/>
  <c r="F282" i="11" s="1"/>
  <c r="E284" i="11"/>
  <c r="F284" i="11" s="1"/>
  <c r="E286" i="11"/>
  <c r="F286" i="11" s="1"/>
  <c r="E288" i="11"/>
  <c r="F288" i="11" s="1"/>
  <c r="E290" i="11"/>
  <c r="F290" i="11" s="1"/>
  <c r="E292" i="11"/>
  <c r="F292" i="11" s="1"/>
  <c r="E294" i="11"/>
  <c r="F294" i="11" s="1"/>
  <c r="E296" i="11"/>
  <c r="F296" i="11" s="1"/>
  <c r="E298" i="11"/>
  <c r="F298" i="11" s="1"/>
  <c r="E300" i="11"/>
  <c r="F300" i="11" s="1"/>
  <c r="E302" i="11"/>
  <c r="F302" i="11" s="1"/>
  <c r="D275" i="11"/>
  <c r="D193" i="11"/>
  <c r="D205" i="11"/>
  <c r="D213" i="11"/>
  <c r="D241" i="11"/>
  <c r="D243" i="11"/>
  <c r="D245" i="11"/>
  <c r="D247" i="11"/>
  <c r="D249" i="11"/>
  <c r="D259" i="11"/>
  <c r="D261" i="11"/>
  <c r="D263" i="11"/>
  <c r="D265" i="11"/>
  <c r="D267" i="11"/>
  <c r="D269" i="11"/>
  <c r="D271" i="11"/>
  <c r="D273" i="11"/>
  <c r="D290" i="11"/>
  <c r="D201" i="11"/>
  <c r="D209" i="11"/>
  <c r="D217" i="11"/>
  <c r="D219" i="11"/>
  <c r="D221" i="11"/>
  <c r="D223" i="11"/>
  <c r="D225" i="11"/>
  <c r="D227" i="11"/>
  <c r="D229" i="11"/>
  <c r="D231" i="11"/>
  <c r="D233" i="11"/>
  <c r="D235" i="11"/>
  <c r="D237" i="11"/>
  <c r="D239" i="11"/>
  <c r="D197" i="11"/>
  <c r="D255" i="11"/>
  <c r="D294" i="11"/>
  <c r="D296" i="11"/>
  <c r="D298" i="11"/>
  <c r="D300" i="11"/>
  <c r="D302" i="11"/>
  <c r="F252" i="11"/>
  <c r="D257" i="11"/>
  <c r="D253" i="11"/>
  <c r="D185" i="11"/>
  <c r="D187" i="11"/>
  <c r="D189" i="11"/>
  <c r="D191" i="11"/>
  <c r="D195" i="11"/>
  <c r="D199" i="11"/>
  <c r="D203" i="11"/>
  <c r="D207" i="11"/>
  <c r="D211" i="11"/>
  <c r="D215" i="11"/>
  <c r="D251" i="11"/>
  <c r="D278" i="11"/>
  <c r="D280" i="11"/>
  <c r="D282" i="11"/>
  <c r="D284" i="11"/>
  <c r="D286" i="11"/>
  <c r="D288" i="11"/>
  <c r="D292" i="11"/>
  <c r="D192" i="11"/>
  <c r="D194" i="11"/>
  <c r="D196" i="11"/>
  <c r="D198" i="11"/>
  <c r="D200" i="11"/>
  <c r="D202" i="11"/>
  <c r="D204" i="11"/>
  <c r="D206" i="11"/>
  <c r="D208" i="11"/>
  <c r="D210" i="11"/>
  <c r="D212" i="11"/>
  <c r="D214" i="11"/>
  <c r="D216" i="11"/>
  <c r="D218" i="11"/>
  <c r="D184" i="11"/>
  <c r="D186" i="11"/>
  <c r="D188" i="11"/>
  <c r="D190" i="11"/>
  <c r="D250" i="11"/>
  <c r="D252" i="11"/>
  <c r="D254" i="11"/>
  <c r="D256" i="11"/>
  <c r="D258" i="11"/>
  <c r="D220" i="11"/>
  <c r="D222" i="11"/>
  <c r="D224" i="11"/>
  <c r="D226" i="11"/>
  <c r="D228" i="11"/>
  <c r="D230" i="11"/>
  <c r="D232" i="11"/>
  <c r="D234" i="11"/>
  <c r="D236" i="11"/>
  <c r="D238" i="11"/>
  <c r="D240" i="11"/>
  <c r="D242" i="11"/>
  <c r="D244" i="11"/>
  <c r="D246" i="11"/>
  <c r="D248" i="11"/>
  <c r="F251" i="11"/>
  <c r="F257" i="11"/>
  <c r="D260" i="11"/>
  <c r="D262" i="11"/>
  <c r="D264" i="11"/>
  <c r="D266" i="11"/>
  <c r="D268" i="11"/>
  <c r="D270" i="11"/>
  <c r="D272" i="11"/>
  <c r="D274" i="11"/>
  <c r="D276" i="11"/>
  <c r="D277" i="11"/>
  <c r="D279" i="11"/>
  <c r="D281" i="11"/>
  <c r="D283" i="11"/>
  <c r="D289" i="11"/>
  <c r="D291" i="11"/>
  <c r="D293" i="11"/>
  <c r="D295" i="11"/>
  <c r="D285" i="11"/>
  <c r="D287" i="11"/>
  <c r="D297" i="11"/>
  <c r="D299" i="11"/>
  <c r="D301" i="11"/>
  <c r="D303" i="11"/>
  <c r="F218" i="11" l="1"/>
  <c r="F214" i="11"/>
  <c r="F210" i="11"/>
  <c r="F206" i="11"/>
  <c r="F222" i="11"/>
  <c r="W10" i="31"/>
  <c r="W9" i="31"/>
  <c r="W8" i="31"/>
  <c r="W7" i="31"/>
  <c r="W6" i="31"/>
  <c r="V8" i="31" l="1"/>
  <c r="V7" i="31"/>
  <c r="V6" i="31"/>
  <c r="V9" i="31"/>
  <c r="V10" i="31"/>
  <c r="W11" i="31"/>
  <c r="V11" i="31" s="1"/>
  <c r="W12" i="31"/>
  <c r="V12" i="31" s="1"/>
  <c r="W13" i="31"/>
  <c r="V13" i="31" s="1"/>
  <c r="W14" i="31"/>
  <c r="V14" i="31" s="1"/>
  <c r="W15" i="31"/>
  <c r="V15" i="31" s="1"/>
  <c r="W16" i="31"/>
  <c r="V16" i="31" s="1"/>
  <c r="W17" i="31"/>
  <c r="V17" i="31" s="1"/>
  <c r="W18" i="31"/>
  <c r="V18" i="31" s="1"/>
  <c r="W19" i="31"/>
  <c r="V19" i="31" s="1"/>
  <c r="W20" i="31"/>
  <c r="V20" i="31" s="1"/>
  <c r="W21" i="31"/>
  <c r="V21" i="31" s="1"/>
  <c r="W22" i="31"/>
  <c r="V22" i="31" s="1"/>
  <c r="W23" i="31"/>
  <c r="V23" i="31" s="1"/>
  <c r="W24" i="31"/>
  <c r="V24" i="31" s="1"/>
  <c r="W25" i="31"/>
  <c r="V25" i="31" s="1"/>
  <c r="W26" i="31"/>
  <c r="V26" i="31" s="1"/>
  <c r="W27" i="31"/>
  <c r="V27" i="31" s="1"/>
  <c r="W28" i="31"/>
  <c r="V28" i="31" s="1"/>
  <c r="W29" i="31"/>
  <c r="V29" i="31" s="1"/>
  <c r="W30" i="31"/>
  <c r="V30" i="31" s="1"/>
  <c r="K246" i="28"/>
  <c r="J246" i="28"/>
  <c r="I246" i="28"/>
  <c r="K236" i="28"/>
  <c r="J236" i="28"/>
  <c r="I236" i="28"/>
  <c r="K237" i="28"/>
  <c r="J237" i="28"/>
  <c r="I237" i="28"/>
  <c r="K235" i="28"/>
  <c r="J235" i="28"/>
  <c r="I235" i="28"/>
  <c r="K234" i="28"/>
  <c r="J234" i="28"/>
  <c r="I234" i="28"/>
  <c r="C5" i="31" l="1"/>
  <c r="AC4" i="10" l="1"/>
  <c r="AF4" i="10" s="1"/>
  <c r="AI4" i="10" s="1"/>
  <c r="AL4" i="10" s="1"/>
  <c r="AO4" i="10" s="1"/>
  <c r="AR4" i="10" s="1"/>
  <c r="AC5" i="10" l="1"/>
  <c r="AF5" i="10" s="1"/>
  <c r="AI5" i="10" s="1"/>
  <c r="AL5" i="10" s="1"/>
  <c r="AO5" i="10" s="1"/>
  <c r="AR5" i="10" s="1"/>
  <c r="AG306" i="2"/>
  <c r="AE306" i="2"/>
  <c r="AC306" i="2"/>
  <c r="AA306" i="2"/>
  <c r="E41" i="28"/>
  <c r="E60" i="28"/>
  <c r="E79" i="28"/>
  <c r="E98" i="28"/>
  <c r="E117" i="28"/>
  <c r="E136" i="28"/>
  <c r="E155" i="28"/>
  <c r="E174" i="28"/>
  <c r="E193" i="28"/>
  <c r="K343" i="28"/>
  <c r="J343" i="28"/>
  <c r="K342" i="28"/>
  <c r="J342" i="28"/>
  <c r="K341" i="28"/>
  <c r="J341" i="28"/>
  <c r="K340" i="28"/>
  <c r="J340" i="28"/>
  <c r="K339" i="28"/>
  <c r="J339" i="28"/>
  <c r="K338" i="28"/>
  <c r="J338" i="28"/>
  <c r="K337" i="28"/>
  <c r="J337" i="28"/>
  <c r="K336" i="28"/>
  <c r="J336" i="28"/>
  <c r="K335" i="28"/>
  <c r="J335" i="28"/>
  <c r="K334" i="28"/>
  <c r="J334" i="28"/>
  <c r="K333" i="28"/>
  <c r="J333" i="28"/>
  <c r="K332" i="28"/>
  <c r="J332" i="28"/>
  <c r="K331" i="28"/>
  <c r="J331" i="28"/>
  <c r="L8" i="1" s="1"/>
  <c r="K330" i="28"/>
  <c r="J330" i="28"/>
  <c r="K329" i="28"/>
  <c r="J329" i="28"/>
  <c r="K328" i="28"/>
  <c r="J328" i="28"/>
  <c r="K324" i="28"/>
  <c r="J324" i="28"/>
  <c r="K323" i="28"/>
  <c r="J323" i="28"/>
  <c r="K322" i="28"/>
  <c r="J322" i="28"/>
  <c r="K321" i="28"/>
  <c r="J321" i="28"/>
  <c r="K320" i="28"/>
  <c r="J320" i="28"/>
  <c r="K319" i="28"/>
  <c r="J319" i="28"/>
  <c r="K318" i="28"/>
  <c r="J318" i="28"/>
  <c r="K317" i="28"/>
  <c r="J317" i="28"/>
  <c r="K316" i="28"/>
  <c r="J316" i="28"/>
  <c r="K315" i="28"/>
  <c r="J315" i="28"/>
  <c r="K314" i="28"/>
  <c r="J314" i="28"/>
  <c r="K313" i="28"/>
  <c r="J313" i="28"/>
  <c r="K312" i="28"/>
  <c r="J312" i="28"/>
  <c r="K311" i="28"/>
  <c r="J311" i="28"/>
  <c r="K310" i="28"/>
  <c r="J310" i="28"/>
  <c r="K309" i="28"/>
  <c r="J309" i="28"/>
  <c r="K305" i="28"/>
  <c r="J305" i="28"/>
  <c r="K304" i="28"/>
  <c r="J304" i="28"/>
  <c r="K303" i="28"/>
  <c r="J303" i="28"/>
  <c r="K302" i="28"/>
  <c r="J302" i="28"/>
  <c r="K301" i="28"/>
  <c r="J301" i="28"/>
  <c r="K300" i="28"/>
  <c r="J300" i="28"/>
  <c r="K299" i="28"/>
  <c r="J299" i="28"/>
  <c r="K298" i="28"/>
  <c r="J298" i="28"/>
  <c r="K297" i="28"/>
  <c r="J297" i="28"/>
  <c r="K296" i="28"/>
  <c r="J296" i="28"/>
  <c r="K295" i="28"/>
  <c r="J295" i="28"/>
  <c r="K294" i="28"/>
  <c r="J294" i="28"/>
  <c r="K293" i="28"/>
  <c r="J293" i="28"/>
  <c r="K292" i="28"/>
  <c r="J292" i="28"/>
  <c r="K291" i="28"/>
  <c r="J291" i="28"/>
  <c r="K290" i="28"/>
  <c r="J290" i="28"/>
  <c r="K286" i="28"/>
  <c r="J286" i="28"/>
  <c r="K285" i="28"/>
  <c r="J285" i="28"/>
  <c r="K284" i="28"/>
  <c r="J284" i="28"/>
  <c r="K283" i="28"/>
  <c r="J283" i="28"/>
  <c r="K282" i="28"/>
  <c r="J282" i="28"/>
  <c r="K281" i="28"/>
  <c r="J281" i="28"/>
  <c r="K280" i="28"/>
  <c r="J280" i="28"/>
  <c r="K279" i="28"/>
  <c r="J279" i="28"/>
  <c r="K278" i="28"/>
  <c r="J278" i="28"/>
  <c r="K277" i="28"/>
  <c r="J277" i="28"/>
  <c r="K276" i="28"/>
  <c r="J276" i="28"/>
  <c r="K275" i="28"/>
  <c r="J275" i="28"/>
  <c r="K274" i="28"/>
  <c r="J274" i="28"/>
  <c r="K273" i="28"/>
  <c r="J273" i="28"/>
  <c r="K272" i="28"/>
  <c r="J272" i="28"/>
  <c r="K271" i="28"/>
  <c r="J271" i="28"/>
  <c r="K267" i="28"/>
  <c r="J267" i="28"/>
  <c r="K266" i="28"/>
  <c r="J266" i="28"/>
  <c r="K265" i="28"/>
  <c r="J265" i="28"/>
  <c r="K264" i="28"/>
  <c r="J264" i="28"/>
  <c r="K263" i="28"/>
  <c r="J263" i="28"/>
  <c r="K262" i="28"/>
  <c r="J262" i="28"/>
  <c r="K261" i="28"/>
  <c r="J261" i="28"/>
  <c r="K260" i="28"/>
  <c r="J260" i="28"/>
  <c r="K259" i="28"/>
  <c r="J259" i="28"/>
  <c r="K258" i="28"/>
  <c r="J258" i="28"/>
  <c r="K257" i="28"/>
  <c r="J257" i="28"/>
  <c r="K256" i="28"/>
  <c r="J256" i="28"/>
  <c r="K255" i="28"/>
  <c r="J255" i="28"/>
  <c r="K254" i="28"/>
  <c r="J254" i="28"/>
  <c r="K253" i="28"/>
  <c r="J253" i="28"/>
  <c r="K252" i="28"/>
  <c r="J252" i="28"/>
  <c r="K248" i="28"/>
  <c r="J248" i="28"/>
  <c r="K247" i="28"/>
  <c r="J247" i="28"/>
  <c r="K245" i="28"/>
  <c r="J245" i="28"/>
  <c r="K244" i="28"/>
  <c r="J244" i="28"/>
  <c r="K243" i="28"/>
  <c r="J243" i="28"/>
  <c r="K242" i="28"/>
  <c r="J242" i="28"/>
  <c r="K241" i="28"/>
  <c r="J241" i="28"/>
  <c r="K240" i="28"/>
  <c r="J240" i="28"/>
  <c r="K239" i="28"/>
  <c r="J239" i="28"/>
  <c r="K238" i="28"/>
  <c r="J238" i="28"/>
  <c r="K233" i="28"/>
  <c r="J233" i="28"/>
  <c r="K229" i="28"/>
  <c r="J229" i="28"/>
  <c r="K228" i="28"/>
  <c r="J228" i="28"/>
  <c r="K227" i="28"/>
  <c r="J227" i="28"/>
  <c r="K226" i="28"/>
  <c r="J226" i="28"/>
  <c r="K225" i="28"/>
  <c r="J225" i="28"/>
  <c r="K224" i="28"/>
  <c r="J224" i="28"/>
  <c r="K223" i="28"/>
  <c r="J223" i="28"/>
  <c r="K222" i="28"/>
  <c r="J222" i="28"/>
  <c r="K221" i="28"/>
  <c r="J221" i="28"/>
  <c r="K220" i="28"/>
  <c r="J220" i="28"/>
  <c r="K219" i="28"/>
  <c r="J219" i="28"/>
  <c r="K218" i="28"/>
  <c r="J218" i="28"/>
  <c r="K217" i="28"/>
  <c r="J217" i="28"/>
  <c r="K216" i="28"/>
  <c r="J216" i="28"/>
  <c r="K215" i="28"/>
  <c r="J215" i="28"/>
  <c r="K214" i="28"/>
  <c r="J214" i="28"/>
  <c r="K210" i="28"/>
  <c r="J210" i="28"/>
  <c r="K209" i="28"/>
  <c r="J209" i="28"/>
  <c r="K208" i="28"/>
  <c r="J208" i="28"/>
  <c r="K207" i="28"/>
  <c r="J207" i="28"/>
  <c r="K206" i="28"/>
  <c r="J206" i="28"/>
  <c r="K205" i="28"/>
  <c r="J205" i="28"/>
  <c r="K204" i="28"/>
  <c r="J204" i="28"/>
  <c r="K203" i="28"/>
  <c r="J203" i="28"/>
  <c r="K202" i="28"/>
  <c r="J202" i="28"/>
  <c r="K201" i="28"/>
  <c r="J201" i="28"/>
  <c r="K200" i="28"/>
  <c r="J200" i="28"/>
  <c r="K199" i="28"/>
  <c r="J199" i="28"/>
  <c r="K198" i="28"/>
  <c r="J198" i="28"/>
  <c r="K197" i="28"/>
  <c r="J197" i="28"/>
  <c r="K196" i="28"/>
  <c r="J196" i="28"/>
  <c r="K195" i="28"/>
  <c r="J195" i="28"/>
  <c r="K191" i="28"/>
  <c r="J191" i="28"/>
  <c r="K190" i="28"/>
  <c r="J190" i="28"/>
  <c r="K189" i="28"/>
  <c r="J189" i="28"/>
  <c r="K188" i="28"/>
  <c r="J188" i="28"/>
  <c r="K187" i="28"/>
  <c r="J187" i="28"/>
  <c r="K186" i="28"/>
  <c r="J186" i="28"/>
  <c r="K185" i="28"/>
  <c r="J185" i="28"/>
  <c r="K184" i="28"/>
  <c r="J184" i="28"/>
  <c r="K183" i="28"/>
  <c r="J183" i="28"/>
  <c r="K182" i="28"/>
  <c r="J182" i="28"/>
  <c r="K181" i="28"/>
  <c r="J181" i="28"/>
  <c r="K180" i="28"/>
  <c r="J180" i="28"/>
  <c r="K179" i="28"/>
  <c r="J179" i="28"/>
  <c r="K178" i="28"/>
  <c r="J178" i="28"/>
  <c r="K177" i="28"/>
  <c r="J177" i="28"/>
  <c r="K176" i="28"/>
  <c r="J176" i="28"/>
  <c r="K172" i="28"/>
  <c r="J172" i="28"/>
  <c r="K171" i="28"/>
  <c r="J171" i="28"/>
  <c r="K170" i="28"/>
  <c r="J170" i="28"/>
  <c r="K169" i="28"/>
  <c r="J169" i="28"/>
  <c r="K168" i="28"/>
  <c r="J168" i="28"/>
  <c r="K167" i="28"/>
  <c r="J167" i="28"/>
  <c r="K166" i="28"/>
  <c r="J166" i="28"/>
  <c r="K165" i="28"/>
  <c r="J165" i="28"/>
  <c r="K164" i="28"/>
  <c r="J164" i="28"/>
  <c r="K163" i="28"/>
  <c r="J163" i="28"/>
  <c r="K162" i="28"/>
  <c r="J162" i="28"/>
  <c r="K161" i="28"/>
  <c r="J161" i="28"/>
  <c r="K160" i="28"/>
  <c r="J160" i="28"/>
  <c r="K159" i="28"/>
  <c r="J159" i="28"/>
  <c r="K158" i="28"/>
  <c r="J158" i="28"/>
  <c r="K157" i="28"/>
  <c r="J157" i="28"/>
  <c r="K153" i="28"/>
  <c r="J153" i="28"/>
  <c r="K152" i="28"/>
  <c r="J152" i="28"/>
  <c r="K151" i="28"/>
  <c r="J151" i="28"/>
  <c r="K150" i="28"/>
  <c r="J150" i="28"/>
  <c r="K149" i="28"/>
  <c r="J149" i="28"/>
  <c r="K148" i="28"/>
  <c r="J148" i="28"/>
  <c r="K147" i="28"/>
  <c r="J147" i="28"/>
  <c r="K146" i="28"/>
  <c r="J146" i="28"/>
  <c r="K145" i="28"/>
  <c r="J145" i="28"/>
  <c r="K144" i="28"/>
  <c r="J144" i="28"/>
  <c r="K143" i="28"/>
  <c r="J143" i="28"/>
  <c r="K142" i="28"/>
  <c r="J142" i="28"/>
  <c r="K141" i="28"/>
  <c r="J141" i="28"/>
  <c r="K140" i="28"/>
  <c r="J140" i="28"/>
  <c r="K139" i="28"/>
  <c r="J139" i="28"/>
  <c r="K138" i="28"/>
  <c r="J138" i="28"/>
  <c r="K134" i="28"/>
  <c r="J134" i="28"/>
  <c r="K133" i="28"/>
  <c r="J133" i="28"/>
  <c r="K132" i="28"/>
  <c r="J132" i="28"/>
  <c r="K131" i="28"/>
  <c r="J131" i="28"/>
  <c r="K130" i="28"/>
  <c r="J130" i="28"/>
  <c r="K129" i="28"/>
  <c r="J129" i="28"/>
  <c r="K128" i="28"/>
  <c r="J128" i="28"/>
  <c r="K127" i="28"/>
  <c r="J127" i="28"/>
  <c r="K126" i="28"/>
  <c r="J126" i="28"/>
  <c r="K125" i="28"/>
  <c r="J125" i="28"/>
  <c r="K124" i="28"/>
  <c r="J124" i="28"/>
  <c r="K123" i="28"/>
  <c r="J123" i="28"/>
  <c r="K122" i="28"/>
  <c r="J122" i="28"/>
  <c r="K121" i="28"/>
  <c r="J121" i="28"/>
  <c r="K120" i="28"/>
  <c r="J120" i="28"/>
  <c r="K119" i="28"/>
  <c r="J119" i="28"/>
  <c r="K115" i="28"/>
  <c r="J115" i="28"/>
  <c r="K114" i="28"/>
  <c r="J114" i="28"/>
  <c r="K113" i="28"/>
  <c r="J113" i="28"/>
  <c r="K112" i="28"/>
  <c r="J112" i="28"/>
  <c r="K111" i="28"/>
  <c r="J111" i="28"/>
  <c r="K110" i="28"/>
  <c r="J110" i="28"/>
  <c r="K109" i="28"/>
  <c r="J109" i="28"/>
  <c r="K108" i="28"/>
  <c r="J108" i="28"/>
  <c r="K107" i="28"/>
  <c r="J107" i="28"/>
  <c r="K106" i="28"/>
  <c r="J106" i="28"/>
  <c r="K105" i="28"/>
  <c r="J105" i="28"/>
  <c r="K104" i="28"/>
  <c r="J104" i="28"/>
  <c r="K103" i="28"/>
  <c r="J103" i="28"/>
  <c r="K102" i="28"/>
  <c r="J102" i="28"/>
  <c r="K101" i="28"/>
  <c r="J101" i="28"/>
  <c r="K100" i="28"/>
  <c r="J100" i="28"/>
  <c r="K96" i="28"/>
  <c r="J96" i="28"/>
  <c r="K95" i="28"/>
  <c r="J95" i="28"/>
  <c r="K94" i="28"/>
  <c r="J94" i="28"/>
  <c r="K93" i="28"/>
  <c r="J93" i="28"/>
  <c r="K92" i="28"/>
  <c r="J92" i="28"/>
  <c r="K91" i="28"/>
  <c r="J91" i="28"/>
  <c r="K90" i="28"/>
  <c r="J90" i="28"/>
  <c r="K89" i="28"/>
  <c r="J89" i="28"/>
  <c r="K88" i="28"/>
  <c r="J88" i="28"/>
  <c r="K87" i="28"/>
  <c r="J87" i="28"/>
  <c r="K86" i="28"/>
  <c r="J86" i="28"/>
  <c r="K85" i="28"/>
  <c r="J85" i="28"/>
  <c r="K84" i="28"/>
  <c r="J84" i="28"/>
  <c r="K83" i="28"/>
  <c r="J83" i="28"/>
  <c r="K82" i="28"/>
  <c r="J82" i="28"/>
  <c r="K81" i="28"/>
  <c r="J81" i="28"/>
  <c r="K77" i="28"/>
  <c r="J77" i="28"/>
  <c r="K76" i="28"/>
  <c r="J76" i="28"/>
  <c r="K75" i="28"/>
  <c r="J75" i="28"/>
  <c r="K74" i="28"/>
  <c r="J74" i="28"/>
  <c r="K73" i="28"/>
  <c r="J73" i="28"/>
  <c r="K72" i="28"/>
  <c r="J72" i="28"/>
  <c r="K71" i="28"/>
  <c r="J71" i="28"/>
  <c r="K70" i="28"/>
  <c r="J70" i="28"/>
  <c r="K69" i="28"/>
  <c r="J69" i="28"/>
  <c r="K68" i="28"/>
  <c r="J68" i="28"/>
  <c r="K67" i="28"/>
  <c r="J67" i="28"/>
  <c r="K66" i="28"/>
  <c r="J66" i="28"/>
  <c r="K65" i="28"/>
  <c r="J65" i="28"/>
  <c r="K64" i="28"/>
  <c r="J64" i="28"/>
  <c r="K63" i="28"/>
  <c r="J63" i="28"/>
  <c r="K62" i="28"/>
  <c r="J62" i="28"/>
  <c r="K58" i="28"/>
  <c r="J58" i="28"/>
  <c r="K57" i="28"/>
  <c r="J57" i="28"/>
  <c r="K56" i="28"/>
  <c r="J56" i="28"/>
  <c r="K55" i="28"/>
  <c r="J55" i="28"/>
  <c r="K54" i="28"/>
  <c r="J54" i="28"/>
  <c r="K53" i="28"/>
  <c r="J53" i="28"/>
  <c r="K52" i="28"/>
  <c r="J52" i="28"/>
  <c r="K51" i="28"/>
  <c r="J51" i="28"/>
  <c r="K50" i="28"/>
  <c r="J50" i="28"/>
  <c r="K49" i="28"/>
  <c r="J49" i="28"/>
  <c r="K48" i="28"/>
  <c r="J48" i="28"/>
  <c r="K47" i="28"/>
  <c r="J47" i="28"/>
  <c r="K46" i="28"/>
  <c r="J46" i="28"/>
  <c r="K45" i="28"/>
  <c r="J45" i="28"/>
  <c r="K44" i="28"/>
  <c r="J44" i="28"/>
  <c r="K43" i="28"/>
  <c r="J43" i="28"/>
  <c r="K39" i="28"/>
  <c r="J39" i="28"/>
  <c r="K38" i="28"/>
  <c r="J38" i="28"/>
  <c r="K37" i="28"/>
  <c r="J37" i="28"/>
  <c r="K36" i="28"/>
  <c r="J36" i="28"/>
  <c r="K35" i="28"/>
  <c r="J35" i="28"/>
  <c r="K34" i="28"/>
  <c r="J34" i="28"/>
  <c r="K33" i="28"/>
  <c r="J33" i="28"/>
  <c r="K32" i="28"/>
  <c r="J32" i="28"/>
  <c r="K31" i="28"/>
  <c r="J31" i="28"/>
  <c r="K30" i="28"/>
  <c r="J30" i="28"/>
  <c r="K29" i="28"/>
  <c r="J29" i="28"/>
  <c r="K28" i="28"/>
  <c r="J28" i="28"/>
  <c r="K27" i="28"/>
  <c r="J27" i="28"/>
  <c r="K26" i="28"/>
  <c r="J26" i="28"/>
  <c r="K25" i="28"/>
  <c r="J25" i="28"/>
  <c r="K24" i="28"/>
  <c r="J24" i="28"/>
  <c r="K20" i="28"/>
  <c r="J20" i="28"/>
  <c r="K19" i="28"/>
  <c r="J19" i="28"/>
  <c r="K18" i="28"/>
  <c r="J18" i="28"/>
  <c r="K17" i="28"/>
  <c r="J17" i="28"/>
  <c r="K16" i="28"/>
  <c r="J16" i="28"/>
  <c r="K15" i="28"/>
  <c r="J15" i="28"/>
  <c r="K14" i="28"/>
  <c r="J14" i="28"/>
  <c r="K13" i="28"/>
  <c r="J13" i="28"/>
  <c r="K12" i="28"/>
  <c r="J12" i="28"/>
  <c r="K11" i="28"/>
  <c r="J11" i="28"/>
  <c r="K10" i="28"/>
  <c r="J10" i="28"/>
  <c r="K9" i="28"/>
  <c r="J9" i="28"/>
  <c r="K8" i="28"/>
  <c r="J8" i="28"/>
  <c r="K7" i="28"/>
  <c r="J7" i="28"/>
  <c r="K6" i="28"/>
  <c r="J6" i="28"/>
  <c r="K5" i="28"/>
  <c r="J5" i="28"/>
  <c r="M8" i="1" l="1"/>
  <c r="L5" i="1"/>
  <c r="L9" i="1"/>
  <c r="M9" i="1"/>
  <c r="L6" i="1"/>
  <c r="M6" i="1"/>
  <c r="L7" i="1"/>
  <c r="M7" i="1"/>
  <c r="L13" i="1"/>
  <c r="L12" i="1"/>
  <c r="M12" i="1"/>
  <c r="M5" i="1"/>
  <c r="M13" i="1"/>
  <c r="L10" i="1"/>
  <c r="L14" i="1"/>
  <c r="M10" i="1"/>
  <c r="M14" i="1"/>
  <c r="L11" i="1"/>
  <c r="M11" i="1"/>
  <c r="AC6" i="10"/>
  <c r="AF6" i="10" s="1"/>
  <c r="AI6" i="10" s="1"/>
  <c r="AL6" i="10" s="1"/>
  <c r="AO6" i="10" s="1"/>
  <c r="AR6" i="10" s="1"/>
  <c r="I191" i="28"/>
  <c r="I190" i="28"/>
  <c r="I189" i="28"/>
  <c r="I188" i="28"/>
  <c r="I187" i="28"/>
  <c r="I186" i="28"/>
  <c r="I185" i="28"/>
  <c r="I184" i="28"/>
  <c r="I183" i="28"/>
  <c r="I182" i="28"/>
  <c r="I181" i="28"/>
  <c r="I180" i="28"/>
  <c r="I179" i="28"/>
  <c r="I178" i="28"/>
  <c r="I177" i="28"/>
  <c r="I176" i="28"/>
  <c r="I172" i="28"/>
  <c r="I171" i="28"/>
  <c r="I170" i="28"/>
  <c r="I169" i="28"/>
  <c r="I168" i="28"/>
  <c r="I167" i="28"/>
  <c r="I166" i="28"/>
  <c r="I165" i="28"/>
  <c r="I164" i="28"/>
  <c r="I163" i="28"/>
  <c r="I162" i="28"/>
  <c r="I161" i="28"/>
  <c r="I160" i="28"/>
  <c r="I159" i="28"/>
  <c r="I158" i="28"/>
  <c r="I157" i="28"/>
  <c r="I145" i="28"/>
  <c r="I144" i="28"/>
  <c r="I143" i="28"/>
  <c r="I142" i="28"/>
  <c r="I141" i="28"/>
  <c r="I140" i="28"/>
  <c r="I139" i="28"/>
  <c r="I138" i="28"/>
  <c r="I132" i="28"/>
  <c r="I131" i="28"/>
  <c r="I130" i="28"/>
  <c r="I129" i="28"/>
  <c r="I128" i="28"/>
  <c r="I127" i="28"/>
  <c r="I126" i="28"/>
  <c r="I125" i="28"/>
  <c r="I124" i="28"/>
  <c r="I123" i="28"/>
  <c r="I122" i="28"/>
  <c r="I121" i="28"/>
  <c r="I120" i="28"/>
  <c r="I119" i="28"/>
  <c r="I106" i="28"/>
  <c r="I105" i="28"/>
  <c r="I104" i="28"/>
  <c r="I103" i="28"/>
  <c r="I102" i="28"/>
  <c r="I101" i="28"/>
  <c r="I100" i="28"/>
  <c r="I87" i="28"/>
  <c r="I86" i="28"/>
  <c r="I85" i="28"/>
  <c r="I84" i="28"/>
  <c r="I83" i="28"/>
  <c r="I82" i="28"/>
  <c r="I81" i="28"/>
  <c r="I72" i="28"/>
  <c r="I71" i="28"/>
  <c r="I70" i="28"/>
  <c r="I69" i="28"/>
  <c r="I68" i="28"/>
  <c r="I67" i="28"/>
  <c r="I66" i="28"/>
  <c r="I65" i="28"/>
  <c r="I64" i="28"/>
  <c r="I63" i="28"/>
  <c r="I62" i="28"/>
  <c r="I49" i="28"/>
  <c r="I48" i="28"/>
  <c r="I47" i="28"/>
  <c r="I46" i="28"/>
  <c r="I45" i="28"/>
  <c r="I44" i="28"/>
  <c r="I43" i="28"/>
  <c r="I30" i="28"/>
  <c r="I29" i="28"/>
  <c r="I28" i="28"/>
  <c r="I27" i="28"/>
  <c r="I26" i="28"/>
  <c r="I25" i="28"/>
  <c r="I24" i="28"/>
  <c r="I15" i="28"/>
  <c r="I14" i="28"/>
  <c r="I13" i="28"/>
  <c r="I12" i="28"/>
  <c r="I11" i="28"/>
  <c r="I10" i="28"/>
  <c r="I9" i="28"/>
  <c r="I8" i="28"/>
  <c r="I7" i="28"/>
  <c r="I6" i="28"/>
  <c r="I5" i="28"/>
  <c r="AC7" i="10" l="1"/>
  <c r="AF7" i="10" s="1"/>
  <c r="AI7" i="10" s="1"/>
  <c r="AL7" i="10" s="1"/>
  <c r="AO7" i="10" s="1"/>
  <c r="AR7" i="10" s="1"/>
  <c r="E326" i="28"/>
  <c r="E307" i="28"/>
  <c r="E288" i="28"/>
  <c r="E269" i="28"/>
  <c r="E250" i="28"/>
  <c r="E231" i="28"/>
  <c r="E212" i="28"/>
  <c r="AS23" i="1"/>
  <c r="B20" i="1" s="1"/>
  <c r="E78" i="27" s="1"/>
  <c r="AR23" i="1"/>
  <c r="B19" i="1" s="1"/>
  <c r="AQ23" i="1"/>
  <c r="B18" i="1" s="1"/>
  <c r="AP23" i="1"/>
  <c r="B17" i="1" s="1"/>
  <c r="AO23" i="1"/>
  <c r="B16" i="1" s="1"/>
  <c r="AN23" i="1"/>
  <c r="B15" i="1" s="1"/>
  <c r="AS24" i="1"/>
  <c r="AR24" i="1"/>
  <c r="AQ24" i="1"/>
  <c r="AP24" i="1"/>
  <c r="AO24" i="1"/>
  <c r="AN24" i="1"/>
  <c r="G3" i="1" l="1"/>
  <c r="D3" i="15" s="1"/>
  <c r="AC8" i="10"/>
  <c r="AF8" i="10" s="1"/>
  <c r="AI8" i="10" s="1"/>
  <c r="AL8" i="10" s="1"/>
  <c r="AO8" i="10" s="1"/>
  <c r="AR8" i="10" s="1"/>
  <c r="L16" i="1"/>
  <c r="D16" i="1"/>
  <c r="E16" i="1"/>
  <c r="H16" i="1"/>
  <c r="M16" i="1"/>
  <c r="C16" i="1"/>
  <c r="I16" i="1"/>
  <c r="J16" i="1"/>
  <c r="L18" i="1"/>
  <c r="D18" i="1"/>
  <c r="J18" i="1"/>
  <c r="C18" i="1"/>
  <c r="E18" i="1"/>
  <c r="H18" i="1"/>
  <c r="M18" i="1"/>
  <c r="I18" i="1"/>
  <c r="L20" i="1"/>
  <c r="D20" i="1"/>
  <c r="E20" i="1"/>
  <c r="H20" i="1"/>
  <c r="M20" i="1"/>
  <c r="C20" i="1"/>
  <c r="I20" i="1"/>
  <c r="J20" i="1"/>
  <c r="M15" i="1"/>
  <c r="I15" i="1"/>
  <c r="E15" i="1"/>
  <c r="H15" i="1"/>
  <c r="D15" i="1"/>
  <c r="L15" i="1"/>
  <c r="C15" i="1"/>
  <c r="J15" i="1"/>
  <c r="M17" i="1"/>
  <c r="L17" i="1"/>
  <c r="J17" i="1"/>
  <c r="D17" i="1"/>
  <c r="I17" i="1"/>
  <c r="C17" i="1"/>
  <c r="E17" i="1"/>
  <c r="H17" i="1"/>
  <c r="M19" i="1"/>
  <c r="I19" i="1"/>
  <c r="E19" i="1"/>
  <c r="H19" i="1"/>
  <c r="D19" i="1"/>
  <c r="L19" i="1"/>
  <c r="C19" i="1"/>
  <c r="J19" i="1"/>
  <c r="I197" i="28"/>
  <c r="I198" i="28"/>
  <c r="I199" i="28"/>
  <c r="I200" i="28"/>
  <c r="I201" i="28"/>
  <c r="I202" i="28"/>
  <c r="I203" i="28"/>
  <c r="AC9" i="10" l="1"/>
  <c r="AF9" i="10" s="1"/>
  <c r="AI9" i="10" s="1"/>
  <c r="AL9" i="10" s="1"/>
  <c r="AO9" i="10" s="1"/>
  <c r="AR9" i="10" s="1"/>
  <c r="AC10" i="10" l="1"/>
  <c r="AF10" i="10" s="1"/>
  <c r="AI10" i="10" s="1"/>
  <c r="AL10" i="10" s="1"/>
  <c r="AO10" i="10" s="1"/>
  <c r="AR10" i="10" s="1"/>
  <c r="Q304" i="21"/>
  <c r="R304" i="21" s="1"/>
  <c r="O304" i="21"/>
  <c r="P304" i="21" s="1"/>
  <c r="M304" i="21"/>
  <c r="N304" i="21" s="1"/>
  <c r="Q303" i="21"/>
  <c r="R303" i="21" s="1"/>
  <c r="O303" i="21"/>
  <c r="P303" i="21" s="1"/>
  <c r="M303" i="21"/>
  <c r="N303" i="21" s="1"/>
  <c r="Q302" i="21"/>
  <c r="R302" i="21" s="1"/>
  <c r="O302" i="21"/>
  <c r="P302" i="21" s="1"/>
  <c r="M302" i="21"/>
  <c r="N302" i="21" s="1"/>
  <c r="Q301" i="21"/>
  <c r="R301" i="21" s="1"/>
  <c r="O301" i="21"/>
  <c r="P301" i="21" s="1"/>
  <c r="M301" i="21"/>
  <c r="N301" i="21" s="1"/>
  <c r="Q300" i="21"/>
  <c r="R300" i="21" s="1"/>
  <c r="O300" i="21"/>
  <c r="P300" i="21" s="1"/>
  <c r="M300" i="21"/>
  <c r="N300" i="21" s="1"/>
  <c r="Q299" i="21"/>
  <c r="R299" i="21" s="1"/>
  <c r="O299" i="21"/>
  <c r="P299" i="21" s="1"/>
  <c r="M299" i="21"/>
  <c r="N299" i="21" s="1"/>
  <c r="Q298" i="21"/>
  <c r="R298" i="21" s="1"/>
  <c r="O298" i="21"/>
  <c r="P298" i="21" s="1"/>
  <c r="M298" i="21"/>
  <c r="N298" i="21" s="1"/>
  <c r="Q297" i="21"/>
  <c r="R297" i="21" s="1"/>
  <c r="O297" i="21"/>
  <c r="P297" i="21" s="1"/>
  <c r="M297" i="21"/>
  <c r="N297" i="21" s="1"/>
  <c r="Q296" i="21"/>
  <c r="R296" i="21" s="1"/>
  <c r="O296" i="21"/>
  <c r="P296" i="21" s="1"/>
  <c r="M296" i="21"/>
  <c r="N296" i="21" s="1"/>
  <c r="Q295" i="21"/>
  <c r="R295" i="21" s="1"/>
  <c r="O295" i="21"/>
  <c r="P295" i="21" s="1"/>
  <c r="M295" i="21"/>
  <c r="N295" i="21" s="1"/>
  <c r="Q294" i="21"/>
  <c r="R294" i="21" s="1"/>
  <c r="O294" i="21"/>
  <c r="P294" i="21" s="1"/>
  <c r="M294" i="21"/>
  <c r="N294" i="21" s="1"/>
  <c r="Q293" i="21"/>
  <c r="R293" i="21" s="1"/>
  <c r="O293" i="21"/>
  <c r="P293" i="21" s="1"/>
  <c r="M293" i="21"/>
  <c r="N293" i="21" s="1"/>
  <c r="Q292" i="21"/>
  <c r="R292" i="21" s="1"/>
  <c r="O292" i="21"/>
  <c r="P292" i="21" s="1"/>
  <c r="M292" i="21"/>
  <c r="N292" i="21" s="1"/>
  <c r="Q291" i="21"/>
  <c r="R291" i="21" s="1"/>
  <c r="O291" i="21"/>
  <c r="P291" i="21" s="1"/>
  <c r="M291" i="21"/>
  <c r="N291" i="21" s="1"/>
  <c r="Q290" i="21"/>
  <c r="R290" i="21" s="1"/>
  <c r="O290" i="21"/>
  <c r="P290" i="21" s="1"/>
  <c r="M290" i="21"/>
  <c r="N290" i="21" s="1"/>
  <c r="Q289" i="21"/>
  <c r="R289" i="21" s="1"/>
  <c r="O289" i="21"/>
  <c r="P289" i="21" s="1"/>
  <c r="M289" i="21"/>
  <c r="N289" i="21" s="1"/>
  <c r="Q288" i="21"/>
  <c r="R288" i="21" s="1"/>
  <c r="O288" i="21"/>
  <c r="P288" i="21" s="1"/>
  <c r="M288" i="21"/>
  <c r="N288" i="21" s="1"/>
  <c r="Q287" i="21"/>
  <c r="R287" i="21" s="1"/>
  <c r="O287" i="21"/>
  <c r="P287" i="21" s="1"/>
  <c r="M287" i="21"/>
  <c r="N287" i="21" s="1"/>
  <c r="Q286" i="21"/>
  <c r="R286" i="21" s="1"/>
  <c r="O286" i="21"/>
  <c r="P286" i="21" s="1"/>
  <c r="M286" i="21"/>
  <c r="N286" i="21" s="1"/>
  <c r="Q285" i="21"/>
  <c r="R285" i="21" s="1"/>
  <c r="O285" i="21"/>
  <c r="P285" i="21" s="1"/>
  <c r="M285" i="21"/>
  <c r="N285" i="21" s="1"/>
  <c r="Q284" i="21"/>
  <c r="R284" i="21" s="1"/>
  <c r="O284" i="21"/>
  <c r="P284" i="21" s="1"/>
  <c r="M284" i="21"/>
  <c r="N284" i="21" s="1"/>
  <c r="Q283" i="21"/>
  <c r="R283" i="21" s="1"/>
  <c r="O283" i="21"/>
  <c r="P283" i="21" s="1"/>
  <c r="M283" i="21"/>
  <c r="N283" i="21" s="1"/>
  <c r="Q282" i="21"/>
  <c r="R282" i="21" s="1"/>
  <c r="O282" i="21"/>
  <c r="P282" i="21" s="1"/>
  <c r="M282" i="21"/>
  <c r="N282" i="21" s="1"/>
  <c r="Q281" i="21"/>
  <c r="R281" i="21" s="1"/>
  <c r="O281" i="21"/>
  <c r="P281" i="21" s="1"/>
  <c r="M281" i="21"/>
  <c r="N281" i="21" s="1"/>
  <c r="Q280" i="21"/>
  <c r="R280" i="21" s="1"/>
  <c r="O280" i="21"/>
  <c r="P280" i="21" s="1"/>
  <c r="M280" i="21"/>
  <c r="N280" i="21" s="1"/>
  <c r="Q279" i="21"/>
  <c r="R279" i="21" s="1"/>
  <c r="O279" i="21"/>
  <c r="P279" i="21" s="1"/>
  <c r="M279" i="21"/>
  <c r="N279" i="21" s="1"/>
  <c r="Q278" i="21"/>
  <c r="R278" i="21" s="1"/>
  <c r="O278" i="21"/>
  <c r="P278" i="21" s="1"/>
  <c r="M278" i="21"/>
  <c r="N278" i="21" s="1"/>
  <c r="Q277" i="21"/>
  <c r="R277" i="21" s="1"/>
  <c r="O277" i="21"/>
  <c r="P277" i="21" s="1"/>
  <c r="M277" i="21"/>
  <c r="N277" i="21" s="1"/>
  <c r="Q276" i="21"/>
  <c r="R276" i="21" s="1"/>
  <c r="O276" i="21"/>
  <c r="P276" i="21" s="1"/>
  <c r="M276" i="21"/>
  <c r="N276" i="21" s="1"/>
  <c r="Q275" i="21"/>
  <c r="R275" i="21" s="1"/>
  <c r="O275" i="21"/>
  <c r="P275" i="21" s="1"/>
  <c r="M275" i="21"/>
  <c r="N275" i="21" s="1"/>
  <c r="Q274" i="21"/>
  <c r="R274" i="21" s="1"/>
  <c r="O274" i="21"/>
  <c r="P274" i="21" s="1"/>
  <c r="M274" i="21"/>
  <c r="N274" i="21" s="1"/>
  <c r="Q273" i="21"/>
  <c r="R273" i="21" s="1"/>
  <c r="O273" i="21"/>
  <c r="P273" i="21" s="1"/>
  <c r="M273" i="21"/>
  <c r="N273" i="21" s="1"/>
  <c r="Q272" i="21"/>
  <c r="R272" i="21" s="1"/>
  <c r="O272" i="21"/>
  <c r="P272" i="21" s="1"/>
  <c r="M272" i="21"/>
  <c r="N272" i="21" s="1"/>
  <c r="Q271" i="21"/>
  <c r="R271" i="21" s="1"/>
  <c r="O271" i="21"/>
  <c r="P271" i="21" s="1"/>
  <c r="M271" i="21"/>
  <c r="N271" i="21" s="1"/>
  <c r="Q270" i="21"/>
  <c r="R270" i="21" s="1"/>
  <c r="O270" i="21"/>
  <c r="P270" i="21" s="1"/>
  <c r="M270" i="21"/>
  <c r="N270" i="21" s="1"/>
  <c r="Q269" i="21"/>
  <c r="R269" i="21" s="1"/>
  <c r="O269" i="21"/>
  <c r="P269" i="21" s="1"/>
  <c r="M269" i="21"/>
  <c r="N269" i="21" s="1"/>
  <c r="Q268" i="21"/>
  <c r="R268" i="21" s="1"/>
  <c r="O268" i="21"/>
  <c r="P268" i="21" s="1"/>
  <c r="M268" i="21"/>
  <c r="N268" i="21" s="1"/>
  <c r="Q267" i="21"/>
  <c r="R267" i="21" s="1"/>
  <c r="O267" i="21"/>
  <c r="P267" i="21" s="1"/>
  <c r="M267" i="21"/>
  <c r="N267" i="21" s="1"/>
  <c r="Q266" i="21"/>
  <c r="R266" i="21" s="1"/>
  <c r="O266" i="21"/>
  <c r="P266" i="21" s="1"/>
  <c r="M266" i="21"/>
  <c r="N266" i="21" s="1"/>
  <c r="Q265" i="21"/>
  <c r="R265" i="21" s="1"/>
  <c r="O265" i="21"/>
  <c r="P265" i="21" s="1"/>
  <c r="M265" i="21"/>
  <c r="N265" i="21" s="1"/>
  <c r="Q264" i="21"/>
  <c r="R264" i="21" s="1"/>
  <c r="O264" i="21"/>
  <c r="P264" i="21" s="1"/>
  <c r="M264" i="21"/>
  <c r="N264" i="21" s="1"/>
  <c r="Q263" i="21"/>
  <c r="R263" i="21" s="1"/>
  <c r="O263" i="21"/>
  <c r="P263" i="21" s="1"/>
  <c r="M263" i="21"/>
  <c r="N263" i="21" s="1"/>
  <c r="Q262" i="21"/>
  <c r="R262" i="21" s="1"/>
  <c r="O262" i="21"/>
  <c r="P262" i="21" s="1"/>
  <c r="M262" i="21"/>
  <c r="N262" i="21" s="1"/>
  <c r="Q261" i="21"/>
  <c r="R261" i="21" s="1"/>
  <c r="O261" i="21"/>
  <c r="P261" i="21" s="1"/>
  <c r="M261" i="21"/>
  <c r="N261" i="21" s="1"/>
  <c r="Q260" i="21"/>
  <c r="R260" i="21" s="1"/>
  <c r="O260" i="21"/>
  <c r="P260" i="21" s="1"/>
  <c r="M260" i="21"/>
  <c r="N260" i="21" s="1"/>
  <c r="Q259" i="21"/>
  <c r="R259" i="21" s="1"/>
  <c r="O259" i="21"/>
  <c r="P259" i="21" s="1"/>
  <c r="M259" i="21"/>
  <c r="N259" i="21" s="1"/>
  <c r="Q258" i="21"/>
  <c r="R258" i="21" s="1"/>
  <c r="O258" i="21"/>
  <c r="P258" i="21" s="1"/>
  <c r="M258" i="21"/>
  <c r="N258" i="21" s="1"/>
  <c r="Q257" i="21"/>
  <c r="R257" i="21" s="1"/>
  <c r="O257" i="21"/>
  <c r="P257" i="21" s="1"/>
  <c r="M257" i="21"/>
  <c r="N257" i="21" s="1"/>
  <c r="Q256" i="21"/>
  <c r="R256" i="21" s="1"/>
  <c r="O256" i="21"/>
  <c r="P256" i="21" s="1"/>
  <c r="M256" i="21"/>
  <c r="N256" i="21" s="1"/>
  <c r="Q255" i="21"/>
  <c r="R255" i="21" s="1"/>
  <c r="O255" i="21"/>
  <c r="P255" i="21" s="1"/>
  <c r="M255" i="21"/>
  <c r="N255" i="21" s="1"/>
  <c r="Q254" i="21"/>
  <c r="R254" i="21" s="1"/>
  <c r="O254" i="21"/>
  <c r="P254" i="21" s="1"/>
  <c r="M254" i="21"/>
  <c r="N254" i="21" s="1"/>
  <c r="Q253" i="21"/>
  <c r="R253" i="21" s="1"/>
  <c r="O253" i="21"/>
  <c r="P253" i="21" s="1"/>
  <c r="M253" i="21"/>
  <c r="N253" i="21" s="1"/>
  <c r="Q252" i="21"/>
  <c r="R252" i="21" s="1"/>
  <c r="O252" i="21"/>
  <c r="P252" i="21" s="1"/>
  <c r="M252" i="21"/>
  <c r="N252" i="21" s="1"/>
  <c r="Q251" i="21"/>
  <c r="R251" i="21" s="1"/>
  <c r="O251" i="21"/>
  <c r="P251" i="21" s="1"/>
  <c r="M251" i="21"/>
  <c r="N251" i="21" s="1"/>
  <c r="Q250" i="21"/>
  <c r="R250" i="21" s="1"/>
  <c r="O250" i="21"/>
  <c r="P250" i="21" s="1"/>
  <c r="M250" i="21"/>
  <c r="N250" i="21" s="1"/>
  <c r="Q249" i="21"/>
  <c r="R249" i="21" s="1"/>
  <c r="O249" i="21"/>
  <c r="P249" i="21" s="1"/>
  <c r="M249" i="21"/>
  <c r="N249" i="21" s="1"/>
  <c r="Q248" i="21"/>
  <c r="R248" i="21" s="1"/>
  <c r="O248" i="21"/>
  <c r="P248" i="21" s="1"/>
  <c r="M248" i="21"/>
  <c r="N248" i="21" s="1"/>
  <c r="Q247" i="21"/>
  <c r="R247" i="21" s="1"/>
  <c r="O247" i="21"/>
  <c r="P247" i="21" s="1"/>
  <c r="M247" i="21"/>
  <c r="N247" i="21" s="1"/>
  <c r="Q246" i="21"/>
  <c r="R246" i="21" s="1"/>
  <c r="O246" i="21"/>
  <c r="P246" i="21" s="1"/>
  <c r="M246" i="21"/>
  <c r="N246" i="21" s="1"/>
  <c r="Q245" i="21"/>
  <c r="R245" i="21" s="1"/>
  <c r="O245" i="21"/>
  <c r="P245" i="21" s="1"/>
  <c r="M245" i="21"/>
  <c r="N245" i="21" s="1"/>
  <c r="Q244" i="21"/>
  <c r="R244" i="21" s="1"/>
  <c r="O244" i="21"/>
  <c r="P244" i="21" s="1"/>
  <c r="M244" i="21"/>
  <c r="N244" i="21" s="1"/>
  <c r="Q243" i="21"/>
  <c r="R243" i="21" s="1"/>
  <c r="O243" i="21"/>
  <c r="P243" i="21" s="1"/>
  <c r="M243" i="21"/>
  <c r="N243" i="21" s="1"/>
  <c r="Q242" i="21"/>
  <c r="R242" i="21" s="1"/>
  <c r="O242" i="21"/>
  <c r="P242" i="21" s="1"/>
  <c r="M242" i="21"/>
  <c r="N242" i="21" s="1"/>
  <c r="Q241" i="21"/>
  <c r="R241" i="21" s="1"/>
  <c r="O241" i="21"/>
  <c r="P241" i="21" s="1"/>
  <c r="M241" i="21"/>
  <c r="N241" i="21" s="1"/>
  <c r="Q240" i="21"/>
  <c r="R240" i="21" s="1"/>
  <c r="O240" i="21"/>
  <c r="P240" i="21" s="1"/>
  <c r="M240" i="21"/>
  <c r="N240" i="21" s="1"/>
  <c r="Q239" i="21"/>
  <c r="R239" i="21" s="1"/>
  <c r="O239" i="21"/>
  <c r="P239" i="21" s="1"/>
  <c r="M239" i="21"/>
  <c r="N239" i="21" s="1"/>
  <c r="Q238" i="21"/>
  <c r="R238" i="21" s="1"/>
  <c r="O238" i="21"/>
  <c r="P238" i="21" s="1"/>
  <c r="M238" i="21"/>
  <c r="N238" i="21" s="1"/>
  <c r="Q237" i="21"/>
  <c r="R237" i="21" s="1"/>
  <c r="O237" i="21"/>
  <c r="P237" i="21" s="1"/>
  <c r="M237" i="21"/>
  <c r="N237" i="21" s="1"/>
  <c r="Q236" i="21"/>
  <c r="R236" i="21" s="1"/>
  <c r="O236" i="21"/>
  <c r="P236" i="21" s="1"/>
  <c r="M236" i="21"/>
  <c r="N236" i="21" s="1"/>
  <c r="Q235" i="21"/>
  <c r="R235" i="21" s="1"/>
  <c r="O235" i="21"/>
  <c r="P235" i="21" s="1"/>
  <c r="M235" i="21"/>
  <c r="N235" i="21" s="1"/>
  <c r="Q234" i="21"/>
  <c r="R234" i="21" s="1"/>
  <c r="O234" i="21"/>
  <c r="P234" i="21" s="1"/>
  <c r="M234" i="21"/>
  <c r="N234" i="21" s="1"/>
  <c r="Q233" i="21"/>
  <c r="R233" i="21" s="1"/>
  <c r="O233" i="21"/>
  <c r="P233" i="21" s="1"/>
  <c r="M233" i="21"/>
  <c r="N233" i="21" s="1"/>
  <c r="Q232" i="21"/>
  <c r="R232" i="21" s="1"/>
  <c r="O232" i="21"/>
  <c r="P232" i="21" s="1"/>
  <c r="M232" i="21"/>
  <c r="N232" i="21" s="1"/>
  <c r="Q231" i="21"/>
  <c r="R231" i="21" s="1"/>
  <c r="O231" i="21"/>
  <c r="P231" i="21" s="1"/>
  <c r="M231" i="21"/>
  <c r="N231" i="21" s="1"/>
  <c r="Q230" i="21"/>
  <c r="R230" i="21" s="1"/>
  <c r="O230" i="21"/>
  <c r="P230" i="21" s="1"/>
  <c r="M230" i="21"/>
  <c r="N230" i="21" s="1"/>
  <c r="Q229" i="21"/>
  <c r="R229" i="21" s="1"/>
  <c r="O229" i="21"/>
  <c r="P229" i="21" s="1"/>
  <c r="M229" i="21"/>
  <c r="N229" i="21" s="1"/>
  <c r="Q228" i="21"/>
  <c r="R228" i="21" s="1"/>
  <c r="O228" i="21"/>
  <c r="P228" i="21" s="1"/>
  <c r="M228" i="21"/>
  <c r="N228" i="21" s="1"/>
  <c r="Q227" i="21"/>
  <c r="R227" i="21" s="1"/>
  <c r="O227" i="21"/>
  <c r="P227" i="21" s="1"/>
  <c r="M227" i="21"/>
  <c r="N227" i="21" s="1"/>
  <c r="Q226" i="21"/>
  <c r="R226" i="21" s="1"/>
  <c r="O226" i="21"/>
  <c r="P226" i="21" s="1"/>
  <c r="M226" i="21"/>
  <c r="N226" i="21" s="1"/>
  <c r="Q225" i="21"/>
  <c r="R225" i="21" s="1"/>
  <c r="O225" i="21"/>
  <c r="P225" i="21" s="1"/>
  <c r="M225" i="21"/>
  <c r="N225" i="21" s="1"/>
  <c r="Q224" i="21"/>
  <c r="O224" i="21"/>
  <c r="M224" i="21"/>
  <c r="Q223" i="21"/>
  <c r="O223" i="21"/>
  <c r="M223" i="21"/>
  <c r="Q222" i="21"/>
  <c r="O222" i="21"/>
  <c r="M222" i="21"/>
  <c r="Q221" i="21"/>
  <c r="O221" i="21"/>
  <c r="M221" i="21"/>
  <c r="Q220" i="21"/>
  <c r="O220" i="21"/>
  <c r="M220" i="21"/>
  <c r="Q219" i="21"/>
  <c r="O219" i="21"/>
  <c r="M219" i="21"/>
  <c r="Q218" i="21"/>
  <c r="O218" i="21"/>
  <c r="M218" i="21"/>
  <c r="Q217" i="21"/>
  <c r="O217" i="21"/>
  <c r="M217" i="21"/>
  <c r="Q216" i="21"/>
  <c r="O216" i="21"/>
  <c r="M216" i="21"/>
  <c r="Q215" i="21"/>
  <c r="O215" i="21"/>
  <c r="M215" i="21"/>
  <c r="Q214" i="21"/>
  <c r="O214" i="21"/>
  <c r="M214" i="21"/>
  <c r="Q213" i="21"/>
  <c r="O213" i="21"/>
  <c r="M213" i="21"/>
  <c r="Q212" i="21"/>
  <c r="O212" i="21"/>
  <c r="M212" i="21"/>
  <c r="Q211" i="21"/>
  <c r="O211" i="21"/>
  <c r="M211" i="21"/>
  <c r="Q210" i="21"/>
  <c r="O210" i="21"/>
  <c r="M210" i="21"/>
  <c r="Q209" i="21"/>
  <c r="O209" i="21"/>
  <c r="M209" i="21"/>
  <c r="Q208" i="21"/>
  <c r="O208" i="21"/>
  <c r="M208" i="21"/>
  <c r="Q207" i="21"/>
  <c r="O207" i="21"/>
  <c r="M207" i="21"/>
  <c r="Q206" i="21"/>
  <c r="O206" i="21"/>
  <c r="M206" i="21"/>
  <c r="Q205" i="21"/>
  <c r="O205" i="21"/>
  <c r="M205" i="21"/>
  <c r="Q204" i="21"/>
  <c r="O204" i="21"/>
  <c r="M204" i="21"/>
  <c r="Q203" i="21"/>
  <c r="O203" i="21"/>
  <c r="M203" i="21"/>
  <c r="Q202" i="21"/>
  <c r="O202" i="21"/>
  <c r="M202" i="21"/>
  <c r="Q201" i="21"/>
  <c r="O201" i="21"/>
  <c r="M201" i="21"/>
  <c r="Q200" i="21"/>
  <c r="O200" i="21"/>
  <c r="M200" i="21"/>
  <c r="Q199" i="21"/>
  <c r="O199" i="21"/>
  <c r="M199" i="21"/>
  <c r="Q198" i="21"/>
  <c r="O198" i="21"/>
  <c r="M198" i="21"/>
  <c r="Q197" i="21"/>
  <c r="O197" i="21"/>
  <c r="M197" i="21"/>
  <c r="Q196" i="21"/>
  <c r="O196" i="21"/>
  <c r="M196" i="21"/>
  <c r="Q195" i="21"/>
  <c r="O195" i="21"/>
  <c r="M195" i="21"/>
  <c r="Q194" i="21"/>
  <c r="O194" i="21"/>
  <c r="M194" i="21"/>
  <c r="Q193" i="21"/>
  <c r="O193" i="21"/>
  <c r="M193" i="21"/>
  <c r="Q192" i="21"/>
  <c r="O192" i="21"/>
  <c r="M192" i="21"/>
  <c r="Q191" i="21"/>
  <c r="O191" i="21"/>
  <c r="M191" i="21"/>
  <c r="Q190" i="21"/>
  <c r="O190" i="21"/>
  <c r="M190" i="21"/>
  <c r="Q189" i="21"/>
  <c r="O189" i="21"/>
  <c r="M189" i="21"/>
  <c r="Q188" i="21"/>
  <c r="O188" i="21"/>
  <c r="M188" i="21"/>
  <c r="Q187" i="21"/>
  <c r="O187" i="21"/>
  <c r="M187" i="21"/>
  <c r="Q186" i="21"/>
  <c r="O186" i="21"/>
  <c r="M186" i="21"/>
  <c r="Q185" i="21"/>
  <c r="O185" i="21"/>
  <c r="M185" i="21"/>
  <c r="Q184" i="21"/>
  <c r="O184" i="21"/>
  <c r="M184" i="21"/>
  <c r="Q183" i="21"/>
  <c r="O183" i="21"/>
  <c r="M183" i="21"/>
  <c r="Q182" i="21"/>
  <c r="O182" i="21"/>
  <c r="M182" i="21"/>
  <c r="Q181" i="21"/>
  <c r="O181" i="21"/>
  <c r="M181" i="21"/>
  <c r="Q180" i="21"/>
  <c r="O180" i="21"/>
  <c r="M180" i="21"/>
  <c r="Q179" i="21"/>
  <c r="O179" i="21"/>
  <c r="M179" i="21"/>
  <c r="Q178" i="21"/>
  <c r="O178" i="21"/>
  <c r="M178" i="21"/>
  <c r="Q177" i="21"/>
  <c r="O177" i="21"/>
  <c r="M177" i="21"/>
  <c r="Q176" i="21"/>
  <c r="O176" i="21"/>
  <c r="M176" i="21"/>
  <c r="Q175" i="21"/>
  <c r="O175" i="21"/>
  <c r="M175" i="21"/>
  <c r="Q174" i="21"/>
  <c r="O174" i="21"/>
  <c r="M174" i="21"/>
  <c r="Q173" i="21"/>
  <c r="O173" i="21"/>
  <c r="M173" i="21"/>
  <c r="Q172" i="21"/>
  <c r="O172" i="21"/>
  <c r="M172" i="21"/>
  <c r="Q171" i="21"/>
  <c r="O171" i="21"/>
  <c r="M171" i="21"/>
  <c r="Q170" i="21"/>
  <c r="O170" i="21"/>
  <c r="M170" i="21"/>
  <c r="Q169" i="21"/>
  <c r="O169" i="21"/>
  <c r="M169" i="21"/>
  <c r="Q168" i="21"/>
  <c r="O168" i="21"/>
  <c r="M168" i="21"/>
  <c r="Q167" i="21"/>
  <c r="O167" i="21"/>
  <c r="M167" i="21"/>
  <c r="Q166" i="21"/>
  <c r="O166" i="21"/>
  <c r="M166" i="21"/>
  <c r="Q165" i="21"/>
  <c r="O165" i="21"/>
  <c r="M165" i="21"/>
  <c r="Q164" i="21"/>
  <c r="O164" i="21"/>
  <c r="M164" i="21"/>
  <c r="Q163" i="21"/>
  <c r="O163" i="21"/>
  <c r="M163" i="21"/>
  <c r="Q162" i="21"/>
  <c r="O162" i="21"/>
  <c r="M162" i="21"/>
  <c r="Q161" i="21"/>
  <c r="O161" i="21"/>
  <c r="M161" i="21"/>
  <c r="Q160" i="21"/>
  <c r="O160" i="21"/>
  <c r="M160" i="21"/>
  <c r="Q159" i="21"/>
  <c r="O159" i="21"/>
  <c r="M159" i="21"/>
  <c r="Q158" i="21"/>
  <c r="O158" i="21"/>
  <c r="M158" i="21"/>
  <c r="Q157" i="21"/>
  <c r="O157" i="21"/>
  <c r="M157" i="21"/>
  <c r="Q156" i="21"/>
  <c r="O156" i="21"/>
  <c r="M156" i="21"/>
  <c r="Q155" i="21"/>
  <c r="O155" i="21"/>
  <c r="M155" i="21"/>
  <c r="Q154" i="21"/>
  <c r="O154" i="21"/>
  <c r="M154" i="21"/>
  <c r="Q153" i="21"/>
  <c r="O153" i="21"/>
  <c r="M153" i="21"/>
  <c r="Q152" i="21"/>
  <c r="O152" i="21"/>
  <c r="M152" i="21"/>
  <c r="Q151" i="21"/>
  <c r="O151" i="21"/>
  <c r="M151" i="21"/>
  <c r="Q150" i="21"/>
  <c r="O150" i="21"/>
  <c r="M150" i="21"/>
  <c r="Q149" i="21"/>
  <c r="O149" i="21"/>
  <c r="M149" i="21"/>
  <c r="Q148" i="21"/>
  <c r="O148" i="21"/>
  <c r="M148" i="21"/>
  <c r="Q147" i="21"/>
  <c r="O147" i="21"/>
  <c r="M147" i="21"/>
  <c r="Q146" i="21"/>
  <c r="O146" i="21"/>
  <c r="M146" i="21"/>
  <c r="Q145" i="21"/>
  <c r="O145" i="21"/>
  <c r="M145" i="21"/>
  <c r="Q144" i="21"/>
  <c r="O144" i="21"/>
  <c r="M144" i="21"/>
  <c r="Q143" i="21"/>
  <c r="O143" i="21"/>
  <c r="M143" i="21"/>
  <c r="Q142" i="21"/>
  <c r="O142" i="21"/>
  <c r="M142" i="21"/>
  <c r="Q141" i="21"/>
  <c r="O141" i="21"/>
  <c r="M141" i="21"/>
  <c r="Q140" i="21"/>
  <c r="O140" i="21"/>
  <c r="M140" i="21"/>
  <c r="Q139" i="21"/>
  <c r="O139" i="21"/>
  <c r="M139" i="21"/>
  <c r="Q138" i="21"/>
  <c r="O138" i="21"/>
  <c r="M138" i="21"/>
  <c r="Q137" i="21"/>
  <c r="O137" i="21"/>
  <c r="M137" i="21"/>
  <c r="Q136" i="21"/>
  <c r="O136" i="21"/>
  <c r="M136" i="21"/>
  <c r="Q135" i="21"/>
  <c r="O135" i="21"/>
  <c r="M135" i="21"/>
  <c r="Q134" i="21"/>
  <c r="O134" i="21"/>
  <c r="M134" i="21"/>
  <c r="Q133" i="21"/>
  <c r="O133" i="21"/>
  <c r="M133" i="21"/>
  <c r="Q132" i="21"/>
  <c r="O132" i="21"/>
  <c r="M132" i="21"/>
  <c r="Q131" i="21"/>
  <c r="O131" i="21"/>
  <c r="M131" i="21"/>
  <c r="Q130" i="21"/>
  <c r="O130" i="21"/>
  <c r="M130" i="21"/>
  <c r="Q129" i="21"/>
  <c r="O129" i="21"/>
  <c r="M129" i="21"/>
  <c r="Q128" i="21"/>
  <c r="O128" i="21"/>
  <c r="M128" i="21"/>
  <c r="Q127" i="21"/>
  <c r="O127" i="21"/>
  <c r="M127" i="21"/>
  <c r="Q126" i="21"/>
  <c r="O126" i="21"/>
  <c r="M126" i="21"/>
  <c r="Q125" i="21"/>
  <c r="O125" i="21"/>
  <c r="M125" i="21"/>
  <c r="Q124" i="21"/>
  <c r="O124" i="21"/>
  <c r="M124" i="21"/>
  <c r="Q123" i="21"/>
  <c r="O123" i="21"/>
  <c r="M123" i="21"/>
  <c r="Q122" i="21"/>
  <c r="O122" i="21"/>
  <c r="M122" i="21"/>
  <c r="Q121" i="21"/>
  <c r="O121" i="21"/>
  <c r="M121" i="21"/>
  <c r="Q120" i="21"/>
  <c r="O120" i="21"/>
  <c r="M120" i="21"/>
  <c r="Q119" i="21"/>
  <c r="O119" i="21"/>
  <c r="M119" i="21"/>
  <c r="Q118" i="21"/>
  <c r="O118" i="21"/>
  <c r="M118" i="21"/>
  <c r="Q117" i="21"/>
  <c r="O117" i="21"/>
  <c r="M117" i="21"/>
  <c r="Q116" i="21"/>
  <c r="O116" i="21"/>
  <c r="M116" i="21"/>
  <c r="Q115" i="21"/>
  <c r="O115" i="21"/>
  <c r="M115" i="21"/>
  <c r="Q114" i="21"/>
  <c r="O114" i="21"/>
  <c r="M114" i="21"/>
  <c r="Q113" i="21"/>
  <c r="O113" i="21"/>
  <c r="M113" i="21"/>
  <c r="Q112" i="21"/>
  <c r="O112" i="21"/>
  <c r="M112" i="21"/>
  <c r="Q111" i="21"/>
  <c r="O111" i="21"/>
  <c r="M111" i="21"/>
  <c r="Q110" i="21"/>
  <c r="O110" i="21"/>
  <c r="M110" i="21"/>
  <c r="Q109" i="21"/>
  <c r="O109" i="21"/>
  <c r="M109" i="21"/>
  <c r="Q108" i="21"/>
  <c r="O108" i="21"/>
  <c r="M108" i="21"/>
  <c r="Q107" i="21"/>
  <c r="O107" i="21"/>
  <c r="M107" i="21"/>
  <c r="Q106" i="21"/>
  <c r="O106" i="21"/>
  <c r="M106" i="21"/>
  <c r="Q105" i="21"/>
  <c r="O105" i="21"/>
  <c r="M105" i="21"/>
  <c r="Q104" i="21"/>
  <c r="O104" i="21"/>
  <c r="M104" i="21"/>
  <c r="Q103" i="21"/>
  <c r="O103" i="21"/>
  <c r="M103" i="21"/>
  <c r="Q102" i="21"/>
  <c r="O102" i="21"/>
  <c r="M102" i="21"/>
  <c r="Q101" i="21"/>
  <c r="O101" i="21"/>
  <c r="M101" i="21"/>
  <c r="Q100" i="21"/>
  <c r="O100" i="21"/>
  <c r="M100" i="21"/>
  <c r="Q99" i="21"/>
  <c r="O99" i="21"/>
  <c r="M99" i="21"/>
  <c r="Q98" i="21"/>
  <c r="O98" i="21"/>
  <c r="M98" i="21"/>
  <c r="Q97" i="21"/>
  <c r="O97" i="21"/>
  <c r="M97" i="21"/>
  <c r="Q96" i="21"/>
  <c r="O96" i="21"/>
  <c r="M96" i="21"/>
  <c r="Q95" i="21"/>
  <c r="O95" i="21"/>
  <c r="M95" i="21"/>
  <c r="Q94" i="21"/>
  <c r="O94" i="21"/>
  <c r="M94" i="21"/>
  <c r="Q93" i="21"/>
  <c r="O93" i="21"/>
  <c r="M93" i="21"/>
  <c r="Q92" i="21"/>
  <c r="O92" i="21"/>
  <c r="M92" i="21"/>
  <c r="Q91" i="21"/>
  <c r="O91" i="21"/>
  <c r="M91" i="21"/>
  <c r="Q90" i="21"/>
  <c r="O90" i="21"/>
  <c r="M90" i="21"/>
  <c r="Q89" i="21"/>
  <c r="O89" i="21"/>
  <c r="M89" i="21"/>
  <c r="Q88" i="21"/>
  <c r="O88" i="21"/>
  <c r="M88" i="21"/>
  <c r="Q87" i="21"/>
  <c r="O87" i="21"/>
  <c r="M87" i="21"/>
  <c r="Q86" i="21"/>
  <c r="O86" i="21"/>
  <c r="M86" i="21"/>
  <c r="Q85" i="21"/>
  <c r="O85" i="21"/>
  <c r="M85" i="21"/>
  <c r="Q84" i="21"/>
  <c r="O84" i="21"/>
  <c r="M84" i="21"/>
  <c r="Q83" i="21"/>
  <c r="O83" i="21"/>
  <c r="M83" i="21"/>
  <c r="Q82" i="21"/>
  <c r="O82" i="21"/>
  <c r="M82" i="21"/>
  <c r="Q81" i="21"/>
  <c r="O81" i="21"/>
  <c r="M81" i="21"/>
  <c r="Q80" i="21"/>
  <c r="O80" i="21"/>
  <c r="M80" i="21"/>
  <c r="Q79" i="21"/>
  <c r="O79" i="21"/>
  <c r="M79" i="21"/>
  <c r="Q78" i="21"/>
  <c r="O78" i="21"/>
  <c r="M78" i="21"/>
  <c r="Q77" i="21"/>
  <c r="O77" i="21"/>
  <c r="M77" i="21"/>
  <c r="Q76" i="21"/>
  <c r="O76" i="21"/>
  <c r="M76" i="21"/>
  <c r="Q75" i="21"/>
  <c r="O75" i="21"/>
  <c r="M75" i="21"/>
  <c r="Q74" i="21"/>
  <c r="O74" i="21"/>
  <c r="M74" i="21"/>
  <c r="Q73" i="21"/>
  <c r="O73" i="21"/>
  <c r="M73" i="21"/>
  <c r="Q72" i="21"/>
  <c r="O72" i="21"/>
  <c r="M72" i="21"/>
  <c r="Q71" i="21"/>
  <c r="O71" i="21"/>
  <c r="M71" i="21"/>
  <c r="Q70" i="21"/>
  <c r="O70" i="21"/>
  <c r="M70" i="21"/>
  <c r="Q69" i="21"/>
  <c r="O69" i="21"/>
  <c r="M69" i="21"/>
  <c r="Q68" i="21"/>
  <c r="O68" i="21"/>
  <c r="M68" i="21"/>
  <c r="Q67" i="21"/>
  <c r="O67" i="21"/>
  <c r="M67" i="21"/>
  <c r="Q66" i="21"/>
  <c r="O66" i="21"/>
  <c r="M66" i="21"/>
  <c r="Q65" i="21"/>
  <c r="O65" i="21"/>
  <c r="M65" i="21"/>
  <c r="Q64" i="21"/>
  <c r="O64" i="21"/>
  <c r="M64" i="21"/>
  <c r="Q63" i="21"/>
  <c r="O63" i="21"/>
  <c r="M63" i="21"/>
  <c r="Q62" i="21"/>
  <c r="O62" i="21"/>
  <c r="M62" i="21"/>
  <c r="Q61" i="21"/>
  <c r="O61" i="21"/>
  <c r="M61" i="21"/>
  <c r="Q60" i="21"/>
  <c r="O60" i="21"/>
  <c r="M60" i="21"/>
  <c r="Q59" i="21"/>
  <c r="O59" i="21"/>
  <c r="M59" i="21"/>
  <c r="Q58" i="21"/>
  <c r="O58" i="21"/>
  <c r="M58" i="21"/>
  <c r="Q57" i="21"/>
  <c r="O57" i="21"/>
  <c r="M57" i="21"/>
  <c r="Q56" i="21"/>
  <c r="O56" i="21"/>
  <c r="M56" i="21"/>
  <c r="Q55" i="21"/>
  <c r="O55" i="21"/>
  <c r="M55" i="21"/>
  <c r="Q54" i="21"/>
  <c r="O54" i="21"/>
  <c r="M54" i="21"/>
  <c r="Q53" i="21"/>
  <c r="O53" i="21"/>
  <c r="M53" i="21"/>
  <c r="Q52" i="21"/>
  <c r="O52" i="21"/>
  <c r="M52" i="21"/>
  <c r="Q51" i="21"/>
  <c r="O51" i="21"/>
  <c r="M51" i="21"/>
  <c r="Q50" i="21"/>
  <c r="O50" i="21"/>
  <c r="M50" i="21"/>
  <c r="Q49" i="21"/>
  <c r="O49" i="21"/>
  <c r="M49" i="21"/>
  <c r="Q48" i="21"/>
  <c r="O48" i="21"/>
  <c r="M48" i="21"/>
  <c r="Q47" i="21"/>
  <c r="O47" i="21"/>
  <c r="M47" i="21"/>
  <c r="Q46" i="21"/>
  <c r="O46" i="21"/>
  <c r="M46" i="21"/>
  <c r="Q45" i="21"/>
  <c r="O45" i="21"/>
  <c r="M45" i="21"/>
  <c r="Q44" i="21"/>
  <c r="O44" i="21"/>
  <c r="M44" i="21"/>
  <c r="Q43" i="21"/>
  <c r="O43" i="21"/>
  <c r="M43" i="21"/>
  <c r="Q42" i="21"/>
  <c r="O42" i="21"/>
  <c r="M42" i="21"/>
  <c r="Q41" i="21"/>
  <c r="O41" i="21"/>
  <c r="M41" i="21"/>
  <c r="Q40" i="21"/>
  <c r="O40" i="21"/>
  <c r="M40" i="21"/>
  <c r="Q39" i="21"/>
  <c r="O39" i="21"/>
  <c r="M39" i="21"/>
  <c r="Q38" i="21"/>
  <c r="O38" i="21"/>
  <c r="M38" i="21"/>
  <c r="Q37" i="21"/>
  <c r="O37" i="21"/>
  <c r="M37" i="21"/>
  <c r="Q36" i="21"/>
  <c r="O36" i="21"/>
  <c r="M36" i="21"/>
  <c r="Q35" i="21"/>
  <c r="O35" i="21"/>
  <c r="M35" i="21"/>
  <c r="Q34" i="21"/>
  <c r="O34" i="21"/>
  <c r="M34" i="21"/>
  <c r="Q33" i="21"/>
  <c r="O33" i="21"/>
  <c r="M33" i="21"/>
  <c r="Q32" i="21"/>
  <c r="O32" i="21"/>
  <c r="M32" i="21"/>
  <c r="Q31" i="21"/>
  <c r="O31" i="21"/>
  <c r="M31" i="21"/>
  <c r="Q30" i="21"/>
  <c r="O30" i="21"/>
  <c r="M30" i="21"/>
  <c r="Q29" i="21"/>
  <c r="O29" i="21"/>
  <c r="M29" i="21"/>
  <c r="Q28" i="21"/>
  <c r="O28" i="21"/>
  <c r="M28" i="21"/>
  <c r="Q27" i="21"/>
  <c r="O27" i="21"/>
  <c r="M27" i="21"/>
  <c r="Q26" i="21"/>
  <c r="O26" i="21"/>
  <c r="M26" i="21"/>
  <c r="Q25" i="21"/>
  <c r="O25" i="21"/>
  <c r="M25" i="21"/>
  <c r="Q24" i="21"/>
  <c r="O24" i="21"/>
  <c r="M24" i="21"/>
  <c r="Q23" i="21"/>
  <c r="O23" i="21"/>
  <c r="M23" i="21"/>
  <c r="Q22" i="21"/>
  <c r="O22" i="21"/>
  <c r="M22" i="21"/>
  <c r="Q21" i="21"/>
  <c r="O21" i="21"/>
  <c r="M21" i="21"/>
  <c r="Q20" i="21"/>
  <c r="O20" i="21"/>
  <c r="M20" i="21"/>
  <c r="Q19" i="21"/>
  <c r="O19" i="21"/>
  <c r="M19" i="21"/>
  <c r="Q18" i="21"/>
  <c r="O18" i="21"/>
  <c r="M18" i="21"/>
  <c r="Q17" i="21"/>
  <c r="O17" i="21"/>
  <c r="M17" i="21"/>
  <c r="Q16" i="21"/>
  <c r="O16" i="21"/>
  <c r="M16" i="21"/>
  <c r="Q15" i="21"/>
  <c r="O15" i="21"/>
  <c r="M15" i="21"/>
  <c r="Q14" i="21"/>
  <c r="O14" i="21"/>
  <c r="M14" i="21"/>
  <c r="Q13" i="21"/>
  <c r="O13" i="21"/>
  <c r="M13" i="21"/>
  <c r="Q12" i="21"/>
  <c r="O12" i="21"/>
  <c r="M12" i="21"/>
  <c r="Q11" i="21"/>
  <c r="O11" i="21"/>
  <c r="M11" i="21"/>
  <c r="Q10" i="21"/>
  <c r="O10" i="21"/>
  <c r="M10" i="21"/>
  <c r="Q9" i="21"/>
  <c r="O9" i="21"/>
  <c r="M9" i="21"/>
  <c r="Q8" i="21"/>
  <c r="O8" i="21"/>
  <c r="M8" i="21"/>
  <c r="Q7" i="21"/>
  <c r="O7" i="21"/>
  <c r="M7" i="21"/>
  <c r="Q6" i="21"/>
  <c r="O6" i="21"/>
  <c r="M6" i="21"/>
  <c r="AC11" i="10" l="1"/>
  <c r="AF11" i="10" s="1"/>
  <c r="AI11" i="10" s="1"/>
  <c r="AL11" i="10" s="1"/>
  <c r="AO11" i="10" s="1"/>
  <c r="AR11" i="10" s="1"/>
  <c r="U21" i="27"/>
  <c r="U20" i="27"/>
  <c r="U19" i="27"/>
  <c r="U18" i="27"/>
  <c r="U17" i="27"/>
  <c r="U16" i="27"/>
  <c r="U15" i="27"/>
  <c r="U14" i="27"/>
  <c r="U13" i="27"/>
  <c r="U12" i="27"/>
  <c r="AC12" i="10" l="1"/>
  <c r="AF12" i="10" s="1"/>
  <c r="AI12" i="10" s="1"/>
  <c r="AL12" i="10" s="1"/>
  <c r="AO12" i="10" s="1"/>
  <c r="AR12" i="10" s="1"/>
  <c r="Q120" i="28"/>
  <c r="I204" i="28"/>
  <c r="AC13" i="10" l="1"/>
  <c r="AF13" i="10" s="1"/>
  <c r="AI13" i="10" s="1"/>
  <c r="AL13" i="10" s="1"/>
  <c r="AO13" i="10" s="1"/>
  <c r="AR13" i="10" s="1"/>
  <c r="AC14" i="10" l="1"/>
  <c r="AF14" i="10" s="1"/>
  <c r="AI14" i="10" s="1"/>
  <c r="AL14" i="10" s="1"/>
  <c r="AO14" i="10" s="1"/>
  <c r="AR14" i="10" s="1"/>
  <c r="AA16" i="29"/>
  <c r="AA15" i="29"/>
  <c r="AA14" i="29"/>
  <c r="AA13" i="29"/>
  <c r="AA12" i="29"/>
  <c r="AA11" i="29"/>
  <c r="AA10" i="29"/>
  <c r="AA9" i="29"/>
  <c r="E305" i="2"/>
  <c r="E304" i="2"/>
  <c r="E303" i="2"/>
  <c r="E302" i="2"/>
  <c r="E301" i="2"/>
  <c r="E300" i="2"/>
  <c r="E299" i="2"/>
  <c r="E298" i="2"/>
  <c r="E297" i="2"/>
  <c r="E296" i="2"/>
  <c r="E295" i="2"/>
  <c r="E294" i="2"/>
  <c r="E293" i="2"/>
  <c r="E292" i="2"/>
  <c r="E291" i="2"/>
  <c r="E290" i="2"/>
  <c r="E289" i="2"/>
  <c r="E288" i="2"/>
  <c r="E287" i="2"/>
  <c r="E286" i="2"/>
  <c r="E285" i="2"/>
  <c r="E284" i="2"/>
  <c r="E283" i="2"/>
  <c r="E282" i="2"/>
  <c r="E281" i="2"/>
  <c r="E280" i="2"/>
  <c r="E279" i="2"/>
  <c r="E278" i="2"/>
  <c r="E277" i="2"/>
  <c r="E276" i="2"/>
  <c r="E275" i="2"/>
  <c r="E274" i="2"/>
  <c r="E273" i="2"/>
  <c r="E272" i="2"/>
  <c r="E271" i="2"/>
  <c r="E270" i="2"/>
  <c r="E269" i="2"/>
  <c r="E268" i="2"/>
  <c r="E267" i="2"/>
  <c r="E266" i="2"/>
  <c r="E265" i="2"/>
  <c r="E264" i="2"/>
  <c r="E263" i="2"/>
  <c r="E262" i="2"/>
  <c r="E261" i="2"/>
  <c r="E260" i="2"/>
  <c r="E259" i="2"/>
  <c r="E258" i="2"/>
  <c r="E257" i="2"/>
  <c r="E256" i="2"/>
  <c r="E255" i="2"/>
  <c r="E254" i="2"/>
  <c r="E253" i="2"/>
  <c r="E252" i="2"/>
  <c r="E251" i="2"/>
  <c r="E250" i="2"/>
  <c r="E249" i="2"/>
  <c r="E248" i="2"/>
  <c r="E247" i="2"/>
  <c r="E246" i="2"/>
  <c r="E245" i="2"/>
  <c r="E244" i="2"/>
  <c r="E243" i="2"/>
  <c r="E242" i="2"/>
  <c r="E241" i="2"/>
  <c r="E240" i="2"/>
  <c r="E239" i="2"/>
  <c r="E238" i="2"/>
  <c r="E237" i="2"/>
  <c r="E236" i="2"/>
  <c r="E235" i="2"/>
  <c r="E234" i="2"/>
  <c r="E233" i="2"/>
  <c r="E232" i="2"/>
  <c r="E231" i="2"/>
  <c r="E230" i="2"/>
  <c r="E229" i="2"/>
  <c r="E228" i="2"/>
  <c r="E227" i="2"/>
  <c r="E226" i="2"/>
  <c r="D27" i="1"/>
  <c r="C23" i="1" s="1"/>
  <c r="U3" i="10"/>
  <c r="T3" i="10"/>
  <c r="S3" i="10"/>
  <c r="R3" i="10"/>
  <c r="Q3" i="10"/>
  <c r="P3" i="10"/>
  <c r="O3" i="10"/>
  <c r="N3" i="10"/>
  <c r="M3" i="10"/>
  <c r="L3" i="10"/>
  <c r="K3" i="10"/>
  <c r="J3" i="10"/>
  <c r="I3" i="10"/>
  <c r="H3" i="10"/>
  <c r="AC15" i="10" l="1"/>
  <c r="AF15" i="10" s="1"/>
  <c r="AI15" i="10" s="1"/>
  <c r="AL15" i="10" s="1"/>
  <c r="AO15" i="10" s="1"/>
  <c r="AR15" i="10" s="1"/>
  <c r="I4" i="15"/>
  <c r="I5" i="15" s="1"/>
  <c r="Q5" i="28" l="1"/>
  <c r="Q7" i="28"/>
  <c r="Q9" i="28"/>
  <c r="Q11" i="28"/>
  <c r="Q13" i="28"/>
  <c r="Q15" i="28"/>
  <c r="Q17" i="28"/>
  <c r="Q19" i="28"/>
  <c r="Q21" i="28"/>
  <c r="Q23" i="28"/>
  <c r="Q25" i="28"/>
  <c r="Q27" i="28"/>
  <c r="Q29" i="28"/>
  <c r="Q31" i="28"/>
  <c r="Q33" i="28"/>
  <c r="Q35" i="28"/>
  <c r="Q37" i="28"/>
  <c r="Q39" i="28"/>
  <c r="Q41" i="28"/>
  <c r="Q43" i="28"/>
  <c r="Q45" i="28"/>
  <c r="Q47" i="28"/>
  <c r="Q49" i="28"/>
  <c r="Q51" i="28"/>
  <c r="Q53" i="28"/>
  <c r="Q55" i="28"/>
  <c r="Q57" i="28"/>
  <c r="Q59" i="28"/>
  <c r="Q61" i="28"/>
  <c r="Q63" i="28"/>
  <c r="Q65" i="28"/>
  <c r="Q67" i="28"/>
  <c r="Q69" i="28"/>
  <c r="Q71" i="28"/>
  <c r="Q73" i="28"/>
  <c r="Q75" i="28"/>
  <c r="Q77" i="28"/>
  <c r="Q79" i="28"/>
  <c r="Q81" i="28"/>
  <c r="Q83" i="28"/>
  <c r="Q85" i="28"/>
  <c r="Q87" i="28"/>
  <c r="Q89" i="28"/>
  <c r="Q91" i="28"/>
  <c r="Q93" i="28"/>
  <c r="Q95" i="28"/>
  <c r="Q97" i="28"/>
  <c r="Q99" i="28"/>
  <c r="Q101" i="28"/>
  <c r="Q103" i="28"/>
  <c r="Q105" i="28"/>
  <c r="Q107" i="28"/>
  <c r="Q109" i="28"/>
  <c r="Q111" i="28"/>
  <c r="Q113" i="28"/>
  <c r="Q115" i="28"/>
  <c r="Q117" i="28"/>
  <c r="Q3" i="28"/>
  <c r="Q4" i="28"/>
  <c r="Q6" i="28"/>
  <c r="Q8" i="28"/>
  <c r="Q10" i="28"/>
  <c r="Q12" i="28"/>
  <c r="Q14" i="28"/>
  <c r="Q16" i="28"/>
  <c r="Q18" i="28"/>
  <c r="Q20" i="28"/>
  <c r="Q22" i="28"/>
  <c r="Q24" i="28"/>
  <c r="Q26" i="28"/>
  <c r="Q28" i="28"/>
  <c r="Q30" i="28"/>
  <c r="Q32" i="28"/>
  <c r="Q34" i="28"/>
  <c r="Q36" i="28"/>
  <c r="Q38" i="28"/>
  <c r="Q40" i="28"/>
  <c r="Q42" i="28"/>
  <c r="Q44" i="28"/>
  <c r="Q46" i="28"/>
  <c r="Q48" i="28"/>
  <c r="Q50" i="28"/>
  <c r="Q52" i="28"/>
  <c r="Q54" i="28"/>
  <c r="Q56" i="28"/>
  <c r="Q60" i="28"/>
  <c r="Q64" i="28"/>
  <c r="Q68" i="28"/>
  <c r="Q72" i="28"/>
  <c r="Q76" i="28"/>
  <c r="Q80" i="28"/>
  <c r="Q84" i="28"/>
  <c r="Q88" i="28"/>
  <c r="Q92" i="28"/>
  <c r="Q96" i="28"/>
  <c r="Q100" i="28"/>
  <c r="Q104" i="28"/>
  <c r="Q108" i="28"/>
  <c r="Q112" i="28"/>
  <c r="Q116" i="28"/>
  <c r="Q58" i="28"/>
  <c r="Q62" i="28"/>
  <c r="Q66" i="28"/>
  <c r="Q70" i="28"/>
  <c r="Q74" i="28"/>
  <c r="Q78" i="28"/>
  <c r="Q82" i="28"/>
  <c r="Q86" i="28"/>
  <c r="Q90" i="28"/>
  <c r="Q94" i="28"/>
  <c r="Q98" i="28"/>
  <c r="Q102" i="28"/>
  <c r="Q106" i="28"/>
  <c r="Q110" i="28"/>
  <c r="Q114" i="28"/>
  <c r="Q118" i="28"/>
  <c r="AC16" i="10"/>
  <c r="AF16" i="10" s="1"/>
  <c r="AI16" i="10" s="1"/>
  <c r="AL16" i="10" s="1"/>
  <c r="AO16" i="10" s="1"/>
  <c r="AR16" i="10" s="1"/>
  <c r="D2" i="10"/>
  <c r="AC17" i="10" l="1"/>
  <c r="AF17" i="10" s="1"/>
  <c r="AI17" i="10" s="1"/>
  <c r="AL17" i="10" s="1"/>
  <c r="AO17" i="10" s="1"/>
  <c r="AR17" i="10" s="1"/>
  <c r="AC18" i="10" l="1"/>
  <c r="AF18" i="10" s="1"/>
  <c r="AI18" i="10" s="1"/>
  <c r="AL18" i="10" s="1"/>
  <c r="AO18" i="10" s="1"/>
  <c r="AR18" i="10" s="1"/>
  <c r="AC19" i="10" l="1"/>
  <c r="AF19" i="10" s="1"/>
  <c r="AI19" i="10" s="1"/>
  <c r="AL19" i="10" s="1"/>
  <c r="AO19" i="10" s="1"/>
  <c r="AR19" i="10" s="1"/>
  <c r="AC20" i="10" l="1"/>
  <c r="AF20" i="10" s="1"/>
  <c r="AI20" i="10" s="1"/>
  <c r="AL20" i="10" s="1"/>
  <c r="AO20" i="10" s="1"/>
  <c r="AR20" i="10" s="1"/>
  <c r="AC21" i="10" l="1"/>
  <c r="AF21" i="10" s="1"/>
  <c r="AI21" i="10" s="1"/>
  <c r="AL21" i="10" s="1"/>
  <c r="AO21" i="10" s="1"/>
  <c r="AR21" i="10" s="1"/>
  <c r="AC22" i="10" l="1"/>
  <c r="AF22" i="10" s="1"/>
  <c r="AI22" i="10" s="1"/>
  <c r="AL22" i="10" s="1"/>
  <c r="AO22" i="10" s="1"/>
  <c r="AR22" i="10" s="1"/>
  <c r="AC23" i="10"/>
  <c r="AF23" i="10" l="1"/>
  <c r="AI23" i="10" s="1"/>
  <c r="AL23" i="10" s="1"/>
  <c r="AO23" i="10" s="1"/>
  <c r="AR23" i="10" s="1"/>
  <c r="AC24" i="10"/>
  <c r="AF24" i="10" l="1"/>
  <c r="AI24" i="10" s="1"/>
  <c r="AL24" i="10" s="1"/>
  <c r="AO24" i="10" s="1"/>
  <c r="AR24" i="10" s="1"/>
  <c r="AC25" i="10"/>
  <c r="M11" i="30"/>
  <c r="AF25" i="10" l="1"/>
  <c r="AI25" i="10" s="1"/>
  <c r="AL25" i="10" s="1"/>
  <c r="AO25" i="10" s="1"/>
  <c r="AR25" i="10" s="1"/>
  <c r="AC26" i="10"/>
  <c r="B304" i="10"/>
  <c r="N304" i="10" s="1"/>
  <c r="B303" i="10"/>
  <c r="N303" i="10" s="1"/>
  <c r="B302" i="10"/>
  <c r="N302" i="10" s="1"/>
  <c r="B301" i="10"/>
  <c r="N301" i="10" s="1"/>
  <c r="B300" i="10"/>
  <c r="N300" i="10" s="1"/>
  <c r="B299" i="10"/>
  <c r="N299" i="10" s="1"/>
  <c r="B298" i="10"/>
  <c r="N298" i="10" s="1"/>
  <c r="B297" i="10"/>
  <c r="N297" i="10" s="1"/>
  <c r="B296" i="10"/>
  <c r="N296" i="10" s="1"/>
  <c r="B295" i="10"/>
  <c r="N295" i="10" s="1"/>
  <c r="B294" i="10"/>
  <c r="N294" i="10" s="1"/>
  <c r="B293" i="10"/>
  <c r="N293" i="10" s="1"/>
  <c r="B292" i="10"/>
  <c r="N292" i="10" s="1"/>
  <c r="B291" i="10"/>
  <c r="N291" i="10" s="1"/>
  <c r="B290" i="10"/>
  <c r="N290" i="10" s="1"/>
  <c r="B289" i="10"/>
  <c r="N289" i="10" s="1"/>
  <c r="B288" i="10"/>
  <c r="N288" i="10" s="1"/>
  <c r="B287" i="10"/>
  <c r="N287" i="10" s="1"/>
  <c r="B286" i="10"/>
  <c r="N286" i="10" s="1"/>
  <c r="B285" i="10"/>
  <c r="N285" i="10" s="1"/>
  <c r="B284" i="10"/>
  <c r="N284" i="10" s="1"/>
  <c r="B283" i="10"/>
  <c r="N283" i="10" s="1"/>
  <c r="B282" i="10"/>
  <c r="N282" i="10" s="1"/>
  <c r="B281" i="10"/>
  <c r="N281" i="10" s="1"/>
  <c r="B280" i="10"/>
  <c r="N280" i="10" s="1"/>
  <c r="B279" i="10"/>
  <c r="N279" i="10" s="1"/>
  <c r="B278" i="10"/>
  <c r="N278" i="10" s="1"/>
  <c r="B277" i="10"/>
  <c r="N277" i="10" s="1"/>
  <c r="B276" i="10"/>
  <c r="N276" i="10" s="1"/>
  <c r="B275" i="10"/>
  <c r="N275" i="10" s="1"/>
  <c r="B274" i="10"/>
  <c r="N274" i="10" s="1"/>
  <c r="B273" i="10"/>
  <c r="N273" i="10" s="1"/>
  <c r="B272" i="10"/>
  <c r="N272" i="10" s="1"/>
  <c r="B271" i="10"/>
  <c r="N271" i="10" s="1"/>
  <c r="B270" i="10"/>
  <c r="N270" i="10" s="1"/>
  <c r="B269" i="10"/>
  <c r="N269" i="10" s="1"/>
  <c r="B268" i="10"/>
  <c r="N268" i="10" s="1"/>
  <c r="B267" i="10"/>
  <c r="N267" i="10" s="1"/>
  <c r="B266" i="10"/>
  <c r="N266" i="10" s="1"/>
  <c r="B265" i="10"/>
  <c r="N265" i="10" s="1"/>
  <c r="B264" i="10"/>
  <c r="N264" i="10" s="1"/>
  <c r="B263" i="10"/>
  <c r="N263" i="10" s="1"/>
  <c r="B262" i="10"/>
  <c r="N262" i="10" s="1"/>
  <c r="B261" i="10"/>
  <c r="N261" i="10" s="1"/>
  <c r="B260" i="10"/>
  <c r="N260" i="10" s="1"/>
  <c r="B259" i="10"/>
  <c r="N259" i="10" s="1"/>
  <c r="B258" i="10"/>
  <c r="N258" i="10" s="1"/>
  <c r="B257" i="10"/>
  <c r="N257" i="10" s="1"/>
  <c r="B256" i="10"/>
  <c r="N256" i="10" s="1"/>
  <c r="B255" i="10"/>
  <c r="N255" i="10" s="1"/>
  <c r="B254" i="10"/>
  <c r="N254" i="10" s="1"/>
  <c r="B253" i="10"/>
  <c r="N253" i="10" s="1"/>
  <c r="B252" i="10"/>
  <c r="N252" i="10" s="1"/>
  <c r="B251" i="10"/>
  <c r="N251" i="10" s="1"/>
  <c r="B250" i="10"/>
  <c r="N250" i="10" s="1"/>
  <c r="B249" i="10"/>
  <c r="N249" i="10" s="1"/>
  <c r="B248" i="10"/>
  <c r="N248" i="10" s="1"/>
  <c r="B247" i="10"/>
  <c r="N247" i="10" s="1"/>
  <c r="B246" i="10"/>
  <c r="N246" i="10" s="1"/>
  <c r="B245" i="10"/>
  <c r="N245" i="10" s="1"/>
  <c r="B244" i="10"/>
  <c r="N244" i="10" s="1"/>
  <c r="B243" i="10"/>
  <c r="N243" i="10" s="1"/>
  <c r="B242" i="10"/>
  <c r="N242" i="10" s="1"/>
  <c r="B241" i="10"/>
  <c r="N241" i="10" s="1"/>
  <c r="B240" i="10"/>
  <c r="N240" i="10" s="1"/>
  <c r="B239" i="10"/>
  <c r="N239" i="10" s="1"/>
  <c r="B238" i="10"/>
  <c r="N238" i="10" s="1"/>
  <c r="B237" i="10"/>
  <c r="N237" i="10" s="1"/>
  <c r="B236" i="10"/>
  <c r="N236" i="10" s="1"/>
  <c r="B235" i="10"/>
  <c r="N235" i="10" s="1"/>
  <c r="B234" i="10"/>
  <c r="N234" i="10" s="1"/>
  <c r="B233" i="10"/>
  <c r="N233" i="10" s="1"/>
  <c r="B232" i="10"/>
  <c r="N232" i="10" s="1"/>
  <c r="B231" i="10"/>
  <c r="N231" i="10" s="1"/>
  <c r="B230" i="10"/>
  <c r="N230" i="10" s="1"/>
  <c r="B229" i="10"/>
  <c r="N229" i="10" s="1"/>
  <c r="B228" i="10"/>
  <c r="N228" i="10" s="1"/>
  <c r="B227" i="10"/>
  <c r="N227" i="10" s="1"/>
  <c r="B226" i="10"/>
  <c r="N226" i="10" s="1"/>
  <c r="B225" i="10"/>
  <c r="N225" i="10" s="1"/>
  <c r="B224" i="10"/>
  <c r="N224" i="10" s="1"/>
  <c r="B223" i="10"/>
  <c r="N223" i="10" s="1"/>
  <c r="B222" i="10"/>
  <c r="N222" i="10" s="1"/>
  <c r="B221" i="10"/>
  <c r="N221" i="10" s="1"/>
  <c r="B220" i="10"/>
  <c r="N220" i="10" s="1"/>
  <c r="B219" i="10"/>
  <c r="N219" i="10" s="1"/>
  <c r="B218" i="10"/>
  <c r="N218" i="10" s="1"/>
  <c r="B217" i="10"/>
  <c r="N217" i="10" s="1"/>
  <c r="B216" i="10"/>
  <c r="N216" i="10" s="1"/>
  <c r="B215" i="10"/>
  <c r="N215" i="10" s="1"/>
  <c r="B214" i="10"/>
  <c r="N214" i="10" s="1"/>
  <c r="B213" i="10"/>
  <c r="N213" i="10" s="1"/>
  <c r="B212" i="10"/>
  <c r="N212" i="10" s="1"/>
  <c r="B211" i="10"/>
  <c r="N211" i="10" s="1"/>
  <c r="B210" i="10"/>
  <c r="N210" i="10" s="1"/>
  <c r="B209" i="10"/>
  <c r="N209" i="10" s="1"/>
  <c r="B208" i="10"/>
  <c r="N208" i="10" s="1"/>
  <c r="B207" i="10"/>
  <c r="N207" i="10" s="1"/>
  <c r="B206" i="10"/>
  <c r="N206" i="10" s="1"/>
  <c r="B205" i="10"/>
  <c r="N205" i="10" s="1"/>
  <c r="B204" i="10"/>
  <c r="N204" i="10" s="1"/>
  <c r="B203" i="10"/>
  <c r="N203" i="10" s="1"/>
  <c r="B202" i="10"/>
  <c r="N202" i="10" s="1"/>
  <c r="B201" i="10"/>
  <c r="N201" i="10" s="1"/>
  <c r="B200" i="10"/>
  <c r="N200" i="10" s="1"/>
  <c r="B199" i="10"/>
  <c r="N199" i="10" s="1"/>
  <c r="B198" i="10"/>
  <c r="N198" i="10" s="1"/>
  <c r="B197" i="10"/>
  <c r="N197" i="10" s="1"/>
  <c r="B196" i="10"/>
  <c r="N196" i="10" s="1"/>
  <c r="B195" i="10"/>
  <c r="N195" i="10" s="1"/>
  <c r="B194" i="10"/>
  <c r="N194" i="10" s="1"/>
  <c r="B193" i="10"/>
  <c r="N193" i="10" s="1"/>
  <c r="B192" i="10"/>
  <c r="N192" i="10" s="1"/>
  <c r="B191" i="10"/>
  <c r="N191" i="10" s="1"/>
  <c r="B190" i="10"/>
  <c r="N190" i="10" s="1"/>
  <c r="B189" i="10"/>
  <c r="N189" i="10" s="1"/>
  <c r="B188" i="10"/>
  <c r="N188" i="10" s="1"/>
  <c r="B187" i="10"/>
  <c r="N187" i="10" s="1"/>
  <c r="B186" i="10"/>
  <c r="N186" i="10" s="1"/>
  <c r="B185" i="10"/>
  <c r="N185" i="10" s="1"/>
  <c r="B184" i="10"/>
  <c r="N184" i="10" s="1"/>
  <c r="B183" i="10"/>
  <c r="N183" i="10" s="1"/>
  <c r="B182" i="10"/>
  <c r="N182" i="10" s="1"/>
  <c r="B181" i="10"/>
  <c r="N181" i="10" s="1"/>
  <c r="B180" i="10"/>
  <c r="N180" i="10" s="1"/>
  <c r="B179" i="10"/>
  <c r="N179" i="10" s="1"/>
  <c r="B178" i="10"/>
  <c r="N178" i="10" s="1"/>
  <c r="B177" i="10"/>
  <c r="N177" i="10" s="1"/>
  <c r="B176" i="10"/>
  <c r="N176" i="10" s="1"/>
  <c r="B175" i="10"/>
  <c r="N175" i="10" s="1"/>
  <c r="B174" i="10"/>
  <c r="N174" i="10" s="1"/>
  <c r="B173" i="10"/>
  <c r="N173" i="10" s="1"/>
  <c r="B172" i="10"/>
  <c r="N172" i="10" s="1"/>
  <c r="B171" i="10"/>
  <c r="N171" i="10" s="1"/>
  <c r="B170" i="10"/>
  <c r="N170" i="10" s="1"/>
  <c r="B169" i="10"/>
  <c r="N169" i="10" s="1"/>
  <c r="B168" i="10"/>
  <c r="N168" i="10" s="1"/>
  <c r="T168" i="10" l="1"/>
  <c r="R168" i="10"/>
  <c r="P168" i="10"/>
  <c r="L168" i="10"/>
  <c r="J168" i="10"/>
  <c r="H168" i="10"/>
  <c r="U168" i="10"/>
  <c r="S168" i="10"/>
  <c r="Q168" i="10"/>
  <c r="O168" i="10"/>
  <c r="M168" i="10"/>
  <c r="K168" i="10"/>
  <c r="I168" i="10"/>
  <c r="T170" i="10"/>
  <c r="R170" i="10"/>
  <c r="P170" i="10"/>
  <c r="L170" i="10"/>
  <c r="J170" i="10"/>
  <c r="H170" i="10"/>
  <c r="U170" i="10"/>
  <c r="S170" i="10"/>
  <c r="Q170" i="10"/>
  <c r="O170" i="10"/>
  <c r="M170" i="10"/>
  <c r="K170" i="10"/>
  <c r="I170" i="10"/>
  <c r="T172" i="10"/>
  <c r="R172" i="10"/>
  <c r="P172" i="10"/>
  <c r="L172" i="10"/>
  <c r="J172" i="10"/>
  <c r="H172" i="10"/>
  <c r="U172" i="10"/>
  <c r="S172" i="10"/>
  <c r="Q172" i="10"/>
  <c r="O172" i="10"/>
  <c r="M172" i="10"/>
  <c r="K172" i="10"/>
  <c r="I172" i="10"/>
  <c r="T174" i="10"/>
  <c r="R174" i="10"/>
  <c r="P174" i="10"/>
  <c r="L174" i="10"/>
  <c r="J174" i="10"/>
  <c r="H174" i="10"/>
  <c r="U174" i="10"/>
  <c r="S174" i="10"/>
  <c r="Q174" i="10"/>
  <c r="O174" i="10"/>
  <c r="M174" i="10"/>
  <c r="K174" i="10"/>
  <c r="I174" i="10"/>
  <c r="T176" i="10"/>
  <c r="R176" i="10"/>
  <c r="P176" i="10"/>
  <c r="L176" i="10"/>
  <c r="J176" i="10"/>
  <c r="H176" i="10"/>
  <c r="U176" i="10"/>
  <c r="S176" i="10"/>
  <c r="Q176" i="10"/>
  <c r="O176" i="10"/>
  <c r="M176" i="10"/>
  <c r="K176" i="10"/>
  <c r="I176" i="10"/>
  <c r="T178" i="10"/>
  <c r="R178" i="10"/>
  <c r="P178" i="10"/>
  <c r="L178" i="10"/>
  <c r="J178" i="10"/>
  <c r="H178" i="10"/>
  <c r="U178" i="10"/>
  <c r="S178" i="10"/>
  <c r="Q178" i="10"/>
  <c r="O178" i="10"/>
  <c r="M178" i="10"/>
  <c r="K178" i="10"/>
  <c r="I178" i="10"/>
  <c r="T180" i="10"/>
  <c r="R180" i="10"/>
  <c r="P180" i="10"/>
  <c r="L180" i="10"/>
  <c r="J180" i="10"/>
  <c r="H180" i="10"/>
  <c r="U180" i="10"/>
  <c r="S180" i="10"/>
  <c r="Q180" i="10"/>
  <c r="O180" i="10"/>
  <c r="M180" i="10"/>
  <c r="K180" i="10"/>
  <c r="I180" i="10"/>
  <c r="T182" i="10"/>
  <c r="R182" i="10"/>
  <c r="P182" i="10"/>
  <c r="L182" i="10"/>
  <c r="J182" i="10"/>
  <c r="H182" i="10"/>
  <c r="U182" i="10"/>
  <c r="S182" i="10"/>
  <c r="Q182" i="10"/>
  <c r="O182" i="10"/>
  <c r="M182" i="10"/>
  <c r="K182" i="10"/>
  <c r="I182" i="10"/>
  <c r="T184" i="10"/>
  <c r="R184" i="10"/>
  <c r="P184" i="10"/>
  <c r="L184" i="10"/>
  <c r="J184" i="10"/>
  <c r="H184" i="10"/>
  <c r="U184" i="10"/>
  <c r="S184" i="10"/>
  <c r="Q184" i="10"/>
  <c r="O184" i="10"/>
  <c r="M184" i="10"/>
  <c r="K184" i="10"/>
  <c r="I184" i="10"/>
  <c r="T186" i="10"/>
  <c r="R186" i="10"/>
  <c r="P186" i="10"/>
  <c r="L186" i="10"/>
  <c r="J186" i="10"/>
  <c r="H186" i="10"/>
  <c r="U186" i="10"/>
  <c r="S186" i="10"/>
  <c r="Q186" i="10"/>
  <c r="O186" i="10"/>
  <c r="M186" i="10"/>
  <c r="K186" i="10"/>
  <c r="I186" i="10"/>
  <c r="T188" i="10"/>
  <c r="R188" i="10"/>
  <c r="P188" i="10"/>
  <c r="L188" i="10"/>
  <c r="J188" i="10"/>
  <c r="H188" i="10"/>
  <c r="U188" i="10"/>
  <c r="S188" i="10"/>
  <c r="Q188" i="10"/>
  <c r="O188" i="10"/>
  <c r="M188" i="10"/>
  <c r="K188" i="10"/>
  <c r="I188" i="10"/>
  <c r="T190" i="10"/>
  <c r="R190" i="10"/>
  <c r="P190" i="10"/>
  <c r="L190" i="10"/>
  <c r="J190" i="10"/>
  <c r="H190" i="10"/>
  <c r="U190" i="10"/>
  <c r="S190" i="10"/>
  <c r="Q190" i="10"/>
  <c r="O190" i="10"/>
  <c r="M190" i="10"/>
  <c r="K190" i="10"/>
  <c r="I190" i="10"/>
  <c r="T192" i="10"/>
  <c r="R192" i="10"/>
  <c r="P192" i="10"/>
  <c r="L192" i="10"/>
  <c r="J192" i="10"/>
  <c r="H192" i="10"/>
  <c r="U192" i="10"/>
  <c r="S192" i="10"/>
  <c r="Q192" i="10"/>
  <c r="O192" i="10"/>
  <c r="M192" i="10"/>
  <c r="K192" i="10"/>
  <c r="I192" i="10"/>
  <c r="T194" i="10"/>
  <c r="R194" i="10"/>
  <c r="P194" i="10"/>
  <c r="L194" i="10"/>
  <c r="J194" i="10"/>
  <c r="H194" i="10"/>
  <c r="U194" i="10"/>
  <c r="S194" i="10"/>
  <c r="Q194" i="10"/>
  <c r="O194" i="10"/>
  <c r="M194" i="10"/>
  <c r="K194" i="10"/>
  <c r="I194" i="10"/>
  <c r="T196" i="10"/>
  <c r="R196" i="10"/>
  <c r="P196" i="10"/>
  <c r="L196" i="10"/>
  <c r="J196" i="10"/>
  <c r="H196" i="10"/>
  <c r="U196" i="10"/>
  <c r="S196" i="10"/>
  <c r="Q196" i="10"/>
  <c r="O196" i="10"/>
  <c r="M196" i="10"/>
  <c r="K196" i="10"/>
  <c r="I196" i="10"/>
  <c r="T198" i="10"/>
  <c r="R198" i="10"/>
  <c r="P198" i="10"/>
  <c r="L198" i="10"/>
  <c r="J198" i="10"/>
  <c r="H198" i="10"/>
  <c r="U198" i="10"/>
  <c r="S198" i="10"/>
  <c r="Q198" i="10"/>
  <c r="O198" i="10"/>
  <c r="M198" i="10"/>
  <c r="K198" i="10"/>
  <c r="I198" i="10"/>
  <c r="T200" i="10"/>
  <c r="R200" i="10"/>
  <c r="P200" i="10"/>
  <c r="L200" i="10"/>
  <c r="J200" i="10"/>
  <c r="H200" i="10"/>
  <c r="U200" i="10"/>
  <c r="S200" i="10"/>
  <c r="Q200" i="10"/>
  <c r="O200" i="10"/>
  <c r="M200" i="10"/>
  <c r="K200" i="10"/>
  <c r="I200" i="10"/>
  <c r="T202" i="10"/>
  <c r="R202" i="10"/>
  <c r="P202" i="10"/>
  <c r="L202" i="10"/>
  <c r="J202" i="10"/>
  <c r="H202" i="10"/>
  <c r="U202" i="10"/>
  <c r="S202" i="10"/>
  <c r="Q202" i="10"/>
  <c r="O202" i="10"/>
  <c r="M202" i="10"/>
  <c r="K202" i="10"/>
  <c r="I202" i="10"/>
  <c r="T204" i="10"/>
  <c r="R204" i="10"/>
  <c r="P204" i="10"/>
  <c r="L204" i="10"/>
  <c r="J204" i="10"/>
  <c r="H204" i="10"/>
  <c r="U204" i="10"/>
  <c r="S204" i="10"/>
  <c r="Q204" i="10"/>
  <c r="O204" i="10"/>
  <c r="M204" i="10"/>
  <c r="K204" i="10"/>
  <c r="I204" i="10"/>
  <c r="T206" i="10"/>
  <c r="R206" i="10"/>
  <c r="P206" i="10"/>
  <c r="L206" i="10"/>
  <c r="J206" i="10"/>
  <c r="H206" i="10"/>
  <c r="U206" i="10"/>
  <c r="S206" i="10"/>
  <c r="Q206" i="10"/>
  <c r="O206" i="10"/>
  <c r="M206" i="10"/>
  <c r="K206" i="10"/>
  <c r="I206" i="10"/>
  <c r="T208" i="10"/>
  <c r="R208" i="10"/>
  <c r="P208" i="10"/>
  <c r="L208" i="10"/>
  <c r="J208" i="10"/>
  <c r="H208" i="10"/>
  <c r="U208" i="10"/>
  <c r="S208" i="10"/>
  <c r="Q208" i="10"/>
  <c r="O208" i="10"/>
  <c r="M208" i="10"/>
  <c r="K208" i="10"/>
  <c r="I208" i="10"/>
  <c r="T210" i="10"/>
  <c r="R210" i="10"/>
  <c r="P210" i="10"/>
  <c r="L210" i="10"/>
  <c r="J210" i="10"/>
  <c r="H210" i="10"/>
  <c r="U210" i="10"/>
  <c r="S210" i="10"/>
  <c r="Q210" i="10"/>
  <c r="O210" i="10"/>
  <c r="M210" i="10"/>
  <c r="K210" i="10"/>
  <c r="I210" i="10"/>
  <c r="T212" i="10"/>
  <c r="R212" i="10"/>
  <c r="P212" i="10"/>
  <c r="L212" i="10"/>
  <c r="J212" i="10"/>
  <c r="H212" i="10"/>
  <c r="U212" i="10"/>
  <c r="S212" i="10"/>
  <c r="Q212" i="10"/>
  <c r="O212" i="10"/>
  <c r="M212" i="10"/>
  <c r="K212" i="10"/>
  <c r="I212" i="10"/>
  <c r="T214" i="10"/>
  <c r="R214" i="10"/>
  <c r="P214" i="10"/>
  <c r="L214" i="10"/>
  <c r="J214" i="10"/>
  <c r="H214" i="10"/>
  <c r="U214" i="10"/>
  <c r="S214" i="10"/>
  <c r="Q214" i="10"/>
  <c r="O214" i="10"/>
  <c r="M214" i="10"/>
  <c r="K214" i="10"/>
  <c r="I214" i="10"/>
  <c r="T216" i="10"/>
  <c r="R216" i="10"/>
  <c r="P216" i="10"/>
  <c r="L216" i="10"/>
  <c r="J216" i="10"/>
  <c r="H216" i="10"/>
  <c r="U216" i="10"/>
  <c r="S216" i="10"/>
  <c r="Q216" i="10"/>
  <c r="O216" i="10"/>
  <c r="M216" i="10"/>
  <c r="K216" i="10"/>
  <c r="I216" i="10"/>
  <c r="T218" i="10"/>
  <c r="R218" i="10"/>
  <c r="P218" i="10"/>
  <c r="L218" i="10"/>
  <c r="J218" i="10"/>
  <c r="H218" i="10"/>
  <c r="U218" i="10"/>
  <c r="S218" i="10"/>
  <c r="Q218" i="10"/>
  <c r="O218" i="10"/>
  <c r="M218" i="10"/>
  <c r="K218" i="10"/>
  <c r="I218" i="10"/>
  <c r="T220" i="10"/>
  <c r="R220" i="10"/>
  <c r="P220" i="10"/>
  <c r="L220" i="10"/>
  <c r="J220" i="10"/>
  <c r="H220" i="10"/>
  <c r="U220" i="10"/>
  <c r="S220" i="10"/>
  <c r="Q220" i="10"/>
  <c r="O220" i="10"/>
  <c r="M220" i="10"/>
  <c r="K220" i="10"/>
  <c r="I220" i="10"/>
  <c r="T222" i="10"/>
  <c r="R222" i="10"/>
  <c r="P222" i="10"/>
  <c r="L222" i="10"/>
  <c r="J222" i="10"/>
  <c r="H222" i="10"/>
  <c r="U222" i="10"/>
  <c r="S222" i="10"/>
  <c r="Q222" i="10"/>
  <c r="O222" i="10"/>
  <c r="M222" i="10"/>
  <c r="K222" i="10"/>
  <c r="I222" i="10"/>
  <c r="T224" i="10"/>
  <c r="R224" i="10"/>
  <c r="P224" i="10"/>
  <c r="L224" i="10"/>
  <c r="J224" i="10"/>
  <c r="H224" i="10"/>
  <c r="U224" i="10"/>
  <c r="S224" i="10"/>
  <c r="Q224" i="10"/>
  <c r="O224" i="10"/>
  <c r="M224" i="10"/>
  <c r="K224" i="10"/>
  <c r="I224" i="10"/>
  <c r="T226" i="10"/>
  <c r="R226" i="10"/>
  <c r="P226" i="10"/>
  <c r="L226" i="10"/>
  <c r="J226" i="10"/>
  <c r="H226" i="10"/>
  <c r="U226" i="10"/>
  <c r="S226" i="10"/>
  <c r="Q226" i="10"/>
  <c r="O226" i="10"/>
  <c r="M226" i="10"/>
  <c r="K226" i="10"/>
  <c r="I226" i="10"/>
  <c r="T228" i="10"/>
  <c r="R228" i="10"/>
  <c r="P228" i="10"/>
  <c r="L228" i="10"/>
  <c r="J228" i="10"/>
  <c r="H228" i="10"/>
  <c r="U228" i="10"/>
  <c r="S228" i="10"/>
  <c r="Q228" i="10"/>
  <c r="O228" i="10"/>
  <c r="M228" i="10"/>
  <c r="K228" i="10"/>
  <c r="I228" i="10"/>
  <c r="T230" i="10"/>
  <c r="R230" i="10"/>
  <c r="P230" i="10"/>
  <c r="L230" i="10"/>
  <c r="J230" i="10"/>
  <c r="H230" i="10"/>
  <c r="U230" i="10"/>
  <c r="S230" i="10"/>
  <c r="Q230" i="10"/>
  <c r="O230" i="10"/>
  <c r="M230" i="10"/>
  <c r="K230" i="10"/>
  <c r="I230" i="10"/>
  <c r="T232" i="10"/>
  <c r="R232" i="10"/>
  <c r="P232" i="10"/>
  <c r="L232" i="10"/>
  <c r="J232" i="10"/>
  <c r="H232" i="10"/>
  <c r="U232" i="10"/>
  <c r="S232" i="10"/>
  <c r="Q232" i="10"/>
  <c r="O232" i="10"/>
  <c r="M232" i="10"/>
  <c r="K232" i="10"/>
  <c r="I232" i="10"/>
  <c r="T234" i="10"/>
  <c r="R234" i="10"/>
  <c r="P234" i="10"/>
  <c r="L234" i="10"/>
  <c r="J234" i="10"/>
  <c r="H234" i="10"/>
  <c r="U234" i="10"/>
  <c r="S234" i="10"/>
  <c r="Q234" i="10"/>
  <c r="O234" i="10"/>
  <c r="M234" i="10"/>
  <c r="K234" i="10"/>
  <c r="I234" i="10"/>
  <c r="T236" i="10"/>
  <c r="R236" i="10"/>
  <c r="P236" i="10"/>
  <c r="L236" i="10"/>
  <c r="J236" i="10"/>
  <c r="H236" i="10"/>
  <c r="U236" i="10"/>
  <c r="S236" i="10"/>
  <c r="Q236" i="10"/>
  <c r="O236" i="10"/>
  <c r="M236" i="10"/>
  <c r="K236" i="10"/>
  <c r="I236" i="10"/>
  <c r="T238" i="10"/>
  <c r="R238" i="10"/>
  <c r="P238" i="10"/>
  <c r="L238" i="10"/>
  <c r="J238" i="10"/>
  <c r="H238" i="10"/>
  <c r="U238" i="10"/>
  <c r="S238" i="10"/>
  <c r="Q238" i="10"/>
  <c r="O238" i="10"/>
  <c r="M238" i="10"/>
  <c r="K238" i="10"/>
  <c r="I238" i="10"/>
  <c r="T240" i="10"/>
  <c r="R240" i="10"/>
  <c r="P240" i="10"/>
  <c r="L240" i="10"/>
  <c r="J240" i="10"/>
  <c r="H240" i="10"/>
  <c r="U240" i="10"/>
  <c r="S240" i="10"/>
  <c r="Q240" i="10"/>
  <c r="O240" i="10"/>
  <c r="M240" i="10"/>
  <c r="K240" i="10"/>
  <c r="I240" i="10"/>
  <c r="T242" i="10"/>
  <c r="R242" i="10"/>
  <c r="P242" i="10"/>
  <c r="L242" i="10"/>
  <c r="J242" i="10"/>
  <c r="H242" i="10"/>
  <c r="U242" i="10"/>
  <c r="S242" i="10"/>
  <c r="Q242" i="10"/>
  <c r="O242" i="10"/>
  <c r="M242" i="10"/>
  <c r="K242" i="10"/>
  <c r="I242" i="10"/>
  <c r="T244" i="10"/>
  <c r="R244" i="10"/>
  <c r="P244" i="10"/>
  <c r="L244" i="10"/>
  <c r="J244" i="10"/>
  <c r="H244" i="10"/>
  <c r="U244" i="10"/>
  <c r="S244" i="10"/>
  <c r="Q244" i="10"/>
  <c r="O244" i="10"/>
  <c r="M244" i="10"/>
  <c r="K244" i="10"/>
  <c r="I244" i="10"/>
  <c r="T246" i="10"/>
  <c r="R246" i="10"/>
  <c r="P246" i="10"/>
  <c r="L246" i="10"/>
  <c r="J246" i="10"/>
  <c r="H246" i="10"/>
  <c r="U246" i="10"/>
  <c r="S246" i="10"/>
  <c r="Q246" i="10"/>
  <c r="O246" i="10"/>
  <c r="M246" i="10"/>
  <c r="K246" i="10"/>
  <c r="I246" i="10"/>
  <c r="T248" i="10"/>
  <c r="R248" i="10"/>
  <c r="P248" i="10"/>
  <c r="L248" i="10"/>
  <c r="J248" i="10"/>
  <c r="H248" i="10"/>
  <c r="U248" i="10"/>
  <c r="S248" i="10"/>
  <c r="Q248" i="10"/>
  <c r="O248" i="10"/>
  <c r="M248" i="10"/>
  <c r="K248" i="10"/>
  <c r="I248" i="10"/>
  <c r="T250" i="10"/>
  <c r="R250" i="10"/>
  <c r="P250" i="10"/>
  <c r="L250" i="10"/>
  <c r="J250" i="10"/>
  <c r="H250" i="10"/>
  <c r="U250" i="10"/>
  <c r="S250" i="10"/>
  <c r="Q250" i="10"/>
  <c r="O250" i="10"/>
  <c r="M250" i="10"/>
  <c r="K250" i="10"/>
  <c r="I250" i="10"/>
  <c r="T252" i="10"/>
  <c r="R252" i="10"/>
  <c r="P252" i="10"/>
  <c r="L252" i="10"/>
  <c r="J252" i="10"/>
  <c r="H252" i="10"/>
  <c r="U252" i="10"/>
  <c r="S252" i="10"/>
  <c r="Q252" i="10"/>
  <c r="O252" i="10"/>
  <c r="M252" i="10"/>
  <c r="K252" i="10"/>
  <c r="I252" i="10"/>
  <c r="T254" i="10"/>
  <c r="R254" i="10"/>
  <c r="P254" i="10"/>
  <c r="L254" i="10"/>
  <c r="J254" i="10"/>
  <c r="H254" i="10"/>
  <c r="U254" i="10"/>
  <c r="S254" i="10"/>
  <c r="Q254" i="10"/>
  <c r="O254" i="10"/>
  <c r="M254" i="10"/>
  <c r="K254" i="10"/>
  <c r="I254" i="10"/>
  <c r="T256" i="10"/>
  <c r="R256" i="10"/>
  <c r="P256" i="10"/>
  <c r="L256" i="10"/>
  <c r="J256" i="10"/>
  <c r="H256" i="10"/>
  <c r="U256" i="10"/>
  <c r="S256" i="10"/>
  <c r="Q256" i="10"/>
  <c r="O256" i="10"/>
  <c r="M256" i="10"/>
  <c r="K256" i="10"/>
  <c r="I256" i="10"/>
  <c r="T258" i="10"/>
  <c r="R258" i="10"/>
  <c r="P258" i="10"/>
  <c r="L258" i="10"/>
  <c r="J258" i="10"/>
  <c r="H258" i="10"/>
  <c r="U258" i="10"/>
  <c r="S258" i="10"/>
  <c r="Q258" i="10"/>
  <c r="O258" i="10"/>
  <c r="M258" i="10"/>
  <c r="K258" i="10"/>
  <c r="I258" i="10"/>
  <c r="T260" i="10"/>
  <c r="R260" i="10"/>
  <c r="P260" i="10"/>
  <c r="L260" i="10"/>
  <c r="J260" i="10"/>
  <c r="H260" i="10"/>
  <c r="U260" i="10"/>
  <c r="S260" i="10"/>
  <c r="Q260" i="10"/>
  <c r="O260" i="10"/>
  <c r="M260" i="10"/>
  <c r="K260" i="10"/>
  <c r="I260" i="10"/>
  <c r="T262" i="10"/>
  <c r="R262" i="10"/>
  <c r="P262" i="10"/>
  <c r="L262" i="10"/>
  <c r="J262" i="10"/>
  <c r="H262" i="10"/>
  <c r="U262" i="10"/>
  <c r="S262" i="10"/>
  <c r="Q262" i="10"/>
  <c r="O262" i="10"/>
  <c r="M262" i="10"/>
  <c r="K262" i="10"/>
  <c r="I262" i="10"/>
  <c r="T264" i="10"/>
  <c r="R264" i="10"/>
  <c r="P264" i="10"/>
  <c r="L264" i="10"/>
  <c r="J264" i="10"/>
  <c r="H264" i="10"/>
  <c r="U264" i="10"/>
  <c r="S264" i="10"/>
  <c r="Q264" i="10"/>
  <c r="O264" i="10"/>
  <c r="M264" i="10"/>
  <c r="K264" i="10"/>
  <c r="I264" i="10"/>
  <c r="T266" i="10"/>
  <c r="R266" i="10"/>
  <c r="P266" i="10"/>
  <c r="L266" i="10"/>
  <c r="J266" i="10"/>
  <c r="H266" i="10"/>
  <c r="U266" i="10"/>
  <c r="S266" i="10"/>
  <c r="Q266" i="10"/>
  <c r="O266" i="10"/>
  <c r="M266" i="10"/>
  <c r="K266" i="10"/>
  <c r="I266" i="10"/>
  <c r="T268" i="10"/>
  <c r="R268" i="10"/>
  <c r="P268" i="10"/>
  <c r="U268" i="10"/>
  <c r="S268" i="10"/>
  <c r="Q268" i="10"/>
  <c r="O268" i="10"/>
  <c r="L268" i="10"/>
  <c r="J268" i="10"/>
  <c r="H268" i="10"/>
  <c r="M268" i="10"/>
  <c r="K268" i="10"/>
  <c r="I268" i="10"/>
  <c r="T270" i="10"/>
  <c r="R270" i="10"/>
  <c r="P270" i="10"/>
  <c r="L270" i="10"/>
  <c r="J270" i="10"/>
  <c r="H270" i="10"/>
  <c r="U270" i="10"/>
  <c r="S270" i="10"/>
  <c r="Q270" i="10"/>
  <c r="O270" i="10"/>
  <c r="M270" i="10"/>
  <c r="K270" i="10"/>
  <c r="I270" i="10"/>
  <c r="T272" i="10"/>
  <c r="R272" i="10"/>
  <c r="P272" i="10"/>
  <c r="L272" i="10"/>
  <c r="J272" i="10"/>
  <c r="H272" i="10"/>
  <c r="U272" i="10"/>
  <c r="S272" i="10"/>
  <c r="Q272" i="10"/>
  <c r="O272" i="10"/>
  <c r="M272" i="10"/>
  <c r="K272" i="10"/>
  <c r="I272" i="10"/>
  <c r="T274" i="10"/>
  <c r="R274" i="10"/>
  <c r="P274" i="10"/>
  <c r="L274" i="10"/>
  <c r="J274" i="10"/>
  <c r="H274" i="10"/>
  <c r="U274" i="10"/>
  <c r="S274" i="10"/>
  <c r="Q274" i="10"/>
  <c r="O274" i="10"/>
  <c r="M274" i="10"/>
  <c r="K274" i="10"/>
  <c r="I274" i="10"/>
  <c r="T276" i="10"/>
  <c r="R276" i="10"/>
  <c r="P276" i="10"/>
  <c r="L276" i="10"/>
  <c r="J276" i="10"/>
  <c r="H276" i="10"/>
  <c r="U276" i="10"/>
  <c r="S276" i="10"/>
  <c r="Q276" i="10"/>
  <c r="O276" i="10"/>
  <c r="M276" i="10"/>
  <c r="K276" i="10"/>
  <c r="I276" i="10"/>
  <c r="T278" i="10"/>
  <c r="R278" i="10"/>
  <c r="P278" i="10"/>
  <c r="L278" i="10"/>
  <c r="J278" i="10"/>
  <c r="H278" i="10"/>
  <c r="U278" i="10"/>
  <c r="S278" i="10"/>
  <c r="Q278" i="10"/>
  <c r="O278" i="10"/>
  <c r="M278" i="10"/>
  <c r="K278" i="10"/>
  <c r="I278" i="10"/>
  <c r="T280" i="10"/>
  <c r="R280" i="10"/>
  <c r="P280" i="10"/>
  <c r="L280" i="10"/>
  <c r="J280" i="10"/>
  <c r="H280" i="10"/>
  <c r="U280" i="10"/>
  <c r="S280" i="10"/>
  <c r="Q280" i="10"/>
  <c r="O280" i="10"/>
  <c r="M280" i="10"/>
  <c r="K280" i="10"/>
  <c r="I280" i="10"/>
  <c r="T282" i="10"/>
  <c r="R282" i="10"/>
  <c r="P282" i="10"/>
  <c r="L282" i="10"/>
  <c r="J282" i="10"/>
  <c r="H282" i="10"/>
  <c r="U282" i="10"/>
  <c r="S282" i="10"/>
  <c r="Q282" i="10"/>
  <c r="O282" i="10"/>
  <c r="M282" i="10"/>
  <c r="K282" i="10"/>
  <c r="I282" i="10"/>
  <c r="T284" i="10"/>
  <c r="R284" i="10"/>
  <c r="P284" i="10"/>
  <c r="L284" i="10"/>
  <c r="J284" i="10"/>
  <c r="H284" i="10"/>
  <c r="U284" i="10"/>
  <c r="S284" i="10"/>
  <c r="Q284" i="10"/>
  <c r="O284" i="10"/>
  <c r="M284" i="10"/>
  <c r="K284" i="10"/>
  <c r="I284" i="10"/>
  <c r="T286" i="10"/>
  <c r="R286" i="10"/>
  <c r="P286" i="10"/>
  <c r="L286" i="10"/>
  <c r="J286" i="10"/>
  <c r="H286" i="10"/>
  <c r="U286" i="10"/>
  <c r="S286" i="10"/>
  <c r="Q286" i="10"/>
  <c r="O286" i="10"/>
  <c r="M286" i="10"/>
  <c r="K286" i="10"/>
  <c r="I286" i="10"/>
  <c r="T288" i="10"/>
  <c r="R288" i="10"/>
  <c r="P288" i="10"/>
  <c r="L288" i="10"/>
  <c r="J288" i="10"/>
  <c r="H288" i="10"/>
  <c r="U288" i="10"/>
  <c r="S288" i="10"/>
  <c r="Q288" i="10"/>
  <c r="O288" i="10"/>
  <c r="M288" i="10"/>
  <c r="K288" i="10"/>
  <c r="I288" i="10"/>
  <c r="T290" i="10"/>
  <c r="R290" i="10"/>
  <c r="P290" i="10"/>
  <c r="L290" i="10"/>
  <c r="J290" i="10"/>
  <c r="H290" i="10"/>
  <c r="U290" i="10"/>
  <c r="S290" i="10"/>
  <c r="Q290" i="10"/>
  <c r="O290" i="10"/>
  <c r="M290" i="10"/>
  <c r="K290" i="10"/>
  <c r="I290" i="10"/>
  <c r="T292" i="10"/>
  <c r="R292" i="10"/>
  <c r="P292" i="10"/>
  <c r="L292" i="10"/>
  <c r="J292" i="10"/>
  <c r="H292" i="10"/>
  <c r="U292" i="10"/>
  <c r="S292" i="10"/>
  <c r="Q292" i="10"/>
  <c r="O292" i="10"/>
  <c r="M292" i="10"/>
  <c r="K292" i="10"/>
  <c r="I292" i="10"/>
  <c r="T294" i="10"/>
  <c r="R294" i="10"/>
  <c r="P294" i="10"/>
  <c r="L294" i="10"/>
  <c r="J294" i="10"/>
  <c r="H294" i="10"/>
  <c r="U294" i="10"/>
  <c r="S294" i="10"/>
  <c r="Q294" i="10"/>
  <c r="O294" i="10"/>
  <c r="M294" i="10"/>
  <c r="K294" i="10"/>
  <c r="I294" i="10"/>
  <c r="T296" i="10"/>
  <c r="R296" i="10"/>
  <c r="P296" i="10"/>
  <c r="L296" i="10"/>
  <c r="J296" i="10"/>
  <c r="H296" i="10"/>
  <c r="U296" i="10"/>
  <c r="S296" i="10"/>
  <c r="Q296" i="10"/>
  <c r="O296" i="10"/>
  <c r="M296" i="10"/>
  <c r="K296" i="10"/>
  <c r="I296" i="10"/>
  <c r="T298" i="10"/>
  <c r="R298" i="10"/>
  <c r="P298" i="10"/>
  <c r="L298" i="10"/>
  <c r="J298" i="10"/>
  <c r="H298" i="10"/>
  <c r="U298" i="10"/>
  <c r="S298" i="10"/>
  <c r="Q298" i="10"/>
  <c r="O298" i="10"/>
  <c r="M298" i="10"/>
  <c r="K298" i="10"/>
  <c r="I298" i="10"/>
  <c r="T300" i="10"/>
  <c r="R300" i="10"/>
  <c r="P300" i="10"/>
  <c r="L300" i="10"/>
  <c r="J300" i="10"/>
  <c r="H300" i="10"/>
  <c r="U300" i="10"/>
  <c r="S300" i="10"/>
  <c r="Q300" i="10"/>
  <c r="O300" i="10"/>
  <c r="M300" i="10"/>
  <c r="K300" i="10"/>
  <c r="I300" i="10"/>
  <c r="T302" i="10"/>
  <c r="R302" i="10"/>
  <c r="P302" i="10"/>
  <c r="L302" i="10"/>
  <c r="J302" i="10"/>
  <c r="H302" i="10"/>
  <c r="U302" i="10"/>
  <c r="S302" i="10"/>
  <c r="Q302" i="10"/>
  <c r="O302" i="10"/>
  <c r="M302" i="10"/>
  <c r="K302" i="10"/>
  <c r="I302" i="10"/>
  <c r="T304" i="10"/>
  <c r="R304" i="10"/>
  <c r="P304" i="10"/>
  <c r="L304" i="10"/>
  <c r="J304" i="10"/>
  <c r="H304" i="10"/>
  <c r="U304" i="10"/>
  <c r="S304" i="10"/>
  <c r="Q304" i="10"/>
  <c r="O304" i="10"/>
  <c r="M304" i="10"/>
  <c r="K304" i="10"/>
  <c r="I304" i="10"/>
  <c r="T169" i="10"/>
  <c r="R169" i="10"/>
  <c r="P169" i="10"/>
  <c r="L169" i="10"/>
  <c r="J169" i="10"/>
  <c r="H169" i="10"/>
  <c r="U169" i="10"/>
  <c r="S169" i="10"/>
  <c r="Q169" i="10"/>
  <c r="O169" i="10"/>
  <c r="M169" i="10"/>
  <c r="K169" i="10"/>
  <c r="I169" i="10"/>
  <c r="T171" i="10"/>
  <c r="R171" i="10"/>
  <c r="P171" i="10"/>
  <c r="L171" i="10"/>
  <c r="J171" i="10"/>
  <c r="H171" i="10"/>
  <c r="U171" i="10"/>
  <c r="S171" i="10"/>
  <c r="Q171" i="10"/>
  <c r="O171" i="10"/>
  <c r="M171" i="10"/>
  <c r="K171" i="10"/>
  <c r="I171" i="10"/>
  <c r="T173" i="10"/>
  <c r="R173" i="10"/>
  <c r="P173" i="10"/>
  <c r="L173" i="10"/>
  <c r="J173" i="10"/>
  <c r="H173" i="10"/>
  <c r="U173" i="10"/>
  <c r="S173" i="10"/>
  <c r="Q173" i="10"/>
  <c r="O173" i="10"/>
  <c r="M173" i="10"/>
  <c r="K173" i="10"/>
  <c r="I173" i="10"/>
  <c r="T175" i="10"/>
  <c r="R175" i="10"/>
  <c r="P175" i="10"/>
  <c r="L175" i="10"/>
  <c r="J175" i="10"/>
  <c r="H175" i="10"/>
  <c r="U175" i="10"/>
  <c r="S175" i="10"/>
  <c r="Q175" i="10"/>
  <c r="O175" i="10"/>
  <c r="M175" i="10"/>
  <c r="K175" i="10"/>
  <c r="I175" i="10"/>
  <c r="T177" i="10"/>
  <c r="R177" i="10"/>
  <c r="P177" i="10"/>
  <c r="L177" i="10"/>
  <c r="J177" i="10"/>
  <c r="H177" i="10"/>
  <c r="U177" i="10"/>
  <c r="S177" i="10"/>
  <c r="Q177" i="10"/>
  <c r="O177" i="10"/>
  <c r="M177" i="10"/>
  <c r="K177" i="10"/>
  <c r="I177" i="10"/>
  <c r="T179" i="10"/>
  <c r="R179" i="10"/>
  <c r="P179" i="10"/>
  <c r="L179" i="10"/>
  <c r="J179" i="10"/>
  <c r="H179" i="10"/>
  <c r="U179" i="10"/>
  <c r="S179" i="10"/>
  <c r="Q179" i="10"/>
  <c r="O179" i="10"/>
  <c r="M179" i="10"/>
  <c r="K179" i="10"/>
  <c r="I179" i="10"/>
  <c r="T181" i="10"/>
  <c r="R181" i="10"/>
  <c r="P181" i="10"/>
  <c r="L181" i="10"/>
  <c r="J181" i="10"/>
  <c r="H181" i="10"/>
  <c r="U181" i="10"/>
  <c r="S181" i="10"/>
  <c r="Q181" i="10"/>
  <c r="O181" i="10"/>
  <c r="M181" i="10"/>
  <c r="K181" i="10"/>
  <c r="I181" i="10"/>
  <c r="T183" i="10"/>
  <c r="R183" i="10"/>
  <c r="P183" i="10"/>
  <c r="L183" i="10"/>
  <c r="J183" i="10"/>
  <c r="H183" i="10"/>
  <c r="U183" i="10"/>
  <c r="S183" i="10"/>
  <c r="Q183" i="10"/>
  <c r="O183" i="10"/>
  <c r="M183" i="10"/>
  <c r="K183" i="10"/>
  <c r="I183" i="10"/>
  <c r="T185" i="10"/>
  <c r="R185" i="10"/>
  <c r="P185" i="10"/>
  <c r="L185" i="10"/>
  <c r="J185" i="10"/>
  <c r="H185" i="10"/>
  <c r="U185" i="10"/>
  <c r="S185" i="10"/>
  <c r="Q185" i="10"/>
  <c r="O185" i="10"/>
  <c r="M185" i="10"/>
  <c r="K185" i="10"/>
  <c r="I185" i="10"/>
  <c r="T187" i="10"/>
  <c r="R187" i="10"/>
  <c r="P187" i="10"/>
  <c r="L187" i="10"/>
  <c r="J187" i="10"/>
  <c r="H187" i="10"/>
  <c r="U187" i="10"/>
  <c r="S187" i="10"/>
  <c r="Q187" i="10"/>
  <c r="O187" i="10"/>
  <c r="M187" i="10"/>
  <c r="K187" i="10"/>
  <c r="I187" i="10"/>
  <c r="T189" i="10"/>
  <c r="R189" i="10"/>
  <c r="P189" i="10"/>
  <c r="L189" i="10"/>
  <c r="J189" i="10"/>
  <c r="H189" i="10"/>
  <c r="U189" i="10"/>
  <c r="S189" i="10"/>
  <c r="Q189" i="10"/>
  <c r="O189" i="10"/>
  <c r="M189" i="10"/>
  <c r="K189" i="10"/>
  <c r="I189" i="10"/>
  <c r="T191" i="10"/>
  <c r="R191" i="10"/>
  <c r="P191" i="10"/>
  <c r="L191" i="10"/>
  <c r="J191" i="10"/>
  <c r="H191" i="10"/>
  <c r="U191" i="10"/>
  <c r="S191" i="10"/>
  <c r="Q191" i="10"/>
  <c r="O191" i="10"/>
  <c r="M191" i="10"/>
  <c r="K191" i="10"/>
  <c r="I191" i="10"/>
  <c r="T193" i="10"/>
  <c r="R193" i="10"/>
  <c r="P193" i="10"/>
  <c r="L193" i="10"/>
  <c r="J193" i="10"/>
  <c r="H193" i="10"/>
  <c r="U193" i="10"/>
  <c r="S193" i="10"/>
  <c r="Q193" i="10"/>
  <c r="O193" i="10"/>
  <c r="M193" i="10"/>
  <c r="K193" i="10"/>
  <c r="I193" i="10"/>
  <c r="T195" i="10"/>
  <c r="R195" i="10"/>
  <c r="P195" i="10"/>
  <c r="L195" i="10"/>
  <c r="U195" i="10"/>
  <c r="S195" i="10"/>
  <c r="Q195" i="10"/>
  <c r="O195" i="10"/>
  <c r="M195" i="10"/>
  <c r="J195" i="10"/>
  <c r="H195" i="10"/>
  <c r="K195" i="10"/>
  <c r="I195" i="10"/>
  <c r="T197" i="10"/>
  <c r="R197" i="10"/>
  <c r="P197" i="10"/>
  <c r="L197" i="10"/>
  <c r="J197" i="10"/>
  <c r="H197" i="10"/>
  <c r="U197" i="10"/>
  <c r="S197" i="10"/>
  <c r="Q197" i="10"/>
  <c r="O197" i="10"/>
  <c r="M197" i="10"/>
  <c r="K197" i="10"/>
  <c r="I197" i="10"/>
  <c r="T199" i="10"/>
  <c r="R199" i="10"/>
  <c r="P199" i="10"/>
  <c r="L199" i="10"/>
  <c r="J199" i="10"/>
  <c r="H199" i="10"/>
  <c r="U199" i="10"/>
  <c r="S199" i="10"/>
  <c r="Q199" i="10"/>
  <c r="O199" i="10"/>
  <c r="M199" i="10"/>
  <c r="K199" i="10"/>
  <c r="I199" i="10"/>
  <c r="T201" i="10"/>
  <c r="R201" i="10"/>
  <c r="P201" i="10"/>
  <c r="L201" i="10"/>
  <c r="J201" i="10"/>
  <c r="H201" i="10"/>
  <c r="U201" i="10"/>
  <c r="S201" i="10"/>
  <c r="Q201" i="10"/>
  <c r="O201" i="10"/>
  <c r="M201" i="10"/>
  <c r="K201" i="10"/>
  <c r="I201" i="10"/>
  <c r="T203" i="10"/>
  <c r="R203" i="10"/>
  <c r="P203" i="10"/>
  <c r="L203" i="10"/>
  <c r="J203" i="10"/>
  <c r="H203" i="10"/>
  <c r="U203" i="10"/>
  <c r="S203" i="10"/>
  <c r="Q203" i="10"/>
  <c r="O203" i="10"/>
  <c r="M203" i="10"/>
  <c r="K203" i="10"/>
  <c r="I203" i="10"/>
  <c r="T205" i="10"/>
  <c r="R205" i="10"/>
  <c r="P205" i="10"/>
  <c r="L205" i="10"/>
  <c r="J205" i="10"/>
  <c r="H205" i="10"/>
  <c r="U205" i="10"/>
  <c r="S205" i="10"/>
  <c r="Q205" i="10"/>
  <c r="O205" i="10"/>
  <c r="M205" i="10"/>
  <c r="K205" i="10"/>
  <c r="I205" i="10"/>
  <c r="T207" i="10"/>
  <c r="R207" i="10"/>
  <c r="P207" i="10"/>
  <c r="L207" i="10"/>
  <c r="J207" i="10"/>
  <c r="H207" i="10"/>
  <c r="U207" i="10"/>
  <c r="S207" i="10"/>
  <c r="Q207" i="10"/>
  <c r="O207" i="10"/>
  <c r="M207" i="10"/>
  <c r="K207" i="10"/>
  <c r="I207" i="10"/>
  <c r="T209" i="10"/>
  <c r="R209" i="10"/>
  <c r="P209" i="10"/>
  <c r="L209" i="10"/>
  <c r="J209" i="10"/>
  <c r="H209" i="10"/>
  <c r="U209" i="10"/>
  <c r="S209" i="10"/>
  <c r="Q209" i="10"/>
  <c r="O209" i="10"/>
  <c r="M209" i="10"/>
  <c r="K209" i="10"/>
  <c r="I209" i="10"/>
  <c r="T211" i="10"/>
  <c r="R211" i="10"/>
  <c r="P211" i="10"/>
  <c r="L211" i="10"/>
  <c r="J211" i="10"/>
  <c r="H211" i="10"/>
  <c r="U211" i="10"/>
  <c r="S211" i="10"/>
  <c r="Q211" i="10"/>
  <c r="O211" i="10"/>
  <c r="M211" i="10"/>
  <c r="K211" i="10"/>
  <c r="I211" i="10"/>
  <c r="T213" i="10"/>
  <c r="R213" i="10"/>
  <c r="P213" i="10"/>
  <c r="L213" i="10"/>
  <c r="J213" i="10"/>
  <c r="H213" i="10"/>
  <c r="U213" i="10"/>
  <c r="S213" i="10"/>
  <c r="Q213" i="10"/>
  <c r="O213" i="10"/>
  <c r="M213" i="10"/>
  <c r="K213" i="10"/>
  <c r="I213" i="10"/>
  <c r="T215" i="10"/>
  <c r="R215" i="10"/>
  <c r="P215" i="10"/>
  <c r="L215" i="10"/>
  <c r="J215" i="10"/>
  <c r="H215" i="10"/>
  <c r="U215" i="10"/>
  <c r="S215" i="10"/>
  <c r="Q215" i="10"/>
  <c r="O215" i="10"/>
  <c r="M215" i="10"/>
  <c r="K215" i="10"/>
  <c r="I215" i="10"/>
  <c r="T217" i="10"/>
  <c r="R217" i="10"/>
  <c r="P217" i="10"/>
  <c r="L217" i="10"/>
  <c r="J217" i="10"/>
  <c r="H217" i="10"/>
  <c r="U217" i="10"/>
  <c r="S217" i="10"/>
  <c r="Q217" i="10"/>
  <c r="O217" i="10"/>
  <c r="M217" i="10"/>
  <c r="K217" i="10"/>
  <c r="I217" i="10"/>
  <c r="T219" i="10"/>
  <c r="R219" i="10"/>
  <c r="P219" i="10"/>
  <c r="L219" i="10"/>
  <c r="J219" i="10"/>
  <c r="H219" i="10"/>
  <c r="U219" i="10"/>
  <c r="S219" i="10"/>
  <c r="Q219" i="10"/>
  <c r="O219" i="10"/>
  <c r="M219" i="10"/>
  <c r="K219" i="10"/>
  <c r="I219" i="10"/>
  <c r="T221" i="10"/>
  <c r="R221" i="10"/>
  <c r="P221" i="10"/>
  <c r="L221" i="10"/>
  <c r="J221" i="10"/>
  <c r="H221" i="10"/>
  <c r="U221" i="10"/>
  <c r="S221" i="10"/>
  <c r="Q221" i="10"/>
  <c r="O221" i="10"/>
  <c r="M221" i="10"/>
  <c r="K221" i="10"/>
  <c r="I221" i="10"/>
  <c r="T223" i="10"/>
  <c r="R223" i="10"/>
  <c r="P223" i="10"/>
  <c r="L223" i="10"/>
  <c r="J223" i="10"/>
  <c r="H223" i="10"/>
  <c r="U223" i="10"/>
  <c r="S223" i="10"/>
  <c r="Q223" i="10"/>
  <c r="O223" i="10"/>
  <c r="M223" i="10"/>
  <c r="K223" i="10"/>
  <c r="I223" i="10"/>
  <c r="T225" i="10"/>
  <c r="R225" i="10"/>
  <c r="P225" i="10"/>
  <c r="L225" i="10"/>
  <c r="J225" i="10"/>
  <c r="H225" i="10"/>
  <c r="U225" i="10"/>
  <c r="S225" i="10"/>
  <c r="Q225" i="10"/>
  <c r="O225" i="10"/>
  <c r="M225" i="10"/>
  <c r="K225" i="10"/>
  <c r="I225" i="10"/>
  <c r="T227" i="10"/>
  <c r="R227" i="10"/>
  <c r="P227" i="10"/>
  <c r="L227" i="10"/>
  <c r="J227" i="10"/>
  <c r="H227" i="10"/>
  <c r="U227" i="10"/>
  <c r="S227" i="10"/>
  <c r="Q227" i="10"/>
  <c r="O227" i="10"/>
  <c r="M227" i="10"/>
  <c r="K227" i="10"/>
  <c r="I227" i="10"/>
  <c r="T229" i="10"/>
  <c r="R229" i="10"/>
  <c r="P229" i="10"/>
  <c r="L229" i="10"/>
  <c r="J229" i="10"/>
  <c r="H229" i="10"/>
  <c r="U229" i="10"/>
  <c r="S229" i="10"/>
  <c r="Q229" i="10"/>
  <c r="O229" i="10"/>
  <c r="M229" i="10"/>
  <c r="K229" i="10"/>
  <c r="I229" i="10"/>
  <c r="T231" i="10"/>
  <c r="R231" i="10"/>
  <c r="P231" i="10"/>
  <c r="L231" i="10"/>
  <c r="J231" i="10"/>
  <c r="H231" i="10"/>
  <c r="U231" i="10"/>
  <c r="S231" i="10"/>
  <c r="Q231" i="10"/>
  <c r="O231" i="10"/>
  <c r="M231" i="10"/>
  <c r="K231" i="10"/>
  <c r="I231" i="10"/>
  <c r="T233" i="10"/>
  <c r="R233" i="10"/>
  <c r="P233" i="10"/>
  <c r="L233" i="10"/>
  <c r="J233" i="10"/>
  <c r="H233" i="10"/>
  <c r="U233" i="10"/>
  <c r="S233" i="10"/>
  <c r="Q233" i="10"/>
  <c r="O233" i="10"/>
  <c r="M233" i="10"/>
  <c r="K233" i="10"/>
  <c r="I233" i="10"/>
  <c r="T235" i="10"/>
  <c r="R235" i="10"/>
  <c r="P235" i="10"/>
  <c r="L235" i="10"/>
  <c r="J235" i="10"/>
  <c r="H235" i="10"/>
  <c r="U235" i="10"/>
  <c r="S235" i="10"/>
  <c r="Q235" i="10"/>
  <c r="O235" i="10"/>
  <c r="M235" i="10"/>
  <c r="K235" i="10"/>
  <c r="I235" i="10"/>
  <c r="T237" i="10"/>
  <c r="R237" i="10"/>
  <c r="P237" i="10"/>
  <c r="L237" i="10"/>
  <c r="J237" i="10"/>
  <c r="H237" i="10"/>
  <c r="U237" i="10"/>
  <c r="S237" i="10"/>
  <c r="Q237" i="10"/>
  <c r="O237" i="10"/>
  <c r="M237" i="10"/>
  <c r="K237" i="10"/>
  <c r="I237" i="10"/>
  <c r="T239" i="10"/>
  <c r="R239" i="10"/>
  <c r="P239" i="10"/>
  <c r="L239" i="10"/>
  <c r="J239" i="10"/>
  <c r="H239" i="10"/>
  <c r="U239" i="10"/>
  <c r="S239" i="10"/>
  <c r="Q239" i="10"/>
  <c r="O239" i="10"/>
  <c r="M239" i="10"/>
  <c r="K239" i="10"/>
  <c r="I239" i="10"/>
  <c r="T241" i="10"/>
  <c r="R241" i="10"/>
  <c r="P241" i="10"/>
  <c r="L241" i="10"/>
  <c r="J241" i="10"/>
  <c r="H241" i="10"/>
  <c r="U241" i="10"/>
  <c r="S241" i="10"/>
  <c r="Q241" i="10"/>
  <c r="O241" i="10"/>
  <c r="M241" i="10"/>
  <c r="K241" i="10"/>
  <c r="I241" i="10"/>
  <c r="T243" i="10"/>
  <c r="R243" i="10"/>
  <c r="P243" i="10"/>
  <c r="L243" i="10"/>
  <c r="J243" i="10"/>
  <c r="H243" i="10"/>
  <c r="U243" i="10"/>
  <c r="S243" i="10"/>
  <c r="Q243" i="10"/>
  <c r="O243" i="10"/>
  <c r="M243" i="10"/>
  <c r="K243" i="10"/>
  <c r="I243" i="10"/>
  <c r="T245" i="10"/>
  <c r="R245" i="10"/>
  <c r="P245" i="10"/>
  <c r="L245" i="10"/>
  <c r="J245" i="10"/>
  <c r="H245" i="10"/>
  <c r="U245" i="10"/>
  <c r="S245" i="10"/>
  <c r="Q245" i="10"/>
  <c r="O245" i="10"/>
  <c r="M245" i="10"/>
  <c r="K245" i="10"/>
  <c r="I245" i="10"/>
  <c r="T247" i="10"/>
  <c r="R247" i="10"/>
  <c r="P247" i="10"/>
  <c r="L247" i="10"/>
  <c r="J247" i="10"/>
  <c r="H247" i="10"/>
  <c r="U247" i="10"/>
  <c r="S247" i="10"/>
  <c r="Q247" i="10"/>
  <c r="O247" i="10"/>
  <c r="M247" i="10"/>
  <c r="K247" i="10"/>
  <c r="I247" i="10"/>
  <c r="T249" i="10"/>
  <c r="R249" i="10"/>
  <c r="P249" i="10"/>
  <c r="L249" i="10"/>
  <c r="J249" i="10"/>
  <c r="H249" i="10"/>
  <c r="U249" i="10"/>
  <c r="S249" i="10"/>
  <c r="Q249" i="10"/>
  <c r="O249" i="10"/>
  <c r="M249" i="10"/>
  <c r="K249" i="10"/>
  <c r="I249" i="10"/>
  <c r="T251" i="10"/>
  <c r="R251" i="10"/>
  <c r="P251" i="10"/>
  <c r="L251" i="10"/>
  <c r="J251" i="10"/>
  <c r="H251" i="10"/>
  <c r="U251" i="10"/>
  <c r="S251" i="10"/>
  <c r="Q251" i="10"/>
  <c r="O251" i="10"/>
  <c r="M251" i="10"/>
  <c r="K251" i="10"/>
  <c r="I251" i="10"/>
  <c r="T253" i="10"/>
  <c r="R253" i="10"/>
  <c r="P253" i="10"/>
  <c r="L253" i="10"/>
  <c r="J253" i="10"/>
  <c r="H253" i="10"/>
  <c r="U253" i="10"/>
  <c r="S253" i="10"/>
  <c r="Q253" i="10"/>
  <c r="O253" i="10"/>
  <c r="M253" i="10"/>
  <c r="K253" i="10"/>
  <c r="I253" i="10"/>
  <c r="T255" i="10"/>
  <c r="R255" i="10"/>
  <c r="P255" i="10"/>
  <c r="L255" i="10"/>
  <c r="J255" i="10"/>
  <c r="H255" i="10"/>
  <c r="U255" i="10"/>
  <c r="S255" i="10"/>
  <c r="Q255" i="10"/>
  <c r="O255" i="10"/>
  <c r="M255" i="10"/>
  <c r="K255" i="10"/>
  <c r="I255" i="10"/>
  <c r="T257" i="10"/>
  <c r="R257" i="10"/>
  <c r="P257" i="10"/>
  <c r="L257" i="10"/>
  <c r="J257" i="10"/>
  <c r="H257" i="10"/>
  <c r="U257" i="10"/>
  <c r="S257" i="10"/>
  <c r="Q257" i="10"/>
  <c r="O257" i="10"/>
  <c r="M257" i="10"/>
  <c r="K257" i="10"/>
  <c r="I257" i="10"/>
  <c r="T259" i="10"/>
  <c r="R259" i="10"/>
  <c r="P259" i="10"/>
  <c r="L259" i="10"/>
  <c r="J259" i="10"/>
  <c r="H259" i="10"/>
  <c r="U259" i="10"/>
  <c r="S259" i="10"/>
  <c r="Q259" i="10"/>
  <c r="O259" i="10"/>
  <c r="M259" i="10"/>
  <c r="K259" i="10"/>
  <c r="I259" i="10"/>
  <c r="T261" i="10"/>
  <c r="R261" i="10"/>
  <c r="P261" i="10"/>
  <c r="L261" i="10"/>
  <c r="J261" i="10"/>
  <c r="H261" i="10"/>
  <c r="U261" i="10"/>
  <c r="S261" i="10"/>
  <c r="Q261" i="10"/>
  <c r="O261" i="10"/>
  <c r="M261" i="10"/>
  <c r="K261" i="10"/>
  <c r="I261" i="10"/>
  <c r="T263" i="10"/>
  <c r="R263" i="10"/>
  <c r="P263" i="10"/>
  <c r="L263" i="10"/>
  <c r="J263" i="10"/>
  <c r="H263" i="10"/>
  <c r="U263" i="10"/>
  <c r="S263" i="10"/>
  <c r="Q263" i="10"/>
  <c r="O263" i="10"/>
  <c r="M263" i="10"/>
  <c r="K263" i="10"/>
  <c r="I263" i="10"/>
  <c r="T265" i="10"/>
  <c r="R265" i="10"/>
  <c r="P265" i="10"/>
  <c r="L265" i="10"/>
  <c r="J265" i="10"/>
  <c r="H265" i="10"/>
  <c r="U265" i="10"/>
  <c r="S265" i="10"/>
  <c r="Q265" i="10"/>
  <c r="O265" i="10"/>
  <c r="M265" i="10"/>
  <c r="K265" i="10"/>
  <c r="I265" i="10"/>
  <c r="T267" i="10"/>
  <c r="R267" i="10"/>
  <c r="P267" i="10"/>
  <c r="L267" i="10"/>
  <c r="J267" i="10"/>
  <c r="H267" i="10"/>
  <c r="U267" i="10"/>
  <c r="S267" i="10"/>
  <c r="Q267" i="10"/>
  <c r="O267" i="10"/>
  <c r="M267" i="10"/>
  <c r="K267" i="10"/>
  <c r="I267" i="10"/>
  <c r="T269" i="10"/>
  <c r="R269" i="10"/>
  <c r="P269" i="10"/>
  <c r="L269" i="10"/>
  <c r="J269" i="10"/>
  <c r="H269" i="10"/>
  <c r="U269" i="10"/>
  <c r="S269" i="10"/>
  <c r="Q269" i="10"/>
  <c r="O269" i="10"/>
  <c r="M269" i="10"/>
  <c r="K269" i="10"/>
  <c r="I269" i="10"/>
  <c r="T271" i="10"/>
  <c r="R271" i="10"/>
  <c r="P271" i="10"/>
  <c r="L271" i="10"/>
  <c r="J271" i="10"/>
  <c r="H271" i="10"/>
  <c r="U271" i="10"/>
  <c r="S271" i="10"/>
  <c r="Q271" i="10"/>
  <c r="O271" i="10"/>
  <c r="M271" i="10"/>
  <c r="K271" i="10"/>
  <c r="I271" i="10"/>
  <c r="T273" i="10"/>
  <c r="R273" i="10"/>
  <c r="P273" i="10"/>
  <c r="L273" i="10"/>
  <c r="J273" i="10"/>
  <c r="H273" i="10"/>
  <c r="U273" i="10"/>
  <c r="S273" i="10"/>
  <c r="Q273" i="10"/>
  <c r="O273" i="10"/>
  <c r="M273" i="10"/>
  <c r="K273" i="10"/>
  <c r="I273" i="10"/>
  <c r="T275" i="10"/>
  <c r="R275" i="10"/>
  <c r="P275" i="10"/>
  <c r="L275" i="10"/>
  <c r="J275" i="10"/>
  <c r="H275" i="10"/>
  <c r="U275" i="10"/>
  <c r="S275" i="10"/>
  <c r="Q275" i="10"/>
  <c r="O275" i="10"/>
  <c r="M275" i="10"/>
  <c r="K275" i="10"/>
  <c r="I275" i="10"/>
  <c r="T277" i="10"/>
  <c r="R277" i="10"/>
  <c r="P277" i="10"/>
  <c r="L277" i="10"/>
  <c r="J277" i="10"/>
  <c r="H277" i="10"/>
  <c r="U277" i="10"/>
  <c r="S277" i="10"/>
  <c r="Q277" i="10"/>
  <c r="O277" i="10"/>
  <c r="M277" i="10"/>
  <c r="K277" i="10"/>
  <c r="I277" i="10"/>
  <c r="T279" i="10"/>
  <c r="R279" i="10"/>
  <c r="P279" i="10"/>
  <c r="L279" i="10"/>
  <c r="J279" i="10"/>
  <c r="H279" i="10"/>
  <c r="U279" i="10"/>
  <c r="S279" i="10"/>
  <c r="Q279" i="10"/>
  <c r="O279" i="10"/>
  <c r="M279" i="10"/>
  <c r="K279" i="10"/>
  <c r="I279" i="10"/>
  <c r="T281" i="10"/>
  <c r="R281" i="10"/>
  <c r="P281" i="10"/>
  <c r="L281" i="10"/>
  <c r="J281" i="10"/>
  <c r="H281" i="10"/>
  <c r="U281" i="10"/>
  <c r="S281" i="10"/>
  <c r="Q281" i="10"/>
  <c r="O281" i="10"/>
  <c r="M281" i="10"/>
  <c r="K281" i="10"/>
  <c r="I281" i="10"/>
  <c r="T283" i="10"/>
  <c r="R283" i="10"/>
  <c r="P283" i="10"/>
  <c r="L283" i="10"/>
  <c r="J283" i="10"/>
  <c r="H283" i="10"/>
  <c r="U283" i="10"/>
  <c r="S283" i="10"/>
  <c r="Q283" i="10"/>
  <c r="O283" i="10"/>
  <c r="M283" i="10"/>
  <c r="K283" i="10"/>
  <c r="I283" i="10"/>
  <c r="T285" i="10"/>
  <c r="R285" i="10"/>
  <c r="P285" i="10"/>
  <c r="L285" i="10"/>
  <c r="J285" i="10"/>
  <c r="H285" i="10"/>
  <c r="U285" i="10"/>
  <c r="S285" i="10"/>
  <c r="Q285" i="10"/>
  <c r="O285" i="10"/>
  <c r="M285" i="10"/>
  <c r="K285" i="10"/>
  <c r="I285" i="10"/>
  <c r="T287" i="10"/>
  <c r="R287" i="10"/>
  <c r="P287" i="10"/>
  <c r="L287" i="10"/>
  <c r="J287" i="10"/>
  <c r="H287" i="10"/>
  <c r="U287" i="10"/>
  <c r="S287" i="10"/>
  <c r="Q287" i="10"/>
  <c r="O287" i="10"/>
  <c r="M287" i="10"/>
  <c r="K287" i="10"/>
  <c r="I287" i="10"/>
  <c r="T289" i="10"/>
  <c r="R289" i="10"/>
  <c r="P289" i="10"/>
  <c r="L289" i="10"/>
  <c r="J289" i="10"/>
  <c r="H289" i="10"/>
  <c r="U289" i="10"/>
  <c r="S289" i="10"/>
  <c r="Q289" i="10"/>
  <c r="O289" i="10"/>
  <c r="M289" i="10"/>
  <c r="K289" i="10"/>
  <c r="I289" i="10"/>
  <c r="T291" i="10"/>
  <c r="R291" i="10"/>
  <c r="P291" i="10"/>
  <c r="L291" i="10"/>
  <c r="J291" i="10"/>
  <c r="H291" i="10"/>
  <c r="U291" i="10"/>
  <c r="S291" i="10"/>
  <c r="Q291" i="10"/>
  <c r="O291" i="10"/>
  <c r="M291" i="10"/>
  <c r="K291" i="10"/>
  <c r="I291" i="10"/>
  <c r="T293" i="10"/>
  <c r="R293" i="10"/>
  <c r="P293" i="10"/>
  <c r="L293" i="10"/>
  <c r="J293" i="10"/>
  <c r="H293" i="10"/>
  <c r="U293" i="10"/>
  <c r="S293" i="10"/>
  <c r="Q293" i="10"/>
  <c r="O293" i="10"/>
  <c r="M293" i="10"/>
  <c r="K293" i="10"/>
  <c r="I293" i="10"/>
  <c r="T295" i="10"/>
  <c r="R295" i="10"/>
  <c r="P295" i="10"/>
  <c r="L295" i="10"/>
  <c r="J295" i="10"/>
  <c r="H295" i="10"/>
  <c r="U295" i="10"/>
  <c r="S295" i="10"/>
  <c r="Q295" i="10"/>
  <c r="O295" i="10"/>
  <c r="M295" i="10"/>
  <c r="K295" i="10"/>
  <c r="I295" i="10"/>
  <c r="T297" i="10"/>
  <c r="R297" i="10"/>
  <c r="P297" i="10"/>
  <c r="L297" i="10"/>
  <c r="J297" i="10"/>
  <c r="H297" i="10"/>
  <c r="U297" i="10"/>
  <c r="S297" i="10"/>
  <c r="Q297" i="10"/>
  <c r="O297" i="10"/>
  <c r="M297" i="10"/>
  <c r="K297" i="10"/>
  <c r="I297" i="10"/>
  <c r="T299" i="10"/>
  <c r="R299" i="10"/>
  <c r="P299" i="10"/>
  <c r="L299" i="10"/>
  <c r="J299" i="10"/>
  <c r="H299" i="10"/>
  <c r="U299" i="10"/>
  <c r="S299" i="10"/>
  <c r="Q299" i="10"/>
  <c r="O299" i="10"/>
  <c r="M299" i="10"/>
  <c r="K299" i="10"/>
  <c r="I299" i="10"/>
  <c r="T301" i="10"/>
  <c r="R301" i="10"/>
  <c r="P301" i="10"/>
  <c r="L301" i="10"/>
  <c r="J301" i="10"/>
  <c r="H301" i="10"/>
  <c r="U301" i="10"/>
  <c r="S301" i="10"/>
  <c r="Q301" i="10"/>
  <c r="O301" i="10"/>
  <c r="M301" i="10"/>
  <c r="K301" i="10"/>
  <c r="I301" i="10"/>
  <c r="T303" i="10"/>
  <c r="R303" i="10"/>
  <c r="P303" i="10"/>
  <c r="L303" i="10"/>
  <c r="J303" i="10"/>
  <c r="H303" i="10"/>
  <c r="U303" i="10"/>
  <c r="S303" i="10"/>
  <c r="Q303" i="10"/>
  <c r="O303" i="10"/>
  <c r="M303" i="10"/>
  <c r="K303" i="10"/>
  <c r="I303" i="10"/>
  <c r="AF26" i="10"/>
  <c r="AI26" i="10" s="1"/>
  <c r="AL26" i="10" s="1"/>
  <c r="AO26" i="10" s="1"/>
  <c r="AR26" i="10" s="1"/>
  <c r="AC27" i="10"/>
  <c r="C207" i="10"/>
  <c r="C211" i="10"/>
  <c r="C215" i="10"/>
  <c r="C219" i="10"/>
  <c r="C223" i="10"/>
  <c r="C227" i="10"/>
  <c r="C231" i="10"/>
  <c r="C235" i="10"/>
  <c r="C239" i="10"/>
  <c r="C243" i="10"/>
  <c r="C247" i="10"/>
  <c r="C251" i="10"/>
  <c r="C204" i="10"/>
  <c r="C205" i="10"/>
  <c r="C209" i="10"/>
  <c r="C213" i="10"/>
  <c r="C217" i="10"/>
  <c r="C221" i="10"/>
  <c r="C225" i="10"/>
  <c r="C229" i="10"/>
  <c r="C233" i="10"/>
  <c r="C237" i="10"/>
  <c r="C241" i="10"/>
  <c r="C245" i="10"/>
  <c r="C249" i="10"/>
  <c r="C265" i="10"/>
  <c r="D172" i="10"/>
  <c r="C168" i="10"/>
  <c r="C171" i="10"/>
  <c r="C173" i="10"/>
  <c r="C175" i="10"/>
  <c r="C178" i="10"/>
  <c r="C179" i="10"/>
  <c r="C182" i="10"/>
  <c r="C183" i="10"/>
  <c r="C186" i="10"/>
  <c r="C187" i="10"/>
  <c r="C188" i="10"/>
  <c r="C189" i="10"/>
  <c r="C190" i="10"/>
  <c r="C191" i="10"/>
  <c r="C192" i="10"/>
  <c r="C193" i="10"/>
  <c r="C194" i="10"/>
  <c r="C195" i="10"/>
  <c r="C196" i="10"/>
  <c r="C197" i="10"/>
  <c r="C198" i="10"/>
  <c r="C199" i="10"/>
  <c r="C200" i="10"/>
  <c r="C201" i="10"/>
  <c r="C202" i="10"/>
  <c r="C203" i="10"/>
  <c r="C267" i="10"/>
  <c r="D201" i="10"/>
  <c r="D170" i="10"/>
  <c r="D176" i="10"/>
  <c r="D177" i="10"/>
  <c r="D180" i="10"/>
  <c r="D168" i="10"/>
  <c r="C169" i="10"/>
  <c r="C170" i="10"/>
  <c r="D171" i="10"/>
  <c r="C172" i="10"/>
  <c r="D173" i="10"/>
  <c r="C174" i="10"/>
  <c r="D175" i="10"/>
  <c r="C176" i="10"/>
  <c r="C177" i="10"/>
  <c r="D178" i="10"/>
  <c r="D179" i="10"/>
  <c r="C180" i="10"/>
  <c r="C181" i="10"/>
  <c r="D182" i="10"/>
  <c r="D183" i="10"/>
  <c r="C184" i="10"/>
  <c r="C185" i="10"/>
  <c r="D186" i="10"/>
  <c r="D187" i="10"/>
  <c r="D188" i="10"/>
  <c r="D189" i="10"/>
  <c r="D190" i="10"/>
  <c r="D191" i="10"/>
  <c r="D192" i="10"/>
  <c r="D193" i="10"/>
  <c r="D194" i="10"/>
  <c r="D195" i="10"/>
  <c r="D196" i="10"/>
  <c r="D197" i="10"/>
  <c r="D198" i="10"/>
  <c r="D199" i="10"/>
  <c r="D200" i="10"/>
  <c r="D174" i="10"/>
  <c r="D181" i="10"/>
  <c r="D184" i="10"/>
  <c r="D185" i="10"/>
  <c r="D206" i="10"/>
  <c r="D208" i="10"/>
  <c r="D210" i="10"/>
  <c r="D212" i="10"/>
  <c r="D214" i="10"/>
  <c r="D216" i="10"/>
  <c r="D218" i="10"/>
  <c r="D220" i="10"/>
  <c r="D222" i="10"/>
  <c r="D224" i="10"/>
  <c r="D226" i="10"/>
  <c r="E226" i="10" s="1"/>
  <c r="X226" i="10" s="1"/>
  <c r="W226" i="10" s="1"/>
  <c r="G226" i="10" s="1"/>
  <c r="V226" i="10" s="1"/>
  <c r="D228" i="10"/>
  <c r="E228" i="10" s="1"/>
  <c r="X228" i="10" s="1"/>
  <c r="W228" i="10" s="1"/>
  <c r="G228" i="10" s="1"/>
  <c r="V228" i="10" s="1"/>
  <c r="D230" i="10"/>
  <c r="E230" i="10" s="1"/>
  <c r="X230" i="10" s="1"/>
  <c r="W230" i="10" s="1"/>
  <c r="G230" i="10" s="1"/>
  <c r="V230" i="10" s="1"/>
  <c r="D232" i="10"/>
  <c r="E232" i="10" s="1"/>
  <c r="X232" i="10" s="1"/>
  <c r="W232" i="10" s="1"/>
  <c r="G232" i="10" s="1"/>
  <c r="V232" i="10" s="1"/>
  <c r="D234" i="10"/>
  <c r="E234" i="10" s="1"/>
  <c r="X234" i="10" s="1"/>
  <c r="W234" i="10" s="1"/>
  <c r="G234" i="10" s="1"/>
  <c r="V234" i="10" s="1"/>
  <c r="D236" i="10"/>
  <c r="E236" i="10" s="1"/>
  <c r="X236" i="10" s="1"/>
  <c r="W236" i="10" s="1"/>
  <c r="G236" i="10" s="1"/>
  <c r="V236" i="10" s="1"/>
  <c r="D238" i="10"/>
  <c r="E238" i="10" s="1"/>
  <c r="X238" i="10" s="1"/>
  <c r="W238" i="10" s="1"/>
  <c r="G238" i="10" s="1"/>
  <c r="V238" i="10" s="1"/>
  <c r="D240" i="10"/>
  <c r="E240" i="10" s="1"/>
  <c r="X240" i="10" s="1"/>
  <c r="W240" i="10" s="1"/>
  <c r="G240" i="10" s="1"/>
  <c r="V240" i="10" s="1"/>
  <c r="D242" i="10"/>
  <c r="E242" i="10" s="1"/>
  <c r="X242" i="10" s="1"/>
  <c r="W242" i="10" s="1"/>
  <c r="G242" i="10" s="1"/>
  <c r="V242" i="10" s="1"/>
  <c r="D244" i="10"/>
  <c r="E244" i="10" s="1"/>
  <c r="X244" i="10" s="1"/>
  <c r="W244" i="10" s="1"/>
  <c r="G244" i="10" s="1"/>
  <c r="V244" i="10" s="1"/>
  <c r="D246" i="10"/>
  <c r="E246" i="10" s="1"/>
  <c r="X246" i="10" s="1"/>
  <c r="W246" i="10" s="1"/>
  <c r="G246" i="10" s="1"/>
  <c r="V246" i="10" s="1"/>
  <c r="D248" i="10"/>
  <c r="E248" i="10" s="1"/>
  <c r="X248" i="10" s="1"/>
  <c r="W248" i="10" s="1"/>
  <c r="G248" i="10" s="1"/>
  <c r="V248" i="10" s="1"/>
  <c r="D250" i="10"/>
  <c r="E250" i="10" s="1"/>
  <c r="X250" i="10" s="1"/>
  <c r="W250" i="10" s="1"/>
  <c r="G250" i="10" s="1"/>
  <c r="V250" i="10" s="1"/>
  <c r="D252" i="10"/>
  <c r="E252" i="10" s="1"/>
  <c r="X252" i="10" s="1"/>
  <c r="W252" i="10" s="1"/>
  <c r="G252" i="10" s="1"/>
  <c r="V252" i="10" s="1"/>
  <c r="C253" i="10"/>
  <c r="D253" i="10"/>
  <c r="E253" i="10" s="1"/>
  <c r="X253" i="10" s="1"/>
  <c r="W253" i="10" s="1"/>
  <c r="G253" i="10" s="1"/>
  <c r="V253" i="10" s="1"/>
  <c r="D202" i="10"/>
  <c r="D203" i="10"/>
  <c r="D204" i="10"/>
  <c r="D205" i="10"/>
  <c r="C206" i="10"/>
  <c r="D207" i="10"/>
  <c r="C208" i="10"/>
  <c r="D209" i="10"/>
  <c r="C210" i="10"/>
  <c r="D211" i="10"/>
  <c r="C212" i="10"/>
  <c r="D213" i="10"/>
  <c r="C214" i="10"/>
  <c r="D215" i="10"/>
  <c r="C216" i="10"/>
  <c r="D217" i="10"/>
  <c r="C218" i="10"/>
  <c r="D219" i="10"/>
  <c r="C220" i="10"/>
  <c r="D221" i="10"/>
  <c r="C222" i="10"/>
  <c r="D223" i="10"/>
  <c r="C224" i="10"/>
  <c r="D225" i="10"/>
  <c r="E225" i="10" s="1"/>
  <c r="X225" i="10" s="1"/>
  <c r="W225" i="10" s="1"/>
  <c r="G225" i="10" s="1"/>
  <c r="V225" i="10" s="1"/>
  <c r="C226" i="10"/>
  <c r="D227" i="10"/>
  <c r="E227" i="10" s="1"/>
  <c r="X227" i="10" s="1"/>
  <c r="W227" i="10" s="1"/>
  <c r="G227" i="10" s="1"/>
  <c r="V227" i="10" s="1"/>
  <c r="C228" i="10"/>
  <c r="D229" i="10"/>
  <c r="E229" i="10" s="1"/>
  <c r="X229" i="10" s="1"/>
  <c r="W229" i="10" s="1"/>
  <c r="G229" i="10" s="1"/>
  <c r="V229" i="10" s="1"/>
  <c r="C230" i="10"/>
  <c r="D231" i="10"/>
  <c r="E231" i="10" s="1"/>
  <c r="X231" i="10" s="1"/>
  <c r="W231" i="10" s="1"/>
  <c r="G231" i="10" s="1"/>
  <c r="V231" i="10" s="1"/>
  <c r="C232" i="10"/>
  <c r="D233" i="10"/>
  <c r="E233" i="10" s="1"/>
  <c r="X233" i="10" s="1"/>
  <c r="W233" i="10" s="1"/>
  <c r="G233" i="10" s="1"/>
  <c r="V233" i="10" s="1"/>
  <c r="C234" i="10"/>
  <c r="D235" i="10"/>
  <c r="E235" i="10" s="1"/>
  <c r="X235" i="10" s="1"/>
  <c r="W235" i="10" s="1"/>
  <c r="G235" i="10" s="1"/>
  <c r="V235" i="10" s="1"/>
  <c r="C236" i="10"/>
  <c r="D237" i="10"/>
  <c r="E237" i="10" s="1"/>
  <c r="X237" i="10" s="1"/>
  <c r="W237" i="10" s="1"/>
  <c r="G237" i="10" s="1"/>
  <c r="V237" i="10" s="1"/>
  <c r="C238" i="10"/>
  <c r="D239" i="10"/>
  <c r="E239" i="10" s="1"/>
  <c r="X239" i="10" s="1"/>
  <c r="W239" i="10" s="1"/>
  <c r="G239" i="10" s="1"/>
  <c r="V239" i="10" s="1"/>
  <c r="C240" i="10"/>
  <c r="D241" i="10"/>
  <c r="E241" i="10" s="1"/>
  <c r="X241" i="10" s="1"/>
  <c r="W241" i="10" s="1"/>
  <c r="G241" i="10" s="1"/>
  <c r="V241" i="10" s="1"/>
  <c r="C242" i="10"/>
  <c r="D243" i="10"/>
  <c r="E243" i="10" s="1"/>
  <c r="X243" i="10" s="1"/>
  <c r="W243" i="10" s="1"/>
  <c r="G243" i="10" s="1"/>
  <c r="V243" i="10" s="1"/>
  <c r="C244" i="10"/>
  <c r="D245" i="10"/>
  <c r="E245" i="10" s="1"/>
  <c r="X245" i="10" s="1"/>
  <c r="W245" i="10" s="1"/>
  <c r="G245" i="10" s="1"/>
  <c r="V245" i="10" s="1"/>
  <c r="C246" i="10"/>
  <c r="D247" i="10"/>
  <c r="E247" i="10" s="1"/>
  <c r="X247" i="10" s="1"/>
  <c r="W247" i="10" s="1"/>
  <c r="G247" i="10" s="1"/>
  <c r="V247" i="10" s="1"/>
  <c r="C248" i="10"/>
  <c r="D249" i="10"/>
  <c r="E249" i="10" s="1"/>
  <c r="X249" i="10" s="1"/>
  <c r="W249" i="10" s="1"/>
  <c r="G249" i="10" s="1"/>
  <c r="V249" i="10" s="1"/>
  <c r="C250" i="10"/>
  <c r="D251" i="10"/>
  <c r="E251" i="10" s="1"/>
  <c r="X251" i="10" s="1"/>
  <c r="W251" i="10" s="1"/>
  <c r="G251" i="10" s="1"/>
  <c r="V251" i="10" s="1"/>
  <c r="C252" i="10"/>
  <c r="C254" i="10"/>
  <c r="D255" i="10"/>
  <c r="E255" i="10" s="1"/>
  <c r="X255" i="10" s="1"/>
  <c r="W255" i="10" s="1"/>
  <c r="G255" i="10" s="1"/>
  <c r="V255" i="10" s="1"/>
  <c r="C256" i="10"/>
  <c r="D257" i="10"/>
  <c r="E257" i="10" s="1"/>
  <c r="X257" i="10" s="1"/>
  <c r="W257" i="10" s="1"/>
  <c r="G257" i="10" s="1"/>
  <c r="V257" i="10" s="1"/>
  <c r="C258" i="10"/>
  <c r="D259" i="10"/>
  <c r="E259" i="10" s="1"/>
  <c r="X259" i="10" s="1"/>
  <c r="W259" i="10" s="1"/>
  <c r="G259" i="10" s="1"/>
  <c r="V259" i="10" s="1"/>
  <c r="C260" i="10"/>
  <c r="D261" i="10"/>
  <c r="E261" i="10" s="1"/>
  <c r="X261" i="10" s="1"/>
  <c r="W261" i="10" s="1"/>
  <c r="G261" i="10" s="1"/>
  <c r="V261" i="10" s="1"/>
  <c r="C262" i="10"/>
  <c r="D263" i="10"/>
  <c r="E263" i="10" s="1"/>
  <c r="X263" i="10" s="1"/>
  <c r="W263" i="10" s="1"/>
  <c r="G263" i="10" s="1"/>
  <c r="V263" i="10" s="1"/>
  <c r="C264" i="10"/>
  <c r="D265" i="10"/>
  <c r="E265" i="10" s="1"/>
  <c r="X265" i="10" s="1"/>
  <c r="W265" i="10" s="1"/>
  <c r="G265" i="10" s="1"/>
  <c r="V265" i="10" s="1"/>
  <c r="C266" i="10"/>
  <c r="D267" i="10"/>
  <c r="E267" i="10" s="1"/>
  <c r="X267" i="10" s="1"/>
  <c r="W267" i="10" s="1"/>
  <c r="G267" i="10" s="1"/>
  <c r="V267" i="10" s="1"/>
  <c r="C268" i="10"/>
  <c r="D269" i="10"/>
  <c r="E269" i="10" s="1"/>
  <c r="X269" i="10" s="1"/>
  <c r="W269" i="10" s="1"/>
  <c r="G269" i="10" s="1"/>
  <c r="V269" i="10" s="1"/>
  <c r="C270" i="10"/>
  <c r="D271" i="10"/>
  <c r="E271" i="10" s="1"/>
  <c r="X271" i="10" s="1"/>
  <c r="W271" i="10" s="1"/>
  <c r="G271" i="10" s="1"/>
  <c r="V271" i="10" s="1"/>
  <c r="C272" i="10"/>
  <c r="D273" i="10"/>
  <c r="E273" i="10" s="1"/>
  <c r="X273" i="10" s="1"/>
  <c r="W273" i="10" s="1"/>
  <c r="G273" i="10" s="1"/>
  <c r="V273" i="10" s="1"/>
  <c r="C274" i="10"/>
  <c r="D275" i="10"/>
  <c r="E275" i="10" s="1"/>
  <c r="X275" i="10" s="1"/>
  <c r="W275" i="10" s="1"/>
  <c r="G275" i="10" s="1"/>
  <c r="V275" i="10" s="1"/>
  <c r="C276" i="10"/>
  <c r="D277" i="10"/>
  <c r="E277" i="10" s="1"/>
  <c r="X277" i="10" s="1"/>
  <c r="W277" i="10" s="1"/>
  <c r="G277" i="10" s="1"/>
  <c r="V277" i="10" s="1"/>
  <c r="C278" i="10"/>
  <c r="D279" i="10"/>
  <c r="E279" i="10" s="1"/>
  <c r="X279" i="10" s="1"/>
  <c r="W279" i="10" s="1"/>
  <c r="G279" i="10" s="1"/>
  <c r="V279" i="10" s="1"/>
  <c r="C280" i="10"/>
  <c r="D281" i="10"/>
  <c r="E281" i="10" s="1"/>
  <c r="X281" i="10" s="1"/>
  <c r="W281" i="10" s="1"/>
  <c r="G281" i="10" s="1"/>
  <c r="V281" i="10" s="1"/>
  <c r="C282" i="10"/>
  <c r="D283" i="10"/>
  <c r="E283" i="10" s="1"/>
  <c r="X283" i="10" s="1"/>
  <c r="W283" i="10" s="1"/>
  <c r="G283" i="10" s="1"/>
  <c r="V283" i="10" s="1"/>
  <c r="C284" i="10"/>
  <c r="D285" i="10"/>
  <c r="E285" i="10" s="1"/>
  <c r="X285" i="10" s="1"/>
  <c r="W285" i="10" s="1"/>
  <c r="G285" i="10" s="1"/>
  <c r="V285" i="10" s="1"/>
  <c r="C286" i="10"/>
  <c r="D287" i="10"/>
  <c r="E287" i="10" s="1"/>
  <c r="X287" i="10" s="1"/>
  <c r="W287" i="10" s="1"/>
  <c r="G287" i="10" s="1"/>
  <c r="V287" i="10" s="1"/>
  <c r="C288" i="10"/>
  <c r="D289" i="10"/>
  <c r="E289" i="10" s="1"/>
  <c r="X289" i="10" s="1"/>
  <c r="W289" i="10" s="1"/>
  <c r="G289" i="10" s="1"/>
  <c r="V289" i="10" s="1"/>
  <c r="C290" i="10"/>
  <c r="D291" i="10"/>
  <c r="E291" i="10" s="1"/>
  <c r="X291" i="10" s="1"/>
  <c r="W291" i="10" s="1"/>
  <c r="G291" i="10" s="1"/>
  <c r="V291" i="10" s="1"/>
  <c r="C292" i="10"/>
  <c r="D293" i="10"/>
  <c r="E293" i="10" s="1"/>
  <c r="X293" i="10" s="1"/>
  <c r="W293" i="10" s="1"/>
  <c r="G293" i="10" s="1"/>
  <c r="V293" i="10" s="1"/>
  <c r="C294" i="10"/>
  <c r="D295" i="10"/>
  <c r="E295" i="10" s="1"/>
  <c r="X295" i="10" s="1"/>
  <c r="W295" i="10" s="1"/>
  <c r="G295" i="10" s="1"/>
  <c r="V295" i="10" s="1"/>
  <c r="C296" i="10"/>
  <c r="D297" i="10"/>
  <c r="E297" i="10" s="1"/>
  <c r="X297" i="10" s="1"/>
  <c r="W297" i="10" s="1"/>
  <c r="G297" i="10" s="1"/>
  <c r="V297" i="10" s="1"/>
  <c r="C298" i="10"/>
  <c r="D299" i="10"/>
  <c r="E299" i="10" s="1"/>
  <c r="X299" i="10" s="1"/>
  <c r="W299" i="10" s="1"/>
  <c r="G299" i="10" s="1"/>
  <c r="V299" i="10" s="1"/>
  <c r="C300" i="10"/>
  <c r="D301" i="10"/>
  <c r="E301" i="10" s="1"/>
  <c r="X301" i="10" s="1"/>
  <c r="W301" i="10" s="1"/>
  <c r="G301" i="10" s="1"/>
  <c r="V301" i="10" s="1"/>
  <c r="C302" i="10"/>
  <c r="D303" i="10"/>
  <c r="E303" i="10" s="1"/>
  <c r="X303" i="10" s="1"/>
  <c r="W303" i="10" s="1"/>
  <c r="G303" i="10" s="1"/>
  <c r="V303" i="10" s="1"/>
  <c r="C304" i="10"/>
  <c r="D304" i="10"/>
  <c r="E304" i="10" s="1"/>
  <c r="X304" i="10" s="1"/>
  <c r="W304" i="10" s="1"/>
  <c r="G304" i="10" s="1"/>
  <c r="V304" i="10" s="1"/>
  <c r="D254" i="10"/>
  <c r="E254" i="10" s="1"/>
  <c r="X254" i="10" s="1"/>
  <c r="W254" i="10" s="1"/>
  <c r="G254" i="10" s="1"/>
  <c r="V254" i="10" s="1"/>
  <c r="C255" i="10"/>
  <c r="D256" i="10"/>
  <c r="E256" i="10" s="1"/>
  <c r="X256" i="10" s="1"/>
  <c r="W256" i="10" s="1"/>
  <c r="G256" i="10" s="1"/>
  <c r="V256" i="10" s="1"/>
  <c r="C257" i="10"/>
  <c r="D258" i="10"/>
  <c r="E258" i="10" s="1"/>
  <c r="X258" i="10" s="1"/>
  <c r="W258" i="10" s="1"/>
  <c r="G258" i="10" s="1"/>
  <c r="V258" i="10" s="1"/>
  <c r="C259" i="10"/>
  <c r="D260" i="10"/>
  <c r="E260" i="10" s="1"/>
  <c r="X260" i="10" s="1"/>
  <c r="W260" i="10" s="1"/>
  <c r="G260" i="10" s="1"/>
  <c r="V260" i="10" s="1"/>
  <c r="C261" i="10"/>
  <c r="D262" i="10"/>
  <c r="E262" i="10" s="1"/>
  <c r="X262" i="10" s="1"/>
  <c r="W262" i="10" s="1"/>
  <c r="G262" i="10" s="1"/>
  <c r="V262" i="10" s="1"/>
  <c r="C263" i="10"/>
  <c r="D264" i="10"/>
  <c r="E264" i="10" s="1"/>
  <c r="X264" i="10" s="1"/>
  <c r="W264" i="10" s="1"/>
  <c r="G264" i="10" s="1"/>
  <c r="V264" i="10" s="1"/>
  <c r="D266" i="10"/>
  <c r="E266" i="10" s="1"/>
  <c r="X266" i="10" s="1"/>
  <c r="W266" i="10" s="1"/>
  <c r="G266" i="10" s="1"/>
  <c r="V266" i="10" s="1"/>
  <c r="D268" i="10"/>
  <c r="E268" i="10" s="1"/>
  <c r="X268" i="10" s="1"/>
  <c r="W268" i="10" s="1"/>
  <c r="G268" i="10" s="1"/>
  <c r="V268" i="10" s="1"/>
  <c r="C269" i="10"/>
  <c r="D270" i="10"/>
  <c r="E270" i="10" s="1"/>
  <c r="X270" i="10" s="1"/>
  <c r="W270" i="10" s="1"/>
  <c r="G270" i="10" s="1"/>
  <c r="V270" i="10" s="1"/>
  <c r="C271" i="10"/>
  <c r="D272" i="10"/>
  <c r="E272" i="10" s="1"/>
  <c r="X272" i="10" s="1"/>
  <c r="W272" i="10" s="1"/>
  <c r="G272" i="10" s="1"/>
  <c r="V272" i="10" s="1"/>
  <c r="C273" i="10"/>
  <c r="D274" i="10"/>
  <c r="E274" i="10" s="1"/>
  <c r="X274" i="10" s="1"/>
  <c r="W274" i="10" s="1"/>
  <c r="G274" i="10" s="1"/>
  <c r="V274" i="10" s="1"/>
  <c r="C275" i="10"/>
  <c r="D276" i="10"/>
  <c r="E276" i="10" s="1"/>
  <c r="X276" i="10" s="1"/>
  <c r="W276" i="10" s="1"/>
  <c r="G276" i="10" s="1"/>
  <c r="V276" i="10" s="1"/>
  <c r="C277" i="10"/>
  <c r="D278" i="10"/>
  <c r="E278" i="10" s="1"/>
  <c r="X278" i="10" s="1"/>
  <c r="W278" i="10" s="1"/>
  <c r="G278" i="10" s="1"/>
  <c r="V278" i="10" s="1"/>
  <c r="C279" i="10"/>
  <c r="D280" i="10"/>
  <c r="E280" i="10" s="1"/>
  <c r="X280" i="10" s="1"/>
  <c r="W280" i="10" s="1"/>
  <c r="G280" i="10" s="1"/>
  <c r="V280" i="10" s="1"/>
  <c r="C281" i="10"/>
  <c r="D282" i="10"/>
  <c r="E282" i="10" s="1"/>
  <c r="X282" i="10" s="1"/>
  <c r="W282" i="10" s="1"/>
  <c r="G282" i="10" s="1"/>
  <c r="V282" i="10" s="1"/>
  <c r="C283" i="10"/>
  <c r="D284" i="10"/>
  <c r="E284" i="10" s="1"/>
  <c r="X284" i="10" s="1"/>
  <c r="W284" i="10" s="1"/>
  <c r="G284" i="10" s="1"/>
  <c r="V284" i="10" s="1"/>
  <c r="C285" i="10"/>
  <c r="D286" i="10"/>
  <c r="E286" i="10" s="1"/>
  <c r="X286" i="10" s="1"/>
  <c r="W286" i="10" s="1"/>
  <c r="G286" i="10" s="1"/>
  <c r="V286" i="10" s="1"/>
  <c r="C287" i="10"/>
  <c r="D288" i="10"/>
  <c r="E288" i="10" s="1"/>
  <c r="X288" i="10" s="1"/>
  <c r="W288" i="10" s="1"/>
  <c r="G288" i="10" s="1"/>
  <c r="V288" i="10" s="1"/>
  <c r="C289" i="10"/>
  <c r="D290" i="10"/>
  <c r="E290" i="10" s="1"/>
  <c r="X290" i="10" s="1"/>
  <c r="W290" i="10" s="1"/>
  <c r="G290" i="10" s="1"/>
  <c r="V290" i="10" s="1"/>
  <c r="C291" i="10"/>
  <c r="D292" i="10"/>
  <c r="E292" i="10" s="1"/>
  <c r="X292" i="10" s="1"/>
  <c r="W292" i="10" s="1"/>
  <c r="G292" i="10" s="1"/>
  <c r="V292" i="10" s="1"/>
  <c r="C293" i="10"/>
  <c r="D294" i="10"/>
  <c r="E294" i="10" s="1"/>
  <c r="X294" i="10" s="1"/>
  <c r="W294" i="10" s="1"/>
  <c r="G294" i="10" s="1"/>
  <c r="V294" i="10" s="1"/>
  <c r="C295" i="10"/>
  <c r="D296" i="10"/>
  <c r="E296" i="10" s="1"/>
  <c r="X296" i="10" s="1"/>
  <c r="W296" i="10" s="1"/>
  <c r="G296" i="10" s="1"/>
  <c r="V296" i="10" s="1"/>
  <c r="C297" i="10"/>
  <c r="D298" i="10"/>
  <c r="E298" i="10" s="1"/>
  <c r="X298" i="10" s="1"/>
  <c r="W298" i="10" s="1"/>
  <c r="G298" i="10" s="1"/>
  <c r="V298" i="10" s="1"/>
  <c r="C299" i="10"/>
  <c r="D300" i="10"/>
  <c r="E300" i="10" s="1"/>
  <c r="X300" i="10" s="1"/>
  <c r="W300" i="10" s="1"/>
  <c r="G300" i="10" s="1"/>
  <c r="V300" i="10" s="1"/>
  <c r="C301" i="10"/>
  <c r="D302" i="10"/>
  <c r="E302" i="10" s="1"/>
  <c r="X302" i="10" s="1"/>
  <c r="W302" i="10" s="1"/>
  <c r="G302" i="10" s="1"/>
  <c r="V302" i="10" s="1"/>
  <c r="C303" i="10"/>
  <c r="B167" i="10"/>
  <c r="N167" i="10" s="1"/>
  <c r="B166" i="10"/>
  <c r="N166" i="10" s="1"/>
  <c r="B165" i="10"/>
  <c r="N165" i="10" s="1"/>
  <c r="B164" i="10"/>
  <c r="N164" i="10" s="1"/>
  <c r="B163" i="10"/>
  <c r="N163" i="10" s="1"/>
  <c r="B162" i="10"/>
  <c r="N162" i="10" s="1"/>
  <c r="B161" i="10"/>
  <c r="N161" i="10" s="1"/>
  <c r="B160" i="10"/>
  <c r="N160" i="10" s="1"/>
  <c r="B159" i="10"/>
  <c r="N159" i="10" s="1"/>
  <c r="B158" i="10"/>
  <c r="N158" i="10" s="1"/>
  <c r="B157" i="10"/>
  <c r="N157" i="10" s="1"/>
  <c r="B156" i="10"/>
  <c r="N156" i="10" s="1"/>
  <c r="B155" i="10"/>
  <c r="N155" i="10" s="1"/>
  <c r="B154" i="10"/>
  <c r="N154" i="10" s="1"/>
  <c r="B153" i="10"/>
  <c r="N153" i="10" s="1"/>
  <c r="B152" i="10"/>
  <c r="N152" i="10" s="1"/>
  <c r="B151" i="10"/>
  <c r="N151" i="10" s="1"/>
  <c r="B150" i="10"/>
  <c r="N150" i="10" s="1"/>
  <c r="B149" i="10"/>
  <c r="N149" i="10" s="1"/>
  <c r="B148" i="10"/>
  <c r="N148" i="10" s="1"/>
  <c r="B147" i="10"/>
  <c r="N147" i="10" s="1"/>
  <c r="B146" i="10"/>
  <c r="N146" i="10" s="1"/>
  <c r="B145" i="10"/>
  <c r="N145" i="10" s="1"/>
  <c r="B144" i="10"/>
  <c r="N144" i="10" s="1"/>
  <c r="B143" i="10"/>
  <c r="N143" i="10" s="1"/>
  <c r="B142" i="10"/>
  <c r="N142" i="10" s="1"/>
  <c r="B141" i="10"/>
  <c r="N141" i="10" s="1"/>
  <c r="B140" i="10"/>
  <c r="N140" i="10" s="1"/>
  <c r="B139" i="10"/>
  <c r="N139" i="10" s="1"/>
  <c r="B138" i="10"/>
  <c r="N138" i="10" s="1"/>
  <c r="B137" i="10"/>
  <c r="N137" i="10" s="1"/>
  <c r="B136" i="10"/>
  <c r="N136" i="10" s="1"/>
  <c r="B135" i="10"/>
  <c r="N135" i="10" s="1"/>
  <c r="B134" i="10"/>
  <c r="N134" i="10" s="1"/>
  <c r="B133" i="10"/>
  <c r="N133" i="10" s="1"/>
  <c r="B132" i="10"/>
  <c r="N132" i="10" s="1"/>
  <c r="B131" i="10"/>
  <c r="N131" i="10" s="1"/>
  <c r="B130" i="10"/>
  <c r="N130" i="10" s="1"/>
  <c r="B129" i="10"/>
  <c r="N129" i="10" s="1"/>
  <c r="B128" i="10"/>
  <c r="N128" i="10" s="1"/>
  <c r="T129" i="10" l="1"/>
  <c r="R129" i="10"/>
  <c r="P129" i="10"/>
  <c r="L129" i="10"/>
  <c r="J129" i="10"/>
  <c r="H129" i="10"/>
  <c r="U129" i="10"/>
  <c r="S129" i="10"/>
  <c r="Q129" i="10"/>
  <c r="O129" i="10"/>
  <c r="M129" i="10"/>
  <c r="K129" i="10"/>
  <c r="I129" i="10"/>
  <c r="T131" i="10"/>
  <c r="R131" i="10"/>
  <c r="P131" i="10"/>
  <c r="L131" i="10"/>
  <c r="J131" i="10"/>
  <c r="H131" i="10"/>
  <c r="U131" i="10"/>
  <c r="S131" i="10"/>
  <c r="Q131" i="10"/>
  <c r="O131" i="10"/>
  <c r="M131" i="10"/>
  <c r="K131" i="10"/>
  <c r="I131" i="10"/>
  <c r="T135" i="10"/>
  <c r="R135" i="10"/>
  <c r="P135" i="10"/>
  <c r="L135" i="10"/>
  <c r="J135" i="10"/>
  <c r="H135" i="10"/>
  <c r="U135" i="10"/>
  <c r="S135" i="10"/>
  <c r="Q135" i="10"/>
  <c r="O135" i="10"/>
  <c r="M135" i="10"/>
  <c r="K135" i="10"/>
  <c r="I135" i="10"/>
  <c r="T139" i="10"/>
  <c r="R139" i="10"/>
  <c r="P139" i="10"/>
  <c r="L139" i="10"/>
  <c r="J139" i="10"/>
  <c r="H139" i="10"/>
  <c r="U139" i="10"/>
  <c r="S139" i="10"/>
  <c r="Q139" i="10"/>
  <c r="O139" i="10"/>
  <c r="M139" i="10"/>
  <c r="K139" i="10"/>
  <c r="I139" i="10"/>
  <c r="T143" i="10"/>
  <c r="R143" i="10"/>
  <c r="P143" i="10"/>
  <c r="L143" i="10"/>
  <c r="J143" i="10"/>
  <c r="H143" i="10"/>
  <c r="U143" i="10"/>
  <c r="S143" i="10"/>
  <c r="Q143" i="10"/>
  <c r="O143" i="10"/>
  <c r="M143" i="10"/>
  <c r="K143" i="10"/>
  <c r="I143" i="10"/>
  <c r="T147" i="10"/>
  <c r="R147" i="10"/>
  <c r="P147" i="10"/>
  <c r="L147" i="10"/>
  <c r="J147" i="10"/>
  <c r="H147" i="10"/>
  <c r="U147" i="10"/>
  <c r="S147" i="10"/>
  <c r="Q147" i="10"/>
  <c r="O147" i="10"/>
  <c r="M147" i="10"/>
  <c r="K147" i="10"/>
  <c r="I147" i="10"/>
  <c r="T151" i="10"/>
  <c r="R151" i="10"/>
  <c r="P151" i="10"/>
  <c r="L151" i="10"/>
  <c r="J151" i="10"/>
  <c r="H151" i="10"/>
  <c r="U151" i="10"/>
  <c r="S151" i="10"/>
  <c r="Q151" i="10"/>
  <c r="O151" i="10"/>
  <c r="M151" i="10"/>
  <c r="K151" i="10"/>
  <c r="I151" i="10"/>
  <c r="T155" i="10"/>
  <c r="R155" i="10"/>
  <c r="P155" i="10"/>
  <c r="L155" i="10"/>
  <c r="J155" i="10"/>
  <c r="H155" i="10"/>
  <c r="U155" i="10"/>
  <c r="S155" i="10"/>
  <c r="Q155" i="10"/>
  <c r="O155" i="10"/>
  <c r="M155" i="10"/>
  <c r="K155" i="10"/>
  <c r="I155" i="10"/>
  <c r="T159" i="10"/>
  <c r="R159" i="10"/>
  <c r="P159" i="10"/>
  <c r="L159" i="10"/>
  <c r="J159" i="10"/>
  <c r="H159" i="10"/>
  <c r="U159" i="10"/>
  <c r="S159" i="10"/>
  <c r="Q159" i="10"/>
  <c r="O159" i="10"/>
  <c r="M159" i="10"/>
  <c r="K159" i="10"/>
  <c r="I159" i="10"/>
  <c r="T163" i="10"/>
  <c r="R163" i="10"/>
  <c r="P163" i="10"/>
  <c r="L163" i="10"/>
  <c r="J163" i="10"/>
  <c r="H163" i="10"/>
  <c r="U163" i="10"/>
  <c r="S163" i="10"/>
  <c r="Q163" i="10"/>
  <c r="O163" i="10"/>
  <c r="M163" i="10"/>
  <c r="K163" i="10"/>
  <c r="I163" i="10"/>
  <c r="T167" i="10"/>
  <c r="R167" i="10"/>
  <c r="P167" i="10"/>
  <c r="L167" i="10"/>
  <c r="J167" i="10"/>
  <c r="H167" i="10"/>
  <c r="U167" i="10"/>
  <c r="S167" i="10"/>
  <c r="Q167" i="10"/>
  <c r="O167" i="10"/>
  <c r="M167" i="10"/>
  <c r="K167" i="10"/>
  <c r="I167" i="10"/>
  <c r="T128" i="10"/>
  <c r="R128" i="10"/>
  <c r="P128" i="10"/>
  <c r="L128" i="10"/>
  <c r="J128" i="10"/>
  <c r="H128" i="10"/>
  <c r="U128" i="10"/>
  <c r="S128" i="10"/>
  <c r="Q128" i="10"/>
  <c r="O128" i="10"/>
  <c r="M128" i="10"/>
  <c r="K128" i="10"/>
  <c r="I128" i="10"/>
  <c r="T130" i="10"/>
  <c r="R130" i="10"/>
  <c r="P130" i="10"/>
  <c r="L130" i="10"/>
  <c r="J130" i="10"/>
  <c r="H130" i="10"/>
  <c r="U130" i="10"/>
  <c r="S130" i="10"/>
  <c r="Q130" i="10"/>
  <c r="O130" i="10"/>
  <c r="M130" i="10"/>
  <c r="K130" i="10"/>
  <c r="I130" i="10"/>
  <c r="T132" i="10"/>
  <c r="R132" i="10"/>
  <c r="P132" i="10"/>
  <c r="L132" i="10"/>
  <c r="J132" i="10"/>
  <c r="H132" i="10"/>
  <c r="U132" i="10"/>
  <c r="S132" i="10"/>
  <c r="Q132" i="10"/>
  <c r="O132" i="10"/>
  <c r="M132" i="10"/>
  <c r="K132" i="10"/>
  <c r="I132" i="10"/>
  <c r="T134" i="10"/>
  <c r="R134" i="10"/>
  <c r="P134" i="10"/>
  <c r="L134" i="10"/>
  <c r="J134" i="10"/>
  <c r="H134" i="10"/>
  <c r="U134" i="10"/>
  <c r="S134" i="10"/>
  <c r="Q134" i="10"/>
  <c r="O134" i="10"/>
  <c r="M134" i="10"/>
  <c r="K134" i="10"/>
  <c r="I134" i="10"/>
  <c r="T136" i="10"/>
  <c r="R136" i="10"/>
  <c r="P136" i="10"/>
  <c r="L136" i="10"/>
  <c r="J136" i="10"/>
  <c r="H136" i="10"/>
  <c r="U136" i="10"/>
  <c r="S136" i="10"/>
  <c r="Q136" i="10"/>
  <c r="O136" i="10"/>
  <c r="M136" i="10"/>
  <c r="K136" i="10"/>
  <c r="I136" i="10"/>
  <c r="T138" i="10"/>
  <c r="R138" i="10"/>
  <c r="P138" i="10"/>
  <c r="L138" i="10"/>
  <c r="J138" i="10"/>
  <c r="H138" i="10"/>
  <c r="U138" i="10"/>
  <c r="S138" i="10"/>
  <c r="Q138" i="10"/>
  <c r="O138" i="10"/>
  <c r="M138" i="10"/>
  <c r="K138" i="10"/>
  <c r="I138" i="10"/>
  <c r="T140" i="10"/>
  <c r="R140" i="10"/>
  <c r="P140" i="10"/>
  <c r="L140" i="10"/>
  <c r="J140" i="10"/>
  <c r="H140" i="10"/>
  <c r="U140" i="10"/>
  <c r="S140" i="10"/>
  <c r="Q140" i="10"/>
  <c r="O140" i="10"/>
  <c r="M140" i="10"/>
  <c r="K140" i="10"/>
  <c r="I140" i="10"/>
  <c r="T142" i="10"/>
  <c r="R142" i="10"/>
  <c r="P142" i="10"/>
  <c r="L142" i="10"/>
  <c r="J142" i="10"/>
  <c r="H142" i="10"/>
  <c r="U142" i="10"/>
  <c r="S142" i="10"/>
  <c r="Q142" i="10"/>
  <c r="O142" i="10"/>
  <c r="M142" i="10"/>
  <c r="K142" i="10"/>
  <c r="I142" i="10"/>
  <c r="T144" i="10"/>
  <c r="R144" i="10"/>
  <c r="P144" i="10"/>
  <c r="L144" i="10"/>
  <c r="J144" i="10"/>
  <c r="H144" i="10"/>
  <c r="U144" i="10"/>
  <c r="S144" i="10"/>
  <c r="Q144" i="10"/>
  <c r="O144" i="10"/>
  <c r="M144" i="10"/>
  <c r="K144" i="10"/>
  <c r="I144" i="10"/>
  <c r="T146" i="10"/>
  <c r="R146" i="10"/>
  <c r="P146" i="10"/>
  <c r="L146" i="10"/>
  <c r="J146" i="10"/>
  <c r="H146" i="10"/>
  <c r="U146" i="10"/>
  <c r="S146" i="10"/>
  <c r="Q146" i="10"/>
  <c r="O146" i="10"/>
  <c r="M146" i="10"/>
  <c r="K146" i="10"/>
  <c r="I146" i="10"/>
  <c r="T148" i="10"/>
  <c r="R148" i="10"/>
  <c r="P148" i="10"/>
  <c r="L148" i="10"/>
  <c r="J148" i="10"/>
  <c r="H148" i="10"/>
  <c r="U148" i="10"/>
  <c r="S148" i="10"/>
  <c r="Q148" i="10"/>
  <c r="O148" i="10"/>
  <c r="M148" i="10"/>
  <c r="K148" i="10"/>
  <c r="I148" i="10"/>
  <c r="T150" i="10"/>
  <c r="R150" i="10"/>
  <c r="P150" i="10"/>
  <c r="L150" i="10"/>
  <c r="J150" i="10"/>
  <c r="H150" i="10"/>
  <c r="U150" i="10"/>
  <c r="S150" i="10"/>
  <c r="Q150" i="10"/>
  <c r="O150" i="10"/>
  <c r="M150" i="10"/>
  <c r="K150" i="10"/>
  <c r="I150" i="10"/>
  <c r="T152" i="10"/>
  <c r="R152" i="10"/>
  <c r="P152" i="10"/>
  <c r="L152" i="10"/>
  <c r="J152" i="10"/>
  <c r="H152" i="10"/>
  <c r="U152" i="10"/>
  <c r="S152" i="10"/>
  <c r="Q152" i="10"/>
  <c r="O152" i="10"/>
  <c r="M152" i="10"/>
  <c r="K152" i="10"/>
  <c r="I152" i="10"/>
  <c r="T154" i="10"/>
  <c r="R154" i="10"/>
  <c r="P154" i="10"/>
  <c r="L154" i="10"/>
  <c r="J154" i="10"/>
  <c r="H154" i="10"/>
  <c r="U154" i="10"/>
  <c r="S154" i="10"/>
  <c r="Q154" i="10"/>
  <c r="O154" i="10"/>
  <c r="M154" i="10"/>
  <c r="K154" i="10"/>
  <c r="I154" i="10"/>
  <c r="T156" i="10"/>
  <c r="R156" i="10"/>
  <c r="P156" i="10"/>
  <c r="L156" i="10"/>
  <c r="J156" i="10"/>
  <c r="H156" i="10"/>
  <c r="U156" i="10"/>
  <c r="S156" i="10"/>
  <c r="Q156" i="10"/>
  <c r="O156" i="10"/>
  <c r="M156" i="10"/>
  <c r="K156" i="10"/>
  <c r="I156" i="10"/>
  <c r="T158" i="10"/>
  <c r="R158" i="10"/>
  <c r="P158" i="10"/>
  <c r="L158" i="10"/>
  <c r="J158" i="10"/>
  <c r="H158" i="10"/>
  <c r="U158" i="10"/>
  <c r="S158" i="10"/>
  <c r="Q158" i="10"/>
  <c r="O158" i="10"/>
  <c r="M158" i="10"/>
  <c r="K158" i="10"/>
  <c r="I158" i="10"/>
  <c r="T160" i="10"/>
  <c r="R160" i="10"/>
  <c r="P160" i="10"/>
  <c r="L160" i="10"/>
  <c r="J160" i="10"/>
  <c r="H160" i="10"/>
  <c r="U160" i="10"/>
  <c r="S160" i="10"/>
  <c r="Q160" i="10"/>
  <c r="O160" i="10"/>
  <c r="M160" i="10"/>
  <c r="K160" i="10"/>
  <c r="I160" i="10"/>
  <c r="T162" i="10"/>
  <c r="R162" i="10"/>
  <c r="P162" i="10"/>
  <c r="L162" i="10"/>
  <c r="J162" i="10"/>
  <c r="H162" i="10"/>
  <c r="U162" i="10"/>
  <c r="S162" i="10"/>
  <c r="Q162" i="10"/>
  <c r="O162" i="10"/>
  <c r="M162" i="10"/>
  <c r="K162" i="10"/>
  <c r="I162" i="10"/>
  <c r="T164" i="10"/>
  <c r="R164" i="10"/>
  <c r="P164" i="10"/>
  <c r="L164" i="10"/>
  <c r="J164" i="10"/>
  <c r="H164" i="10"/>
  <c r="U164" i="10"/>
  <c r="S164" i="10"/>
  <c r="Q164" i="10"/>
  <c r="O164" i="10"/>
  <c r="M164" i="10"/>
  <c r="K164" i="10"/>
  <c r="I164" i="10"/>
  <c r="T166" i="10"/>
  <c r="R166" i="10"/>
  <c r="P166" i="10"/>
  <c r="L166" i="10"/>
  <c r="J166" i="10"/>
  <c r="H166" i="10"/>
  <c r="U166" i="10"/>
  <c r="S166" i="10"/>
  <c r="Q166" i="10"/>
  <c r="O166" i="10"/>
  <c r="M166" i="10"/>
  <c r="K166" i="10"/>
  <c r="I166" i="10"/>
  <c r="T133" i="10"/>
  <c r="R133" i="10"/>
  <c r="P133" i="10"/>
  <c r="L133" i="10"/>
  <c r="J133" i="10"/>
  <c r="H133" i="10"/>
  <c r="U133" i="10"/>
  <c r="S133" i="10"/>
  <c r="Q133" i="10"/>
  <c r="O133" i="10"/>
  <c r="M133" i="10"/>
  <c r="K133" i="10"/>
  <c r="I133" i="10"/>
  <c r="T137" i="10"/>
  <c r="R137" i="10"/>
  <c r="P137" i="10"/>
  <c r="L137" i="10"/>
  <c r="J137" i="10"/>
  <c r="H137" i="10"/>
  <c r="U137" i="10"/>
  <c r="S137" i="10"/>
  <c r="Q137" i="10"/>
  <c r="O137" i="10"/>
  <c r="M137" i="10"/>
  <c r="K137" i="10"/>
  <c r="I137" i="10"/>
  <c r="T141" i="10"/>
  <c r="R141" i="10"/>
  <c r="P141" i="10"/>
  <c r="L141" i="10"/>
  <c r="J141" i="10"/>
  <c r="H141" i="10"/>
  <c r="U141" i="10"/>
  <c r="S141" i="10"/>
  <c r="Q141" i="10"/>
  <c r="O141" i="10"/>
  <c r="M141" i="10"/>
  <c r="K141" i="10"/>
  <c r="I141" i="10"/>
  <c r="T145" i="10"/>
  <c r="R145" i="10"/>
  <c r="P145" i="10"/>
  <c r="L145" i="10"/>
  <c r="J145" i="10"/>
  <c r="H145" i="10"/>
  <c r="U145" i="10"/>
  <c r="S145" i="10"/>
  <c r="Q145" i="10"/>
  <c r="O145" i="10"/>
  <c r="M145" i="10"/>
  <c r="K145" i="10"/>
  <c r="I145" i="10"/>
  <c r="T149" i="10"/>
  <c r="R149" i="10"/>
  <c r="P149" i="10"/>
  <c r="L149" i="10"/>
  <c r="J149" i="10"/>
  <c r="H149" i="10"/>
  <c r="U149" i="10"/>
  <c r="S149" i="10"/>
  <c r="Q149" i="10"/>
  <c r="O149" i="10"/>
  <c r="M149" i="10"/>
  <c r="K149" i="10"/>
  <c r="I149" i="10"/>
  <c r="T153" i="10"/>
  <c r="R153" i="10"/>
  <c r="P153" i="10"/>
  <c r="L153" i="10"/>
  <c r="J153" i="10"/>
  <c r="H153" i="10"/>
  <c r="U153" i="10"/>
  <c r="S153" i="10"/>
  <c r="Q153" i="10"/>
  <c r="O153" i="10"/>
  <c r="M153" i="10"/>
  <c r="K153" i="10"/>
  <c r="I153" i="10"/>
  <c r="T157" i="10"/>
  <c r="R157" i="10"/>
  <c r="P157" i="10"/>
  <c r="L157" i="10"/>
  <c r="J157" i="10"/>
  <c r="H157" i="10"/>
  <c r="U157" i="10"/>
  <c r="S157" i="10"/>
  <c r="Q157" i="10"/>
  <c r="O157" i="10"/>
  <c r="M157" i="10"/>
  <c r="K157" i="10"/>
  <c r="I157" i="10"/>
  <c r="T161" i="10"/>
  <c r="R161" i="10"/>
  <c r="P161" i="10"/>
  <c r="L161" i="10"/>
  <c r="J161" i="10"/>
  <c r="H161" i="10"/>
  <c r="U161" i="10"/>
  <c r="S161" i="10"/>
  <c r="Q161" i="10"/>
  <c r="O161" i="10"/>
  <c r="M161" i="10"/>
  <c r="K161" i="10"/>
  <c r="I161" i="10"/>
  <c r="T165" i="10"/>
  <c r="R165" i="10"/>
  <c r="P165" i="10"/>
  <c r="L165" i="10"/>
  <c r="J165" i="10"/>
  <c r="H165" i="10"/>
  <c r="U165" i="10"/>
  <c r="S165" i="10"/>
  <c r="Q165" i="10"/>
  <c r="O165" i="10"/>
  <c r="M165" i="10"/>
  <c r="K165" i="10"/>
  <c r="I165" i="10"/>
  <c r="AF27" i="10"/>
  <c r="AI27" i="10" s="1"/>
  <c r="AL27" i="10" s="1"/>
  <c r="AO27" i="10" s="1"/>
  <c r="AR27" i="10" s="1"/>
  <c r="AC28" i="10"/>
  <c r="C128" i="10"/>
  <c r="C129" i="10"/>
  <c r="D130" i="10"/>
  <c r="D131" i="10"/>
  <c r="D132" i="10"/>
  <c r="D133" i="10"/>
  <c r="D134" i="10"/>
  <c r="D135" i="10"/>
  <c r="D136" i="10"/>
  <c r="D137" i="10"/>
  <c r="D138" i="10"/>
  <c r="D139" i="10"/>
  <c r="C140" i="10"/>
  <c r="C141" i="10"/>
  <c r="D142" i="10"/>
  <c r="D143" i="10"/>
  <c r="D145" i="10"/>
  <c r="D146" i="10"/>
  <c r="D147" i="10"/>
  <c r="D148" i="10"/>
  <c r="C149" i="10"/>
  <c r="C150" i="10"/>
  <c r="D151" i="10"/>
  <c r="C152" i="10"/>
  <c r="C153" i="10"/>
  <c r="C154" i="10"/>
  <c r="C155" i="10"/>
  <c r="C156" i="10"/>
  <c r="C157" i="10"/>
  <c r="C158" i="10"/>
  <c r="C159" i="10"/>
  <c r="C160" i="10"/>
  <c r="C161" i="10"/>
  <c r="C162" i="10"/>
  <c r="C163" i="10"/>
  <c r="C164" i="10"/>
  <c r="C165" i="10"/>
  <c r="C166" i="10"/>
  <c r="C167" i="10"/>
  <c r="D128" i="10"/>
  <c r="D129" i="10"/>
  <c r="C130" i="10"/>
  <c r="C131" i="10"/>
  <c r="C132" i="10"/>
  <c r="C133" i="10"/>
  <c r="C134" i="10"/>
  <c r="C135" i="10"/>
  <c r="C136" i="10"/>
  <c r="C137" i="10"/>
  <c r="C138" i="10"/>
  <c r="C139" i="10"/>
  <c r="D140" i="10"/>
  <c r="D141" i="10"/>
  <c r="C142" i="10"/>
  <c r="C143" i="10"/>
  <c r="C144" i="10"/>
  <c r="C145" i="10"/>
  <c r="C146" i="10"/>
  <c r="C147" i="10"/>
  <c r="C148" i="10"/>
  <c r="D149" i="10"/>
  <c r="D150" i="10"/>
  <c r="C151" i="10"/>
  <c r="D152" i="10"/>
  <c r="D153" i="10"/>
  <c r="D155" i="10"/>
  <c r="D156" i="10"/>
  <c r="D157" i="10"/>
  <c r="D158" i="10"/>
  <c r="D159" i="10"/>
  <c r="D160" i="10"/>
  <c r="D161" i="10"/>
  <c r="D162" i="10"/>
  <c r="D163" i="10"/>
  <c r="D164" i="10"/>
  <c r="D165" i="10"/>
  <c r="D166" i="10"/>
  <c r="D167" i="10"/>
  <c r="B127" i="10"/>
  <c r="N127" i="10" s="1"/>
  <c r="B126" i="10"/>
  <c r="N126" i="10" s="1"/>
  <c r="B125" i="10"/>
  <c r="N125" i="10" s="1"/>
  <c r="B124" i="10"/>
  <c r="N124" i="10" s="1"/>
  <c r="B123" i="10"/>
  <c r="N123" i="10" s="1"/>
  <c r="B122" i="10"/>
  <c r="N122" i="10" s="1"/>
  <c r="B121" i="10"/>
  <c r="N121" i="10" s="1"/>
  <c r="B120" i="10"/>
  <c r="N120" i="10" s="1"/>
  <c r="B119" i="10"/>
  <c r="N119" i="10" s="1"/>
  <c r="B118" i="10"/>
  <c r="N118" i="10" s="1"/>
  <c r="B117" i="10"/>
  <c r="N117" i="10" s="1"/>
  <c r="B116" i="10"/>
  <c r="N116" i="10" s="1"/>
  <c r="B115" i="10"/>
  <c r="N115" i="10" s="1"/>
  <c r="T115" i="10" l="1"/>
  <c r="R115" i="10"/>
  <c r="P115" i="10"/>
  <c r="L115" i="10"/>
  <c r="J115" i="10"/>
  <c r="H115" i="10"/>
  <c r="U115" i="10"/>
  <c r="S115" i="10"/>
  <c r="Q115" i="10"/>
  <c r="O115" i="10"/>
  <c r="M115" i="10"/>
  <c r="K115" i="10"/>
  <c r="I115" i="10"/>
  <c r="T117" i="10"/>
  <c r="R117" i="10"/>
  <c r="P117" i="10"/>
  <c r="L117" i="10"/>
  <c r="J117" i="10"/>
  <c r="H117" i="10"/>
  <c r="U117" i="10"/>
  <c r="S117" i="10"/>
  <c r="Q117" i="10"/>
  <c r="O117" i="10"/>
  <c r="M117" i="10"/>
  <c r="K117" i="10"/>
  <c r="I117" i="10"/>
  <c r="T119" i="10"/>
  <c r="R119" i="10"/>
  <c r="P119" i="10"/>
  <c r="L119" i="10"/>
  <c r="J119" i="10"/>
  <c r="H119" i="10"/>
  <c r="U119" i="10"/>
  <c r="S119" i="10"/>
  <c r="Q119" i="10"/>
  <c r="O119" i="10"/>
  <c r="M119" i="10"/>
  <c r="K119" i="10"/>
  <c r="I119" i="10"/>
  <c r="T121" i="10"/>
  <c r="R121" i="10"/>
  <c r="P121" i="10"/>
  <c r="L121" i="10"/>
  <c r="J121" i="10"/>
  <c r="H121" i="10"/>
  <c r="U121" i="10"/>
  <c r="S121" i="10"/>
  <c r="Q121" i="10"/>
  <c r="O121" i="10"/>
  <c r="M121" i="10"/>
  <c r="K121" i="10"/>
  <c r="I121" i="10"/>
  <c r="T123" i="10"/>
  <c r="R123" i="10"/>
  <c r="P123" i="10"/>
  <c r="L123" i="10"/>
  <c r="J123" i="10"/>
  <c r="H123" i="10"/>
  <c r="U123" i="10"/>
  <c r="S123" i="10"/>
  <c r="Q123" i="10"/>
  <c r="O123" i="10"/>
  <c r="M123" i="10"/>
  <c r="K123" i="10"/>
  <c r="I123" i="10"/>
  <c r="T125" i="10"/>
  <c r="R125" i="10"/>
  <c r="P125" i="10"/>
  <c r="L125" i="10"/>
  <c r="J125" i="10"/>
  <c r="H125" i="10"/>
  <c r="U125" i="10"/>
  <c r="S125" i="10"/>
  <c r="Q125" i="10"/>
  <c r="O125" i="10"/>
  <c r="M125" i="10"/>
  <c r="K125" i="10"/>
  <c r="I125" i="10"/>
  <c r="T127" i="10"/>
  <c r="R127" i="10"/>
  <c r="P127" i="10"/>
  <c r="L127" i="10"/>
  <c r="J127" i="10"/>
  <c r="H127" i="10"/>
  <c r="U127" i="10"/>
  <c r="S127" i="10"/>
  <c r="Q127" i="10"/>
  <c r="O127" i="10"/>
  <c r="M127" i="10"/>
  <c r="K127" i="10"/>
  <c r="I127" i="10"/>
  <c r="T116" i="10"/>
  <c r="R116" i="10"/>
  <c r="P116" i="10"/>
  <c r="L116" i="10"/>
  <c r="J116" i="10"/>
  <c r="H116" i="10"/>
  <c r="U116" i="10"/>
  <c r="S116" i="10"/>
  <c r="Q116" i="10"/>
  <c r="O116" i="10"/>
  <c r="M116" i="10"/>
  <c r="K116" i="10"/>
  <c r="I116" i="10"/>
  <c r="T118" i="10"/>
  <c r="R118" i="10"/>
  <c r="P118" i="10"/>
  <c r="L118" i="10"/>
  <c r="J118" i="10"/>
  <c r="H118" i="10"/>
  <c r="U118" i="10"/>
  <c r="S118" i="10"/>
  <c r="Q118" i="10"/>
  <c r="O118" i="10"/>
  <c r="M118" i="10"/>
  <c r="K118" i="10"/>
  <c r="I118" i="10"/>
  <c r="T120" i="10"/>
  <c r="R120" i="10"/>
  <c r="P120" i="10"/>
  <c r="L120" i="10"/>
  <c r="J120" i="10"/>
  <c r="H120" i="10"/>
  <c r="U120" i="10"/>
  <c r="S120" i="10"/>
  <c r="Q120" i="10"/>
  <c r="O120" i="10"/>
  <c r="M120" i="10"/>
  <c r="K120" i="10"/>
  <c r="I120" i="10"/>
  <c r="T122" i="10"/>
  <c r="R122" i="10"/>
  <c r="P122" i="10"/>
  <c r="L122" i="10"/>
  <c r="J122" i="10"/>
  <c r="H122" i="10"/>
  <c r="U122" i="10"/>
  <c r="S122" i="10"/>
  <c r="Q122" i="10"/>
  <c r="O122" i="10"/>
  <c r="M122" i="10"/>
  <c r="K122" i="10"/>
  <c r="I122" i="10"/>
  <c r="T124" i="10"/>
  <c r="R124" i="10"/>
  <c r="P124" i="10"/>
  <c r="L124" i="10"/>
  <c r="J124" i="10"/>
  <c r="H124" i="10"/>
  <c r="U124" i="10"/>
  <c r="S124" i="10"/>
  <c r="Q124" i="10"/>
  <c r="O124" i="10"/>
  <c r="M124" i="10"/>
  <c r="K124" i="10"/>
  <c r="I124" i="10"/>
  <c r="T126" i="10"/>
  <c r="R126" i="10"/>
  <c r="P126" i="10"/>
  <c r="L126" i="10"/>
  <c r="J126" i="10"/>
  <c r="H126" i="10"/>
  <c r="U126" i="10"/>
  <c r="S126" i="10"/>
  <c r="Q126" i="10"/>
  <c r="O126" i="10"/>
  <c r="M126" i="10"/>
  <c r="K126" i="10"/>
  <c r="I126" i="10"/>
  <c r="AF28" i="10"/>
  <c r="AI28" i="10" s="1"/>
  <c r="AL28" i="10" s="1"/>
  <c r="AO28" i="10" s="1"/>
  <c r="AR28" i="10" s="1"/>
  <c r="AC29" i="10"/>
  <c r="D121" i="10"/>
  <c r="C121" i="10" s="1"/>
  <c r="C122" i="10"/>
  <c r="C125" i="10"/>
  <c r="C120" i="10"/>
  <c r="D123" i="10"/>
  <c r="C123" i="10" s="1"/>
  <c r="C124" i="10"/>
  <c r="C126" i="10"/>
  <c r="D127" i="10"/>
  <c r="D115" i="10"/>
  <c r="D116" i="10"/>
  <c r="D118" i="10"/>
  <c r="C115" i="10"/>
  <c r="C116" i="10"/>
  <c r="D117" i="10"/>
  <c r="C118" i="10"/>
  <c r="D119" i="10"/>
  <c r="C119" i="10" s="1"/>
  <c r="D120" i="10"/>
  <c r="D122" i="10"/>
  <c r="D124" i="10"/>
  <c r="D125" i="10"/>
  <c r="D126" i="10"/>
  <c r="C127" i="10"/>
  <c r="B114" i="10"/>
  <c r="N114" i="10" s="1"/>
  <c r="B113" i="10"/>
  <c r="N113" i="10" s="1"/>
  <c r="B112" i="10"/>
  <c r="N112" i="10" s="1"/>
  <c r="B111" i="10"/>
  <c r="N111" i="10" s="1"/>
  <c r="B110" i="10"/>
  <c r="N110" i="10" s="1"/>
  <c r="B109" i="10"/>
  <c r="N109" i="10" s="1"/>
  <c r="B108" i="10"/>
  <c r="N108" i="10" s="1"/>
  <c r="B107" i="10"/>
  <c r="N107" i="10" s="1"/>
  <c r="B106" i="10"/>
  <c r="N106" i="10" s="1"/>
  <c r="B105" i="10"/>
  <c r="N105" i="10" s="1"/>
  <c r="B104" i="10"/>
  <c r="N104" i="10" s="1"/>
  <c r="B103" i="10"/>
  <c r="N103" i="10" s="1"/>
  <c r="B102" i="10"/>
  <c r="N102" i="10" s="1"/>
  <c r="B101" i="10"/>
  <c r="N101" i="10" s="1"/>
  <c r="B100" i="10"/>
  <c r="N100" i="10" s="1"/>
  <c r="B99" i="10"/>
  <c r="N99" i="10" s="1"/>
  <c r="B98" i="10"/>
  <c r="N98" i="10" s="1"/>
  <c r="B97" i="10"/>
  <c r="N97" i="10" s="1"/>
  <c r="B96" i="10"/>
  <c r="N96" i="10" s="1"/>
  <c r="B95" i="10"/>
  <c r="N95" i="10" s="1"/>
  <c r="B94" i="10"/>
  <c r="N94" i="10" s="1"/>
  <c r="B93" i="10"/>
  <c r="N93" i="10" s="1"/>
  <c r="B92" i="10"/>
  <c r="N92" i="10" s="1"/>
  <c r="B91" i="10"/>
  <c r="N91" i="10" s="1"/>
  <c r="B90" i="10"/>
  <c r="N90" i="10" s="1"/>
  <c r="B89" i="10"/>
  <c r="N89" i="10" s="1"/>
  <c r="B88" i="10"/>
  <c r="N88" i="10" s="1"/>
  <c r="B87" i="10"/>
  <c r="N87" i="10" s="1"/>
  <c r="B86" i="10"/>
  <c r="N86" i="10" s="1"/>
  <c r="B85" i="10"/>
  <c r="N85" i="10" s="1"/>
  <c r="B84" i="10"/>
  <c r="N84" i="10" s="1"/>
  <c r="B83" i="10"/>
  <c r="N83" i="10" s="1"/>
  <c r="B82" i="10"/>
  <c r="N82" i="10" s="1"/>
  <c r="B81" i="10"/>
  <c r="N81" i="10" s="1"/>
  <c r="B80" i="10"/>
  <c r="N80" i="10" s="1"/>
  <c r="B79" i="10"/>
  <c r="N79" i="10" s="1"/>
  <c r="B78" i="10"/>
  <c r="N78" i="10" s="1"/>
  <c r="B77" i="10"/>
  <c r="N77" i="10" s="1"/>
  <c r="B76" i="10"/>
  <c r="N76" i="10" s="1"/>
  <c r="B75" i="10"/>
  <c r="N75" i="10" s="1"/>
  <c r="B74" i="10"/>
  <c r="N74" i="10" s="1"/>
  <c r="B73" i="10"/>
  <c r="N73" i="10" s="1"/>
  <c r="B72" i="10"/>
  <c r="N72" i="10" s="1"/>
  <c r="B71" i="10"/>
  <c r="N71" i="10" s="1"/>
  <c r="B70" i="10"/>
  <c r="N70" i="10" s="1"/>
  <c r="B69" i="10"/>
  <c r="N69" i="10" s="1"/>
  <c r="B68" i="10"/>
  <c r="N68" i="10" s="1"/>
  <c r="B67" i="10"/>
  <c r="N67" i="10" s="1"/>
  <c r="B66" i="10"/>
  <c r="N66" i="10" s="1"/>
  <c r="B65" i="10"/>
  <c r="N65" i="10" s="1"/>
  <c r="B64" i="10"/>
  <c r="N64" i="10" s="1"/>
  <c r="B63" i="10"/>
  <c r="N63" i="10" s="1"/>
  <c r="T63" i="10" l="1"/>
  <c r="R63" i="10"/>
  <c r="P63" i="10"/>
  <c r="L63" i="10"/>
  <c r="J63" i="10"/>
  <c r="H63" i="10"/>
  <c r="U63" i="10"/>
  <c r="S63" i="10"/>
  <c r="Q63" i="10"/>
  <c r="O63" i="10"/>
  <c r="M63" i="10"/>
  <c r="K63" i="10"/>
  <c r="I63" i="10"/>
  <c r="T64" i="10"/>
  <c r="R64" i="10"/>
  <c r="P64" i="10"/>
  <c r="L64" i="10"/>
  <c r="J64" i="10"/>
  <c r="H64" i="10"/>
  <c r="U64" i="10"/>
  <c r="S64" i="10"/>
  <c r="Q64" i="10"/>
  <c r="O64" i="10"/>
  <c r="M64" i="10"/>
  <c r="K64" i="10"/>
  <c r="I64" i="10"/>
  <c r="T66" i="10"/>
  <c r="R66" i="10"/>
  <c r="P66" i="10"/>
  <c r="L66" i="10"/>
  <c r="J66" i="10"/>
  <c r="H66" i="10"/>
  <c r="U66" i="10"/>
  <c r="S66" i="10"/>
  <c r="Q66" i="10"/>
  <c r="O66" i="10"/>
  <c r="M66" i="10"/>
  <c r="K66" i="10"/>
  <c r="I66" i="10"/>
  <c r="T68" i="10"/>
  <c r="R68" i="10"/>
  <c r="P68" i="10"/>
  <c r="L68" i="10"/>
  <c r="J68" i="10"/>
  <c r="H68" i="10"/>
  <c r="U68" i="10"/>
  <c r="S68" i="10"/>
  <c r="Q68" i="10"/>
  <c r="O68" i="10"/>
  <c r="M68" i="10"/>
  <c r="K68" i="10"/>
  <c r="I68" i="10"/>
  <c r="T70" i="10"/>
  <c r="R70" i="10"/>
  <c r="P70" i="10"/>
  <c r="L70" i="10"/>
  <c r="J70" i="10"/>
  <c r="H70" i="10"/>
  <c r="U70" i="10"/>
  <c r="S70" i="10"/>
  <c r="Q70" i="10"/>
  <c r="O70" i="10"/>
  <c r="M70" i="10"/>
  <c r="K70" i="10"/>
  <c r="I70" i="10"/>
  <c r="T72" i="10"/>
  <c r="R72" i="10"/>
  <c r="P72" i="10"/>
  <c r="L72" i="10"/>
  <c r="J72" i="10"/>
  <c r="H72" i="10"/>
  <c r="U72" i="10"/>
  <c r="S72" i="10"/>
  <c r="Q72" i="10"/>
  <c r="O72" i="10"/>
  <c r="M72" i="10"/>
  <c r="K72" i="10"/>
  <c r="I72" i="10"/>
  <c r="T74" i="10"/>
  <c r="R74" i="10"/>
  <c r="P74" i="10"/>
  <c r="L74" i="10"/>
  <c r="J74" i="10"/>
  <c r="H74" i="10"/>
  <c r="U74" i="10"/>
  <c r="S74" i="10"/>
  <c r="Q74" i="10"/>
  <c r="O74" i="10"/>
  <c r="M74" i="10"/>
  <c r="K74" i="10"/>
  <c r="I74" i="10"/>
  <c r="T76" i="10"/>
  <c r="R76" i="10"/>
  <c r="P76" i="10"/>
  <c r="L76" i="10"/>
  <c r="J76" i="10"/>
  <c r="H76" i="10"/>
  <c r="U76" i="10"/>
  <c r="S76" i="10"/>
  <c r="Q76" i="10"/>
  <c r="O76" i="10"/>
  <c r="M76" i="10"/>
  <c r="K76" i="10"/>
  <c r="I76" i="10"/>
  <c r="T78" i="10"/>
  <c r="R78" i="10"/>
  <c r="P78" i="10"/>
  <c r="L78" i="10"/>
  <c r="J78" i="10"/>
  <c r="H78" i="10"/>
  <c r="U78" i="10"/>
  <c r="S78" i="10"/>
  <c r="Q78" i="10"/>
  <c r="O78" i="10"/>
  <c r="M78" i="10"/>
  <c r="K78" i="10"/>
  <c r="I78" i="10"/>
  <c r="T80" i="10"/>
  <c r="R80" i="10"/>
  <c r="P80" i="10"/>
  <c r="L80" i="10"/>
  <c r="J80" i="10"/>
  <c r="H80" i="10"/>
  <c r="U80" i="10"/>
  <c r="S80" i="10"/>
  <c r="Q80" i="10"/>
  <c r="O80" i="10"/>
  <c r="M80" i="10"/>
  <c r="K80" i="10"/>
  <c r="I80" i="10"/>
  <c r="T82" i="10"/>
  <c r="R82" i="10"/>
  <c r="P82" i="10"/>
  <c r="L82" i="10"/>
  <c r="J82" i="10"/>
  <c r="H82" i="10"/>
  <c r="U82" i="10"/>
  <c r="S82" i="10"/>
  <c r="Q82" i="10"/>
  <c r="O82" i="10"/>
  <c r="M82" i="10"/>
  <c r="K82" i="10"/>
  <c r="I82" i="10"/>
  <c r="T84" i="10"/>
  <c r="R84" i="10"/>
  <c r="P84" i="10"/>
  <c r="L84" i="10"/>
  <c r="J84" i="10"/>
  <c r="H84" i="10"/>
  <c r="U84" i="10"/>
  <c r="S84" i="10"/>
  <c r="Q84" i="10"/>
  <c r="O84" i="10"/>
  <c r="M84" i="10"/>
  <c r="K84" i="10"/>
  <c r="I84" i="10"/>
  <c r="T86" i="10"/>
  <c r="R86" i="10"/>
  <c r="P86" i="10"/>
  <c r="L86" i="10"/>
  <c r="J86" i="10"/>
  <c r="H86" i="10"/>
  <c r="U86" i="10"/>
  <c r="S86" i="10"/>
  <c r="Q86" i="10"/>
  <c r="O86" i="10"/>
  <c r="M86" i="10"/>
  <c r="K86" i="10"/>
  <c r="I86" i="10"/>
  <c r="T88" i="10"/>
  <c r="R88" i="10"/>
  <c r="P88" i="10"/>
  <c r="L88" i="10"/>
  <c r="J88" i="10"/>
  <c r="H88" i="10"/>
  <c r="U88" i="10"/>
  <c r="S88" i="10"/>
  <c r="Q88" i="10"/>
  <c r="O88" i="10"/>
  <c r="M88" i="10"/>
  <c r="K88" i="10"/>
  <c r="I88" i="10"/>
  <c r="T90" i="10"/>
  <c r="R90" i="10"/>
  <c r="P90" i="10"/>
  <c r="L90" i="10"/>
  <c r="J90" i="10"/>
  <c r="H90" i="10"/>
  <c r="U90" i="10"/>
  <c r="S90" i="10"/>
  <c r="Q90" i="10"/>
  <c r="O90" i="10"/>
  <c r="M90" i="10"/>
  <c r="K90" i="10"/>
  <c r="I90" i="10"/>
  <c r="T92" i="10"/>
  <c r="R92" i="10"/>
  <c r="P92" i="10"/>
  <c r="L92" i="10"/>
  <c r="J92" i="10"/>
  <c r="H92" i="10"/>
  <c r="U92" i="10"/>
  <c r="S92" i="10"/>
  <c r="Q92" i="10"/>
  <c r="O92" i="10"/>
  <c r="M92" i="10"/>
  <c r="K92" i="10"/>
  <c r="I92" i="10"/>
  <c r="T94" i="10"/>
  <c r="R94" i="10"/>
  <c r="P94" i="10"/>
  <c r="L94" i="10"/>
  <c r="J94" i="10"/>
  <c r="H94" i="10"/>
  <c r="U94" i="10"/>
  <c r="S94" i="10"/>
  <c r="Q94" i="10"/>
  <c r="O94" i="10"/>
  <c r="M94" i="10"/>
  <c r="K94" i="10"/>
  <c r="I94" i="10"/>
  <c r="T96" i="10"/>
  <c r="R96" i="10"/>
  <c r="P96" i="10"/>
  <c r="L96" i="10"/>
  <c r="J96" i="10"/>
  <c r="H96" i="10"/>
  <c r="U96" i="10"/>
  <c r="S96" i="10"/>
  <c r="Q96" i="10"/>
  <c r="O96" i="10"/>
  <c r="M96" i="10"/>
  <c r="K96" i="10"/>
  <c r="I96" i="10"/>
  <c r="T98" i="10"/>
  <c r="R98" i="10"/>
  <c r="P98" i="10"/>
  <c r="L98" i="10"/>
  <c r="J98" i="10"/>
  <c r="H98" i="10"/>
  <c r="U98" i="10"/>
  <c r="S98" i="10"/>
  <c r="Q98" i="10"/>
  <c r="O98" i="10"/>
  <c r="M98" i="10"/>
  <c r="K98" i="10"/>
  <c r="I98" i="10"/>
  <c r="T100" i="10"/>
  <c r="R100" i="10"/>
  <c r="P100" i="10"/>
  <c r="L100" i="10"/>
  <c r="J100" i="10"/>
  <c r="H100" i="10"/>
  <c r="U100" i="10"/>
  <c r="S100" i="10"/>
  <c r="Q100" i="10"/>
  <c r="O100" i="10"/>
  <c r="M100" i="10"/>
  <c r="K100" i="10"/>
  <c r="I100" i="10"/>
  <c r="T102" i="10"/>
  <c r="R102" i="10"/>
  <c r="P102" i="10"/>
  <c r="L102" i="10"/>
  <c r="J102" i="10"/>
  <c r="H102" i="10"/>
  <c r="U102" i="10"/>
  <c r="S102" i="10"/>
  <c r="Q102" i="10"/>
  <c r="O102" i="10"/>
  <c r="M102" i="10"/>
  <c r="K102" i="10"/>
  <c r="I102" i="10"/>
  <c r="T104" i="10"/>
  <c r="R104" i="10"/>
  <c r="P104" i="10"/>
  <c r="L104" i="10"/>
  <c r="J104" i="10"/>
  <c r="H104" i="10"/>
  <c r="U104" i="10"/>
  <c r="S104" i="10"/>
  <c r="Q104" i="10"/>
  <c r="O104" i="10"/>
  <c r="M104" i="10"/>
  <c r="K104" i="10"/>
  <c r="I104" i="10"/>
  <c r="T106" i="10"/>
  <c r="R106" i="10"/>
  <c r="P106" i="10"/>
  <c r="L106" i="10"/>
  <c r="J106" i="10"/>
  <c r="H106" i="10"/>
  <c r="U106" i="10"/>
  <c r="S106" i="10"/>
  <c r="Q106" i="10"/>
  <c r="O106" i="10"/>
  <c r="M106" i="10"/>
  <c r="K106" i="10"/>
  <c r="I106" i="10"/>
  <c r="T108" i="10"/>
  <c r="R108" i="10"/>
  <c r="P108" i="10"/>
  <c r="L108" i="10"/>
  <c r="J108" i="10"/>
  <c r="H108" i="10"/>
  <c r="U108" i="10"/>
  <c r="S108" i="10"/>
  <c r="Q108" i="10"/>
  <c r="O108" i="10"/>
  <c r="M108" i="10"/>
  <c r="K108" i="10"/>
  <c r="I108" i="10"/>
  <c r="T110" i="10"/>
  <c r="R110" i="10"/>
  <c r="P110" i="10"/>
  <c r="L110" i="10"/>
  <c r="J110" i="10"/>
  <c r="H110" i="10"/>
  <c r="U110" i="10"/>
  <c r="S110" i="10"/>
  <c r="Q110" i="10"/>
  <c r="O110" i="10"/>
  <c r="M110" i="10"/>
  <c r="K110" i="10"/>
  <c r="I110" i="10"/>
  <c r="T112" i="10"/>
  <c r="R112" i="10"/>
  <c r="P112" i="10"/>
  <c r="L112" i="10"/>
  <c r="J112" i="10"/>
  <c r="H112" i="10"/>
  <c r="U112" i="10"/>
  <c r="S112" i="10"/>
  <c r="Q112" i="10"/>
  <c r="O112" i="10"/>
  <c r="M112" i="10"/>
  <c r="K112" i="10"/>
  <c r="I112" i="10"/>
  <c r="T114" i="10"/>
  <c r="R114" i="10"/>
  <c r="P114" i="10"/>
  <c r="L114" i="10"/>
  <c r="J114" i="10"/>
  <c r="H114" i="10"/>
  <c r="U114" i="10"/>
  <c r="S114" i="10"/>
  <c r="Q114" i="10"/>
  <c r="O114" i="10"/>
  <c r="M114" i="10"/>
  <c r="K114" i="10"/>
  <c r="I114" i="10"/>
  <c r="T65" i="10"/>
  <c r="R65" i="10"/>
  <c r="P65" i="10"/>
  <c r="L65" i="10"/>
  <c r="J65" i="10"/>
  <c r="H65" i="10"/>
  <c r="U65" i="10"/>
  <c r="S65" i="10"/>
  <c r="Q65" i="10"/>
  <c r="O65" i="10"/>
  <c r="M65" i="10"/>
  <c r="K65" i="10"/>
  <c r="I65" i="10"/>
  <c r="T67" i="10"/>
  <c r="R67" i="10"/>
  <c r="P67" i="10"/>
  <c r="L67" i="10"/>
  <c r="J67" i="10"/>
  <c r="H67" i="10"/>
  <c r="U67" i="10"/>
  <c r="S67" i="10"/>
  <c r="Q67" i="10"/>
  <c r="O67" i="10"/>
  <c r="M67" i="10"/>
  <c r="K67" i="10"/>
  <c r="I67" i="10"/>
  <c r="T69" i="10"/>
  <c r="R69" i="10"/>
  <c r="P69" i="10"/>
  <c r="L69" i="10"/>
  <c r="J69" i="10"/>
  <c r="H69" i="10"/>
  <c r="U69" i="10"/>
  <c r="S69" i="10"/>
  <c r="Q69" i="10"/>
  <c r="O69" i="10"/>
  <c r="M69" i="10"/>
  <c r="K69" i="10"/>
  <c r="I69" i="10"/>
  <c r="T71" i="10"/>
  <c r="R71" i="10"/>
  <c r="P71" i="10"/>
  <c r="L71" i="10"/>
  <c r="J71" i="10"/>
  <c r="H71" i="10"/>
  <c r="U71" i="10"/>
  <c r="S71" i="10"/>
  <c r="Q71" i="10"/>
  <c r="O71" i="10"/>
  <c r="M71" i="10"/>
  <c r="K71" i="10"/>
  <c r="I71" i="10"/>
  <c r="T73" i="10"/>
  <c r="R73" i="10"/>
  <c r="P73" i="10"/>
  <c r="L73" i="10"/>
  <c r="J73" i="10"/>
  <c r="H73" i="10"/>
  <c r="U73" i="10"/>
  <c r="S73" i="10"/>
  <c r="Q73" i="10"/>
  <c r="O73" i="10"/>
  <c r="M73" i="10"/>
  <c r="K73" i="10"/>
  <c r="I73" i="10"/>
  <c r="T75" i="10"/>
  <c r="R75" i="10"/>
  <c r="P75" i="10"/>
  <c r="L75" i="10"/>
  <c r="J75" i="10"/>
  <c r="H75" i="10"/>
  <c r="U75" i="10"/>
  <c r="S75" i="10"/>
  <c r="Q75" i="10"/>
  <c r="O75" i="10"/>
  <c r="M75" i="10"/>
  <c r="K75" i="10"/>
  <c r="I75" i="10"/>
  <c r="T77" i="10"/>
  <c r="R77" i="10"/>
  <c r="P77" i="10"/>
  <c r="L77" i="10"/>
  <c r="J77" i="10"/>
  <c r="H77" i="10"/>
  <c r="U77" i="10"/>
  <c r="S77" i="10"/>
  <c r="Q77" i="10"/>
  <c r="O77" i="10"/>
  <c r="M77" i="10"/>
  <c r="K77" i="10"/>
  <c r="I77" i="10"/>
  <c r="T79" i="10"/>
  <c r="R79" i="10"/>
  <c r="P79" i="10"/>
  <c r="L79" i="10"/>
  <c r="J79" i="10"/>
  <c r="H79" i="10"/>
  <c r="U79" i="10"/>
  <c r="S79" i="10"/>
  <c r="Q79" i="10"/>
  <c r="O79" i="10"/>
  <c r="M79" i="10"/>
  <c r="K79" i="10"/>
  <c r="I79" i="10"/>
  <c r="T81" i="10"/>
  <c r="R81" i="10"/>
  <c r="P81" i="10"/>
  <c r="L81" i="10"/>
  <c r="J81" i="10"/>
  <c r="H81" i="10"/>
  <c r="U81" i="10"/>
  <c r="S81" i="10"/>
  <c r="Q81" i="10"/>
  <c r="O81" i="10"/>
  <c r="M81" i="10"/>
  <c r="K81" i="10"/>
  <c r="I81" i="10"/>
  <c r="T83" i="10"/>
  <c r="R83" i="10"/>
  <c r="P83" i="10"/>
  <c r="L83" i="10"/>
  <c r="J83" i="10"/>
  <c r="H83" i="10"/>
  <c r="U83" i="10"/>
  <c r="S83" i="10"/>
  <c r="Q83" i="10"/>
  <c r="O83" i="10"/>
  <c r="M83" i="10"/>
  <c r="K83" i="10"/>
  <c r="I83" i="10"/>
  <c r="T85" i="10"/>
  <c r="R85" i="10"/>
  <c r="P85" i="10"/>
  <c r="L85" i="10"/>
  <c r="J85" i="10"/>
  <c r="H85" i="10"/>
  <c r="U85" i="10"/>
  <c r="S85" i="10"/>
  <c r="Q85" i="10"/>
  <c r="O85" i="10"/>
  <c r="M85" i="10"/>
  <c r="K85" i="10"/>
  <c r="I85" i="10"/>
  <c r="T87" i="10"/>
  <c r="R87" i="10"/>
  <c r="P87" i="10"/>
  <c r="L87" i="10"/>
  <c r="J87" i="10"/>
  <c r="H87" i="10"/>
  <c r="U87" i="10"/>
  <c r="S87" i="10"/>
  <c r="Q87" i="10"/>
  <c r="O87" i="10"/>
  <c r="M87" i="10"/>
  <c r="K87" i="10"/>
  <c r="I87" i="10"/>
  <c r="T89" i="10"/>
  <c r="R89" i="10"/>
  <c r="P89" i="10"/>
  <c r="L89" i="10"/>
  <c r="J89" i="10"/>
  <c r="H89" i="10"/>
  <c r="U89" i="10"/>
  <c r="S89" i="10"/>
  <c r="Q89" i="10"/>
  <c r="O89" i="10"/>
  <c r="M89" i="10"/>
  <c r="K89" i="10"/>
  <c r="I89" i="10"/>
  <c r="T91" i="10"/>
  <c r="R91" i="10"/>
  <c r="P91" i="10"/>
  <c r="L91" i="10"/>
  <c r="J91" i="10"/>
  <c r="H91" i="10"/>
  <c r="U91" i="10"/>
  <c r="S91" i="10"/>
  <c r="Q91" i="10"/>
  <c r="O91" i="10"/>
  <c r="M91" i="10"/>
  <c r="K91" i="10"/>
  <c r="I91" i="10"/>
  <c r="T93" i="10"/>
  <c r="R93" i="10"/>
  <c r="P93" i="10"/>
  <c r="L93" i="10"/>
  <c r="J93" i="10"/>
  <c r="H93" i="10"/>
  <c r="U93" i="10"/>
  <c r="S93" i="10"/>
  <c r="Q93" i="10"/>
  <c r="O93" i="10"/>
  <c r="M93" i="10"/>
  <c r="K93" i="10"/>
  <c r="I93" i="10"/>
  <c r="T95" i="10"/>
  <c r="R95" i="10"/>
  <c r="P95" i="10"/>
  <c r="L95" i="10"/>
  <c r="J95" i="10"/>
  <c r="H95" i="10"/>
  <c r="U95" i="10"/>
  <c r="S95" i="10"/>
  <c r="Q95" i="10"/>
  <c r="O95" i="10"/>
  <c r="M95" i="10"/>
  <c r="K95" i="10"/>
  <c r="I95" i="10"/>
  <c r="T97" i="10"/>
  <c r="R97" i="10"/>
  <c r="P97" i="10"/>
  <c r="L97" i="10"/>
  <c r="J97" i="10"/>
  <c r="H97" i="10"/>
  <c r="U97" i="10"/>
  <c r="S97" i="10"/>
  <c r="Q97" i="10"/>
  <c r="O97" i="10"/>
  <c r="M97" i="10"/>
  <c r="K97" i="10"/>
  <c r="I97" i="10"/>
  <c r="T99" i="10"/>
  <c r="R99" i="10"/>
  <c r="P99" i="10"/>
  <c r="L99" i="10"/>
  <c r="J99" i="10"/>
  <c r="H99" i="10"/>
  <c r="U99" i="10"/>
  <c r="S99" i="10"/>
  <c r="Q99" i="10"/>
  <c r="O99" i="10"/>
  <c r="M99" i="10"/>
  <c r="K99" i="10"/>
  <c r="I99" i="10"/>
  <c r="T101" i="10"/>
  <c r="R101" i="10"/>
  <c r="P101" i="10"/>
  <c r="L101" i="10"/>
  <c r="J101" i="10"/>
  <c r="H101" i="10"/>
  <c r="U101" i="10"/>
  <c r="S101" i="10"/>
  <c r="Q101" i="10"/>
  <c r="O101" i="10"/>
  <c r="M101" i="10"/>
  <c r="K101" i="10"/>
  <c r="I101" i="10"/>
  <c r="T103" i="10"/>
  <c r="R103" i="10"/>
  <c r="P103" i="10"/>
  <c r="L103" i="10"/>
  <c r="J103" i="10"/>
  <c r="H103" i="10"/>
  <c r="U103" i="10"/>
  <c r="S103" i="10"/>
  <c r="Q103" i="10"/>
  <c r="O103" i="10"/>
  <c r="M103" i="10"/>
  <c r="K103" i="10"/>
  <c r="I103" i="10"/>
  <c r="T105" i="10"/>
  <c r="R105" i="10"/>
  <c r="P105" i="10"/>
  <c r="L105" i="10"/>
  <c r="J105" i="10"/>
  <c r="H105" i="10"/>
  <c r="U105" i="10"/>
  <c r="S105" i="10"/>
  <c r="Q105" i="10"/>
  <c r="O105" i="10"/>
  <c r="M105" i="10"/>
  <c r="K105" i="10"/>
  <c r="I105" i="10"/>
  <c r="T107" i="10"/>
  <c r="R107" i="10"/>
  <c r="P107" i="10"/>
  <c r="L107" i="10"/>
  <c r="J107" i="10"/>
  <c r="H107" i="10"/>
  <c r="U107" i="10"/>
  <c r="S107" i="10"/>
  <c r="Q107" i="10"/>
  <c r="O107" i="10"/>
  <c r="M107" i="10"/>
  <c r="K107" i="10"/>
  <c r="I107" i="10"/>
  <c r="T109" i="10"/>
  <c r="R109" i="10"/>
  <c r="P109" i="10"/>
  <c r="L109" i="10"/>
  <c r="J109" i="10"/>
  <c r="H109" i="10"/>
  <c r="U109" i="10"/>
  <c r="S109" i="10"/>
  <c r="Q109" i="10"/>
  <c r="O109" i="10"/>
  <c r="M109" i="10"/>
  <c r="K109" i="10"/>
  <c r="I109" i="10"/>
  <c r="T111" i="10"/>
  <c r="R111" i="10"/>
  <c r="P111" i="10"/>
  <c r="L111" i="10"/>
  <c r="J111" i="10"/>
  <c r="H111" i="10"/>
  <c r="U111" i="10"/>
  <c r="S111" i="10"/>
  <c r="Q111" i="10"/>
  <c r="O111" i="10"/>
  <c r="M111" i="10"/>
  <c r="K111" i="10"/>
  <c r="I111" i="10"/>
  <c r="T113" i="10"/>
  <c r="R113" i="10"/>
  <c r="P113" i="10"/>
  <c r="L113" i="10"/>
  <c r="J113" i="10"/>
  <c r="H113" i="10"/>
  <c r="U113" i="10"/>
  <c r="S113" i="10"/>
  <c r="Q113" i="10"/>
  <c r="O113" i="10"/>
  <c r="M113" i="10"/>
  <c r="K113" i="10"/>
  <c r="I113" i="10"/>
  <c r="AF29" i="10"/>
  <c r="AI29" i="10" s="1"/>
  <c r="AL29" i="10" s="1"/>
  <c r="AO29" i="10" s="1"/>
  <c r="AR29" i="10" s="1"/>
  <c r="AC30" i="10"/>
  <c r="C73" i="10"/>
  <c r="C71" i="10"/>
  <c r="C67" i="10"/>
  <c r="C79" i="10"/>
  <c r="C81" i="10"/>
  <c r="C87" i="10"/>
  <c r="C89" i="10"/>
  <c r="C93" i="10"/>
  <c r="C95" i="10"/>
  <c r="C101" i="10"/>
  <c r="C66" i="10"/>
  <c r="C70" i="10"/>
  <c r="C72" i="10"/>
  <c r="C74" i="10"/>
  <c r="C76" i="10"/>
  <c r="C78" i="10"/>
  <c r="C80" i="10"/>
  <c r="C82" i="10"/>
  <c r="C84" i="10"/>
  <c r="C86" i="10"/>
  <c r="C88" i="10"/>
  <c r="C90" i="10"/>
  <c r="C92" i="10"/>
  <c r="C94" i="10"/>
  <c r="C98" i="10"/>
  <c r="C100" i="10"/>
  <c r="C117" i="10"/>
  <c r="D68" i="10"/>
  <c r="C63" i="10"/>
  <c r="C64" i="10"/>
  <c r="C65" i="10"/>
  <c r="D66" i="10"/>
  <c r="D67" i="10"/>
  <c r="C68" i="10"/>
  <c r="C69" i="10"/>
  <c r="D70" i="10"/>
  <c r="D71" i="10"/>
  <c r="D72" i="10"/>
  <c r="D73" i="10"/>
  <c r="D74" i="10"/>
  <c r="C75" i="10"/>
  <c r="D76" i="10"/>
  <c r="C77" i="10"/>
  <c r="D78" i="10"/>
  <c r="D79" i="10"/>
  <c r="D80" i="10"/>
  <c r="D81" i="10"/>
  <c r="D82" i="10"/>
  <c r="C83" i="10"/>
  <c r="D84" i="10"/>
  <c r="C85" i="10"/>
  <c r="D86" i="10"/>
  <c r="D87" i="10"/>
  <c r="D88" i="10"/>
  <c r="D89" i="10"/>
  <c r="D90" i="10"/>
  <c r="C91" i="10"/>
  <c r="D92" i="10"/>
  <c r="D93" i="10"/>
  <c r="D94" i="10"/>
  <c r="D95" i="10"/>
  <c r="C96" i="10"/>
  <c r="C97" i="10"/>
  <c r="D98" i="10"/>
  <c r="C99" i="10"/>
  <c r="D100" i="10"/>
  <c r="D101" i="10"/>
  <c r="C102" i="10"/>
  <c r="C103" i="10"/>
  <c r="C104" i="10"/>
  <c r="D105" i="10"/>
  <c r="C106" i="10"/>
  <c r="D107" i="10"/>
  <c r="C108" i="10"/>
  <c r="D109" i="10"/>
  <c r="C110" i="10"/>
  <c r="D111" i="10"/>
  <c r="C112" i="10"/>
  <c r="D113" i="10"/>
  <c r="C114" i="10"/>
  <c r="D63" i="10"/>
  <c r="D64" i="10"/>
  <c r="D65" i="10"/>
  <c r="D69" i="10"/>
  <c r="D75" i="10"/>
  <c r="D77" i="10"/>
  <c r="D83" i="10"/>
  <c r="D85" i="10"/>
  <c r="D91" i="10"/>
  <c r="D96" i="10"/>
  <c r="D97" i="10"/>
  <c r="D99" i="10"/>
  <c r="D102" i="10"/>
  <c r="D104" i="10"/>
  <c r="D106" i="10"/>
  <c r="D108" i="10"/>
  <c r="D110" i="10"/>
  <c r="D112" i="10"/>
  <c r="D114" i="10"/>
  <c r="B62" i="10"/>
  <c r="N62" i="10" s="1"/>
  <c r="B61" i="10"/>
  <c r="N61" i="10" s="1"/>
  <c r="B60" i="10"/>
  <c r="N60" i="10" s="1"/>
  <c r="B59" i="10"/>
  <c r="N59" i="10" s="1"/>
  <c r="B58" i="10"/>
  <c r="N58" i="10" s="1"/>
  <c r="B57" i="10"/>
  <c r="N57" i="10" s="1"/>
  <c r="B56" i="10"/>
  <c r="N56" i="10" s="1"/>
  <c r="B55" i="10"/>
  <c r="N55" i="10" s="1"/>
  <c r="B54" i="10"/>
  <c r="N54" i="10" s="1"/>
  <c r="B53" i="10"/>
  <c r="N53" i="10" s="1"/>
  <c r="B52" i="10"/>
  <c r="N52" i="10" s="1"/>
  <c r="B51" i="10"/>
  <c r="N51" i="10" s="1"/>
  <c r="B50" i="10"/>
  <c r="N50" i="10" s="1"/>
  <c r="B49" i="10"/>
  <c r="N49" i="10" s="1"/>
  <c r="B48" i="10"/>
  <c r="N48" i="10" s="1"/>
  <c r="B47" i="10"/>
  <c r="N47" i="10" s="1"/>
  <c r="B46" i="10"/>
  <c r="N46" i="10" s="1"/>
  <c r="B45" i="10"/>
  <c r="N45" i="10" s="1"/>
  <c r="B44" i="10"/>
  <c r="N44" i="10" s="1"/>
  <c r="B43" i="10"/>
  <c r="N43" i="10" s="1"/>
  <c r="B42" i="10"/>
  <c r="N42" i="10" s="1"/>
  <c r="B41" i="10"/>
  <c r="N41" i="10" s="1"/>
  <c r="B40" i="10"/>
  <c r="N40" i="10" s="1"/>
  <c r="B39" i="10"/>
  <c r="N39" i="10" s="1"/>
  <c r="B38" i="10"/>
  <c r="N38" i="10" s="1"/>
  <c r="B37" i="10"/>
  <c r="N37" i="10" s="1"/>
  <c r="T37" i="10" l="1"/>
  <c r="R37" i="10"/>
  <c r="P37" i="10"/>
  <c r="L37" i="10"/>
  <c r="J37" i="10"/>
  <c r="H37" i="10"/>
  <c r="U37" i="10"/>
  <c r="S37" i="10"/>
  <c r="Q37" i="10"/>
  <c r="O37" i="10"/>
  <c r="M37" i="10"/>
  <c r="K37" i="10"/>
  <c r="I37" i="10"/>
  <c r="T39" i="10"/>
  <c r="R39" i="10"/>
  <c r="P39" i="10"/>
  <c r="L39" i="10"/>
  <c r="J39" i="10"/>
  <c r="H39" i="10"/>
  <c r="U39" i="10"/>
  <c r="S39" i="10"/>
  <c r="Q39" i="10"/>
  <c r="O39" i="10"/>
  <c r="M39" i="10"/>
  <c r="K39" i="10"/>
  <c r="I39" i="10"/>
  <c r="T41" i="10"/>
  <c r="R41" i="10"/>
  <c r="P41" i="10"/>
  <c r="L41" i="10"/>
  <c r="J41" i="10"/>
  <c r="H41" i="10"/>
  <c r="U41" i="10"/>
  <c r="S41" i="10"/>
  <c r="Q41" i="10"/>
  <c r="O41" i="10"/>
  <c r="M41" i="10"/>
  <c r="K41" i="10"/>
  <c r="I41" i="10"/>
  <c r="T43" i="10"/>
  <c r="R43" i="10"/>
  <c r="P43" i="10"/>
  <c r="L43" i="10"/>
  <c r="J43" i="10"/>
  <c r="H43" i="10"/>
  <c r="U43" i="10"/>
  <c r="S43" i="10"/>
  <c r="Q43" i="10"/>
  <c r="O43" i="10"/>
  <c r="M43" i="10"/>
  <c r="K43" i="10"/>
  <c r="I43" i="10"/>
  <c r="T45" i="10"/>
  <c r="R45" i="10"/>
  <c r="P45" i="10"/>
  <c r="L45" i="10"/>
  <c r="J45" i="10"/>
  <c r="H45" i="10"/>
  <c r="U45" i="10"/>
  <c r="S45" i="10"/>
  <c r="Q45" i="10"/>
  <c r="O45" i="10"/>
  <c r="M45" i="10"/>
  <c r="K45" i="10"/>
  <c r="I45" i="10"/>
  <c r="T47" i="10"/>
  <c r="R47" i="10"/>
  <c r="P47" i="10"/>
  <c r="L47" i="10"/>
  <c r="J47" i="10"/>
  <c r="H47" i="10"/>
  <c r="U47" i="10"/>
  <c r="S47" i="10"/>
  <c r="Q47" i="10"/>
  <c r="O47" i="10"/>
  <c r="M47" i="10"/>
  <c r="K47" i="10"/>
  <c r="I47" i="10"/>
  <c r="T49" i="10"/>
  <c r="R49" i="10"/>
  <c r="P49" i="10"/>
  <c r="L49" i="10"/>
  <c r="J49" i="10"/>
  <c r="H49" i="10"/>
  <c r="U49" i="10"/>
  <c r="S49" i="10"/>
  <c r="Q49" i="10"/>
  <c r="O49" i="10"/>
  <c r="M49" i="10"/>
  <c r="K49" i="10"/>
  <c r="I49" i="10"/>
  <c r="T51" i="10"/>
  <c r="R51" i="10"/>
  <c r="P51" i="10"/>
  <c r="L51" i="10"/>
  <c r="J51" i="10"/>
  <c r="H51" i="10"/>
  <c r="U51" i="10"/>
  <c r="S51" i="10"/>
  <c r="Q51" i="10"/>
  <c r="O51" i="10"/>
  <c r="M51" i="10"/>
  <c r="K51" i="10"/>
  <c r="I51" i="10"/>
  <c r="T53" i="10"/>
  <c r="R53" i="10"/>
  <c r="P53" i="10"/>
  <c r="L53" i="10"/>
  <c r="J53" i="10"/>
  <c r="H53" i="10"/>
  <c r="U53" i="10"/>
  <c r="S53" i="10"/>
  <c r="Q53" i="10"/>
  <c r="O53" i="10"/>
  <c r="M53" i="10"/>
  <c r="K53" i="10"/>
  <c r="I53" i="10"/>
  <c r="T55" i="10"/>
  <c r="R55" i="10"/>
  <c r="P55" i="10"/>
  <c r="L55" i="10"/>
  <c r="J55" i="10"/>
  <c r="H55" i="10"/>
  <c r="U55" i="10"/>
  <c r="S55" i="10"/>
  <c r="Q55" i="10"/>
  <c r="O55" i="10"/>
  <c r="M55" i="10"/>
  <c r="K55" i="10"/>
  <c r="I55" i="10"/>
  <c r="T57" i="10"/>
  <c r="R57" i="10"/>
  <c r="P57" i="10"/>
  <c r="L57" i="10"/>
  <c r="J57" i="10"/>
  <c r="H57" i="10"/>
  <c r="U57" i="10"/>
  <c r="S57" i="10"/>
  <c r="Q57" i="10"/>
  <c r="O57" i="10"/>
  <c r="M57" i="10"/>
  <c r="K57" i="10"/>
  <c r="I57" i="10"/>
  <c r="T59" i="10"/>
  <c r="R59" i="10"/>
  <c r="P59" i="10"/>
  <c r="L59" i="10"/>
  <c r="J59" i="10"/>
  <c r="H59" i="10"/>
  <c r="U59" i="10"/>
  <c r="S59" i="10"/>
  <c r="Q59" i="10"/>
  <c r="O59" i="10"/>
  <c r="M59" i="10"/>
  <c r="K59" i="10"/>
  <c r="I59" i="10"/>
  <c r="T61" i="10"/>
  <c r="R61" i="10"/>
  <c r="P61" i="10"/>
  <c r="L61" i="10"/>
  <c r="J61" i="10"/>
  <c r="H61" i="10"/>
  <c r="U61" i="10"/>
  <c r="S61" i="10"/>
  <c r="Q61" i="10"/>
  <c r="O61" i="10"/>
  <c r="M61" i="10"/>
  <c r="K61" i="10"/>
  <c r="I61" i="10"/>
  <c r="T38" i="10"/>
  <c r="R38" i="10"/>
  <c r="P38" i="10"/>
  <c r="L38" i="10"/>
  <c r="J38" i="10"/>
  <c r="H38" i="10"/>
  <c r="U38" i="10"/>
  <c r="S38" i="10"/>
  <c r="Q38" i="10"/>
  <c r="O38" i="10"/>
  <c r="M38" i="10"/>
  <c r="K38" i="10"/>
  <c r="I38" i="10"/>
  <c r="T40" i="10"/>
  <c r="R40" i="10"/>
  <c r="P40" i="10"/>
  <c r="L40" i="10"/>
  <c r="J40" i="10"/>
  <c r="H40" i="10"/>
  <c r="U40" i="10"/>
  <c r="S40" i="10"/>
  <c r="Q40" i="10"/>
  <c r="O40" i="10"/>
  <c r="M40" i="10"/>
  <c r="K40" i="10"/>
  <c r="I40" i="10"/>
  <c r="T42" i="10"/>
  <c r="R42" i="10"/>
  <c r="P42" i="10"/>
  <c r="L42" i="10"/>
  <c r="J42" i="10"/>
  <c r="H42" i="10"/>
  <c r="U42" i="10"/>
  <c r="S42" i="10"/>
  <c r="Q42" i="10"/>
  <c r="O42" i="10"/>
  <c r="M42" i="10"/>
  <c r="K42" i="10"/>
  <c r="I42" i="10"/>
  <c r="T44" i="10"/>
  <c r="R44" i="10"/>
  <c r="P44" i="10"/>
  <c r="L44" i="10"/>
  <c r="J44" i="10"/>
  <c r="H44" i="10"/>
  <c r="U44" i="10"/>
  <c r="S44" i="10"/>
  <c r="Q44" i="10"/>
  <c r="O44" i="10"/>
  <c r="M44" i="10"/>
  <c r="K44" i="10"/>
  <c r="I44" i="10"/>
  <c r="T46" i="10"/>
  <c r="R46" i="10"/>
  <c r="P46" i="10"/>
  <c r="L46" i="10"/>
  <c r="J46" i="10"/>
  <c r="H46" i="10"/>
  <c r="U46" i="10"/>
  <c r="S46" i="10"/>
  <c r="Q46" i="10"/>
  <c r="O46" i="10"/>
  <c r="M46" i="10"/>
  <c r="K46" i="10"/>
  <c r="I46" i="10"/>
  <c r="T48" i="10"/>
  <c r="R48" i="10"/>
  <c r="P48" i="10"/>
  <c r="L48" i="10"/>
  <c r="J48" i="10"/>
  <c r="H48" i="10"/>
  <c r="U48" i="10"/>
  <c r="S48" i="10"/>
  <c r="Q48" i="10"/>
  <c r="O48" i="10"/>
  <c r="M48" i="10"/>
  <c r="K48" i="10"/>
  <c r="I48" i="10"/>
  <c r="T50" i="10"/>
  <c r="R50" i="10"/>
  <c r="P50" i="10"/>
  <c r="L50" i="10"/>
  <c r="J50" i="10"/>
  <c r="H50" i="10"/>
  <c r="U50" i="10"/>
  <c r="S50" i="10"/>
  <c r="Q50" i="10"/>
  <c r="O50" i="10"/>
  <c r="M50" i="10"/>
  <c r="K50" i="10"/>
  <c r="I50" i="10"/>
  <c r="T52" i="10"/>
  <c r="R52" i="10"/>
  <c r="P52" i="10"/>
  <c r="L52" i="10"/>
  <c r="J52" i="10"/>
  <c r="H52" i="10"/>
  <c r="U52" i="10"/>
  <c r="S52" i="10"/>
  <c r="Q52" i="10"/>
  <c r="O52" i="10"/>
  <c r="M52" i="10"/>
  <c r="K52" i="10"/>
  <c r="I52" i="10"/>
  <c r="T54" i="10"/>
  <c r="R54" i="10"/>
  <c r="P54" i="10"/>
  <c r="L54" i="10"/>
  <c r="J54" i="10"/>
  <c r="H54" i="10"/>
  <c r="U54" i="10"/>
  <c r="S54" i="10"/>
  <c r="Q54" i="10"/>
  <c r="O54" i="10"/>
  <c r="M54" i="10"/>
  <c r="K54" i="10"/>
  <c r="I54" i="10"/>
  <c r="T56" i="10"/>
  <c r="R56" i="10"/>
  <c r="P56" i="10"/>
  <c r="L56" i="10"/>
  <c r="J56" i="10"/>
  <c r="H56" i="10"/>
  <c r="U56" i="10"/>
  <c r="S56" i="10"/>
  <c r="Q56" i="10"/>
  <c r="O56" i="10"/>
  <c r="M56" i="10"/>
  <c r="K56" i="10"/>
  <c r="I56" i="10"/>
  <c r="T58" i="10"/>
  <c r="R58" i="10"/>
  <c r="P58" i="10"/>
  <c r="L58" i="10"/>
  <c r="J58" i="10"/>
  <c r="H58" i="10"/>
  <c r="U58" i="10"/>
  <c r="S58" i="10"/>
  <c r="Q58" i="10"/>
  <c r="O58" i="10"/>
  <c r="M58" i="10"/>
  <c r="K58" i="10"/>
  <c r="I58" i="10"/>
  <c r="T60" i="10"/>
  <c r="R60" i="10"/>
  <c r="P60" i="10"/>
  <c r="L60" i="10"/>
  <c r="J60" i="10"/>
  <c r="H60" i="10"/>
  <c r="U60" i="10"/>
  <c r="S60" i="10"/>
  <c r="Q60" i="10"/>
  <c r="O60" i="10"/>
  <c r="M60" i="10"/>
  <c r="K60" i="10"/>
  <c r="I60" i="10"/>
  <c r="T62" i="10"/>
  <c r="R62" i="10"/>
  <c r="P62" i="10"/>
  <c r="L62" i="10"/>
  <c r="J62" i="10"/>
  <c r="H62" i="10"/>
  <c r="U62" i="10"/>
  <c r="S62" i="10"/>
  <c r="Q62" i="10"/>
  <c r="O62" i="10"/>
  <c r="M62" i="10"/>
  <c r="K62" i="10"/>
  <c r="I62" i="10"/>
  <c r="AF30" i="10"/>
  <c r="AI30" i="10" s="1"/>
  <c r="AL30" i="10" s="1"/>
  <c r="AO30" i="10" s="1"/>
  <c r="AR30" i="10" s="1"/>
  <c r="AC31" i="10"/>
  <c r="C46" i="10"/>
  <c r="C50" i="10"/>
  <c r="C54" i="10"/>
  <c r="C60" i="10"/>
  <c r="C62" i="10"/>
  <c r="C48" i="10"/>
  <c r="C40" i="10"/>
  <c r="C38" i="10"/>
  <c r="C39" i="10"/>
  <c r="C41" i="10"/>
  <c r="C47" i="10"/>
  <c r="C51" i="10"/>
  <c r="C55" i="10"/>
  <c r="C59" i="10"/>
  <c r="C113" i="10"/>
  <c r="C109" i="10"/>
  <c r="C105" i="10"/>
  <c r="C111" i="10"/>
  <c r="C107" i="10"/>
  <c r="D37" i="10"/>
  <c r="D42" i="10"/>
  <c r="D43" i="10"/>
  <c r="D44" i="10"/>
  <c r="D45" i="10"/>
  <c r="D52" i="10"/>
  <c r="D53" i="10"/>
  <c r="D57" i="10"/>
  <c r="D58" i="10"/>
  <c r="C37" i="10"/>
  <c r="D38" i="10"/>
  <c r="D39" i="10"/>
  <c r="D40" i="10"/>
  <c r="D41" i="10"/>
  <c r="C42" i="10"/>
  <c r="C43" i="10"/>
  <c r="C44" i="10"/>
  <c r="C45" i="10"/>
  <c r="D46" i="10"/>
  <c r="D47" i="10"/>
  <c r="D48" i="10"/>
  <c r="C49" i="10"/>
  <c r="D50" i="10"/>
  <c r="D51" i="10"/>
  <c r="C52" i="10"/>
  <c r="C53" i="10"/>
  <c r="D54" i="10"/>
  <c r="D55" i="10"/>
  <c r="C56" i="10"/>
  <c r="C57" i="10"/>
  <c r="C58" i="10"/>
  <c r="D59" i="10"/>
  <c r="D60" i="10"/>
  <c r="C61" i="10"/>
  <c r="D62" i="10"/>
  <c r="D49" i="10"/>
  <c r="D56" i="10"/>
  <c r="D61" i="10"/>
  <c r="B36" i="10"/>
  <c r="N36" i="10" s="1"/>
  <c r="B35" i="10"/>
  <c r="N35" i="10" s="1"/>
  <c r="B34" i="10"/>
  <c r="N34" i="10" s="1"/>
  <c r="B33" i="10"/>
  <c r="N33" i="10" s="1"/>
  <c r="B32" i="10"/>
  <c r="N32" i="10" s="1"/>
  <c r="B31" i="10"/>
  <c r="N31" i="10" s="1"/>
  <c r="T31" i="10" l="1"/>
  <c r="R31" i="10"/>
  <c r="P31" i="10"/>
  <c r="L31" i="10"/>
  <c r="J31" i="10"/>
  <c r="H31" i="10"/>
  <c r="U31" i="10"/>
  <c r="S31" i="10"/>
  <c r="Q31" i="10"/>
  <c r="O31" i="10"/>
  <c r="M31" i="10"/>
  <c r="K31" i="10"/>
  <c r="I31" i="10"/>
  <c r="T33" i="10"/>
  <c r="R33" i="10"/>
  <c r="P33" i="10"/>
  <c r="L33" i="10"/>
  <c r="J33" i="10"/>
  <c r="H33" i="10"/>
  <c r="U33" i="10"/>
  <c r="S33" i="10"/>
  <c r="Q33" i="10"/>
  <c r="O33" i="10"/>
  <c r="M33" i="10"/>
  <c r="K33" i="10"/>
  <c r="I33" i="10"/>
  <c r="T35" i="10"/>
  <c r="R35" i="10"/>
  <c r="P35" i="10"/>
  <c r="L35" i="10"/>
  <c r="J35" i="10"/>
  <c r="H35" i="10"/>
  <c r="U35" i="10"/>
  <c r="S35" i="10"/>
  <c r="Q35" i="10"/>
  <c r="O35" i="10"/>
  <c r="M35" i="10"/>
  <c r="K35" i="10"/>
  <c r="I35" i="10"/>
  <c r="T32" i="10"/>
  <c r="R32" i="10"/>
  <c r="P32" i="10"/>
  <c r="L32" i="10"/>
  <c r="J32" i="10"/>
  <c r="H32" i="10"/>
  <c r="U32" i="10"/>
  <c r="S32" i="10"/>
  <c r="Q32" i="10"/>
  <c r="O32" i="10"/>
  <c r="M32" i="10"/>
  <c r="K32" i="10"/>
  <c r="I32" i="10"/>
  <c r="T34" i="10"/>
  <c r="R34" i="10"/>
  <c r="P34" i="10"/>
  <c r="L34" i="10"/>
  <c r="J34" i="10"/>
  <c r="H34" i="10"/>
  <c r="U34" i="10"/>
  <c r="S34" i="10"/>
  <c r="Q34" i="10"/>
  <c r="O34" i="10"/>
  <c r="M34" i="10"/>
  <c r="K34" i="10"/>
  <c r="I34" i="10"/>
  <c r="T36" i="10"/>
  <c r="R36" i="10"/>
  <c r="P36" i="10"/>
  <c r="L36" i="10"/>
  <c r="J36" i="10"/>
  <c r="H36" i="10"/>
  <c r="U36" i="10"/>
  <c r="S36" i="10"/>
  <c r="Q36" i="10"/>
  <c r="O36" i="10"/>
  <c r="M36" i="10"/>
  <c r="K36" i="10"/>
  <c r="I36" i="10"/>
  <c r="AF31" i="10"/>
  <c r="AI31" i="10" s="1"/>
  <c r="AL31" i="10" s="1"/>
  <c r="AO31" i="10" s="1"/>
  <c r="AR31" i="10" s="1"/>
  <c r="AC32" i="10"/>
  <c r="C36" i="10"/>
  <c r="C31" i="10"/>
  <c r="C32" i="10"/>
  <c r="C33" i="10"/>
  <c r="C34" i="10"/>
  <c r="C35" i="10"/>
  <c r="D36" i="10"/>
  <c r="D31" i="10"/>
  <c r="D32" i="10"/>
  <c r="D33" i="10"/>
  <c r="D34" i="10"/>
  <c r="D35" i="10"/>
  <c r="B30" i="10"/>
  <c r="N30" i="10" s="1"/>
  <c r="B29" i="10"/>
  <c r="N29" i="10" s="1"/>
  <c r="B28" i="10"/>
  <c r="N28" i="10" s="1"/>
  <c r="B27" i="10"/>
  <c r="N27" i="10" s="1"/>
  <c r="B26" i="10"/>
  <c r="N26" i="10" s="1"/>
  <c r="B25" i="10"/>
  <c r="N25" i="10" s="1"/>
  <c r="B24" i="10"/>
  <c r="N24" i="10" s="1"/>
  <c r="B23" i="10"/>
  <c r="N23" i="10" s="1"/>
  <c r="B22" i="10"/>
  <c r="N22" i="10" s="1"/>
  <c r="T22" i="10" l="1"/>
  <c r="R22" i="10"/>
  <c r="P22" i="10"/>
  <c r="L22" i="10"/>
  <c r="J22" i="10"/>
  <c r="H22" i="10"/>
  <c r="U22" i="10"/>
  <c r="S22" i="10"/>
  <c r="Q22" i="10"/>
  <c r="O22" i="10"/>
  <c r="M22" i="10"/>
  <c r="K22" i="10"/>
  <c r="I22" i="10"/>
  <c r="T24" i="10"/>
  <c r="R24" i="10"/>
  <c r="P24" i="10"/>
  <c r="L24" i="10"/>
  <c r="J24" i="10"/>
  <c r="H24" i="10"/>
  <c r="U24" i="10"/>
  <c r="S24" i="10"/>
  <c r="Q24" i="10"/>
  <c r="O24" i="10"/>
  <c r="M24" i="10"/>
  <c r="K24" i="10"/>
  <c r="I24" i="10"/>
  <c r="T26" i="10"/>
  <c r="R26" i="10"/>
  <c r="P26" i="10"/>
  <c r="L26" i="10"/>
  <c r="J26" i="10"/>
  <c r="H26" i="10"/>
  <c r="U26" i="10"/>
  <c r="S26" i="10"/>
  <c r="Q26" i="10"/>
  <c r="O26" i="10"/>
  <c r="M26" i="10"/>
  <c r="K26" i="10"/>
  <c r="I26" i="10"/>
  <c r="T28" i="10"/>
  <c r="R28" i="10"/>
  <c r="P28" i="10"/>
  <c r="L28" i="10"/>
  <c r="J28" i="10"/>
  <c r="H28" i="10"/>
  <c r="U28" i="10"/>
  <c r="S28" i="10"/>
  <c r="Q28" i="10"/>
  <c r="O28" i="10"/>
  <c r="M28" i="10"/>
  <c r="K28" i="10"/>
  <c r="I28" i="10"/>
  <c r="T30" i="10"/>
  <c r="R30" i="10"/>
  <c r="P30" i="10"/>
  <c r="L30" i="10"/>
  <c r="J30" i="10"/>
  <c r="H30" i="10"/>
  <c r="U30" i="10"/>
  <c r="S30" i="10"/>
  <c r="Q30" i="10"/>
  <c r="O30" i="10"/>
  <c r="M30" i="10"/>
  <c r="K30" i="10"/>
  <c r="I30" i="10"/>
  <c r="T23" i="10"/>
  <c r="R23" i="10"/>
  <c r="P23" i="10"/>
  <c r="L23" i="10"/>
  <c r="J23" i="10"/>
  <c r="H23" i="10"/>
  <c r="U23" i="10"/>
  <c r="S23" i="10"/>
  <c r="Q23" i="10"/>
  <c r="O23" i="10"/>
  <c r="M23" i="10"/>
  <c r="K23" i="10"/>
  <c r="I23" i="10"/>
  <c r="T25" i="10"/>
  <c r="R25" i="10"/>
  <c r="P25" i="10"/>
  <c r="L25" i="10"/>
  <c r="J25" i="10"/>
  <c r="H25" i="10"/>
  <c r="U25" i="10"/>
  <c r="S25" i="10"/>
  <c r="Q25" i="10"/>
  <c r="O25" i="10"/>
  <c r="M25" i="10"/>
  <c r="K25" i="10"/>
  <c r="I25" i="10"/>
  <c r="T27" i="10"/>
  <c r="R27" i="10"/>
  <c r="P27" i="10"/>
  <c r="L27" i="10"/>
  <c r="J27" i="10"/>
  <c r="H27" i="10"/>
  <c r="U27" i="10"/>
  <c r="S27" i="10"/>
  <c r="Q27" i="10"/>
  <c r="O27" i="10"/>
  <c r="M27" i="10"/>
  <c r="K27" i="10"/>
  <c r="I27" i="10"/>
  <c r="T29" i="10"/>
  <c r="R29" i="10"/>
  <c r="P29" i="10"/>
  <c r="L29" i="10"/>
  <c r="J29" i="10"/>
  <c r="H29" i="10"/>
  <c r="U29" i="10"/>
  <c r="S29" i="10"/>
  <c r="Q29" i="10"/>
  <c r="O29" i="10"/>
  <c r="M29" i="10"/>
  <c r="K29" i="10"/>
  <c r="I29" i="10"/>
  <c r="AF32" i="10"/>
  <c r="AI32" i="10" s="1"/>
  <c r="AL32" i="10" s="1"/>
  <c r="AO32" i="10" s="1"/>
  <c r="AR32" i="10" s="1"/>
  <c r="AC33" i="10"/>
  <c r="C22" i="10"/>
  <c r="C23" i="10"/>
  <c r="C24" i="10"/>
  <c r="C25" i="10"/>
  <c r="C26" i="10"/>
  <c r="C27" i="10"/>
  <c r="C28" i="10"/>
  <c r="C29" i="10"/>
  <c r="C30" i="10"/>
  <c r="D22" i="10"/>
  <c r="D23" i="10"/>
  <c r="D24" i="10"/>
  <c r="D25" i="10"/>
  <c r="D26" i="10"/>
  <c r="D27" i="10"/>
  <c r="D28" i="10"/>
  <c r="D29" i="10"/>
  <c r="D30" i="10"/>
  <c r="B21" i="10"/>
  <c r="N21" i="10" s="1"/>
  <c r="B20" i="10"/>
  <c r="N20" i="10" s="1"/>
  <c r="T21" i="10" l="1"/>
  <c r="R21" i="10"/>
  <c r="P21" i="10"/>
  <c r="L21" i="10"/>
  <c r="J21" i="10"/>
  <c r="H21" i="10"/>
  <c r="U21" i="10"/>
  <c r="S21" i="10"/>
  <c r="Q21" i="10"/>
  <c r="O21" i="10"/>
  <c r="M21" i="10"/>
  <c r="K21" i="10"/>
  <c r="I21" i="10"/>
  <c r="T20" i="10"/>
  <c r="R20" i="10"/>
  <c r="P20" i="10"/>
  <c r="L20" i="10"/>
  <c r="J20" i="10"/>
  <c r="H20" i="10"/>
  <c r="U20" i="10"/>
  <c r="S20" i="10"/>
  <c r="Q20" i="10"/>
  <c r="O20" i="10"/>
  <c r="M20" i="10"/>
  <c r="K20" i="10"/>
  <c r="I20" i="10"/>
  <c r="AF33" i="10"/>
  <c r="AI33" i="10" s="1"/>
  <c r="AL33" i="10" s="1"/>
  <c r="AO33" i="10" s="1"/>
  <c r="AR33" i="10" s="1"/>
  <c r="AC34" i="10"/>
  <c r="C20" i="10"/>
  <c r="D21" i="10"/>
  <c r="D20" i="10"/>
  <c r="C21" i="10"/>
  <c r="B19" i="10"/>
  <c r="N19" i="10" s="1"/>
  <c r="B18" i="10"/>
  <c r="N18" i="10" s="1"/>
  <c r="B17" i="10"/>
  <c r="N17" i="10" s="1"/>
  <c r="T17" i="10" l="1"/>
  <c r="R17" i="10"/>
  <c r="P17" i="10"/>
  <c r="L17" i="10"/>
  <c r="J17" i="10"/>
  <c r="H17" i="10"/>
  <c r="U17" i="10"/>
  <c r="S17" i="10"/>
  <c r="Q17" i="10"/>
  <c r="O17" i="10"/>
  <c r="M17" i="10"/>
  <c r="K17" i="10"/>
  <c r="I17" i="10"/>
  <c r="T19" i="10"/>
  <c r="R19" i="10"/>
  <c r="P19" i="10"/>
  <c r="L19" i="10"/>
  <c r="J19" i="10"/>
  <c r="H19" i="10"/>
  <c r="U19" i="10"/>
  <c r="S19" i="10"/>
  <c r="Q19" i="10"/>
  <c r="O19" i="10"/>
  <c r="M19" i="10"/>
  <c r="K19" i="10"/>
  <c r="I19" i="10"/>
  <c r="T18" i="10"/>
  <c r="R18" i="10"/>
  <c r="P18" i="10"/>
  <c r="L18" i="10"/>
  <c r="J18" i="10"/>
  <c r="H18" i="10"/>
  <c r="U18" i="10"/>
  <c r="S18" i="10"/>
  <c r="Q18" i="10"/>
  <c r="O18" i="10"/>
  <c r="M18" i="10"/>
  <c r="K18" i="10"/>
  <c r="I18" i="10"/>
  <c r="AF34" i="10"/>
  <c r="AI34" i="10" s="1"/>
  <c r="AL34" i="10" s="1"/>
  <c r="AO34" i="10" s="1"/>
  <c r="AR34" i="10" s="1"/>
  <c r="C17" i="10"/>
  <c r="C18" i="10"/>
  <c r="C19" i="10"/>
  <c r="D17" i="10"/>
  <c r="D18" i="10"/>
  <c r="D19" i="10"/>
  <c r="B16" i="10"/>
  <c r="N16" i="10" s="1"/>
  <c r="AC35" i="10" l="1"/>
  <c r="AF35" i="10" s="1"/>
  <c r="AI35" i="10" s="1"/>
  <c r="AL35" i="10" s="1"/>
  <c r="AO35" i="10" s="1"/>
  <c r="AR35" i="10" s="1"/>
  <c r="T16" i="10"/>
  <c r="R16" i="10"/>
  <c r="P16" i="10"/>
  <c r="L16" i="10"/>
  <c r="J16" i="10"/>
  <c r="H16" i="10"/>
  <c r="U16" i="10"/>
  <c r="S16" i="10"/>
  <c r="Q16" i="10"/>
  <c r="O16" i="10"/>
  <c r="M16" i="10"/>
  <c r="K16" i="10"/>
  <c r="I16" i="10"/>
  <c r="C16" i="10"/>
  <c r="D16" i="10"/>
  <c r="B15" i="10"/>
  <c r="N15" i="10" s="1"/>
  <c r="T15" i="10" l="1"/>
  <c r="R15" i="10"/>
  <c r="P15" i="10"/>
  <c r="L15" i="10"/>
  <c r="J15" i="10"/>
  <c r="H15" i="10"/>
  <c r="U15" i="10"/>
  <c r="S15" i="10"/>
  <c r="Q15" i="10"/>
  <c r="O15" i="10"/>
  <c r="M15" i="10"/>
  <c r="K15" i="10"/>
  <c r="I15" i="10"/>
  <c r="D15" i="10"/>
  <c r="C15" i="10"/>
  <c r="B14" i="10"/>
  <c r="N14" i="10" s="1"/>
  <c r="T14" i="10" l="1"/>
  <c r="R14" i="10"/>
  <c r="P14" i="10"/>
  <c r="L14" i="10"/>
  <c r="J14" i="10"/>
  <c r="H14" i="10"/>
  <c r="U14" i="10"/>
  <c r="S14" i="10"/>
  <c r="Q14" i="10"/>
  <c r="O14" i="10"/>
  <c r="M14" i="10"/>
  <c r="K14" i="10"/>
  <c r="I14" i="10"/>
  <c r="C14" i="10"/>
  <c r="D14" i="10"/>
  <c r="B13" i="10"/>
  <c r="N13" i="10" s="1"/>
  <c r="T13" i="10" l="1"/>
  <c r="R13" i="10"/>
  <c r="P13" i="10"/>
  <c r="L13" i="10"/>
  <c r="J13" i="10"/>
  <c r="H13" i="10"/>
  <c r="U13" i="10"/>
  <c r="S13" i="10"/>
  <c r="Q13" i="10"/>
  <c r="O13" i="10"/>
  <c r="M13" i="10"/>
  <c r="K13" i="10"/>
  <c r="I13" i="10"/>
  <c r="D13" i="10"/>
  <c r="C13" i="10"/>
  <c r="B12" i="10"/>
  <c r="N12" i="10" s="1"/>
  <c r="T12" i="10" l="1"/>
  <c r="R12" i="10"/>
  <c r="P12" i="10"/>
  <c r="L12" i="10"/>
  <c r="J12" i="10"/>
  <c r="H12" i="10"/>
  <c r="U12" i="10"/>
  <c r="S12" i="10"/>
  <c r="Q12" i="10"/>
  <c r="O12" i="10"/>
  <c r="M12" i="10"/>
  <c r="K12" i="10"/>
  <c r="I12" i="10"/>
  <c r="C12" i="10"/>
  <c r="D12" i="10"/>
  <c r="B11" i="10"/>
  <c r="N11" i="10" s="1"/>
  <c r="T11" i="10" l="1"/>
  <c r="R11" i="10"/>
  <c r="P11" i="10"/>
  <c r="L11" i="10"/>
  <c r="J11" i="10"/>
  <c r="H11" i="10"/>
  <c r="U11" i="10"/>
  <c r="S11" i="10"/>
  <c r="Q11" i="10"/>
  <c r="O11" i="10"/>
  <c r="M11" i="10"/>
  <c r="K11" i="10"/>
  <c r="I11" i="10"/>
  <c r="C11" i="10"/>
  <c r="D11" i="10"/>
  <c r="B10" i="10"/>
  <c r="N10" i="10" s="1"/>
  <c r="T10" i="10" l="1"/>
  <c r="R10" i="10"/>
  <c r="P10" i="10"/>
  <c r="L10" i="10"/>
  <c r="J10" i="10"/>
  <c r="H10" i="10"/>
  <c r="U10" i="10"/>
  <c r="S10" i="10"/>
  <c r="Q10" i="10"/>
  <c r="O10" i="10"/>
  <c r="M10" i="10"/>
  <c r="K10" i="10"/>
  <c r="I10" i="10"/>
  <c r="D10" i="10"/>
  <c r="C10" i="10"/>
  <c r="B9" i="10"/>
  <c r="N9" i="10" s="1"/>
  <c r="T9" i="10" l="1"/>
  <c r="R9" i="10"/>
  <c r="P9" i="10"/>
  <c r="L9" i="10"/>
  <c r="J9" i="10"/>
  <c r="H9" i="10"/>
  <c r="U9" i="10"/>
  <c r="S9" i="10"/>
  <c r="Q9" i="10"/>
  <c r="O9" i="10"/>
  <c r="M9" i="10"/>
  <c r="K9" i="10"/>
  <c r="I9" i="10"/>
  <c r="C9" i="10"/>
  <c r="D9" i="10"/>
  <c r="B8" i="10"/>
  <c r="N8" i="10" s="1"/>
  <c r="T8" i="10" l="1"/>
  <c r="R8" i="10"/>
  <c r="P8" i="10"/>
  <c r="L8" i="10"/>
  <c r="J8" i="10"/>
  <c r="H8" i="10"/>
  <c r="U8" i="10"/>
  <c r="S8" i="10"/>
  <c r="Q8" i="10"/>
  <c r="O8" i="10"/>
  <c r="M8" i="10"/>
  <c r="K8" i="10"/>
  <c r="I8" i="10"/>
  <c r="D8" i="10"/>
  <c r="C8" i="10"/>
  <c r="B7" i="10"/>
  <c r="N7" i="10" s="1"/>
  <c r="T7" i="10" l="1"/>
  <c r="R7" i="10"/>
  <c r="P7" i="10"/>
  <c r="L7" i="10"/>
  <c r="J7" i="10"/>
  <c r="H7" i="10"/>
  <c r="U7" i="10"/>
  <c r="S7" i="10"/>
  <c r="Q7" i="10"/>
  <c r="O7" i="10"/>
  <c r="M7" i="10"/>
  <c r="K7" i="10"/>
  <c r="I7" i="10"/>
  <c r="D7" i="10"/>
  <c r="C7" i="10"/>
  <c r="B6" i="10"/>
  <c r="N6" i="10" s="1"/>
  <c r="T6" i="10" l="1"/>
  <c r="R6" i="10"/>
  <c r="P6" i="10"/>
  <c r="L6" i="10"/>
  <c r="J6" i="10"/>
  <c r="H6" i="10"/>
  <c r="U6" i="10"/>
  <c r="S6" i="10"/>
  <c r="Q6" i="10"/>
  <c r="O6" i="10"/>
  <c r="M6" i="10"/>
  <c r="K6" i="10"/>
  <c r="I6" i="10"/>
  <c r="C6" i="10"/>
  <c r="D6" i="10"/>
  <c r="B5" i="10"/>
  <c r="N5" i="10" s="1"/>
  <c r="C3" i="10"/>
  <c r="B3" i="10"/>
  <c r="I308" i="21"/>
  <c r="G308" i="21"/>
  <c r="E308" i="21"/>
  <c r="I307" i="21"/>
  <c r="G307" i="21"/>
  <c r="E307" i="21"/>
  <c r="I306" i="21"/>
  <c r="G306" i="21"/>
  <c r="E306" i="21"/>
  <c r="T5" i="10" l="1"/>
  <c r="T2" i="10" s="1"/>
  <c r="R5" i="10"/>
  <c r="R2" i="10" s="1"/>
  <c r="P5" i="10"/>
  <c r="P2" i="10" s="1"/>
  <c r="L5" i="10"/>
  <c r="J5" i="10"/>
  <c r="H5" i="10"/>
  <c r="H2" i="10" s="1"/>
  <c r="U5" i="10"/>
  <c r="U2" i="10" s="1"/>
  <c r="S5" i="10"/>
  <c r="S2" i="10" s="1"/>
  <c r="Q5" i="10"/>
  <c r="Q2" i="10" s="1"/>
  <c r="O5" i="10"/>
  <c r="O2" i="10" s="1"/>
  <c r="M5" i="10"/>
  <c r="K5" i="10"/>
  <c r="I5" i="10"/>
  <c r="I2" i="10" s="1"/>
  <c r="D5" i="10"/>
  <c r="L2" i="10" l="1"/>
  <c r="M2" i="10"/>
  <c r="J2" i="10"/>
  <c r="N2" i="10"/>
  <c r="K2" i="10"/>
  <c r="C5" i="10"/>
  <c r="K304" i="21"/>
  <c r="L304" i="21" s="1"/>
  <c r="B304" i="21"/>
  <c r="K303" i="21"/>
  <c r="B303" i="21"/>
  <c r="K302" i="21"/>
  <c r="B302" i="21"/>
  <c r="K301" i="21"/>
  <c r="B301" i="21"/>
  <c r="K300" i="21"/>
  <c r="B300" i="21"/>
  <c r="K299" i="21"/>
  <c r="B299" i="21"/>
  <c r="K298" i="21"/>
  <c r="B298" i="21"/>
  <c r="K297" i="21"/>
  <c r="B297" i="21"/>
  <c r="K296" i="21"/>
  <c r="B296" i="21"/>
  <c r="K295" i="21"/>
  <c r="B295" i="21"/>
  <c r="K294" i="21"/>
  <c r="B294" i="21"/>
  <c r="K293" i="21"/>
  <c r="B293" i="21"/>
  <c r="K292" i="21"/>
  <c r="B292" i="21"/>
  <c r="K291" i="21"/>
  <c r="B291" i="21"/>
  <c r="K290" i="21"/>
  <c r="B290" i="21"/>
  <c r="K289" i="21"/>
  <c r="B289" i="21"/>
  <c r="K288" i="21"/>
  <c r="B288" i="21"/>
  <c r="K287" i="21"/>
  <c r="B287" i="21"/>
  <c r="K286" i="21"/>
  <c r="B286" i="21"/>
  <c r="K285" i="21"/>
  <c r="B285" i="21"/>
  <c r="K284" i="21"/>
  <c r="B284" i="21"/>
  <c r="K283" i="21"/>
  <c r="B283" i="21"/>
  <c r="K282" i="21"/>
  <c r="B282" i="21"/>
  <c r="K281" i="21"/>
  <c r="B281" i="21"/>
  <c r="K280" i="21"/>
  <c r="B280" i="21"/>
  <c r="K279" i="21"/>
  <c r="B279" i="21"/>
  <c r="K278" i="21"/>
  <c r="B278" i="21"/>
  <c r="K277" i="21"/>
  <c r="B277" i="21"/>
  <c r="K276" i="21"/>
  <c r="B276" i="21"/>
  <c r="K275" i="21"/>
  <c r="B275" i="21"/>
  <c r="K274" i="21"/>
  <c r="B274" i="21"/>
  <c r="K273" i="21"/>
  <c r="B273" i="21"/>
  <c r="K272" i="21"/>
  <c r="B272" i="21"/>
  <c r="K271" i="21"/>
  <c r="B271" i="21"/>
  <c r="K270" i="21"/>
  <c r="B270" i="21"/>
  <c r="K269" i="21"/>
  <c r="B269" i="21"/>
  <c r="K268" i="21"/>
  <c r="B268" i="21"/>
  <c r="K267" i="21"/>
  <c r="B267" i="21"/>
  <c r="K266" i="21"/>
  <c r="B266" i="21"/>
  <c r="K265" i="21"/>
  <c r="B265" i="21"/>
  <c r="K264" i="21"/>
  <c r="B264" i="21"/>
  <c r="K263" i="21"/>
  <c r="B263" i="21"/>
  <c r="K262" i="21"/>
  <c r="B262" i="21"/>
  <c r="K261" i="21"/>
  <c r="B261" i="21"/>
  <c r="K260" i="21"/>
  <c r="B260" i="21"/>
  <c r="K259" i="21"/>
  <c r="B259" i="21"/>
  <c r="K258" i="21"/>
  <c r="B258" i="21"/>
  <c r="K257" i="21"/>
  <c r="B257" i="21"/>
  <c r="K256" i="21"/>
  <c r="B256" i="21"/>
  <c r="K255" i="21"/>
  <c r="B255" i="21"/>
  <c r="K254" i="21"/>
  <c r="B254" i="21"/>
  <c r="K253" i="21"/>
  <c r="B253" i="21"/>
  <c r="K252" i="21"/>
  <c r="B252" i="21"/>
  <c r="K251" i="21"/>
  <c r="B251" i="21"/>
  <c r="K250" i="21"/>
  <c r="B250" i="21"/>
  <c r="K249" i="21"/>
  <c r="B249" i="21"/>
  <c r="K248" i="21"/>
  <c r="B248" i="21"/>
  <c r="K247" i="21"/>
  <c r="B247" i="21"/>
  <c r="K246" i="21"/>
  <c r="B246" i="21"/>
  <c r="K245" i="21"/>
  <c r="B245" i="21"/>
  <c r="K244" i="21"/>
  <c r="B244" i="21"/>
  <c r="K243" i="21"/>
  <c r="B243" i="21"/>
  <c r="K242" i="21"/>
  <c r="B242" i="21"/>
  <c r="K241" i="21"/>
  <c r="B241" i="21"/>
  <c r="K240" i="21"/>
  <c r="B240" i="21"/>
  <c r="K239" i="21"/>
  <c r="B239" i="21"/>
  <c r="K238" i="21"/>
  <c r="B238" i="21"/>
  <c r="K237" i="21"/>
  <c r="B237" i="21"/>
  <c r="K236" i="21"/>
  <c r="B236" i="21"/>
  <c r="K235" i="21"/>
  <c r="B235" i="21"/>
  <c r="K234" i="21"/>
  <c r="B234" i="21"/>
  <c r="K233" i="21"/>
  <c r="B233" i="21"/>
  <c r="K232" i="21"/>
  <c r="B232" i="21"/>
  <c r="K231" i="21"/>
  <c r="B231" i="21"/>
  <c r="K230" i="21"/>
  <c r="B230" i="21"/>
  <c r="K229" i="21"/>
  <c r="B229" i="21"/>
  <c r="K228" i="21"/>
  <c r="B228" i="21"/>
  <c r="K227" i="21"/>
  <c r="B227" i="21"/>
  <c r="K226" i="21"/>
  <c r="B226" i="21"/>
  <c r="K225" i="21"/>
  <c r="B225" i="21"/>
  <c r="K224" i="21"/>
  <c r="B224" i="21"/>
  <c r="K223" i="21"/>
  <c r="B223" i="21"/>
  <c r="K222" i="21"/>
  <c r="B222" i="21"/>
  <c r="K221" i="21"/>
  <c r="B221" i="21"/>
  <c r="K220" i="21"/>
  <c r="B220" i="21"/>
  <c r="K219" i="21"/>
  <c r="B219" i="21"/>
  <c r="K218" i="21"/>
  <c r="B218" i="21"/>
  <c r="K217" i="21"/>
  <c r="B217" i="21"/>
  <c r="K216" i="21"/>
  <c r="B216" i="21"/>
  <c r="K215" i="21"/>
  <c r="B215" i="21"/>
  <c r="K214" i="21"/>
  <c r="B214" i="21"/>
  <c r="K213" i="21"/>
  <c r="B213" i="21"/>
  <c r="K212" i="21"/>
  <c r="B212" i="21"/>
  <c r="K211" i="21"/>
  <c r="B211" i="21"/>
  <c r="K210" i="21"/>
  <c r="B210" i="21"/>
  <c r="K209" i="21"/>
  <c r="B209" i="21"/>
  <c r="K208" i="21"/>
  <c r="B208" i="21"/>
  <c r="K207" i="21"/>
  <c r="B207" i="21"/>
  <c r="K206" i="21"/>
  <c r="B206" i="21"/>
  <c r="K205" i="21"/>
  <c r="B205" i="21"/>
  <c r="L228" i="21" l="1"/>
  <c r="L230" i="21"/>
  <c r="L244" i="21"/>
  <c r="C226" i="21"/>
  <c r="C220" i="21"/>
  <c r="L246" i="21"/>
  <c r="C206" i="21"/>
  <c r="C233" i="21"/>
  <c r="L236" i="21"/>
  <c r="L238" i="21"/>
  <c r="C241" i="21"/>
  <c r="C207" i="21"/>
  <c r="C212" i="21"/>
  <c r="C215" i="21"/>
  <c r="C249" i="21"/>
  <c r="L254" i="21"/>
  <c r="L258" i="21"/>
  <c r="L266" i="21"/>
  <c r="C214" i="21"/>
  <c r="C227" i="21"/>
  <c r="L231" i="21"/>
  <c r="C232" i="21"/>
  <c r="C234" i="21"/>
  <c r="L239" i="21"/>
  <c r="C240" i="21"/>
  <c r="C242" i="21"/>
  <c r="L247" i="21"/>
  <c r="C248" i="21"/>
  <c r="C250" i="21"/>
  <c r="C208" i="21"/>
  <c r="C210" i="21"/>
  <c r="C211" i="21"/>
  <c r="C216" i="21"/>
  <c r="C218" i="21"/>
  <c r="C219" i="21"/>
  <c r="C222" i="21"/>
  <c r="C223" i="21"/>
  <c r="L225" i="21"/>
  <c r="L229" i="21"/>
  <c r="C231" i="21"/>
  <c r="L237" i="21"/>
  <c r="C239" i="21"/>
  <c r="L245" i="21"/>
  <c r="C247" i="21"/>
  <c r="L251" i="21"/>
  <c r="L252" i="21"/>
  <c r="C253" i="21"/>
  <c r="L255" i="21"/>
  <c r="L256" i="21"/>
  <c r="C257" i="21"/>
  <c r="L259" i="21"/>
  <c r="C260" i="21"/>
  <c r="C261" i="21"/>
  <c r="C262" i="21"/>
  <c r="L263" i="21"/>
  <c r="L264" i="21"/>
  <c r="C265" i="21"/>
  <c r="L267" i="21"/>
  <c r="C268" i="21"/>
  <c r="C269" i="21"/>
  <c r="C270" i="21"/>
  <c r="L271" i="21"/>
  <c r="C272" i="21"/>
  <c r="C273" i="21"/>
  <c r="C274" i="21"/>
  <c r="L276" i="21"/>
  <c r="L278" i="21"/>
  <c r="L282" i="21"/>
  <c r="L275" i="21"/>
  <c r="L277" i="21"/>
  <c r="C205" i="21"/>
  <c r="C209" i="21"/>
  <c r="C213" i="21"/>
  <c r="C217" i="21"/>
  <c r="C221" i="21"/>
  <c r="C224" i="21"/>
  <c r="C225" i="21"/>
  <c r="L226" i="21"/>
  <c r="L227" i="21"/>
  <c r="C228" i="21"/>
  <c r="C229" i="21"/>
  <c r="C230" i="21"/>
  <c r="L232" i="21"/>
  <c r="L233" i="21"/>
  <c r="L234" i="21"/>
  <c r="C235" i="21"/>
  <c r="L235" i="21"/>
  <c r="C236" i="21"/>
  <c r="C237" i="21"/>
  <c r="C238" i="21"/>
  <c r="L240" i="21"/>
  <c r="L241" i="21"/>
  <c r="L242" i="21"/>
  <c r="C243" i="21"/>
  <c r="L243" i="21"/>
  <c r="C244" i="21"/>
  <c r="C245" i="21"/>
  <c r="C246" i="21"/>
  <c r="L248" i="21"/>
  <c r="L249" i="21"/>
  <c r="L250" i="21"/>
  <c r="C251" i="21"/>
  <c r="C252" i="21"/>
  <c r="L253" i="21"/>
  <c r="C254" i="21"/>
  <c r="C255" i="21"/>
  <c r="C256" i="21"/>
  <c r="L257" i="21"/>
  <c r="C258" i="21"/>
  <c r="C259" i="21"/>
  <c r="L260" i="21"/>
  <c r="L261" i="21"/>
  <c r="L262" i="21"/>
  <c r="C263" i="21"/>
  <c r="C264" i="21"/>
  <c r="L265" i="21"/>
  <c r="C266" i="21"/>
  <c r="C267" i="21"/>
  <c r="L268" i="21"/>
  <c r="L269" i="21"/>
  <c r="L270" i="21"/>
  <c r="C271" i="21"/>
  <c r="L272" i="21"/>
  <c r="L273" i="21"/>
  <c r="L274" i="21"/>
  <c r="C275" i="21"/>
  <c r="C276" i="21"/>
  <c r="C277" i="21"/>
  <c r="C278" i="21"/>
  <c r="L279" i="21"/>
  <c r="L280" i="21"/>
  <c r="C281" i="21"/>
  <c r="L283" i="21"/>
  <c r="C284" i="21"/>
  <c r="L285" i="21"/>
  <c r="C286" i="21"/>
  <c r="L287" i="21"/>
  <c r="C288" i="21"/>
  <c r="L289" i="21"/>
  <c r="C290" i="21"/>
  <c r="L291" i="21"/>
  <c r="C292" i="21"/>
  <c r="L293" i="21"/>
  <c r="C294" i="21"/>
  <c r="L295" i="21"/>
  <c r="C296" i="21"/>
  <c r="L297" i="21"/>
  <c r="C298" i="21"/>
  <c r="L299" i="21"/>
  <c r="C300" i="21"/>
  <c r="L301" i="21"/>
  <c r="C302" i="21"/>
  <c r="C303" i="21"/>
  <c r="C279" i="21"/>
  <c r="C280" i="21"/>
  <c r="L281" i="21"/>
  <c r="C282" i="21"/>
  <c r="C283" i="21"/>
  <c r="L284" i="21"/>
  <c r="C285" i="21"/>
  <c r="L286" i="21"/>
  <c r="C287" i="21"/>
  <c r="L288" i="21"/>
  <c r="C289" i="21"/>
  <c r="L290" i="21"/>
  <c r="C291" i="21"/>
  <c r="L292" i="21"/>
  <c r="C293" i="21"/>
  <c r="L294" i="21"/>
  <c r="C295" i="21"/>
  <c r="L296" i="21"/>
  <c r="C297" i="21"/>
  <c r="L298" i="21"/>
  <c r="C299" i="21"/>
  <c r="L300" i="21"/>
  <c r="C301" i="21"/>
  <c r="L302" i="21"/>
  <c r="L303" i="21"/>
  <c r="C304" i="21"/>
  <c r="K204" i="21"/>
  <c r="B204" i="21"/>
  <c r="K203" i="21"/>
  <c r="B203" i="21"/>
  <c r="K202" i="21"/>
  <c r="B202" i="21"/>
  <c r="K201" i="21"/>
  <c r="B201" i="21"/>
  <c r="K200" i="21"/>
  <c r="B200" i="21"/>
  <c r="K199" i="21"/>
  <c r="B199" i="21"/>
  <c r="K198" i="21"/>
  <c r="B198" i="21"/>
  <c r="K197" i="21"/>
  <c r="B197" i="21"/>
  <c r="K196" i="21"/>
  <c r="B196" i="21"/>
  <c r="K195" i="21"/>
  <c r="B195" i="21"/>
  <c r="K194" i="21"/>
  <c r="B194" i="21"/>
  <c r="K193" i="21"/>
  <c r="B193" i="21"/>
  <c r="K192" i="21"/>
  <c r="B192" i="21"/>
  <c r="K191" i="21"/>
  <c r="B191" i="21"/>
  <c r="K190" i="21"/>
  <c r="B190" i="21"/>
  <c r="K189" i="21"/>
  <c r="C197" i="21" l="1"/>
  <c r="C193" i="21"/>
  <c r="C201" i="21"/>
  <c r="C191" i="21"/>
  <c r="C195" i="21"/>
  <c r="C199" i="21"/>
  <c r="C203" i="21"/>
  <c r="C190" i="21"/>
  <c r="C192" i="21"/>
  <c r="C194" i="21"/>
  <c r="C196" i="21"/>
  <c r="C198" i="21"/>
  <c r="C200" i="21"/>
  <c r="C202" i="21"/>
  <c r="C204" i="21"/>
  <c r="B189" i="21"/>
  <c r="K188" i="21"/>
  <c r="B188" i="21"/>
  <c r="K187" i="21"/>
  <c r="B187" i="21"/>
  <c r="K186" i="21"/>
  <c r="B186" i="21"/>
  <c r="K185" i="21"/>
  <c r="B185" i="21"/>
  <c r="K184" i="21"/>
  <c r="B184" i="21"/>
  <c r="K183" i="21"/>
  <c r="B183" i="21"/>
  <c r="K182" i="21"/>
  <c r="B182" i="21"/>
  <c r="K181" i="21"/>
  <c r="B181" i="21"/>
  <c r="K180" i="21"/>
  <c r="B180" i="21"/>
  <c r="K179" i="21"/>
  <c r="B179" i="21"/>
  <c r="K178" i="21"/>
  <c r="B178" i="21"/>
  <c r="K177" i="21"/>
  <c r="B177" i="21"/>
  <c r="K176" i="21"/>
  <c r="B176" i="21"/>
  <c r="K175" i="21"/>
  <c r="B175" i="21"/>
  <c r="K174" i="21"/>
  <c r="B174" i="21"/>
  <c r="K173" i="21"/>
  <c r="B173" i="21"/>
  <c r="K172" i="21"/>
  <c r="B172" i="21"/>
  <c r="K171" i="21"/>
  <c r="B171" i="21"/>
  <c r="K170" i="21"/>
  <c r="B170" i="21"/>
  <c r="K169" i="21"/>
  <c r="B169" i="21"/>
  <c r="K168" i="21"/>
  <c r="B168" i="21"/>
  <c r="K167" i="21"/>
  <c r="B167" i="21"/>
  <c r="K166" i="21"/>
  <c r="B166" i="21"/>
  <c r="K165" i="21"/>
  <c r="B165" i="21"/>
  <c r="K164" i="21"/>
  <c r="B164" i="21"/>
  <c r="K163" i="21"/>
  <c r="B163" i="21"/>
  <c r="K162" i="21"/>
  <c r="B162" i="21"/>
  <c r="K161" i="21"/>
  <c r="B161" i="21"/>
  <c r="K160" i="21"/>
  <c r="B160" i="21"/>
  <c r="K159" i="21"/>
  <c r="B159" i="21"/>
  <c r="K158" i="21"/>
  <c r="B158" i="21"/>
  <c r="K157" i="21"/>
  <c r="B157" i="21"/>
  <c r="K156" i="21"/>
  <c r="B156" i="21"/>
  <c r="K155" i="21"/>
  <c r="B155" i="21"/>
  <c r="K154" i="21"/>
  <c r="B154" i="21"/>
  <c r="K153" i="21"/>
  <c r="B153" i="21"/>
  <c r="K152" i="21"/>
  <c r="B152" i="21"/>
  <c r="K151" i="21"/>
  <c r="B151" i="21"/>
  <c r="K150" i="21"/>
  <c r="B150" i="21"/>
  <c r="K149" i="21"/>
  <c r="B149" i="21"/>
  <c r="K148" i="21"/>
  <c r="B148" i="21"/>
  <c r="K147" i="21"/>
  <c r="B147" i="21"/>
  <c r="K146" i="21"/>
  <c r="B146" i="21"/>
  <c r="K145" i="21"/>
  <c r="B145" i="21"/>
  <c r="K144" i="21"/>
  <c r="B144" i="21"/>
  <c r="K143" i="21"/>
  <c r="B143" i="21"/>
  <c r="K142" i="21"/>
  <c r="B142" i="21"/>
  <c r="K141" i="21"/>
  <c r="B141" i="21"/>
  <c r="K140" i="21"/>
  <c r="B140" i="21"/>
  <c r="K139" i="21"/>
  <c r="B139" i="21"/>
  <c r="K138" i="21"/>
  <c r="B138" i="21"/>
  <c r="K137" i="21"/>
  <c r="B137" i="21"/>
  <c r="K136" i="21"/>
  <c r="B136" i="21"/>
  <c r="K135" i="21"/>
  <c r="B135" i="21"/>
  <c r="K134" i="21"/>
  <c r="B134" i="21"/>
  <c r="C174" i="21" l="1"/>
  <c r="C162" i="21"/>
  <c r="C167" i="21"/>
  <c r="C170" i="21"/>
  <c r="C164" i="21"/>
  <c r="C166" i="21"/>
  <c r="C168" i="21"/>
  <c r="C169" i="21"/>
  <c r="C171" i="21"/>
  <c r="C172" i="21"/>
  <c r="C173" i="21"/>
  <c r="C176" i="21"/>
  <c r="C178" i="21"/>
  <c r="C180" i="21"/>
  <c r="C182" i="21"/>
  <c r="C184" i="21"/>
  <c r="C186" i="21"/>
  <c r="C188" i="21"/>
  <c r="C175" i="21"/>
  <c r="C177" i="21"/>
  <c r="C179" i="21"/>
  <c r="C181" i="21"/>
  <c r="C183" i="21"/>
  <c r="C185" i="21"/>
  <c r="C187" i="21"/>
  <c r="C189" i="21"/>
  <c r="C134" i="21"/>
  <c r="C136" i="21"/>
  <c r="C137" i="21"/>
  <c r="C138" i="21"/>
  <c r="C146" i="21"/>
  <c r="C149" i="21"/>
  <c r="C151" i="21"/>
  <c r="C152" i="21"/>
  <c r="C154" i="21"/>
  <c r="C155" i="21"/>
  <c r="C156" i="21"/>
  <c r="C158" i="21"/>
  <c r="C159" i="21"/>
  <c r="C135" i="21"/>
  <c r="C139" i="21"/>
  <c r="C140" i="21"/>
  <c r="C141" i="21"/>
  <c r="C142" i="21"/>
  <c r="C145" i="21"/>
  <c r="C147" i="21"/>
  <c r="C148" i="21"/>
  <c r="C153" i="21"/>
  <c r="C160" i="21"/>
  <c r="C161" i="21"/>
  <c r="C165" i="21"/>
  <c r="K133" i="21"/>
  <c r="B133" i="21"/>
  <c r="K132" i="21"/>
  <c r="B132" i="21"/>
  <c r="K131" i="21"/>
  <c r="B131" i="21"/>
  <c r="K130" i="21"/>
  <c r="B130" i="21"/>
  <c r="K129" i="21"/>
  <c r="B129" i="21"/>
  <c r="K128" i="21"/>
  <c r="B128" i="21"/>
  <c r="K127" i="21"/>
  <c r="B127" i="21"/>
  <c r="K126" i="21"/>
  <c r="B126" i="21"/>
  <c r="K125" i="21"/>
  <c r="B125" i="21"/>
  <c r="K124" i="21"/>
  <c r="B124" i="21"/>
  <c r="K123" i="21"/>
  <c r="B123" i="21"/>
  <c r="K122" i="21"/>
  <c r="B122" i="21"/>
  <c r="K121" i="21"/>
  <c r="B121" i="21"/>
  <c r="K120" i="21"/>
  <c r="B120" i="21"/>
  <c r="K119" i="21"/>
  <c r="B119" i="21"/>
  <c r="K118" i="21"/>
  <c r="B118" i="21"/>
  <c r="K117" i="21"/>
  <c r="B117" i="21"/>
  <c r="K116" i="21"/>
  <c r="B116" i="21"/>
  <c r="K115" i="21"/>
  <c r="B115" i="21"/>
  <c r="K114" i="21"/>
  <c r="B114" i="21"/>
  <c r="K113" i="21"/>
  <c r="B113" i="21"/>
  <c r="K112" i="21"/>
  <c r="B112" i="21"/>
  <c r="K111" i="21"/>
  <c r="B111" i="21"/>
  <c r="K110" i="21"/>
  <c r="B110" i="21"/>
  <c r="K109" i="21"/>
  <c r="B109" i="21"/>
  <c r="K108" i="21"/>
  <c r="B108" i="21"/>
  <c r="K107" i="21"/>
  <c r="B107" i="21"/>
  <c r="K106" i="21"/>
  <c r="B106" i="21"/>
  <c r="K105" i="21"/>
  <c r="B105" i="21"/>
  <c r="K104" i="21"/>
  <c r="B104" i="21"/>
  <c r="K103" i="21"/>
  <c r="B103" i="21"/>
  <c r="K102" i="21"/>
  <c r="B102" i="21"/>
  <c r="K101" i="21"/>
  <c r="B101" i="21"/>
  <c r="K100" i="21"/>
  <c r="B100" i="21"/>
  <c r="K99" i="21"/>
  <c r="B99" i="21"/>
  <c r="K98" i="21"/>
  <c r="B98" i="21"/>
  <c r="K97" i="21"/>
  <c r="B97" i="21"/>
  <c r="K96" i="21"/>
  <c r="B96" i="21"/>
  <c r="K95" i="21"/>
  <c r="B95" i="21"/>
  <c r="K94" i="21"/>
  <c r="B94" i="21"/>
  <c r="K93" i="21"/>
  <c r="B93" i="21"/>
  <c r="K92" i="21"/>
  <c r="B92" i="21"/>
  <c r="K91" i="21"/>
  <c r="B91" i="21"/>
  <c r="K90" i="21"/>
  <c r="B90" i="21"/>
  <c r="K89" i="21"/>
  <c r="B89" i="21"/>
  <c r="K88" i="21"/>
  <c r="B88" i="21"/>
  <c r="K87" i="21"/>
  <c r="B87" i="21"/>
  <c r="K86" i="21"/>
  <c r="B86" i="21"/>
  <c r="K85" i="21"/>
  <c r="B85" i="21"/>
  <c r="K84" i="21"/>
  <c r="B84" i="21"/>
  <c r="K83" i="21"/>
  <c r="B83" i="21"/>
  <c r="K82" i="21"/>
  <c r="B82" i="21"/>
  <c r="K81" i="21"/>
  <c r="B81" i="21"/>
  <c r="K80" i="21"/>
  <c r="B80" i="21"/>
  <c r="K79" i="21"/>
  <c r="B79" i="21"/>
  <c r="K78" i="21"/>
  <c r="B78" i="21"/>
  <c r="K77" i="21"/>
  <c r="B77" i="21"/>
  <c r="K76" i="21"/>
  <c r="B76" i="21"/>
  <c r="K75" i="21"/>
  <c r="B75" i="21"/>
  <c r="K74" i="21"/>
  <c r="B74" i="21"/>
  <c r="K73" i="21"/>
  <c r="B73" i="21"/>
  <c r="K72" i="21"/>
  <c r="B72" i="21"/>
  <c r="K71" i="21"/>
  <c r="B71" i="21"/>
  <c r="K70" i="21"/>
  <c r="B70" i="21"/>
  <c r="K69" i="21"/>
  <c r="B69" i="21"/>
  <c r="K68" i="21"/>
  <c r="B68" i="21"/>
  <c r="K67" i="21"/>
  <c r="B67" i="21"/>
  <c r="K66" i="21"/>
  <c r="B66" i="21"/>
  <c r="K65" i="21"/>
  <c r="B65" i="21"/>
  <c r="K64" i="21"/>
  <c r="B64" i="21"/>
  <c r="K63" i="21"/>
  <c r="B63" i="21"/>
  <c r="K62" i="21"/>
  <c r="B62" i="21"/>
  <c r="K61" i="21"/>
  <c r="B61" i="21"/>
  <c r="K60" i="21"/>
  <c r="B60" i="21"/>
  <c r="K59" i="21"/>
  <c r="B59" i="21"/>
  <c r="K58" i="21"/>
  <c r="B58" i="21"/>
  <c r="K57" i="21"/>
  <c r="B57" i="21"/>
  <c r="K56" i="21"/>
  <c r="B56" i="21"/>
  <c r="K55" i="21"/>
  <c r="B55" i="21"/>
  <c r="K54" i="21"/>
  <c r="B54" i="21"/>
  <c r="K53" i="21"/>
  <c r="B53" i="21"/>
  <c r="K52" i="21"/>
  <c r="B52" i="21"/>
  <c r="K51" i="21"/>
  <c r="B51" i="21"/>
  <c r="K50" i="21"/>
  <c r="B50" i="21"/>
  <c r="K49" i="21"/>
  <c r="B49" i="21"/>
  <c r="K48" i="21"/>
  <c r="B48" i="21"/>
  <c r="K47" i="21"/>
  <c r="B47" i="21"/>
  <c r="K46" i="21"/>
  <c r="B46" i="21"/>
  <c r="K45" i="21"/>
  <c r="B45" i="21"/>
  <c r="K44" i="21"/>
  <c r="B44" i="21"/>
  <c r="K43" i="21"/>
  <c r="B43" i="21"/>
  <c r="K42" i="21"/>
  <c r="B42" i="21"/>
  <c r="K41" i="21"/>
  <c r="B41" i="21"/>
  <c r="K40" i="21"/>
  <c r="B40" i="21"/>
  <c r="K39" i="21"/>
  <c r="B39" i="21"/>
  <c r="K38" i="21"/>
  <c r="B38" i="21"/>
  <c r="K37" i="21"/>
  <c r="B37" i="21"/>
  <c r="K36" i="21"/>
  <c r="B36" i="21"/>
  <c r="K35" i="21"/>
  <c r="B35" i="21"/>
  <c r="K34" i="21"/>
  <c r="B34" i="21"/>
  <c r="K33" i="21"/>
  <c r="B33" i="21"/>
  <c r="K32" i="21"/>
  <c r="B32" i="21"/>
  <c r="K31" i="21"/>
  <c r="B31" i="21"/>
  <c r="K30" i="21"/>
  <c r="B30" i="21"/>
  <c r="K29" i="21"/>
  <c r="B29" i="21"/>
  <c r="K28" i="21"/>
  <c r="B28" i="21"/>
  <c r="K27" i="21"/>
  <c r="B27" i="21"/>
  <c r="K26" i="21"/>
  <c r="B26" i="21"/>
  <c r="K25" i="21"/>
  <c r="B25" i="21"/>
  <c r="K24" i="21"/>
  <c r="B24" i="21"/>
  <c r="K23" i="21"/>
  <c r="B23" i="21"/>
  <c r="K22" i="21"/>
  <c r="B22" i="21"/>
  <c r="K21" i="21"/>
  <c r="B21" i="21"/>
  <c r="K20" i="21"/>
  <c r="B20" i="21"/>
  <c r="K19" i="21"/>
  <c r="B19" i="21"/>
  <c r="K18" i="21"/>
  <c r="B18" i="21"/>
  <c r="K17" i="21"/>
  <c r="B17" i="21"/>
  <c r="K16" i="21"/>
  <c r="B16" i="21"/>
  <c r="K15" i="21"/>
  <c r="B15" i="21"/>
  <c r="K14" i="21"/>
  <c r="B14" i="21"/>
  <c r="K13" i="21"/>
  <c r="B13" i="21"/>
  <c r="K12" i="21"/>
  <c r="B12" i="21"/>
  <c r="K11" i="21"/>
  <c r="B11" i="21"/>
  <c r="K10" i="21"/>
  <c r="B10" i="21"/>
  <c r="K9" i="21"/>
  <c r="B9" i="21"/>
  <c r="K8" i="21"/>
  <c r="B8" i="21"/>
  <c r="K7" i="21"/>
  <c r="B7" i="21"/>
  <c r="K6" i="21"/>
  <c r="B6" i="21"/>
  <c r="Q5" i="21"/>
  <c r="O5" i="21"/>
  <c r="M5" i="21"/>
  <c r="K5" i="21"/>
  <c r="B5" i="21"/>
  <c r="C120" i="21" l="1"/>
  <c r="C6" i="21"/>
  <c r="C7" i="21"/>
  <c r="C8" i="21"/>
  <c r="C9" i="21"/>
  <c r="C10" i="21"/>
  <c r="C11" i="21"/>
  <c r="C16" i="21"/>
  <c r="C19" i="21"/>
  <c r="C20" i="21"/>
  <c r="C21" i="21"/>
  <c r="C22" i="21"/>
  <c r="C23" i="21"/>
  <c r="C26" i="21"/>
  <c r="C27" i="21"/>
  <c r="C28" i="21"/>
  <c r="C29" i="21"/>
  <c r="C31" i="21"/>
  <c r="C33" i="21"/>
  <c r="C36" i="21"/>
  <c r="C37" i="21"/>
  <c r="C40" i="21"/>
  <c r="C41" i="21"/>
  <c r="C42" i="21"/>
  <c r="C46" i="21"/>
  <c r="C51" i="21"/>
  <c r="C53" i="21"/>
  <c r="C54" i="21"/>
  <c r="C55" i="21"/>
  <c r="C56" i="21"/>
  <c r="C57" i="21"/>
  <c r="C60" i="21"/>
  <c r="C73" i="21"/>
  <c r="C75" i="21"/>
  <c r="C77" i="21"/>
  <c r="C78" i="21"/>
  <c r="C79" i="21"/>
  <c r="C80" i="21"/>
  <c r="C83" i="21"/>
  <c r="C86" i="21"/>
  <c r="C88" i="21"/>
  <c r="C89" i="21"/>
  <c r="C90" i="21"/>
  <c r="C91" i="21"/>
  <c r="C94" i="21"/>
  <c r="C95" i="21"/>
  <c r="C101" i="21"/>
  <c r="C105" i="21"/>
  <c r="C109" i="21"/>
  <c r="C122" i="21"/>
  <c r="C128" i="21"/>
  <c r="C130" i="21"/>
  <c r="C131" i="21"/>
  <c r="C132" i="21"/>
  <c r="C133" i="21"/>
  <c r="C12" i="21"/>
  <c r="C13" i="21"/>
  <c r="C15" i="21"/>
  <c r="C17" i="21"/>
  <c r="C18" i="21"/>
  <c r="C24" i="21"/>
  <c r="C25" i="21"/>
  <c r="C30" i="21"/>
  <c r="C34" i="21"/>
  <c r="C39" i="21"/>
  <c r="C43" i="21"/>
  <c r="C44" i="21"/>
  <c r="C45" i="21"/>
  <c r="C47" i="21"/>
  <c r="C48" i="21"/>
  <c r="C50" i="21"/>
  <c r="C61" i="21"/>
  <c r="C62" i="21"/>
  <c r="C64" i="21"/>
  <c r="C65" i="21"/>
  <c r="C69" i="21"/>
  <c r="C70" i="21"/>
  <c r="C71" i="21"/>
  <c r="C72" i="21"/>
  <c r="C74" i="21"/>
  <c r="C81" i="21"/>
  <c r="C84" i="21"/>
  <c r="C85" i="21"/>
  <c r="C87" i="21"/>
  <c r="C96" i="21"/>
  <c r="C97" i="21"/>
  <c r="C98" i="21"/>
  <c r="C99" i="21"/>
  <c r="C103" i="21"/>
  <c r="C106" i="21"/>
  <c r="C107" i="21"/>
  <c r="C108" i="21"/>
  <c r="C111" i="21"/>
  <c r="C117" i="21"/>
  <c r="C118" i="21"/>
  <c r="C119" i="21"/>
  <c r="C123" i="21"/>
  <c r="C124" i="21"/>
  <c r="C127" i="21"/>
  <c r="C129" i="21"/>
  <c r="AI5" i="23" l="1"/>
  <c r="AG5" i="23"/>
  <c r="AE5" i="23"/>
  <c r="AC5" i="23"/>
  <c r="AI5" i="24" l="1"/>
  <c r="AG5" i="24"/>
  <c r="AE5" i="24"/>
  <c r="AC5" i="24"/>
  <c r="C305" i="11" l="1"/>
  <c r="C304" i="11"/>
  <c r="E304" i="11" s="1"/>
  <c r="E305" i="11" l="1"/>
  <c r="F305" i="11" s="1"/>
  <c r="F304" i="11"/>
  <c r="AU303" i="11"/>
  <c r="AV302" i="11"/>
  <c r="AX302" i="11"/>
  <c r="AW303" i="11"/>
  <c r="C300" i="23"/>
  <c r="C300" i="24"/>
  <c r="C304" i="23"/>
  <c r="C304" i="24"/>
  <c r="C305" i="23"/>
  <c r="C305" i="24"/>
  <c r="AW305" i="11"/>
  <c r="AU305" i="11"/>
  <c r="D305" i="11"/>
  <c r="AX305" i="11"/>
  <c r="AV305" i="11"/>
  <c r="AK305" i="11" s="1"/>
  <c r="AK305" i="24" s="1"/>
  <c r="AV300" i="11"/>
  <c r="AK300" i="11" s="1"/>
  <c r="AK300" i="24" s="1"/>
  <c r="AV304" i="11"/>
  <c r="AK304" i="11" s="1"/>
  <c r="AK304" i="24" s="1"/>
  <c r="C301" i="23"/>
  <c r="C301" i="24"/>
  <c r="C302" i="23"/>
  <c r="C302" i="24"/>
  <c r="C303" i="23"/>
  <c r="C303" i="24"/>
  <c r="AV301" i="11"/>
  <c r="AK301" i="11" s="1"/>
  <c r="AK301" i="24" s="1"/>
  <c r="AX301" i="11"/>
  <c r="AU300" i="11"/>
  <c r="AX300" i="11"/>
  <c r="AW300" i="11" s="1"/>
  <c r="AU301" i="11"/>
  <c r="AW301" i="11"/>
  <c r="AW302" i="11"/>
  <c r="AV303" i="11"/>
  <c r="AK303" i="11" s="1"/>
  <c r="AK303" i="24" s="1"/>
  <c r="AX303" i="11"/>
  <c r="D304" i="11"/>
  <c r="AU304" i="11"/>
  <c r="AX304" i="11"/>
  <c r="AW304" i="11" s="1"/>
  <c r="C183" i="11"/>
  <c r="C182" i="11"/>
  <c r="C181" i="11"/>
  <c r="C180" i="11"/>
  <c r="C179" i="11"/>
  <c r="C178" i="11"/>
  <c r="C177" i="11"/>
  <c r="C176" i="11"/>
  <c r="AK301" i="23" l="1"/>
  <c r="AK303" i="23"/>
  <c r="E305" i="24"/>
  <c r="F305" i="24" s="1"/>
  <c r="E304" i="24"/>
  <c r="F304" i="24" s="1"/>
  <c r="E300" i="24"/>
  <c r="F300" i="24" s="1"/>
  <c r="E303" i="24"/>
  <c r="F303" i="24" s="1"/>
  <c r="E302" i="24"/>
  <c r="F302" i="24" s="1"/>
  <c r="E301" i="24"/>
  <c r="F301" i="24" s="1"/>
  <c r="AU302" i="11"/>
  <c r="AK302" i="11"/>
  <c r="E177" i="11"/>
  <c r="F177" i="11" s="1"/>
  <c r="E181" i="11"/>
  <c r="F181" i="11" s="1"/>
  <c r="E183" i="11"/>
  <c r="F183" i="11" s="1"/>
  <c r="E305" i="23"/>
  <c r="F305" i="23" s="1"/>
  <c r="E304" i="23"/>
  <c r="F304" i="23" s="1"/>
  <c r="E300" i="23"/>
  <c r="F300" i="23" s="1"/>
  <c r="E179" i="11"/>
  <c r="F179" i="11" s="1"/>
  <c r="E176" i="11"/>
  <c r="F176" i="11" s="1"/>
  <c r="E178" i="11"/>
  <c r="F178" i="11" s="1"/>
  <c r="E180" i="11"/>
  <c r="F180" i="11" s="1"/>
  <c r="E182" i="11"/>
  <c r="F182" i="11" s="1"/>
  <c r="E303" i="23"/>
  <c r="F303" i="23" s="1"/>
  <c r="E302" i="23"/>
  <c r="F302" i="23" s="1"/>
  <c r="E301" i="23"/>
  <c r="F301" i="23" s="1"/>
  <c r="AU177" i="11"/>
  <c r="AU179" i="11"/>
  <c r="AU181" i="11"/>
  <c r="AU183" i="11"/>
  <c r="AU185" i="11"/>
  <c r="AU187" i="11"/>
  <c r="AU189" i="11"/>
  <c r="AU191" i="11"/>
  <c r="AV193" i="11"/>
  <c r="AK193" i="11" s="1"/>
  <c r="AU195" i="11"/>
  <c r="AU197" i="11"/>
  <c r="AV199" i="11"/>
  <c r="AK199" i="11" s="1"/>
  <c r="AK199" i="23" s="1"/>
  <c r="AU201" i="11"/>
  <c r="AU203" i="11"/>
  <c r="AV205" i="11"/>
  <c r="AK205" i="11" s="1"/>
  <c r="AK205" i="24" s="1"/>
  <c r="AU207" i="11"/>
  <c r="AU209" i="11"/>
  <c r="AW213" i="11"/>
  <c r="AU217" i="11"/>
  <c r="AU219" i="11"/>
  <c r="AV221" i="11"/>
  <c r="AK221" i="11" s="1"/>
  <c r="AK221" i="24" s="1"/>
  <c r="AW223" i="11"/>
  <c r="AW225" i="11"/>
  <c r="AW227" i="11"/>
  <c r="AW229" i="11"/>
  <c r="AW231" i="11"/>
  <c r="AW233" i="11"/>
  <c r="AW235" i="11"/>
  <c r="AW237" i="11"/>
  <c r="AW239" i="11"/>
  <c r="AW241" i="11"/>
  <c r="AW243" i="11"/>
  <c r="AW247" i="11"/>
  <c r="AU249" i="11"/>
  <c r="AW251" i="11"/>
  <c r="AU253" i="11"/>
  <c r="AX255" i="11"/>
  <c r="AX257" i="11"/>
  <c r="AW259" i="11"/>
  <c r="AU261" i="11"/>
  <c r="AW263" i="11"/>
  <c r="AU265" i="11"/>
  <c r="AU267" i="11"/>
  <c r="AW269" i="11"/>
  <c r="AU271" i="11"/>
  <c r="AW273" i="11"/>
  <c r="AU275" i="11"/>
  <c r="AW277" i="11"/>
  <c r="AV279" i="11"/>
  <c r="AU281" i="11"/>
  <c r="AV283" i="11"/>
  <c r="AU285" i="11"/>
  <c r="AV287" i="11"/>
  <c r="AU289" i="11"/>
  <c r="AX293" i="11"/>
  <c r="AW293" i="11" s="1"/>
  <c r="AX295" i="11"/>
  <c r="AX297" i="11"/>
  <c r="AW297" i="11" s="1"/>
  <c r="AU176" i="11"/>
  <c r="AU178" i="11"/>
  <c r="AU180" i="11"/>
  <c r="AU182" i="11"/>
  <c r="AU184" i="11"/>
  <c r="AU186" i="11"/>
  <c r="AU188" i="11"/>
  <c r="AU190" i="11"/>
  <c r="AU192" i="11"/>
  <c r="AV194" i="11"/>
  <c r="AK194" i="11" s="1"/>
  <c r="AU196" i="11"/>
  <c r="AV198" i="11"/>
  <c r="AK198" i="11" s="1"/>
  <c r="AK198" i="23" s="1"/>
  <c r="AV200" i="11"/>
  <c r="AK200" i="11" s="1"/>
  <c r="AK200" i="23" s="1"/>
  <c r="AU204" i="11"/>
  <c r="AV206" i="11"/>
  <c r="AV208" i="11"/>
  <c r="AX210" i="11"/>
  <c r="AV216" i="11"/>
  <c r="AV218" i="11"/>
  <c r="AV220" i="11"/>
  <c r="AX222" i="11"/>
  <c r="AX224" i="11"/>
  <c r="AX226" i="11"/>
  <c r="AX228" i="11"/>
  <c r="AX230" i="11"/>
  <c r="AX232" i="11"/>
  <c r="AX234" i="11"/>
  <c r="AX236" i="11"/>
  <c r="AX238" i="11"/>
  <c r="AX240" i="11"/>
  <c r="AX242" i="11"/>
  <c r="AX244" i="11"/>
  <c r="AX246" i="11"/>
  <c r="AV248" i="11"/>
  <c r="AX250" i="11"/>
  <c r="AW250" i="11" s="1"/>
  <c r="AV252" i="11"/>
  <c r="AX254" i="11"/>
  <c r="AX256" i="11"/>
  <c r="AX258" i="11"/>
  <c r="AV260" i="11"/>
  <c r="AX262" i="11"/>
  <c r="AV264" i="11"/>
  <c r="AW266" i="11"/>
  <c r="AX268" i="11"/>
  <c r="AU270" i="11"/>
  <c r="AX272" i="11"/>
  <c r="AU274" i="11"/>
  <c r="AX276" i="11"/>
  <c r="AU278" i="11"/>
  <c r="AU280" i="11"/>
  <c r="AU282" i="11"/>
  <c r="AU284" i="11"/>
  <c r="AU286" i="11"/>
  <c r="AU288" i="11"/>
  <c r="AU290" i="11"/>
  <c r="AX294" i="11"/>
  <c r="AW294" i="11" s="1"/>
  <c r="AX296" i="11"/>
  <c r="AW296" i="11" s="1"/>
  <c r="AX298" i="11"/>
  <c r="AW298" i="11" s="1"/>
  <c r="AX270" i="11"/>
  <c r="AW270" i="11" s="1"/>
  <c r="AX274" i="11"/>
  <c r="AW274" i="11" s="1"/>
  <c r="AX278" i="11"/>
  <c r="AW278" i="11" s="1"/>
  <c r="AX280" i="11"/>
  <c r="AW280" i="11" s="1"/>
  <c r="AX282" i="11"/>
  <c r="AW282" i="11" s="1"/>
  <c r="AX284" i="11"/>
  <c r="AW284" i="11" s="1"/>
  <c r="AX286" i="11"/>
  <c r="AW286" i="11" s="1"/>
  <c r="AX288" i="11"/>
  <c r="AW288" i="11" s="1"/>
  <c r="AX290" i="11"/>
  <c r="AW290" i="11" s="1"/>
  <c r="AW267" i="11"/>
  <c r="AW271" i="11"/>
  <c r="AW275" i="11"/>
  <c r="AX279" i="11"/>
  <c r="AX281" i="11"/>
  <c r="AW281" i="11" s="1"/>
  <c r="AX283" i="11"/>
  <c r="AX285" i="11"/>
  <c r="AW285" i="11" s="1"/>
  <c r="AX287" i="11"/>
  <c r="AX289" i="11"/>
  <c r="AW289" i="11" s="1"/>
  <c r="AK304" i="23"/>
  <c r="AK300" i="23"/>
  <c r="D176" i="11"/>
  <c r="AW176" i="11"/>
  <c r="D177" i="11"/>
  <c r="AW177" i="11"/>
  <c r="D178" i="11"/>
  <c r="AW178" i="11"/>
  <c r="D179" i="11"/>
  <c r="AW179" i="11"/>
  <c r="D180" i="11"/>
  <c r="AW180" i="11"/>
  <c r="D181" i="11"/>
  <c r="AW181" i="11"/>
  <c r="D182" i="11"/>
  <c r="AW182" i="11"/>
  <c r="D183" i="11"/>
  <c r="AW183" i="11"/>
  <c r="AW184" i="11"/>
  <c r="AW185" i="11"/>
  <c r="AW186" i="11"/>
  <c r="AW187" i="11"/>
  <c r="AW188" i="11"/>
  <c r="AW189" i="11"/>
  <c r="AW190" i="11"/>
  <c r="AW191" i="11"/>
  <c r="AW192" i="11"/>
  <c r="AX193" i="11"/>
  <c r="AX194" i="11"/>
  <c r="AX195" i="11"/>
  <c r="AX196" i="11"/>
  <c r="AX197" i="11"/>
  <c r="AX198" i="11"/>
  <c r="AX199" i="11"/>
  <c r="AX200" i="11"/>
  <c r="AX201" i="11"/>
  <c r="AV202" i="11"/>
  <c r="AK202" i="11" s="1"/>
  <c r="AK202" i="23" s="1"/>
  <c r="AX202" i="11"/>
  <c r="AW245" i="11"/>
  <c r="AX203" i="11"/>
  <c r="AW204" i="11"/>
  <c r="AX205" i="11"/>
  <c r="AX206" i="11"/>
  <c r="AW207" i="11"/>
  <c r="AX208" i="11"/>
  <c r="AW209" i="11"/>
  <c r="AX216" i="11"/>
  <c r="AW217" i="11"/>
  <c r="AX218" i="11"/>
  <c r="AW219" i="11"/>
  <c r="AX220" i="11"/>
  <c r="AV226" i="11"/>
  <c r="AU227" i="11"/>
  <c r="AV228" i="11"/>
  <c r="AU229" i="11"/>
  <c r="AV230" i="11"/>
  <c r="AU231" i="11"/>
  <c r="AV232" i="11"/>
  <c r="AU233" i="11"/>
  <c r="AV236" i="11"/>
  <c r="AU237" i="11"/>
  <c r="AV240" i="11"/>
  <c r="AU241" i="11"/>
  <c r="AV244" i="11"/>
  <c r="AU245" i="11"/>
  <c r="AX248" i="11"/>
  <c r="AW249" i="11"/>
  <c r="AX252" i="11"/>
  <c r="AW253" i="11"/>
  <c r="AX260" i="11"/>
  <c r="AW261" i="11"/>
  <c r="AX264" i="11"/>
  <c r="AW265" i="11"/>
  <c r="C211" i="23"/>
  <c r="C211" i="24"/>
  <c r="E211" i="24" s="1"/>
  <c r="AX211" i="11"/>
  <c r="C212" i="23"/>
  <c r="C212" i="24"/>
  <c r="E212" i="24" s="1"/>
  <c r="AX213" i="11"/>
  <c r="C214" i="23"/>
  <c r="C214" i="24"/>
  <c r="E214" i="24" s="1"/>
  <c r="C215" i="23"/>
  <c r="C215" i="24"/>
  <c r="E215" i="24" s="1"/>
  <c r="C176" i="23"/>
  <c r="C176" i="24"/>
  <c r="AX176" i="11"/>
  <c r="C177" i="23"/>
  <c r="C177" i="24"/>
  <c r="AX177" i="11"/>
  <c r="C178" i="23"/>
  <c r="C178" i="24"/>
  <c r="AX178" i="11"/>
  <c r="C179" i="23"/>
  <c r="C179" i="24"/>
  <c r="AX179" i="11"/>
  <c r="C180" i="23"/>
  <c r="C180" i="24"/>
  <c r="AX180" i="11"/>
  <c r="C181" i="23"/>
  <c r="C181" i="24"/>
  <c r="AX181" i="11"/>
  <c r="C182" i="23"/>
  <c r="C182" i="24"/>
  <c r="AX182" i="11"/>
  <c r="C183" i="23"/>
  <c r="C183" i="24"/>
  <c r="AX183" i="11"/>
  <c r="C184" i="23"/>
  <c r="C184" i="24"/>
  <c r="AX184" i="11"/>
  <c r="C185" i="23"/>
  <c r="C185" i="24"/>
  <c r="AX185" i="11"/>
  <c r="C186" i="23"/>
  <c r="C186" i="24"/>
  <c r="AX186" i="11"/>
  <c r="C187" i="23"/>
  <c r="C187" i="24"/>
  <c r="AX187" i="11"/>
  <c r="C188" i="23"/>
  <c r="C188" i="24"/>
  <c r="AX188" i="11"/>
  <c r="C189" i="23"/>
  <c r="C189" i="24"/>
  <c r="AX189" i="11"/>
  <c r="C190" i="23"/>
  <c r="C190" i="24"/>
  <c r="AX190" i="11"/>
  <c r="C191" i="23"/>
  <c r="C191" i="24"/>
  <c r="AX191" i="11"/>
  <c r="C192" i="23"/>
  <c r="C192" i="24"/>
  <c r="AX192" i="11"/>
  <c r="C193" i="23"/>
  <c r="C193" i="24"/>
  <c r="C194" i="23"/>
  <c r="C194" i="24"/>
  <c r="C195" i="23"/>
  <c r="C195" i="24"/>
  <c r="C196" i="23"/>
  <c r="C196" i="24"/>
  <c r="C197" i="23"/>
  <c r="C197" i="24"/>
  <c r="C198" i="23"/>
  <c r="C198" i="24"/>
  <c r="C199" i="23"/>
  <c r="C199" i="24"/>
  <c r="C200" i="23"/>
  <c r="C200" i="24"/>
  <c r="C201" i="23"/>
  <c r="C201" i="24"/>
  <c r="C202" i="23"/>
  <c r="C202" i="24"/>
  <c r="C203" i="23"/>
  <c r="C203" i="24"/>
  <c r="C204" i="23"/>
  <c r="C204" i="24"/>
  <c r="AX204" i="11"/>
  <c r="C205" i="23"/>
  <c r="C205" i="24"/>
  <c r="E205" i="24" s="1"/>
  <c r="C206" i="23"/>
  <c r="C206" i="24"/>
  <c r="E206" i="24" s="1"/>
  <c r="C207" i="23"/>
  <c r="C207" i="24"/>
  <c r="E207" i="24" s="1"/>
  <c r="AX207" i="11"/>
  <c r="C208" i="23"/>
  <c r="C208" i="24"/>
  <c r="E208" i="24" s="1"/>
  <c r="C209" i="23"/>
  <c r="C209" i="24"/>
  <c r="E209" i="24" s="1"/>
  <c r="C216" i="23"/>
  <c r="C216" i="24"/>
  <c r="E216" i="24" s="1"/>
  <c r="C217" i="23"/>
  <c r="C217" i="24"/>
  <c r="E217" i="24" s="1"/>
  <c r="AX217" i="11"/>
  <c r="C218" i="23"/>
  <c r="C218" i="24"/>
  <c r="E218" i="24" s="1"/>
  <c r="C219" i="23"/>
  <c r="C219" i="24"/>
  <c r="E219" i="24" s="1"/>
  <c r="AX219" i="11"/>
  <c r="C220" i="23"/>
  <c r="C220" i="24"/>
  <c r="E220" i="24" s="1"/>
  <c r="C221" i="23"/>
  <c r="C221" i="24"/>
  <c r="E221" i="24" s="1"/>
  <c r="C226" i="23"/>
  <c r="C226" i="24"/>
  <c r="C227" i="23"/>
  <c r="C227" i="24"/>
  <c r="AX227" i="11"/>
  <c r="C228" i="23"/>
  <c r="C228" i="24"/>
  <c r="C229" i="23"/>
  <c r="C229" i="24"/>
  <c r="AX229" i="11"/>
  <c r="C230" i="23"/>
  <c r="C230" i="24"/>
  <c r="C231" i="23"/>
  <c r="C231" i="24"/>
  <c r="AX231" i="11"/>
  <c r="C232" i="23"/>
  <c r="C232" i="24"/>
  <c r="C233" i="23"/>
  <c r="C233" i="24"/>
  <c r="C236" i="23"/>
  <c r="C236" i="24"/>
  <c r="C237" i="23"/>
  <c r="C237" i="24"/>
  <c r="C240" i="23"/>
  <c r="C240" i="24"/>
  <c r="C241" i="23"/>
  <c r="C241" i="24"/>
  <c r="C244" i="23"/>
  <c r="C244" i="24"/>
  <c r="C245" i="23"/>
  <c r="C245" i="24"/>
  <c r="C248" i="23"/>
  <c r="C248" i="24"/>
  <c r="C249" i="23"/>
  <c r="C249" i="24"/>
  <c r="C252" i="23"/>
  <c r="C252" i="24"/>
  <c r="C253" i="23"/>
  <c r="C253" i="24"/>
  <c r="C260" i="23"/>
  <c r="C260" i="24"/>
  <c r="C261" i="23"/>
  <c r="C261" i="24"/>
  <c r="C264" i="23"/>
  <c r="C264" i="24"/>
  <c r="C265" i="23"/>
  <c r="C265" i="24"/>
  <c r="C267" i="23"/>
  <c r="C267" i="24"/>
  <c r="C270" i="23"/>
  <c r="C270" i="24"/>
  <c r="C271" i="23"/>
  <c r="C271" i="24"/>
  <c r="C274" i="23"/>
  <c r="C274" i="24"/>
  <c r="C275" i="23"/>
  <c r="C275" i="24"/>
  <c r="C278" i="23"/>
  <c r="C278" i="24"/>
  <c r="C279" i="23"/>
  <c r="C279" i="24"/>
  <c r="C280" i="23"/>
  <c r="C280" i="24"/>
  <c r="C281" i="23"/>
  <c r="C281" i="24"/>
  <c r="C282" i="23"/>
  <c r="C282" i="24"/>
  <c r="C283" i="23"/>
  <c r="C283" i="24"/>
  <c r="C284" i="23"/>
  <c r="C284" i="24"/>
  <c r="C285" i="23"/>
  <c r="C285" i="24"/>
  <c r="C286" i="23"/>
  <c r="C286" i="24"/>
  <c r="C287" i="23"/>
  <c r="C287" i="24"/>
  <c r="C288" i="23"/>
  <c r="C288" i="24"/>
  <c r="C289" i="23"/>
  <c r="C289" i="24"/>
  <c r="C290" i="23"/>
  <c r="C290" i="24"/>
  <c r="C291" i="23"/>
  <c r="C291" i="24"/>
  <c r="C292" i="23"/>
  <c r="C292" i="24"/>
  <c r="AK305" i="23"/>
  <c r="AW212" i="11"/>
  <c r="AV215" i="11"/>
  <c r="AK215" i="11" s="1"/>
  <c r="AK215" i="24" s="1"/>
  <c r="AV176" i="11"/>
  <c r="AK176" i="11" s="1"/>
  <c r="AV177" i="11"/>
  <c r="AV178" i="11"/>
  <c r="AV179" i="11"/>
  <c r="AV180" i="11"/>
  <c r="AK180" i="11" s="1"/>
  <c r="AV181" i="11"/>
  <c r="AK181" i="11" s="1"/>
  <c r="AV182" i="11"/>
  <c r="AV183" i="11"/>
  <c r="AV184" i="11"/>
  <c r="AK184" i="11" s="1"/>
  <c r="AV185" i="11"/>
  <c r="AK185" i="11" s="1"/>
  <c r="AV186" i="11"/>
  <c r="AK186" i="11" s="1"/>
  <c r="AV187" i="11"/>
  <c r="AK187" i="11" s="1"/>
  <c r="AV188" i="11"/>
  <c r="AK188" i="11" s="1"/>
  <c r="AV189" i="11"/>
  <c r="AK189" i="11" s="1"/>
  <c r="AV190" i="11"/>
  <c r="AK190" i="11" s="1"/>
  <c r="AK190" i="23" s="1"/>
  <c r="AV191" i="11"/>
  <c r="AK191" i="11" s="1"/>
  <c r="AV192" i="11"/>
  <c r="AK192" i="11" s="1"/>
  <c r="AU193" i="11"/>
  <c r="AW193" i="11"/>
  <c r="AK194" i="23"/>
  <c r="AU194" i="11"/>
  <c r="AW194" i="11"/>
  <c r="AW195" i="11"/>
  <c r="AV195" i="11" s="1"/>
  <c r="AK195" i="11" s="1"/>
  <c r="AW196" i="11"/>
  <c r="AV196" i="11" s="1"/>
  <c r="AK196" i="11" s="1"/>
  <c r="AK196" i="23" s="1"/>
  <c r="AW197" i="11"/>
  <c r="AV197" i="11" s="1"/>
  <c r="AK197" i="11" s="1"/>
  <c r="AK197" i="23" s="1"/>
  <c r="AU198" i="11"/>
  <c r="AW198" i="11"/>
  <c r="AU199" i="11"/>
  <c r="AW199" i="11"/>
  <c r="AU200" i="11"/>
  <c r="AW200" i="11"/>
  <c r="AW201" i="11"/>
  <c r="AV201" i="11" s="1"/>
  <c r="AK201" i="11" s="1"/>
  <c r="AK201" i="23" s="1"/>
  <c r="AU202" i="11"/>
  <c r="AW202" i="11"/>
  <c r="AW203" i="11"/>
  <c r="AV203" i="11" s="1"/>
  <c r="AK203" i="11" s="1"/>
  <c r="AK203" i="24" s="1"/>
  <c r="AV204" i="11"/>
  <c r="AK204" i="11" s="1"/>
  <c r="AK204" i="24" s="1"/>
  <c r="AU205" i="11"/>
  <c r="AW205" i="11"/>
  <c r="AW206" i="11"/>
  <c r="AV207" i="11"/>
  <c r="AK207" i="11" s="1"/>
  <c r="AK207" i="24" s="1"/>
  <c r="AW208" i="11"/>
  <c r="AV209" i="11"/>
  <c r="AK209" i="11" s="1"/>
  <c r="AK209" i="24" s="1"/>
  <c r="AX209" i="11"/>
  <c r="AV210" i="11"/>
  <c r="AU211" i="11"/>
  <c r="AW211" i="11"/>
  <c r="AV212" i="11"/>
  <c r="AX212" i="11"/>
  <c r="AU213" i="11"/>
  <c r="AV214" i="11"/>
  <c r="AX214" i="11"/>
  <c r="AU215" i="11"/>
  <c r="AW215" i="11"/>
  <c r="AW216" i="11"/>
  <c r="AV217" i="11"/>
  <c r="AK217" i="11" s="1"/>
  <c r="AK217" i="24" s="1"/>
  <c r="AW218" i="11"/>
  <c r="AV219" i="11"/>
  <c r="AK219" i="11" s="1"/>
  <c r="AK219" i="24" s="1"/>
  <c r="AW220" i="11"/>
  <c r="AU221" i="11"/>
  <c r="AW221" i="11"/>
  <c r="AV222" i="11"/>
  <c r="AU223" i="11"/>
  <c r="AV224" i="11"/>
  <c r="AU225" i="11"/>
  <c r="AW226" i="11"/>
  <c r="AV227" i="11"/>
  <c r="AK227" i="11" s="1"/>
  <c r="AK227" i="24" s="1"/>
  <c r="AW228" i="11"/>
  <c r="AV229" i="11"/>
  <c r="AK229" i="11" s="1"/>
  <c r="AK229" i="24" s="1"/>
  <c r="AW230" i="11"/>
  <c r="AV231" i="11"/>
  <c r="AK231" i="11" s="1"/>
  <c r="AK231" i="24" s="1"/>
  <c r="AW232" i="11"/>
  <c r="AV233" i="11"/>
  <c r="AK233" i="11" s="1"/>
  <c r="AK233" i="24" s="1"/>
  <c r="AX233" i="11"/>
  <c r="AV234" i="11"/>
  <c r="AU235" i="11"/>
  <c r="AW236" i="11"/>
  <c r="AV237" i="11"/>
  <c r="AK237" i="11" s="1"/>
  <c r="AK237" i="24" s="1"/>
  <c r="AX237" i="11"/>
  <c r="AV238" i="11"/>
  <c r="AU239" i="11"/>
  <c r="AW240" i="11"/>
  <c r="AV241" i="11"/>
  <c r="AK241" i="11" s="1"/>
  <c r="AK241" i="24" s="1"/>
  <c r="AX241" i="11"/>
  <c r="AV242" i="11"/>
  <c r="AU243" i="11"/>
  <c r="AW244" i="11"/>
  <c r="AV245" i="11"/>
  <c r="AK245" i="11" s="1"/>
  <c r="AK245" i="24" s="1"/>
  <c r="AX245" i="11"/>
  <c r="AV246" i="11"/>
  <c r="AU247" i="11"/>
  <c r="AW248" i="11"/>
  <c r="AV249" i="11"/>
  <c r="AK249" i="11" s="1"/>
  <c r="AK249" i="24" s="1"/>
  <c r="AX249" i="11"/>
  <c r="AU250" i="11"/>
  <c r="AU251" i="11"/>
  <c r="AW252" i="11"/>
  <c r="AV253" i="11"/>
  <c r="AK253" i="11" s="1"/>
  <c r="AK253" i="24" s="1"/>
  <c r="AX253" i="11"/>
  <c r="AV254" i="11"/>
  <c r="AV255" i="11"/>
  <c r="AK255" i="11" s="1"/>
  <c r="AK255" i="24" s="1"/>
  <c r="AV256" i="11"/>
  <c r="AV257" i="11"/>
  <c r="AK257" i="11" s="1"/>
  <c r="AK257" i="24" s="1"/>
  <c r="AV258" i="11"/>
  <c r="AK258" i="11" s="1"/>
  <c r="AK258" i="24" s="1"/>
  <c r="AU259" i="11"/>
  <c r="AW260" i="11"/>
  <c r="AV261" i="11"/>
  <c r="AK261" i="11" s="1"/>
  <c r="AK261" i="24" s="1"/>
  <c r="AX261" i="11"/>
  <c r="AV262" i="11"/>
  <c r="AU263" i="11"/>
  <c r="AW264" i="11"/>
  <c r="AV265" i="11"/>
  <c r="AK265" i="11" s="1"/>
  <c r="AK265" i="24" s="1"/>
  <c r="AX265" i="11"/>
  <c r="AU266" i="11"/>
  <c r="AV267" i="11"/>
  <c r="AK267" i="11" s="1"/>
  <c r="AK267" i="24" s="1"/>
  <c r="AX267" i="11"/>
  <c r="AV268" i="11"/>
  <c r="AU269" i="11"/>
  <c r="AV270" i="11"/>
  <c r="AK270" i="11" s="1"/>
  <c r="AK270" i="24" s="1"/>
  <c r="AV271" i="11"/>
  <c r="AK271" i="11" s="1"/>
  <c r="AK271" i="24" s="1"/>
  <c r="AX271" i="11"/>
  <c r="AV272" i="11"/>
  <c r="AU273" i="11"/>
  <c r="AV274" i="11"/>
  <c r="AK274" i="11" s="1"/>
  <c r="AK274" i="24" s="1"/>
  <c r="AV275" i="11"/>
  <c r="AK275" i="11" s="1"/>
  <c r="AK275" i="24" s="1"/>
  <c r="AX275" i="11"/>
  <c r="AV276" i="11"/>
  <c r="AU277" i="11"/>
  <c r="AV278" i="11"/>
  <c r="AK278" i="11" s="1"/>
  <c r="AK278" i="24" s="1"/>
  <c r="AW279" i="11"/>
  <c r="AV280" i="11"/>
  <c r="AK280" i="11" s="1"/>
  <c r="AK280" i="24" s="1"/>
  <c r="AV281" i="11"/>
  <c r="AK281" i="11" s="1"/>
  <c r="AK281" i="24" s="1"/>
  <c r="AV282" i="11"/>
  <c r="AK282" i="11" s="1"/>
  <c r="AK282" i="24" s="1"/>
  <c r="AW283" i="11"/>
  <c r="AV284" i="11"/>
  <c r="AK284" i="11" s="1"/>
  <c r="AK284" i="24" s="1"/>
  <c r="AV285" i="11"/>
  <c r="AK285" i="11" s="1"/>
  <c r="AK285" i="24" s="1"/>
  <c r="AV286" i="11"/>
  <c r="AK286" i="11" s="1"/>
  <c r="AK286" i="24" s="1"/>
  <c r="AW287" i="11"/>
  <c r="AV288" i="11"/>
  <c r="AK288" i="11" s="1"/>
  <c r="AK288" i="24" s="1"/>
  <c r="AV289" i="11"/>
  <c r="AK289" i="11" s="1"/>
  <c r="AK289" i="24" s="1"/>
  <c r="AV290" i="11"/>
  <c r="AK290" i="11" s="1"/>
  <c r="AK290" i="24" s="1"/>
  <c r="AW291" i="11"/>
  <c r="AU292" i="11"/>
  <c r="AX292" i="11"/>
  <c r="AW292" i="11" s="1"/>
  <c r="AU293" i="11"/>
  <c r="AU294" i="11"/>
  <c r="AV295" i="11"/>
  <c r="AU296" i="11"/>
  <c r="AU297" i="11"/>
  <c r="AU298" i="11"/>
  <c r="C210" i="23"/>
  <c r="C210" i="24"/>
  <c r="E210" i="24" s="1"/>
  <c r="C213" i="23"/>
  <c r="C213" i="24"/>
  <c r="E213" i="24" s="1"/>
  <c r="AX221" i="11"/>
  <c r="C222" i="23"/>
  <c r="C222" i="24"/>
  <c r="E222" i="24" s="1"/>
  <c r="C223" i="23"/>
  <c r="C223" i="24"/>
  <c r="E223" i="24" s="1"/>
  <c r="AX223" i="11"/>
  <c r="C224" i="23"/>
  <c r="C224" i="24"/>
  <c r="E224" i="24" s="1"/>
  <c r="C225" i="23"/>
  <c r="C225" i="24"/>
  <c r="E225" i="24" s="1"/>
  <c r="C234" i="23"/>
  <c r="C234" i="24"/>
  <c r="C235" i="23"/>
  <c r="C235" i="24"/>
  <c r="C238" i="23"/>
  <c r="C238" i="24"/>
  <c r="C239" i="23"/>
  <c r="C239" i="24"/>
  <c r="C242" i="23"/>
  <c r="C242" i="24"/>
  <c r="C243" i="23"/>
  <c r="C243" i="24"/>
  <c r="C246" i="23"/>
  <c r="C246" i="24"/>
  <c r="C247" i="23"/>
  <c r="C247" i="24"/>
  <c r="C250" i="23"/>
  <c r="C250" i="24"/>
  <c r="C251" i="23"/>
  <c r="C251" i="24"/>
  <c r="C254" i="23"/>
  <c r="C254" i="24"/>
  <c r="C255" i="23"/>
  <c r="C255" i="24"/>
  <c r="C256" i="23"/>
  <c r="C256" i="24"/>
  <c r="C257" i="23"/>
  <c r="C257" i="24"/>
  <c r="C258" i="23"/>
  <c r="C258" i="24"/>
  <c r="C259" i="23"/>
  <c r="C259" i="24"/>
  <c r="C262" i="23"/>
  <c r="C262" i="24"/>
  <c r="C263" i="23"/>
  <c r="C263" i="24"/>
  <c r="C266" i="23"/>
  <c r="C266" i="24"/>
  <c r="C268" i="23"/>
  <c r="C268" i="24"/>
  <c r="C269" i="23"/>
  <c r="C269" i="24"/>
  <c r="C272" i="23"/>
  <c r="C272" i="24"/>
  <c r="C273" i="23"/>
  <c r="C273" i="24"/>
  <c r="C276" i="23"/>
  <c r="C276" i="24"/>
  <c r="C277" i="23"/>
  <c r="C277" i="24"/>
  <c r="C293" i="23"/>
  <c r="C293" i="24"/>
  <c r="C294" i="23"/>
  <c r="C294" i="24"/>
  <c r="C295" i="23"/>
  <c r="C295" i="24"/>
  <c r="C296" i="23"/>
  <c r="C296" i="24"/>
  <c r="C297" i="23"/>
  <c r="C297" i="24"/>
  <c r="C298" i="23"/>
  <c r="C298" i="24"/>
  <c r="C299" i="23"/>
  <c r="C299" i="24"/>
  <c r="AX299" i="11"/>
  <c r="AV299" i="11"/>
  <c r="AK299" i="11" s="1"/>
  <c r="AK299" i="24" s="1"/>
  <c r="AW299" i="11"/>
  <c r="AU299" i="11"/>
  <c r="AW210" i="11"/>
  <c r="AV211" i="11"/>
  <c r="AK211" i="11" s="1"/>
  <c r="AK211" i="24" s="1"/>
  <c r="AV213" i="11"/>
  <c r="AK213" i="11" s="1"/>
  <c r="AK213" i="24" s="1"/>
  <c r="AW214" i="11"/>
  <c r="AX215" i="11"/>
  <c r="AW222" i="11"/>
  <c r="AV223" i="11"/>
  <c r="AK223" i="11" s="1"/>
  <c r="AK223" i="24" s="1"/>
  <c r="AW224" i="11"/>
  <c r="AV225" i="11"/>
  <c r="AK225" i="11" s="1"/>
  <c r="AK225" i="24" s="1"/>
  <c r="AX225" i="11"/>
  <c r="AW234" i="11"/>
  <c r="AV235" i="11"/>
  <c r="AK235" i="11" s="1"/>
  <c r="AK235" i="24" s="1"/>
  <c r="AX235" i="11"/>
  <c r="AW238" i="11"/>
  <c r="AV239" i="11"/>
  <c r="AK239" i="11" s="1"/>
  <c r="AK239" i="24" s="1"/>
  <c r="AX239" i="11"/>
  <c r="AW242" i="11"/>
  <c r="AV243" i="11"/>
  <c r="AK243" i="11" s="1"/>
  <c r="AK243" i="24" s="1"/>
  <c r="AX243" i="11"/>
  <c r="AW246" i="11"/>
  <c r="AV247" i="11"/>
  <c r="AK247" i="11" s="1"/>
  <c r="AK247" i="24" s="1"/>
  <c r="AX247" i="11"/>
  <c r="AV250" i="11"/>
  <c r="AK250" i="11" s="1"/>
  <c r="AK250" i="24" s="1"/>
  <c r="AV251" i="11"/>
  <c r="AK251" i="11" s="1"/>
  <c r="AK251" i="24" s="1"/>
  <c r="AX251" i="11"/>
  <c r="AW254" i="11"/>
  <c r="AU255" i="11"/>
  <c r="AW255" i="11"/>
  <c r="AW256" i="11"/>
  <c r="AU257" i="11"/>
  <c r="AW257" i="11"/>
  <c r="AU258" i="11"/>
  <c r="AW258" i="11"/>
  <c r="AV259" i="11"/>
  <c r="AK259" i="11" s="1"/>
  <c r="AK259" i="24" s="1"/>
  <c r="AX259" i="11"/>
  <c r="AW262" i="11"/>
  <c r="AV263" i="11"/>
  <c r="AK263" i="11" s="1"/>
  <c r="AK263" i="24" s="1"/>
  <c r="AX263" i="11"/>
  <c r="AV266" i="11"/>
  <c r="AK266" i="11" s="1"/>
  <c r="AK266" i="24" s="1"/>
  <c r="AX266" i="11"/>
  <c r="AW268" i="11"/>
  <c r="AV269" i="11"/>
  <c r="AK269" i="11" s="1"/>
  <c r="AK269" i="24" s="1"/>
  <c r="AX269" i="11"/>
  <c r="AW272" i="11"/>
  <c r="AV273" i="11"/>
  <c r="AK273" i="11" s="1"/>
  <c r="AK273" i="24" s="1"/>
  <c r="AX273" i="11"/>
  <c r="AW276" i="11"/>
  <c r="AV277" i="11"/>
  <c r="AK277" i="11" s="1"/>
  <c r="AK277" i="24" s="1"/>
  <c r="AX277" i="11"/>
  <c r="AV291" i="11"/>
  <c r="AX291" i="11"/>
  <c r="AV292" i="11"/>
  <c r="AK292" i="11" s="1"/>
  <c r="AK292" i="24" s="1"/>
  <c r="AV293" i="11"/>
  <c r="AK293" i="11" s="1"/>
  <c r="AK293" i="24" s="1"/>
  <c r="AV294" i="11"/>
  <c r="AK294" i="11" s="1"/>
  <c r="AK294" i="24" s="1"/>
  <c r="AW295" i="11"/>
  <c r="AV296" i="11"/>
  <c r="AK296" i="11" s="1"/>
  <c r="AK296" i="24" s="1"/>
  <c r="AV297" i="11"/>
  <c r="AK297" i="11" s="1"/>
  <c r="AK297" i="24" s="1"/>
  <c r="AV298" i="11"/>
  <c r="AK298" i="11" s="1"/>
  <c r="AK298" i="24" s="1"/>
  <c r="C175" i="11"/>
  <c r="E175" i="11" s="1"/>
  <c r="C174" i="11"/>
  <c r="E174" i="11" s="1"/>
  <c r="C173" i="11"/>
  <c r="C172" i="11"/>
  <c r="AK227" i="23" l="1"/>
  <c r="AK257" i="23"/>
  <c r="AK273" i="23"/>
  <c r="AK263" i="23"/>
  <c r="AU291" i="11"/>
  <c r="AK291" i="11"/>
  <c r="AK258" i="23"/>
  <c r="E299" i="24"/>
  <c r="F299" i="24" s="1"/>
  <c r="E298" i="24"/>
  <c r="E297" i="24"/>
  <c r="F297" i="24" s="1"/>
  <c r="E296" i="24"/>
  <c r="F296" i="24" s="1"/>
  <c r="E295" i="24"/>
  <c r="F295" i="24" s="1"/>
  <c r="E294" i="24"/>
  <c r="F294" i="24" s="1"/>
  <c r="E293" i="24"/>
  <c r="F293" i="24" s="1"/>
  <c r="E277" i="24"/>
  <c r="F277" i="24" s="1"/>
  <c r="E276" i="24"/>
  <c r="F276" i="24" s="1"/>
  <c r="E273" i="24"/>
  <c r="F273" i="24" s="1"/>
  <c r="E272" i="24"/>
  <c r="F272" i="24" s="1"/>
  <c r="E269" i="24"/>
  <c r="F269" i="24" s="1"/>
  <c r="E268" i="24"/>
  <c r="F268" i="24" s="1"/>
  <c r="E266" i="24"/>
  <c r="F266" i="24" s="1"/>
  <c r="E263" i="24"/>
  <c r="F263" i="24" s="1"/>
  <c r="E262" i="24"/>
  <c r="F262" i="24" s="1"/>
  <c r="E259" i="24"/>
  <c r="F259" i="24" s="1"/>
  <c r="E258" i="24"/>
  <c r="F258" i="24" s="1"/>
  <c r="E257" i="24"/>
  <c r="F257" i="24" s="1"/>
  <c r="E256" i="24"/>
  <c r="E255" i="24"/>
  <c r="F255" i="24" s="1"/>
  <c r="E254" i="24"/>
  <c r="F254" i="24" s="1"/>
  <c r="E251" i="24"/>
  <c r="F251" i="24" s="1"/>
  <c r="E250" i="24"/>
  <c r="F250" i="24" s="1"/>
  <c r="E247" i="24"/>
  <c r="F247" i="24" s="1"/>
  <c r="E246" i="24"/>
  <c r="F246" i="24" s="1"/>
  <c r="E243" i="24"/>
  <c r="F243" i="24" s="1"/>
  <c r="E242" i="24"/>
  <c r="F242" i="24" s="1"/>
  <c r="E239" i="24"/>
  <c r="F239" i="24" s="1"/>
  <c r="E238" i="24"/>
  <c r="F238" i="24" s="1"/>
  <c r="E235" i="24"/>
  <c r="F235" i="24" s="1"/>
  <c r="E234" i="24"/>
  <c r="F234" i="24" s="1"/>
  <c r="AU295" i="11"/>
  <c r="AK295" i="11"/>
  <c r="AU272" i="11"/>
  <c r="AK272" i="11"/>
  <c r="AU268" i="11"/>
  <c r="AK268" i="11"/>
  <c r="AK266" i="23"/>
  <c r="AU262" i="11"/>
  <c r="AK262" i="11"/>
  <c r="AK259" i="23"/>
  <c r="AU238" i="11"/>
  <c r="AK238" i="11"/>
  <c r="AU234" i="11"/>
  <c r="AK234" i="11"/>
  <c r="E292" i="24"/>
  <c r="F292" i="24" s="1"/>
  <c r="E291" i="24"/>
  <c r="F291" i="24" s="1"/>
  <c r="E290" i="24"/>
  <c r="F290" i="24" s="1"/>
  <c r="E289" i="24"/>
  <c r="F289" i="24" s="1"/>
  <c r="E288" i="24"/>
  <c r="F288" i="24" s="1"/>
  <c r="E287" i="24"/>
  <c r="F287" i="24" s="1"/>
  <c r="E286" i="24"/>
  <c r="F286" i="24" s="1"/>
  <c r="E285" i="24"/>
  <c r="F285" i="24" s="1"/>
  <c r="E284" i="24"/>
  <c r="F284" i="24" s="1"/>
  <c r="E283" i="24"/>
  <c r="F283" i="24" s="1"/>
  <c r="E282" i="24"/>
  <c r="F282" i="24" s="1"/>
  <c r="E281" i="24"/>
  <c r="F281" i="24" s="1"/>
  <c r="E280" i="24"/>
  <c r="F280" i="24" s="1"/>
  <c r="E279" i="24"/>
  <c r="F279" i="24" s="1"/>
  <c r="E278" i="24"/>
  <c r="F278" i="24" s="1"/>
  <c r="E275" i="24"/>
  <c r="F275" i="24" s="1"/>
  <c r="E274" i="24"/>
  <c r="F274" i="24" s="1"/>
  <c r="E271" i="24"/>
  <c r="F271" i="24" s="1"/>
  <c r="E270" i="24"/>
  <c r="F270" i="24" s="1"/>
  <c r="E267" i="24"/>
  <c r="F267" i="24" s="1"/>
  <c r="E265" i="24"/>
  <c r="F265" i="24" s="1"/>
  <c r="E264" i="24"/>
  <c r="F264" i="24" s="1"/>
  <c r="E261" i="24"/>
  <c r="F261" i="24" s="1"/>
  <c r="E260" i="24"/>
  <c r="F260" i="24" s="1"/>
  <c r="E253" i="24"/>
  <c r="F253" i="24" s="1"/>
  <c r="E252" i="24"/>
  <c r="F252" i="24" s="1"/>
  <c r="E249" i="24"/>
  <c r="F249" i="24" s="1"/>
  <c r="E248" i="24"/>
  <c r="F248" i="24" s="1"/>
  <c r="E245" i="24"/>
  <c r="F245" i="24" s="1"/>
  <c r="E244" i="24"/>
  <c r="F244" i="24" s="1"/>
  <c r="E241" i="24"/>
  <c r="F241" i="24" s="1"/>
  <c r="E240" i="24"/>
  <c r="F240" i="24" s="1"/>
  <c r="E237" i="24"/>
  <c r="F237" i="24" s="1"/>
  <c r="E236" i="24"/>
  <c r="F236" i="24" s="1"/>
  <c r="E233" i="24"/>
  <c r="F233" i="24" s="1"/>
  <c r="E232" i="24"/>
  <c r="F232" i="24" s="1"/>
  <c r="E229" i="24"/>
  <c r="F229" i="24" s="1"/>
  <c r="E228" i="24"/>
  <c r="F228" i="24" s="1"/>
  <c r="AK241" i="23"/>
  <c r="AK265" i="23"/>
  <c r="AU244" i="11"/>
  <c r="AK244" i="11"/>
  <c r="AK244" i="24" s="1"/>
  <c r="AU240" i="11"/>
  <c r="AK240" i="11"/>
  <c r="AK240" i="24" s="1"/>
  <c r="AU236" i="11"/>
  <c r="AK236" i="11"/>
  <c r="AU232" i="11"/>
  <c r="AK232" i="11"/>
  <c r="AK232" i="24" s="1"/>
  <c r="AU230" i="11"/>
  <c r="AK230" i="11"/>
  <c r="AU228" i="11"/>
  <c r="AK228" i="11"/>
  <c r="AK228" i="24" s="1"/>
  <c r="AU226" i="11"/>
  <c r="AK226" i="11"/>
  <c r="AK274" i="23"/>
  <c r="AK302" i="24"/>
  <c r="AK302" i="23"/>
  <c r="AK298" i="23"/>
  <c r="AK294" i="23"/>
  <c r="AK292" i="23"/>
  <c r="AU276" i="11"/>
  <c r="AK276" i="11"/>
  <c r="AU256" i="11"/>
  <c r="AK256" i="11"/>
  <c r="AU254" i="11"/>
  <c r="AK254" i="11"/>
  <c r="AK251" i="23"/>
  <c r="AU246" i="11"/>
  <c r="AK246" i="11"/>
  <c r="AU242" i="11"/>
  <c r="AK242" i="11"/>
  <c r="AK242" i="24" s="1"/>
  <c r="E231" i="24"/>
  <c r="F231" i="24" s="1"/>
  <c r="E230" i="24"/>
  <c r="F230" i="24" s="1"/>
  <c r="E227" i="24"/>
  <c r="F227" i="24" s="1"/>
  <c r="E226" i="24"/>
  <c r="F226" i="24" s="1"/>
  <c r="AK237" i="23"/>
  <c r="AK231" i="23"/>
  <c r="AK245" i="23"/>
  <c r="AK290" i="23"/>
  <c r="AK288" i="23"/>
  <c r="AK289" i="23"/>
  <c r="AK285" i="23"/>
  <c r="AK281" i="23"/>
  <c r="AK275" i="23"/>
  <c r="AK271" i="23"/>
  <c r="AK267" i="23"/>
  <c r="AK286" i="23"/>
  <c r="AK284" i="23"/>
  <c r="AK282" i="23"/>
  <c r="AK280" i="23"/>
  <c r="AK278" i="23"/>
  <c r="AK270" i="23"/>
  <c r="AU264" i="11"/>
  <c r="AK264" i="11"/>
  <c r="AU260" i="11"/>
  <c r="AK260" i="11"/>
  <c r="AU252" i="11"/>
  <c r="AK252" i="11"/>
  <c r="AK252" i="24" s="1"/>
  <c r="AU248" i="11"/>
  <c r="AK248" i="11"/>
  <c r="AK248" i="24" s="1"/>
  <c r="AU287" i="11"/>
  <c r="AK287" i="11"/>
  <c r="AU283" i="11"/>
  <c r="AK283" i="11"/>
  <c r="AU279" i="11"/>
  <c r="AK279" i="11"/>
  <c r="AK215" i="23"/>
  <c r="AK205" i="23"/>
  <c r="AK182" i="11"/>
  <c r="AK182" i="23" s="1"/>
  <c r="AK178" i="11"/>
  <c r="AK178" i="24" s="1"/>
  <c r="AK211" i="23"/>
  <c r="AU224" i="11"/>
  <c r="AK224" i="11"/>
  <c r="AK224" i="24" s="1"/>
  <c r="AU222" i="11"/>
  <c r="AK222" i="11"/>
  <c r="AU214" i="11"/>
  <c r="AK214" i="11"/>
  <c r="AU220" i="11"/>
  <c r="AK220" i="11"/>
  <c r="AU216" i="11"/>
  <c r="AK216" i="11"/>
  <c r="AU208" i="11"/>
  <c r="AK208" i="11"/>
  <c r="AK208" i="24" s="1"/>
  <c r="AU212" i="11"/>
  <c r="AK212" i="11"/>
  <c r="AK212" i="24" s="1"/>
  <c r="AU210" i="11"/>
  <c r="AK210" i="11"/>
  <c r="AU218" i="11"/>
  <c r="AK218" i="11"/>
  <c r="AK218" i="24" s="1"/>
  <c r="AU206" i="11"/>
  <c r="AK206" i="11"/>
  <c r="AK206" i="24" s="1"/>
  <c r="AK219" i="23"/>
  <c r="AK213" i="23"/>
  <c r="AK183" i="11"/>
  <c r="AK183" i="23" s="1"/>
  <c r="AK179" i="11"/>
  <c r="AK179" i="23" s="1"/>
  <c r="AK177" i="11"/>
  <c r="AK177" i="23" s="1"/>
  <c r="E173" i="11"/>
  <c r="F173" i="11" s="1"/>
  <c r="E223" i="23"/>
  <c r="F223" i="23" s="1"/>
  <c r="E222" i="23"/>
  <c r="F222" i="23" s="1"/>
  <c r="E292" i="23"/>
  <c r="F292" i="23" s="1"/>
  <c r="E291" i="23"/>
  <c r="F291" i="23" s="1"/>
  <c r="E290" i="23"/>
  <c r="F290" i="23" s="1"/>
  <c r="E289" i="23"/>
  <c r="F289" i="23" s="1"/>
  <c r="E288" i="23"/>
  <c r="F288" i="23" s="1"/>
  <c r="E287" i="23"/>
  <c r="F287" i="23" s="1"/>
  <c r="E286" i="23"/>
  <c r="F286" i="23" s="1"/>
  <c r="E285" i="23"/>
  <c r="F285" i="23" s="1"/>
  <c r="E284" i="23"/>
  <c r="F284" i="23" s="1"/>
  <c r="E283" i="23"/>
  <c r="F283" i="23" s="1"/>
  <c r="E282" i="23"/>
  <c r="F282" i="23" s="1"/>
  <c r="E281" i="23"/>
  <c r="F281" i="23" s="1"/>
  <c r="E280" i="23"/>
  <c r="F280" i="23" s="1"/>
  <c r="E279" i="23"/>
  <c r="F279" i="23" s="1"/>
  <c r="E278" i="23"/>
  <c r="F278" i="23" s="1"/>
  <c r="E275" i="23"/>
  <c r="F275" i="23" s="1"/>
  <c r="E274" i="23"/>
  <c r="F274" i="23" s="1"/>
  <c r="E271" i="23"/>
  <c r="F271" i="23" s="1"/>
  <c r="E270" i="23"/>
  <c r="F270" i="23" s="1"/>
  <c r="E267" i="23"/>
  <c r="F267" i="23" s="1"/>
  <c r="E265" i="23"/>
  <c r="F265" i="23" s="1"/>
  <c r="E264" i="23"/>
  <c r="F264" i="23" s="1"/>
  <c r="E261" i="23"/>
  <c r="F261" i="23" s="1"/>
  <c r="E260" i="23"/>
  <c r="F260" i="23" s="1"/>
  <c r="E253" i="23"/>
  <c r="F253" i="23" s="1"/>
  <c r="E252" i="23"/>
  <c r="F252" i="23" s="1"/>
  <c r="E249" i="23"/>
  <c r="F249" i="23" s="1"/>
  <c r="E248" i="23"/>
  <c r="F248" i="23" s="1"/>
  <c r="E245" i="23"/>
  <c r="F245" i="23" s="1"/>
  <c r="E244" i="23"/>
  <c r="F244" i="23" s="1"/>
  <c r="E241" i="23"/>
  <c r="F241" i="23" s="1"/>
  <c r="E240" i="23"/>
  <c r="F240" i="23" s="1"/>
  <c r="E237" i="23"/>
  <c r="F237" i="23" s="1"/>
  <c r="E236" i="23"/>
  <c r="F236" i="23" s="1"/>
  <c r="E233" i="23"/>
  <c r="F233" i="23" s="1"/>
  <c r="E232" i="23"/>
  <c r="F232" i="23" s="1"/>
  <c r="E229" i="23"/>
  <c r="F229" i="23" s="1"/>
  <c r="E228" i="23"/>
  <c r="F228" i="23" s="1"/>
  <c r="E219" i="23"/>
  <c r="F219" i="23" s="1"/>
  <c r="E218" i="23"/>
  <c r="F218" i="23" s="1"/>
  <c r="E207" i="23"/>
  <c r="F207" i="23" s="1"/>
  <c r="E206" i="23"/>
  <c r="F206" i="23" s="1"/>
  <c r="E205" i="23"/>
  <c r="F205" i="23" s="1"/>
  <c r="E204" i="24"/>
  <c r="F204" i="24" s="1"/>
  <c r="E203" i="24"/>
  <c r="F203" i="24" s="1"/>
  <c r="E202" i="24"/>
  <c r="F202" i="24" s="1"/>
  <c r="E201" i="24"/>
  <c r="F201" i="24" s="1"/>
  <c r="E200" i="24"/>
  <c r="F200" i="24" s="1"/>
  <c r="E199" i="24"/>
  <c r="F199" i="24" s="1"/>
  <c r="E198" i="24"/>
  <c r="F198" i="24" s="1"/>
  <c r="E197" i="24"/>
  <c r="F197" i="24" s="1"/>
  <c r="E196" i="24"/>
  <c r="F196" i="24" s="1"/>
  <c r="E195" i="24"/>
  <c r="F195" i="24" s="1"/>
  <c r="E194" i="24"/>
  <c r="F194" i="24" s="1"/>
  <c r="E193" i="24"/>
  <c r="F193" i="24" s="1"/>
  <c r="E192" i="23"/>
  <c r="F192" i="23" s="1"/>
  <c r="E191" i="24"/>
  <c r="F191" i="24" s="1"/>
  <c r="E190" i="23"/>
  <c r="F190" i="23" s="1"/>
  <c r="E189" i="24"/>
  <c r="F189" i="24" s="1"/>
  <c r="E188" i="23"/>
  <c r="F188" i="23" s="1"/>
  <c r="E187" i="24"/>
  <c r="F187" i="24" s="1"/>
  <c r="E186" i="23"/>
  <c r="F186" i="23" s="1"/>
  <c r="E185" i="24"/>
  <c r="F185" i="24" s="1"/>
  <c r="E184" i="23"/>
  <c r="F184" i="23" s="1"/>
  <c r="E183" i="24"/>
  <c r="F183" i="24" s="1"/>
  <c r="E182" i="23"/>
  <c r="F182" i="23" s="1"/>
  <c r="E181" i="24"/>
  <c r="F181" i="24" s="1"/>
  <c r="E180" i="23"/>
  <c r="F180" i="23" s="1"/>
  <c r="E179" i="24"/>
  <c r="F179" i="24" s="1"/>
  <c r="E178" i="23"/>
  <c r="F178" i="23" s="1"/>
  <c r="E177" i="24"/>
  <c r="F177" i="24" s="1"/>
  <c r="E176" i="23"/>
  <c r="F176" i="23" s="1"/>
  <c r="E215" i="23"/>
  <c r="F215" i="23" s="1"/>
  <c r="E214" i="23"/>
  <c r="F214" i="23" s="1"/>
  <c r="E211" i="23"/>
  <c r="F211" i="23" s="1"/>
  <c r="E172" i="11"/>
  <c r="F172" i="11" s="1"/>
  <c r="E299" i="23"/>
  <c r="F299" i="23" s="1"/>
  <c r="E298" i="23"/>
  <c r="F298" i="23" s="1"/>
  <c r="E297" i="23"/>
  <c r="F297" i="23" s="1"/>
  <c r="E296" i="23"/>
  <c r="F296" i="23" s="1"/>
  <c r="E295" i="23"/>
  <c r="F295" i="23" s="1"/>
  <c r="E294" i="23"/>
  <c r="F294" i="23" s="1"/>
  <c r="E293" i="23"/>
  <c r="F293" i="23" s="1"/>
  <c r="E277" i="23"/>
  <c r="F277" i="23" s="1"/>
  <c r="E276" i="23"/>
  <c r="F276" i="23" s="1"/>
  <c r="E273" i="23"/>
  <c r="F273" i="23" s="1"/>
  <c r="E272" i="23"/>
  <c r="F272" i="23" s="1"/>
  <c r="E269" i="23"/>
  <c r="F269" i="23" s="1"/>
  <c r="E268" i="23"/>
  <c r="F268" i="23" s="1"/>
  <c r="E266" i="23"/>
  <c r="F266" i="23" s="1"/>
  <c r="E263" i="23"/>
  <c r="F263" i="23" s="1"/>
  <c r="E262" i="23"/>
  <c r="F262" i="23" s="1"/>
  <c r="E259" i="23"/>
  <c r="F259" i="23" s="1"/>
  <c r="E258" i="23"/>
  <c r="F258" i="23" s="1"/>
  <c r="E257" i="23"/>
  <c r="F257" i="23" s="1"/>
  <c r="E256" i="23"/>
  <c r="F256" i="23" s="1"/>
  <c r="E255" i="23"/>
  <c r="F255" i="23" s="1"/>
  <c r="E254" i="23"/>
  <c r="F254" i="23" s="1"/>
  <c r="E251" i="23"/>
  <c r="F251" i="23" s="1"/>
  <c r="E250" i="23"/>
  <c r="F250" i="23" s="1"/>
  <c r="E247" i="23"/>
  <c r="F247" i="23" s="1"/>
  <c r="E246" i="23"/>
  <c r="F246" i="23" s="1"/>
  <c r="E243" i="23"/>
  <c r="F243" i="23" s="1"/>
  <c r="E242" i="23"/>
  <c r="F242" i="23" s="1"/>
  <c r="E239" i="23"/>
  <c r="F239" i="23" s="1"/>
  <c r="E238" i="23"/>
  <c r="F238" i="23" s="1"/>
  <c r="E235" i="23"/>
  <c r="F235" i="23" s="1"/>
  <c r="E234" i="23"/>
  <c r="F234" i="23" s="1"/>
  <c r="E225" i="23"/>
  <c r="F225" i="23" s="1"/>
  <c r="E224" i="23"/>
  <c r="F224" i="23" s="1"/>
  <c r="E213" i="23"/>
  <c r="F213" i="23" s="1"/>
  <c r="E210" i="23"/>
  <c r="F210" i="23" s="1"/>
  <c r="E231" i="23"/>
  <c r="F231" i="23" s="1"/>
  <c r="E230" i="23"/>
  <c r="F230" i="23" s="1"/>
  <c r="E227" i="23"/>
  <c r="F227" i="23" s="1"/>
  <c r="E226" i="23"/>
  <c r="F226" i="23" s="1"/>
  <c r="E221" i="23"/>
  <c r="F221" i="23" s="1"/>
  <c r="E220" i="23"/>
  <c r="F220" i="23" s="1"/>
  <c r="E217" i="23"/>
  <c r="F217" i="23" s="1"/>
  <c r="E216" i="23"/>
  <c r="F216" i="23" s="1"/>
  <c r="E209" i="23"/>
  <c r="F209" i="23" s="1"/>
  <c r="E208" i="23"/>
  <c r="F208" i="23" s="1"/>
  <c r="E204" i="23"/>
  <c r="F204" i="23" s="1"/>
  <c r="E203" i="23"/>
  <c r="F203" i="23" s="1"/>
  <c r="E202" i="23"/>
  <c r="F202" i="23" s="1"/>
  <c r="E201" i="23"/>
  <c r="F201" i="23" s="1"/>
  <c r="E200" i="23"/>
  <c r="F200" i="23" s="1"/>
  <c r="E199" i="23"/>
  <c r="F199" i="23" s="1"/>
  <c r="E198" i="23"/>
  <c r="F198" i="23" s="1"/>
  <c r="E197" i="23"/>
  <c r="F197" i="23" s="1"/>
  <c r="E196" i="23"/>
  <c r="F196" i="23" s="1"/>
  <c r="E195" i="23"/>
  <c r="F195" i="23" s="1"/>
  <c r="E194" i="23"/>
  <c r="F194" i="23" s="1"/>
  <c r="E193" i="23"/>
  <c r="F193" i="23" s="1"/>
  <c r="E192" i="24"/>
  <c r="F192" i="24" s="1"/>
  <c r="E191" i="23"/>
  <c r="F191" i="23" s="1"/>
  <c r="E190" i="24"/>
  <c r="F190" i="24" s="1"/>
  <c r="E189" i="23"/>
  <c r="F189" i="23" s="1"/>
  <c r="E188" i="24"/>
  <c r="F188" i="24" s="1"/>
  <c r="E187" i="23"/>
  <c r="F187" i="23" s="1"/>
  <c r="E186" i="24"/>
  <c r="F186" i="24" s="1"/>
  <c r="E185" i="23"/>
  <c r="F185" i="23" s="1"/>
  <c r="E184" i="24"/>
  <c r="F184" i="24" s="1"/>
  <c r="E183" i="23"/>
  <c r="F183" i="23" s="1"/>
  <c r="E182" i="24"/>
  <c r="F182" i="24" s="1"/>
  <c r="E181" i="23"/>
  <c r="F181" i="23" s="1"/>
  <c r="E180" i="24"/>
  <c r="F180" i="24" s="1"/>
  <c r="E179" i="23"/>
  <c r="F179" i="23" s="1"/>
  <c r="E178" i="24"/>
  <c r="F178" i="24" s="1"/>
  <c r="E177" i="23"/>
  <c r="F177" i="23" s="1"/>
  <c r="E176" i="24"/>
  <c r="F176" i="24" s="1"/>
  <c r="E212" i="23"/>
  <c r="F212" i="23" s="1"/>
  <c r="F298" i="24"/>
  <c r="F225" i="24"/>
  <c r="F210" i="24"/>
  <c r="F221" i="24"/>
  <c r="F220" i="24"/>
  <c r="F217" i="24"/>
  <c r="F216" i="24"/>
  <c r="F209" i="24"/>
  <c r="F208" i="24"/>
  <c r="F212" i="24"/>
  <c r="F256" i="24"/>
  <c r="F224" i="24"/>
  <c r="F213" i="24"/>
  <c r="F223" i="24"/>
  <c r="F222" i="24"/>
  <c r="F219" i="24"/>
  <c r="F218" i="24"/>
  <c r="F207" i="24"/>
  <c r="F206" i="24"/>
  <c r="F205" i="24"/>
  <c r="F215" i="24"/>
  <c r="F214" i="24"/>
  <c r="F211" i="24"/>
  <c r="AX172" i="11"/>
  <c r="AX173" i="11"/>
  <c r="AK195" i="23"/>
  <c r="AK192" i="23"/>
  <c r="AK191" i="23"/>
  <c r="AK189" i="23"/>
  <c r="AK188" i="23"/>
  <c r="AK187" i="23"/>
  <c r="AK186" i="23"/>
  <c r="AK185" i="23"/>
  <c r="AK184" i="23"/>
  <c r="AK193" i="23"/>
  <c r="AK181" i="23"/>
  <c r="AK180" i="23"/>
  <c r="AK176" i="23"/>
  <c r="AK201" i="24"/>
  <c r="AK196" i="24"/>
  <c r="AK190" i="24"/>
  <c r="AK203" i="23"/>
  <c r="AK249" i="23"/>
  <c r="AK197" i="24"/>
  <c r="AK195" i="24"/>
  <c r="AK202" i="24"/>
  <c r="AK229" i="23"/>
  <c r="AK217" i="23"/>
  <c r="AK209" i="23"/>
  <c r="AK207" i="23"/>
  <c r="AK204" i="23"/>
  <c r="AK253" i="23"/>
  <c r="AK233" i="23"/>
  <c r="AK277" i="23"/>
  <c r="AK261" i="23"/>
  <c r="AK247" i="23"/>
  <c r="AK194" i="24"/>
  <c r="AK243" i="23"/>
  <c r="AK199" i="24"/>
  <c r="AK269" i="23"/>
  <c r="AK250" i="23"/>
  <c r="AK221" i="23"/>
  <c r="AK235" i="23"/>
  <c r="AK200" i="24"/>
  <c r="AK198" i="24"/>
  <c r="AK225" i="23"/>
  <c r="AK223" i="23"/>
  <c r="D173" i="11"/>
  <c r="AV173" i="11"/>
  <c r="D174" i="11"/>
  <c r="AK239" i="23"/>
  <c r="AK255" i="23"/>
  <c r="AK296" i="23"/>
  <c r="AK297" i="23"/>
  <c r="AK293" i="23"/>
  <c r="C175" i="23"/>
  <c r="C175" i="24"/>
  <c r="AX175" i="11"/>
  <c r="AV175" i="11"/>
  <c r="D301" i="23"/>
  <c r="AK299" i="23"/>
  <c r="D304" i="23"/>
  <c r="D303" i="24"/>
  <c r="D233" i="23"/>
  <c r="D228" i="23"/>
  <c r="AV172" i="11"/>
  <c r="C172" i="23"/>
  <c r="C172" i="24"/>
  <c r="C173" i="23"/>
  <c r="C173" i="24"/>
  <c r="C174" i="23"/>
  <c r="C174" i="24"/>
  <c r="D300" i="24"/>
  <c r="D304" i="24"/>
  <c r="D305" i="24"/>
  <c r="D302" i="23"/>
  <c r="D303" i="23"/>
  <c r="D223" i="23"/>
  <c r="D300" i="23"/>
  <c r="D305" i="23"/>
  <c r="D301" i="24"/>
  <c r="D302" i="24"/>
  <c r="D221" i="23"/>
  <c r="D198" i="23"/>
  <c r="AV174" i="11"/>
  <c r="AX174" i="11"/>
  <c r="D175" i="11"/>
  <c r="C171" i="11"/>
  <c r="E171" i="11" s="1"/>
  <c r="AK248" i="23" l="1"/>
  <c r="AK240" i="23"/>
  <c r="AK228" i="23"/>
  <c r="AK244" i="23"/>
  <c r="AK232" i="23"/>
  <c r="AK252" i="23"/>
  <c r="AK242" i="23"/>
  <c r="AK279" i="24"/>
  <c r="AK279" i="23"/>
  <c r="AK283" i="24"/>
  <c r="AK283" i="23"/>
  <c r="AK287" i="24"/>
  <c r="AK287" i="23"/>
  <c r="AK260" i="24"/>
  <c r="AK260" i="23"/>
  <c r="AK264" i="24"/>
  <c r="AK264" i="23"/>
  <c r="AK254" i="24"/>
  <c r="AK254" i="23"/>
  <c r="AK256" i="24"/>
  <c r="AK256" i="23"/>
  <c r="AK276" i="24"/>
  <c r="AK276" i="23"/>
  <c r="AK226" i="24"/>
  <c r="AK226" i="23"/>
  <c r="AK230" i="24"/>
  <c r="AK230" i="23"/>
  <c r="AK236" i="24"/>
  <c r="AK236" i="23"/>
  <c r="AK234" i="24"/>
  <c r="AK234" i="23"/>
  <c r="AK238" i="24"/>
  <c r="AK238" i="23"/>
  <c r="AK268" i="24"/>
  <c r="AK268" i="23"/>
  <c r="AK272" i="24"/>
  <c r="AK272" i="23"/>
  <c r="AK295" i="24"/>
  <c r="AK295" i="23"/>
  <c r="AK246" i="24"/>
  <c r="AK246" i="23"/>
  <c r="AK262" i="24"/>
  <c r="AK262" i="23"/>
  <c r="AK291" i="24"/>
  <c r="AK291" i="23"/>
  <c r="AK172" i="11"/>
  <c r="AK224" i="23"/>
  <c r="AK208" i="23"/>
  <c r="AK212" i="23"/>
  <c r="AK183" i="24"/>
  <c r="AK178" i="23"/>
  <c r="AK218" i="23"/>
  <c r="AK182" i="24"/>
  <c r="AK206" i="23"/>
  <c r="AK210" i="24"/>
  <c r="AK210" i="23"/>
  <c r="AK216" i="24"/>
  <c r="AK216" i="23"/>
  <c r="AK220" i="24"/>
  <c r="AK220" i="23"/>
  <c r="AK214" i="24"/>
  <c r="AK214" i="23"/>
  <c r="AK222" i="24"/>
  <c r="AK222" i="23"/>
  <c r="AK173" i="11"/>
  <c r="E175" i="24"/>
  <c r="F175" i="24" s="1"/>
  <c r="E174" i="23"/>
  <c r="F174" i="23" s="1"/>
  <c r="E173" i="23"/>
  <c r="F173" i="23" s="1"/>
  <c r="E172" i="23"/>
  <c r="F172" i="23" s="1"/>
  <c r="E174" i="24"/>
  <c r="F174" i="24" s="1"/>
  <c r="E173" i="24"/>
  <c r="F173" i="24" s="1"/>
  <c r="E172" i="24"/>
  <c r="F172" i="24" s="1"/>
  <c r="E175" i="23"/>
  <c r="F175" i="23" s="1"/>
  <c r="AK174" i="11"/>
  <c r="F174" i="11"/>
  <c r="AK175" i="11"/>
  <c r="F175" i="11"/>
  <c r="AK193" i="24"/>
  <c r="AK179" i="24"/>
  <c r="AK187" i="24"/>
  <c r="AK188" i="24"/>
  <c r="AK177" i="24"/>
  <c r="AK181" i="24"/>
  <c r="AK185" i="24"/>
  <c r="AK189" i="24"/>
  <c r="AK184" i="24"/>
  <c r="AK191" i="24"/>
  <c r="AK186" i="24"/>
  <c r="AK192" i="24"/>
  <c r="AK176" i="24"/>
  <c r="AK180" i="24"/>
  <c r="C171" i="23"/>
  <c r="C171" i="24"/>
  <c r="AX171" i="11"/>
  <c r="AV171" i="11"/>
  <c r="D179" i="23"/>
  <c r="D180" i="24"/>
  <c r="D181" i="23"/>
  <c r="D182" i="24"/>
  <c r="D183" i="23"/>
  <c r="D184" i="24"/>
  <c r="D172" i="11"/>
  <c r="D211" i="24"/>
  <c r="D215" i="24"/>
  <c r="D192" i="24"/>
  <c r="D194" i="23"/>
  <c r="D199" i="23"/>
  <c r="D203" i="23"/>
  <c r="D209" i="23"/>
  <c r="D219" i="24"/>
  <c r="D230" i="23"/>
  <c r="D231" i="23"/>
  <c r="D267" i="24"/>
  <c r="D270" i="24"/>
  <c r="D274" i="24"/>
  <c r="D275" i="24"/>
  <c r="D278" i="24"/>
  <c r="D281" i="24"/>
  <c r="D222" i="23"/>
  <c r="D235" i="24"/>
  <c r="D238" i="24"/>
  <c r="D243" i="24"/>
  <c r="D246" i="24"/>
  <c r="D251" i="24"/>
  <c r="D254" i="24"/>
  <c r="D259" i="24"/>
  <c r="D262" i="24"/>
  <c r="D293" i="24"/>
  <c r="D294" i="24"/>
  <c r="D298" i="24"/>
  <c r="D177" i="24"/>
  <c r="D178" i="23"/>
  <c r="D181" i="24"/>
  <c r="D182" i="23"/>
  <c r="D185" i="24"/>
  <c r="D186" i="23"/>
  <c r="D189" i="24"/>
  <c r="D190" i="23"/>
  <c r="D196" i="24"/>
  <c r="D200" i="24"/>
  <c r="D204" i="24"/>
  <c r="D219" i="23"/>
  <c r="D226" i="24"/>
  <c r="D230" i="24"/>
  <c r="D244" i="23"/>
  <c r="D249" i="23"/>
  <c r="D252" i="23"/>
  <c r="D260" i="23"/>
  <c r="D265" i="23"/>
  <c r="D280" i="23"/>
  <c r="D283" i="23"/>
  <c r="D287" i="23"/>
  <c r="D290" i="23"/>
  <c r="D223" i="24"/>
  <c r="D234" i="23"/>
  <c r="D235" i="23"/>
  <c r="D268" i="23"/>
  <c r="D276" i="23"/>
  <c r="D293" i="23"/>
  <c r="D171" i="11"/>
  <c r="D212" i="23"/>
  <c r="D214" i="24"/>
  <c r="D176" i="24"/>
  <c r="D177" i="23"/>
  <c r="D178" i="24"/>
  <c r="D185" i="23"/>
  <c r="D186" i="24"/>
  <c r="D187" i="23"/>
  <c r="D188" i="24"/>
  <c r="D189" i="23"/>
  <c r="D190" i="24"/>
  <c r="D191" i="23"/>
  <c r="D193" i="23"/>
  <c r="D195" i="23"/>
  <c r="D196" i="23"/>
  <c r="D197" i="23"/>
  <c r="D200" i="23"/>
  <c r="D201" i="23"/>
  <c r="D202" i="23"/>
  <c r="D204" i="23"/>
  <c r="D205" i="24"/>
  <c r="D206" i="24"/>
  <c r="D207" i="24"/>
  <c r="D208" i="23"/>
  <c r="D216" i="23"/>
  <c r="D217" i="23"/>
  <c r="D218" i="24"/>
  <c r="D220" i="23"/>
  <c r="D226" i="23"/>
  <c r="D227" i="23"/>
  <c r="D228" i="24"/>
  <c r="D229" i="24"/>
  <c r="D232" i="24"/>
  <c r="D233" i="24"/>
  <c r="D236" i="24"/>
  <c r="D237" i="24"/>
  <c r="D240" i="24"/>
  <c r="D241" i="24"/>
  <c r="D244" i="24"/>
  <c r="D245" i="24"/>
  <c r="D248" i="24"/>
  <c r="D249" i="24"/>
  <c r="D252" i="24"/>
  <c r="D253" i="24"/>
  <c r="D260" i="24"/>
  <c r="D261" i="24"/>
  <c r="D264" i="24"/>
  <c r="D265" i="24"/>
  <c r="D271" i="24"/>
  <c r="D279" i="24"/>
  <c r="D280" i="24"/>
  <c r="D282" i="24"/>
  <c r="D283" i="24"/>
  <c r="D284" i="24"/>
  <c r="D285" i="24"/>
  <c r="D286" i="24"/>
  <c r="D287" i="24"/>
  <c r="D288" i="24"/>
  <c r="D289" i="24"/>
  <c r="D290" i="24"/>
  <c r="D291" i="24"/>
  <c r="D292" i="24"/>
  <c r="D210" i="24"/>
  <c r="D213" i="24"/>
  <c r="D224" i="24"/>
  <c r="D225" i="24"/>
  <c r="D234" i="24"/>
  <c r="D239" i="24"/>
  <c r="D242" i="24"/>
  <c r="D247" i="24"/>
  <c r="D250" i="24"/>
  <c r="D255" i="24"/>
  <c r="D256" i="24"/>
  <c r="D257" i="24"/>
  <c r="D258" i="24"/>
  <c r="D263" i="24"/>
  <c r="D266" i="24"/>
  <c r="D268" i="24"/>
  <c r="D269" i="24"/>
  <c r="D272" i="24"/>
  <c r="D273" i="24"/>
  <c r="D276" i="24"/>
  <c r="D277" i="24"/>
  <c r="D295" i="24"/>
  <c r="D296" i="24"/>
  <c r="D297" i="24"/>
  <c r="D299" i="24"/>
  <c r="D211" i="23"/>
  <c r="D212" i="24"/>
  <c r="D214" i="23"/>
  <c r="D215" i="23"/>
  <c r="D176" i="23"/>
  <c r="D179" i="24"/>
  <c r="D180" i="23"/>
  <c r="D183" i="24"/>
  <c r="D184" i="23"/>
  <c r="D187" i="24"/>
  <c r="D188" i="23"/>
  <c r="D191" i="24"/>
  <c r="D192" i="23"/>
  <c r="D193" i="24"/>
  <c r="D194" i="24"/>
  <c r="D195" i="24"/>
  <c r="D197" i="24"/>
  <c r="D198" i="24"/>
  <c r="D199" i="24"/>
  <c r="D201" i="24"/>
  <c r="D202" i="24"/>
  <c r="D203" i="24"/>
  <c r="D205" i="23"/>
  <c r="D206" i="23"/>
  <c r="D207" i="23"/>
  <c r="D208" i="24"/>
  <c r="D209" i="24"/>
  <c r="D216" i="24"/>
  <c r="D217" i="24"/>
  <c r="D218" i="23"/>
  <c r="D220" i="24"/>
  <c r="D221" i="24"/>
  <c r="D227" i="24"/>
  <c r="D229" i="23"/>
  <c r="D231" i="24"/>
  <c r="D232" i="23"/>
  <c r="D236" i="23"/>
  <c r="D237" i="23"/>
  <c r="D240" i="23"/>
  <c r="D241" i="23"/>
  <c r="D245" i="23"/>
  <c r="D248" i="23"/>
  <c r="D253" i="23"/>
  <c r="D261" i="23"/>
  <c r="D264" i="23"/>
  <c r="D267" i="23"/>
  <c r="D270" i="23"/>
  <c r="D271" i="23"/>
  <c r="D274" i="23"/>
  <c r="D275" i="23"/>
  <c r="D278" i="23"/>
  <c r="D279" i="23"/>
  <c r="D281" i="23"/>
  <c r="D282" i="23"/>
  <c r="D284" i="23"/>
  <c r="D285" i="23"/>
  <c r="D286" i="23"/>
  <c r="D288" i="23"/>
  <c r="D289" i="23"/>
  <c r="D291" i="23"/>
  <c r="D292" i="23"/>
  <c r="D210" i="23"/>
  <c r="D213" i="23"/>
  <c r="D222" i="24"/>
  <c r="D224" i="23"/>
  <c r="D225" i="23"/>
  <c r="D238" i="23"/>
  <c r="D239" i="23"/>
  <c r="D242" i="23"/>
  <c r="D243" i="23"/>
  <c r="D246" i="23"/>
  <c r="D247" i="23"/>
  <c r="D250" i="23"/>
  <c r="D251" i="23"/>
  <c r="D254" i="23"/>
  <c r="D255" i="23"/>
  <c r="D256" i="23"/>
  <c r="D257" i="23"/>
  <c r="D258" i="23"/>
  <c r="D259" i="23"/>
  <c r="D262" i="23"/>
  <c r="D263" i="23"/>
  <c r="D266" i="23"/>
  <c r="D269" i="23"/>
  <c r="D272" i="23"/>
  <c r="D273" i="23"/>
  <c r="D277" i="23"/>
  <c r="D294" i="23"/>
  <c r="D295" i="23"/>
  <c r="D296" i="23"/>
  <c r="D297" i="23"/>
  <c r="D298" i="23"/>
  <c r="D299" i="23"/>
  <c r="C170" i="11"/>
  <c r="E170" i="11" s="1"/>
  <c r="C169" i="11"/>
  <c r="E169" i="11" s="1"/>
  <c r="E171" i="23" l="1"/>
  <c r="F171" i="23" s="1"/>
  <c r="E171" i="24"/>
  <c r="F171" i="24" s="1"/>
  <c r="AK171" i="11"/>
  <c r="F171" i="11"/>
  <c r="D169" i="11"/>
  <c r="C170" i="23"/>
  <c r="C170" i="24"/>
  <c r="AX170" i="11"/>
  <c r="AV170" i="11"/>
  <c r="D173" i="24"/>
  <c r="D173" i="23"/>
  <c r="C169" i="23"/>
  <c r="C169" i="24"/>
  <c r="D175" i="24"/>
  <c r="D172" i="24"/>
  <c r="D174" i="24"/>
  <c r="D175" i="23"/>
  <c r="D172" i="23"/>
  <c r="D174" i="23"/>
  <c r="AV169" i="11"/>
  <c r="AX169" i="11"/>
  <c r="D170" i="11"/>
  <c r="C168" i="11"/>
  <c r="E168" i="11" s="1"/>
  <c r="C167" i="11"/>
  <c r="C166" i="11"/>
  <c r="C165" i="11"/>
  <c r="C164" i="11"/>
  <c r="C163" i="11"/>
  <c r="E163" i="11" s="1"/>
  <c r="C162" i="11"/>
  <c r="E162" i="11" s="1"/>
  <c r="C161" i="11"/>
  <c r="E161" i="11" s="1"/>
  <c r="C160" i="11"/>
  <c r="C159" i="11"/>
  <c r="E159" i="11" s="1"/>
  <c r="C158" i="11"/>
  <c r="E158" i="11" s="1"/>
  <c r="C157" i="11"/>
  <c r="E157" i="11" s="1"/>
  <c r="C156"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E111" i="11" s="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E26" i="11" s="1"/>
  <c r="C25" i="11"/>
  <c r="C24" i="11"/>
  <c r="C23" i="11"/>
  <c r="C22" i="11"/>
  <c r="C21" i="11"/>
  <c r="C20" i="11"/>
  <c r="E20" i="11" s="1"/>
  <c r="C19" i="11"/>
  <c r="C18" i="11"/>
  <c r="C17" i="11"/>
  <c r="C16" i="11"/>
  <c r="E16" i="11" s="1"/>
  <c r="C15" i="11"/>
  <c r="C14" i="11"/>
  <c r="C13" i="11"/>
  <c r="C12" i="11"/>
  <c r="E12" i="11" s="1"/>
  <c r="C11" i="11"/>
  <c r="E116" i="11" l="1"/>
  <c r="F116" i="11" s="1"/>
  <c r="E118" i="11"/>
  <c r="F118" i="11" s="1"/>
  <c r="E120" i="11"/>
  <c r="F120" i="11" s="1"/>
  <c r="E122" i="11"/>
  <c r="F122" i="11" s="1"/>
  <c r="E124" i="11"/>
  <c r="F124" i="11" s="1"/>
  <c r="E126" i="11"/>
  <c r="F126" i="11" s="1"/>
  <c r="E128" i="11"/>
  <c r="F128" i="11" s="1"/>
  <c r="E130" i="11"/>
  <c r="F130" i="11" s="1"/>
  <c r="E132" i="11"/>
  <c r="F132" i="11" s="1"/>
  <c r="E134" i="11"/>
  <c r="F134" i="11" s="1"/>
  <c r="E136" i="11"/>
  <c r="F136" i="11" s="1"/>
  <c r="E138" i="11"/>
  <c r="F138" i="11" s="1"/>
  <c r="E140" i="11"/>
  <c r="F140" i="11" s="1"/>
  <c r="E142" i="11"/>
  <c r="F142" i="11" s="1"/>
  <c r="E144" i="11"/>
  <c r="F144" i="11" s="1"/>
  <c r="E146" i="11"/>
  <c r="F146" i="11" s="1"/>
  <c r="E148" i="11"/>
  <c r="F148" i="11" s="1"/>
  <c r="E150" i="11"/>
  <c r="F150" i="11" s="1"/>
  <c r="E152" i="11"/>
  <c r="F152" i="11" s="1"/>
  <c r="E154" i="11"/>
  <c r="F154" i="11" s="1"/>
  <c r="E156" i="11"/>
  <c r="F156" i="11" s="1"/>
  <c r="E160" i="11"/>
  <c r="F160" i="11" s="1"/>
  <c r="E164" i="11"/>
  <c r="F164" i="11" s="1"/>
  <c r="E166" i="11"/>
  <c r="F166" i="11" s="1"/>
  <c r="E169" i="24"/>
  <c r="F169" i="24" s="1"/>
  <c r="E170" i="24"/>
  <c r="F170" i="24" s="1"/>
  <c r="E117" i="11"/>
  <c r="F117" i="11" s="1"/>
  <c r="E119" i="11"/>
  <c r="F119" i="11" s="1"/>
  <c r="E121" i="11"/>
  <c r="F121" i="11" s="1"/>
  <c r="E123" i="11"/>
  <c r="F123" i="11" s="1"/>
  <c r="E125" i="11"/>
  <c r="F125" i="11" s="1"/>
  <c r="E127" i="11"/>
  <c r="F127" i="11" s="1"/>
  <c r="E129" i="11"/>
  <c r="F129" i="11" s="1"/>
  <c r="E131" i="11"/>
  <c r="F131" i="11" s="1"/>
  <c r="E133" i="11"/>
  <c r="F133" i="11" s="1"/>
  <c r="E135" i="11"/>
  <c r="F135" i="11" s="1"/>
  <c r="E137" i="11"/>
  <c r="F137" i="11" s="1"/>
  <c r="E139" i="11"/>
  <c r="F139" i="11" s="1"/>
  <c r="E141" i="11"/>
  <c r="F141" i="11" s="1"/>
  <c r="E143" i="11"/>
  <c r="F143" i="11" s="1"/>
  <c r="E145" i="11"/>
  <c r="F145" i="11" s="1"/>
  <c r="E147" i="11"/>
  <c r="F147" i="11" s="1"/>
  <c r="E149" i="11"/>
  <c r="F149" i="11" s="1"/>
  <c r="E151" i="11"/>
  <c r="F151" i="11" s="1"/>
  <c r="E153" i="11"/>
  <c r="F153" i="11" s="1"/>
  <c r="E155" i="11"/>
  <c r="F155" i="11" s="1"/>
  <c r="E165" i="11"/>
  <c r="F165" i="11" s="1"/>
  <c r="E167" i="11"/>
  <c r="F167" i="11" s="1"/>
  <c r="E169" i="23"/>
  <c r="F169" i="23" s="1"/>
  <c r="E170" i="23"/>
  <c r="F170" i="23" s="1"/>
  <c r="E106" i="11"/>
  <c r="F106" i="11" s="1"/>
  <c r="E114" i="11"/>
  <c r="F114" i="11" s="1"/>
  <c r="E108" i="11"/>
  <c r="F108" i="11" s="1"/>
  <c r="E110" i="11"/>
  <c r="F110" i="11" s="1"/>
  <c r="E112" i="11"/>
  <c r="F112" i="11" s="1"/>
  <c r="E107" i="11"/>
  <c r="F107" i="11" s="1"/>
  <c r="E109" i="11"/>
  <c r="F109" i="11" s="1"/>
  <c r="F111" i="11"/>
  <c r="E113" i="11"/>
  <c r="F113" i="11" s="1"/>
  <c r="E115" i="11"/>
  <c r="F115" i="11" s="1"/>
  <c r="E18" i="11"/>
  <c r="F18" i="11" s="1"/>
  <c r="E28" i="11"/>
  <c r="F28" i="11" s="1"/>
  <c r="E30" i="11"/>
  <c r="F30" i="11" s="1"/>
  <c r="E32" i="11"/>
  <c r="F32" i="11" s="1"/>
  <c r="E34" i="11"/>
  <c r="F34" i="11" s="1"/>
  <c r="E36" i="11"/>
  <c r="F36" i="11" s="1"/>
  <c r="E38" i="11"/>
  <c r="F38" i="11" s="1"/>
  <c r="E40" i="11"/>
  <c r="F40" i="11" s="1"/>
  <c r="E42" i="11"/>
  <c r="F42" i="11" s="1"/>
  <c r="E44" i="11"/>
  <c r="F44" i="11" s="1"/>
  <c r="E46" i="11"/>
  <c r="F46" i="11" s="1"/>
  <c r="E48" i="11"/>
  <c r="F48" i="11" s="1"/>
  <c r="E50" i="11"/>
  <c r="F50" i="11" s="1"/>
  <c r="E52" i="11"/>
  <c r="F52" i="11" s="1"/>
  <c r="E54" i="11"/>
  <c r="F54" i="11" s="1"/>
  <c r="E56" i="11"/>
  <c r="F56" i="11" s="1"/>
  <c r="E58" i="11"/>
  <c r="F58" i="11" s="1"/>
  <c r="E60" i="11"/>
  <c r="F60" i="11" s="1"/>
  <c r="E62" i="11"/>
  <c r="F62" i="11" s="1"/>
  <c r="E64" i="11"/>
  <c r="F64" i="11" s="1"/>
  <c r="E66" i="11"/>
  <c r="F66" i="11" s="1"/>
  <c r="E68" i="11"/>
  <c r="F68" i="11" s="1"/>
  <c r="E70" i="11"/>
  <c r="F70" i="11" s="1"/>
  <c r="E72" i="11"/>
  <c r="F72" i="11" s="1"/>
  <c r="E74" i="11"/>
  <c r="F74" i="11" s="1"/>
  <c r="E76" i="11"/>
  <c r="F76" i="11" s="1"/>
  <c r="E78" i="11"/>
  <c r="F78" i="11" s="1"/>
  <c r="E80" i="11"/>
  <c r="F80" i="11" s="1"/>
  <c r="E82" i="11"/>
  <c r="F82" i="11" s="1"/>
  <c r="E84" i="11"/>
  <c r="F84" i="11" s="1"/>
  <c r="E86" i="11"/>
  <c r="F86" i="11" s="1"/>
  <c r="E88" i="11"/>
  <c r="F88" i="11" s="1"/>
  <c r="E90" i="11"/>
  <c r="F90" i="11" s="1"/>
  <c r="E92" i="11"/>
  <c r="F92" i="11" s="1"/>
  <c r="E94" i="11"/>
  <c r="F94" i="11" s="1"/>
  <c r="E96" i="11"/>
  <c r="F96" i="11" s="1"/>
  <c r="E98" i="11"/>
  <c r="F98" i="11" s="1"/>
  <c r="E100" i="11"/>
  <c r="F100" i="11" s="1"/>
  <c r="E102" i="11"/>
  <c r="F102" i="11" s="1"/>
  <c r="E104" i="11"/>
  <c r="F104" i="11" s="1"/>
  <c r="E14" i="11"/>
  <c r="F14" i="11" s="1"/>
  <c r="E22" i="11"/>
  <c r="F22" i="11" s="1"/>
  <c r="E11" i="11"/>
  <c r="F11" i="11" s="1"/>
  <c r="E13" i="11"/>
  <c r="F13" i="11" s="1"/>
  <c r="E15" i="11"/>
  <c r="F15" i="11" s="1"/>
  <c r="E17" i="11"/>
  <c r="F17" i="11" s="1"/>
  <c r="E19" i="11"/>
  <c r="F19" i="11" s="1"/>
  <c r="E21" i="11"/>
  <c r="F21" i="11" s="1"/>
  <c r="E23" i="11"/>
  <c r="F23" i="11" s="1"/>
  <c r="E25" i="11"/>
  <c r="F25" i="11" s="1"/>
  <c r="E27" i="11"/>
  <c r="F27" i="11" s="1"/>
  <c r="E29" i="11"/>
  <c r="F29" i="11" s="1"/>
  <c r="E31" i="11"/>
  <c r="F31" i="11" s="1"/>
  <c r="E33" i="11"/>
  <c r="F33" i="11" s="1"/>
  <c r="E35" i="11"/>
  <c r="F35" i="11" s="1"/>
  <c r="E37" i="11"/>
  <c r="F37" i="11" s="1"/>
  <c r="E39" i="11"/>
  <c r="F39" i="11" s="1"/>
  <c r="E41" i="11"/>
  <c r="F41" i="11" s="1"/>
  <c r="E43" i="11"/>
  <c r="F43" i="11" s="1"/>
  <c r="E45" i="11"/>
  <c r="F45" i="11" s="1"/>
  <c r="E47" i="11"/>
  <c r="F47" i="11" s="1"/>
  <c r="E49" i="11"/>
  <c r="F49" i="11" s="1"/>
  <c r="E51" i="11"/>
  <c r="F51" i="11" s="1"/>
  <c r="E53" i="11"/>
  <c r="F53" i="11" s="1"/>
  <c r="E55" i="11"/>
  <c r="F55" i="11" s="1"/>
  <c r="E57" i="11"/>
  <c r="F57" i="11" s="1"/>
  <c r="E59" i="11"/>
  <c r="F59" i="11" s="1"/>
  <c r="E61" i="11"/>
  <c r="F61" i="11" s="1"/>
  <c r="E63" i="11"/>
  <c r="F63" i="11" s="1"/>
  <c r="E65" i="11"/>
  <c r="F65" i="11" s="1"/>
  <c r="E67" i="11"/>
  <c r="F67" i="11" s="1"/>
  <c r="E69" i="11"/>
  <c r="F69" i="11" s="1"/>
  <c r="E71" i="11"/>
  <c r="F71" i="11" s="1"/>
  <c r="E73" i="11"/>
  <c r="F73" i="11" s="1"/>
  <c r="E75" i="11"/>
  <c r="F75" i="11" s="1"/>
  <c r="E77" i="11"/>
  <c r="F77" i="11" s="1"/>
  <c r="E79" i="11"/>
  <c r="F79" i="11" s="1"/>
  <c r="E81" i="11"/>
  <c r="F81" i="11" s="1"/>
  <c r="E83" i="11"/>
  <c r="F83" i="11" s="1"/>
  <c r="E85" i="11"/>
  <c r="F85" i="11" s="1"/>
  <c r="E87" i="11"/>
  <c r="F87" i="11" s="1"/>
  <c r="E89" i="11"/>
  <c r="F89" i="11" s="1"/>
  <c r="E91" i="11"/>
  <c r="F91" i="11" s="1"/>
  <c r="E93" i="11"/>
  <c r="F93" i="11" s="1"/>
  <c r="E95" i="11"/>
  <c r="F95" i="11" s="1"/>
  <c r="E97" i="11"/>
  <c r="F97" i="11" s="1"/>
  <c r="E99" i="11"/>
  <c r="F99" i="11" s="1"/>
  <c r="E101" i="11"/>
  <c r="F101" i="11" s="1"/>
  <c r="E103" i="11"/>
  <c r="F103" i="11" s="1"/>
  <c r="E105" i="11"/>
  <c r="F105" i="11" s="1"/>
  <c r="E24" i="11"/>
  <c r="F24" i="11" s="1"/>
  <c r="AK169" i="11"/>
  <c r="F169" i="11"/>
  <c r="AK170" i="11"/>
  <c r="F170" i="11"/>
  <c r="F157" i="11"/>
  <c r="F159" i="11"/>
  <c r="F161" i="11"/>
  <c r="F163" i="11"/>
  <c r="F158" i="11"/>
  <c r="F162" i="11"/>
  <c r="AX107" i="11"/>
  <c r="AX109" i="11"/>
  <c r="AX111" i="11"/>
  <c r="AX113" i="11"/>
  <c r="AX115" i="11"/>
  <c r="AX117" i="11"/>
  <c r="AX119" i="11"/>
  <c r="AX121" i="11"/>
  <c r="AX123" i="11"/>
  <c r="AX125" i="11"/>
  <c r="AX165" i="11"/>
  <c r="AX167" i="11"/>
  <c r="AX106" i="11"/>
  <c r="AX108" i="11"/>
  <c r="AX110" i="11"/>
  <c r="AX112" i="11"/>
  <c r="AX114" i="11"/>
  <c r="AX116" i="11"/>
  <c r="AX118" i="11"/>
  <c r="AX120" i="11"/>
  <c r="AX122" i="11"/>
  <c r="AX124" i="11"/>
  <c r="AX156" i="11"/>
  <c r="AX160" i="11"/>
  <c r="AX164" i="11"/>
  <c r="AX166" i="11"/>
  <c r="D13" i="11"/>
  <c r="D15" i="11"/>
  <c r="D17" i="11"/>
  <c r="D21" i="11"/>
  <c r="D22" i="11"/>
  <c r="D23" i="11"/>
  <c r="D24" i="11"/>
  <c r="D25" i="11"/>
  <c r="C12" i="23"/>
  <c r="C12" i="24"/>
  <c r="C16" i="23"/>
  <c r="C16" i="24"/>
  <c r="C11" i="23"/>
  <c r="C11" i="24"/>
  <c r="C13" i="23"/>
  <c r="C13" i="24"/>
  <c r="C15" i="23"/>
  <c r="C15" i="24"/>
  <c r="C17" i="23"/>
  <c r="C17" i="24"/>
  <c r="C19" i="23"/>
  <c r="C19" i="24"/>
  <c r="C21" i="23"/>
  <c r="C21" i="24"/>
  <c r="C22" i="23"/>
  <c r="C22" i="24"/>
  <c r="C23" i="23"/>
  <c r="C23" i="24"/>
  <c r="C24" i="23"/>
  <c r="C24" i="24"/>
  <c r="C25" i="23"/>
  <c r="C25" i="24"/>
  <c r="C158" i="23"/>
  <c r="C158" i="24"/>
  <c r="C159" i="23"/>
  <c r="C159" i="24"/>
  <c r="C162" i="23"/>
  <c r="C162" i="24"/>
  <c r="C163" i="23"/>
  <c r="C163" i="24"/>
  <c r="D171" i="24"/>
  <c r="D12" i="11"/>
  <c r="D14" i="11"/>
  <c r="D16" i="11"/>
  <c r="D18"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AX159" i="11"/>
  <c r="D160" i="11"/>
  <c r="D161" i="11"/>
  <c r="AX163" i="11"/>
  <c r="C14" i="23"/>
  <c r="C14" i="24"/>
  <c r="C18" i="23"/>
  <c r="C18" i="24"/>
  <c r="C20" i="23"/>
  <c r="C20" i="24"/>
  <c r="C26" i="23"/>
  <c r="C26" i="24"/>
  <c r="C27" i="23"/>
  <c r="C27" i="24"/>
  <c r="C28" i="23"/>
  <c r="C28" i="24"/>
  <c r="C29" i="23"/>
  <c r="C29" i="24"/>
  <c r="C30" i="23"/>
  <c r="C30" i="24"/>
  <c r="C31" i="23"/>
  <c r="C31" i="24"/>
  <c r="C32" i="23"/>
  <c r="C32" i="24"/>
  <c r="C33" i="23"/>
  <c r="C33" i="24"/>
  <c r="C34" i="23"/>
  <c r="C34" i="24"/>
  <c r="C35" i="23"/>
  <c r="C35" i="24"/>
  <c r="C36" i="23"/>
  <c r="C36" i="24"/>
  <c r="C37" i="23"/>
  <c r="C37" i="24"/>
  <c r="C38" i="23"/>
  <c r="C38" i="24"/>
  <c r="C39" i="23"/>
  <c r="C39" i="24"/>
  <c r="C40" i="23"/>
  <c r="C40" i="24"/>
  <c r="C41" i="23"/>
  <c r="C41" i="24"/>
  <c r="C42" i="23"/>
  <c r="C42" i="24"/>
  <c r="C43" i="23"/>
  <c r="C43" i="24"/>
  <c r="C44" i="23"/>
  <c r="C44" i="24"/>
  <c r="C45" i="23"/>
  <c r="C45" i="24"/>
  <c r="C46" i="23"/>
  <c r="C46" i="24"/>
  <c r="C47" i="23"/>
  <c r="C47" i="24"/>
  <c r="C48" i="23"/>
  <c r="C48" i="24"/>
  <c r="C49" i="23"/>
  <c r="C49" i="24"/>
  <c r="C50" i="23"/>
  <c r="C50" i="24"/>
  <c r="C51" i="23"/>
  <c r="C51" i="24"/>
  <c r="C52" i="23"/>
  <c r="C52" i="24"/>
  <c r="C53" i="23"/>
  <c r="C53" i="24"/>
  <c r="C54" i="23"/>
  <c r="C54" i="24"/>
  <c r="C55" i="23"/>
  <c r="C55" i="24"/>
  <c r="C56" i="23"/>
  <c r="C56" i="24"/>
  <c r="C57" i="23"/>
  <c r="C57" i="24"/>
  <c r="C58" i="23"/>
  <c r="C58" i="24"/>
  <c r="C59" i="23"/>
  <c r="C59" i="24"/>
  <c r="C60" i="23"/>
  <c r="C60" i="24"/>
  <c r="C61" i="23"/>
  <c r="C61" i="24"/>
  <c r="C62" i="23"/>
  <c r="C62" i="24"/>
  <c r="C63" i="23"/>
  <c r="C63" i="24"/>
  <c r="C64" i="23"/>
  <c r="C64" i="24"/>
  <c r="C65" i="23"/>
  <c r="C65" i="24"/>
  <c r="C66" i="23"/>
  <c r="C66" i="24"/>
  <c r="C67" i="23"/>
  <c r="C67" i="24"/>
  <c r="C68" i="23"/>
  <c r="C68" i="24"/>
  <c r="C69" i="23"/>
  <c r="C69" i="24"/>
  <c r="C70" i="23"/>
  <c r="C70" i="24"/>
  <c r="C71" i="23"/>
  <c r="C71" i="24"/>
  <c r="C72" i="23"/>
  <c r="C72" i="24"/>
  <c r="C73" i="23"/>
  <c r="C73" i="24"/>
  <c r="C74" i="23"/>
  <c r="C74" i="24"/>
  <c r="C75" i="23"/>
  <c r="C75" i="24"/>
  <c r="C76" i="23"/>
  <c r="C76" i="24"/>
  <c r="C77" i="23"/>
  <c r="C77" i="24"/>
  <c r="C78" i="23"/>
  <c r="C78" i="24"/>
  <c r="C79" i="23"/>
  <c r="C79" i="24"/>
  <c r="C80" i="23"/>
  <c r="C80" i="24"/>
  <c r="C81" i="23"/>
  <c r="C81" i="24"/>
  <c r="C82" i="23"/>
  <c r="C82" i="24"/>
  <c r="C83" i="23"/>
  <c r="C83" i="24"/>
  <c r="C84" i="23"/>
  <c r="C84" i="24"/>
  <c r="C85" i="23"/>
  <c r="C85" i="24"/>
  <c r="C86" i="23"/>
  <c r="C86" i="24"/>
  <c r="C87" i="23"/>
  <c r="C87" i="24"/>
  <c r="C88" i="23"/>
  <c r="C88" i="24"/>
  <c r="C89" i="23"/>
  <c r="C89" i="24"/>
  <c r="C90" i="23"/>
  <c r="C90" i="24"/>
  <c r="C91" i="23"/>
  <c r="C91" i="24"/>
  <c r="C92" i="23"/>
  <c r="C92" i="24"/>
  <c r="C93" i="23"/>
  <c r="C93" i="24"/>
  <c r="C94" i="23"/>
  <c r="C94" i="24"/>
  <c r="C95" i="23"/>
  <c r="C95" i="24"/>
  <c r="C96" i="23"/>
  <c r="C96" i="24"/>
  <c r="C97" i="23"/>
  <c r="C97" i="24"/>
  <c r="C98" i="23"/>
  <c r="C98" i="24"/>
  <c r="C99" i="23"/>
  <c r="C99" i="24"/>
  <c r="C100" i="23"/>
  <c r="C100" i="24"/>
  <c r="C101" i="23"/>
  <c r="C101" i="24"/>
  <c r="C102" i="23"/>
  <c r="C102" i="24"/>
  <c r="C103" i="23"/>
  <c r="C103" i="24"/>
  <c r="C104" i="23"/>
  <c r="C104" i="24"/>
  <c r="C105" i="23"/>
  <c r="C105" i="24"/>
  <c r="C106" i="23"/>
  <c r="C106" i="24"/>
  <c r="C107" i="23"/>
  <c r="C107" i="24"/>
  <c r="C108" i="23"/>
  <c r="C108" i="24"/>
  <c r="C109" i="23"/>
  <c r="C109" i="24"/>
  <c r="C110" i="23"/>
  <c r="C110" i="24"/>
  <c r="C111" i="23"/>
  <c r="C111" i="24"/>
  <c r="C112" i="23"/>
  <c r="C112" i="24"/>
  <c r="C113" i="23"/>
  <c r="C113" i="24"/>
  <c r="C114" i="23"/>
  <c r="C114" i="24"/>
  <c r="C115" i="23"/>
  <c r="C115" i="24"/>
  <c r="C116" i="23"/>
  <c r="C116" i="24"/>
  <c r="C117" i="23"/>
  <c r="C117" i="24"/>
  <c r="C118" i="23"/>
  <c r="C118" i="24"/>
  <c r="C119" i="23"/>
  <c r="C119" i="24"/>
  <c r="C120" i="23"/>
  <c r="C120" i="24"/>
  <c r="C121" i="23"/>
  <c r="C121" i="24"/>
  <c r="C122" i="23"/>
  <c r="C122" i="24"/>
  <c r="C123" i="23"/>
  <c r="C123" i="24"/>
  <c r="C124" i="23"/>
  <c r="C124" i="24"/>
  <c r="C125" i="23"/>
  <c r="C125" i="24"/>
  <c r="C126" i="23"/>
  <c r="C126" i="24"/>
  <c r="C127" i="23"/>
  <c r="C127" i="24"/>
  <c r="C128" i="23"/>
  <c r="C128" i="24"/>
  <c r="C129" i="23"/>
  <c r="C129" i="24"/>
  <c r="C130" i="23"/>
  <c r="C130" i="24"/>
  <c r="C131" i="23"/>
  <c r="C131" i="24"/>
  <c r="C132" i="23"/>
  <c r="C132" i="24"/>
  <c r="C133" i="23"/>
  <c r="C133" i="24"/>
  <c r="C134" i="23"/>
  <c r="C134" i="24"/>
  <c r="C135" i="23"/>
  <c r="C135" i="24"/>
  <c r="C136" i="23"/>
  <c r="C136" i="24"/>
  <c r="C137" i="23"/>
  <c r="C137" i="24"/>
  <c r="C138" i="23"/>
  <c r="C138" i="24"/>
  <c r="C139" i="23"/>
  <c r="C139" i="24"/>
  <c r="C140" i="23"/>
  <c r="C140" i="24"/>
  <c r="C141" i="23"/>
  <c r="C141" i="24"/>
  <c r="C142" i="23"/>
  <c r="C142" i="24"/>
  <c r="C143" i="23"/>
  <c r="C143" i="24"/>
  <c r="C144" i="23"/>
  <c r="C144" i="24"/>
  <c r="C145" i="23"/>
  <c r="C145" i="24"/>
  <c r="C146" i="23"/>
  <c r="C146" i="24"/>
  <c r="C147" i="23"/>
  <c r="C147" i="24"/>
  <c r="C148" i="23"/>
  <c r="C148" i="24"/>
  <c r="C149" i="23"/>
  <c r="C149" i="24"/>
  <c r="C150" i="23"/>
  <c r="C150" i="24"/>
  <c r="C151" i="23"/>
  <c r="C151" i="24"/>
  <c r="C152" i="23"/>
  <c r="C152" i="24"/>
  <c r="C153" i="23"/>
  <c r="C153" i="24"/>
  <c r="C154" i="23"/>
  <c r="C154" i="24"/>
  <c r="C155" i="23"/>
  <c r="C155" i="24"/>
  <c r="C156" i="23"/>
  <c r="C156" i="24"/>
  <c r="C157" i="23"/>
  <c r="C157" i="24"/>
  <c r="C160" i="23"/>
  <c r="C160" i="24"/>
  <c r="C161" i="23"/>
  <c r="C161" i="24"/>
  <c r="C164" i="23"/>
  <c r="C164" i="24"/>
  <c r="C165" i="23"/>
  <c r="C165" i="24"/>
  <c r="C166" i="23"/>
  <c r="C166" i="24"/>
  <c r="C167" i="23"/>
  <c r="C167" i="24"/>
  <c r="C168" i="23"/>
  <c r="C168" i="24"/>
  <c r="AX168" i="11"/>
  <c r="AV168" i="11"/>
  <c r="D171" i="23"/>
  <c r="AX157" i="11"/>
  <c r="D158" i="11"/>
  <c r="AX158" i="11"/>
  <c r="D159" i="11"/>
  <c r="AX161" i="11"/>
  <c r="D162" i="11"/>
  <c r="AX162" i="11"/>
  <c r="D163" i="11"/>
  <c r="C10" i="11"/>
  <c r="C9" i="11"/>
  <c r="C8" i="11"/>
  <c r="C7" i="11"/>
  <c r="C6" i="11"/>
  <c r="E6" i="11" s="1"/>
  <c r="F6" i="11" s="1"/>
  <c r="AI5" i="11"/>
  <c r="AG5" i="11"/>
  <c r="AE5" i="11"/>
  <c r="AC5" i="11"/>
  <c r="E168" i="23" l="1"/>
  <c r="F168" i="23" s="1"/>
  <c r="E167" i="23"/>
  <c r="F167" i="23" s="1"/>
  <c r="E166" i="23"/>
  <c r="F166" i="23" s="1"/>
  <c r="E165" i="23"/>
  <c r="F165" i="23" s="1"/>
  <c r="E164" i="23"/>
  <c r="F164" i="23" s="1"/>
  <c r="E161" i="23"/>
  <c r="F161" i="23" s="1"/>
  <c r="E160" i="23"/>
  <c r="F160" i="23" s="1"/>
  <c r="E157" i="23"/>
  <c r="F157" i="23" s="1"/>
  <c r="E156" i="23"/>
  <c r="F156" i="23" s="1"/>
  <c r="E155" i="23"/>
  <c r="F155" i="23" s="1"/>
  <c r="E154" i="23"/>
  <c r="F154" i="23" s="1"/>
  <c r="E153" i="23"/>
  <c r="F153" i="23" s="1"/>
  <c r="E152" i="23"/>
  <c r="F152" i="23" s="1"/>
  <c r="E151" i="23"/>
  <c r="F151" i="23" s="1"/>
  <c r="E150" i="23"/>
  <c r="F150" i="23" s="1"/>
  <c r="E149" i="23"/>
  <c r="F149" i="23" s="1"/>
  <c r="E148" i="23"/>
  <c r="F148" i="23" s="1"/>
  <c r="E147" i="23"/>
  <c r="F147" i="23" s="1"/>
  <c r="E146" i="23"/>
  <c r="F146" i="23" s="1"/>
  <c r="E145" i="23"/>
  <c r="F145" i="23" s="1"/>
  <c r="E144" i="23"/>
  <c r="F144" i="23" s="1"/>
  <c r="E143" i="23"/>
  <c r="F143" i="23" s="1"/>
  <c r="E142" i="23"/>
  <c r="F142" i="23" s="1"/>
  <c r="E141" i="23"/>
  <c r="F141" i="23" s="1"/>
  <c r="E140" i="23"/>
  <c r="F140" i="23" s="1"/>
  <c r="E139" i="23"/>
  <c r="F139" i="23" s="1"/>
  <c r="E138" i="23"/>
  <c r="F138" i="23" s="1"/>
  <c r="E137" i="23"/>
  <c r="F137" i="23" s="1"/>
  <c r="E136" i="23"/>
  <c r="F136" i="23" s="1"/>
  <c r="E135" i="23"/>
  <c r="F135" i="23" s="1"/>
  <c r="E134" i="23"/>
  <c r="F134" i="23" s="1"/>
  <c r="E133" i="23"/>
  <c r="F133" i="23" s="1"/>
  <c r="E132" i="23"/>
  <c r="F132" i="23" s="1"/>
  <c r="E131" i="23"/>
  <c r="F131" i="23" s="1"/>
  <c r="E130" i="23"/>
  <c r="F130" i="23" s="1"/>
  <c r="E129" i="23"/>
  <c r="F129" i="23" s="1"/>
  <c r="E128" i="23"/>
  <c r="F128" i="23" s="1"/>
  <c r="E127" i="23"/>
  <c r="F127" i="23" s="1"/>
  <c r="E126" i="23"/>
  <c r="F126" i="23" s="1"/>
  <c r="E125" i="23"/>
  <c r="F125" i="23" s="1"/>
  <c r="E124" i="23"/>
  <c r="F124" i="23" s="1"/>
  <c r="E123" i="23"/>
  <c r="F123" i="23" s="1"/>
  <c r="E122" i="23"/>
  <c r="F122" i="23" s="1"/>
  <c r="E121" i="23"/>
  <c r="F121" i="23" s="1"/>
  <c r="E120" i="23"/>
  <c r="F120" i="23" s="1"/>
  <c r="E119" i="23"/>
  <c r="F119" i="23" s="1"/>
  <c r="E118" i="23"/>
  <c r="F118" i="23" s="1"/>
  <c r="E117" i="23"/>
  <c r="F117" i="23" s="1"/>
  <c r="E116" i="23"/>
  <c r="F116" i="23" s="1"/>
  <c r="E163" i="23"/>
  <c r="F163" i="23" s="1"/>
  <c r="E162" i="23"/>
  <c r="F162" i="23" s="1"/>
  <c r="E159" i="23"/>
  <c r="F159" i="23" s="1"/>
  <c r="E158" i="23"/>
  <c r="F158" i="23" s="1"/>
  <c r="E168" i="24"/>
  <c r="F168" i="24" s="1"/>
  <c r="E167" i="24"/>
  <c r="F167" i="24" s="1"/>
  <c r="E166" i="24"/>
  <c r="F166" i="24" s="1"/>
  <c r="E165" i="24"/>
  <c r="F165" i="24" s="1"/>
  <c r="E164" i="24"/>
  <c r="F164" i="24" s="1"/>
  <c r="E161" i="24"/>
  <c r="F161" i="24" s="1"/>
  <c r="E160" i="24"/>
  <c r="F160" i="24" s="1"/>
  <c r="E157" i="24"/>
  <c r="F157" i="24" s="1"/>
  <c r="E156" i="24"/>
  <c r="F156" i="24" s="1"/>
  <c r="E155" i="24"/>
  <c r="F155" i="24" s="1"/>
  <c r="E154" i="24"/>
  <c r="F154" i="24" s="1"/>
  <c r="E153" i="24"/>
  <c r="F153" i="24" s="1"/>
  <c r="E152" i="24"/>
  <c r="F152" i="24" s="1"/>
  <c r="E151" i="24"/>
  <c r="F151" i="24" s="1"/>
  <c r="E150" i="24"/>
  <c r="F150" i="24" s="1"/>
  <c r="E149" i="24"/>
  <c r="F149" i="24" s="1"/>
  <c r="E148" i="24"/>
  <c r="F148" i="24" s="1"/>
  <c r="E147" i="24"/>
  <c r="F147" i="24" s="1"/>
  <c r="E146" i="24"/>
  <c r="F146" i="24" s="1"/>
  <c r="E145" i="24"/>
  <c r="F145" i="24" s="1"/>
  <c r="E144" i="24"/>
  <c r="F144" i="24" s="1"/>
  <c r="E143" i="24"/>
  <c r="F143" i="24" s="1"/>
  <c r="E142" i="24"/>
  <c r="F142" i="24" s="1"/>
  <c r="E141" i="24"/>
  <c r="F141" i="24" s="1"/>
  <c r="E140" i="24"/>
  <c r="F140" i="24" s="1"/>
  <c r="E139" i="24"/>
  <c r="F139" i="24" s="1"/>
  <c r="E138" i="24"/>
  <c r="F138" i="24" s="1"/>
  <c r="E137" i="24"/>
  <c r="F137" i="24" s="1"/>
  <c r="E136" i="24"/>
  <c r="F136" i="24" s="1"/>
  <c r="E135" i="24"/>
  <c r="F135" i="24" s="1"/>
  <c r="E134" i="24"/>
  <c r="F134" i="24" s="1"/>
  <c r="E133" i="24"/>
  <c r="F133" i="24" s="1"/>
  <c r="E132" i="24"/>
  <c r="F132" i="24" s="1"/>
  <c r="E131" i="24"/>
  <c r="F131" i="24" s="1"/>
  <c r="E130" i="24"/>
  <c r="F130" i="24" s="1"/>
  <c r="E129" i="24"/>
  <c r="F129" i="24" s="1"/>
  <c r="E128" i="24"/>
  <c r="F128" i="24" s="1"/>
  <c r="E127" i="24"/>
  <c r="F127" i="24" s="1"/>
  <c r="E126" i="24"/>
  <c r="F126" i="24" s="1"/>
  <c r="E125" i="24"/>
  <c r="F125" i="24" s="1"/>
  <c r="E124" i="24"/>
  <c r="F124" i="24" s="1"/>
  <c r="E123" i="24"/>
  <c r="F123" i="24" s="1"/>
  <c r="E122" i="24"/>
  <c r="F122" i="24" s="1"/>
  <c r="E121" i="24"/>
  <c r="F121" i="24" s="1"/>
  <c r="E120" i="24"/>
  <c r="F120" i="24" s="1"/>
  <c r="E119" i="24"/>
  <c r="F119" i="24" s="1"/>
  <c r="E118" i="24"/>
  <c r="F118" i="24" s="1"/>
  <c r="E117" i="24"/>
  <c r="F117" i="24" s="1"/>
  <c r="E116" i="24"/>
  <c r="F116" i="24" s="1"/>
  <c r="E163" i="24"/>
  <c r="F163" i="24" s="1"/>
  <c r="E162" i="24"/>
  <c r="F162" i="24" s="1"/>
  <c r="E159" i="24"/>
  <c r="F159" i="24" s="1"/>
  <c r="E158" i="24"/>
  <c r="F158" i="24" s="1"/>
  <c r="E115" i="23"/>
  <c r="F115" i="23" s="1"/>
  <c r="E114" i="23"/>
  <c r="F114" i="23" s="1"/>
  <c r="E113" i="23"/>
  <c r="F113" i="23" s="1"/>
  <c r="E112" i="23"/>
  <c r="F112" i="23" s="1"/>
  <c r="E111" i="23"/>
  <c r="F111" i="23" s="1"/>
  <c r="E110" i="23"/>
  <c r="F110" i="23" s="1"/>
  <c r="E109" i="23"/>
  <c r="F109" i="23" s="1"/>
  <c r="E108" i="23"/>
  <c r="F108" i="23" s="1"/>
  <c r="E107" i="23"/>
  <c r="F107" i="23" s="1"/>
  <c r="E106" i="23"/>
  <c r="F106" i="23" s="1"/>
  <c r="E115" i="24"/>
  <c r="F115" i="24" s="1"/>
  <c r="E114" i="24"/>
  <c r="F114" i="24" s="1"/>
  <c r="E113" i="24"/>
  <c r="F113" i="24" s="1"/>
  <c r="E112" i="24"/>
  <c r="F112" i="24" s="1"/>
  <c r="E111" i="24"/>
  <c r="F111" i="24" s="1"/>
  <c r="E110" i="24"/>
  <c r="F110" i="24" s="1"/>
  <c r="E109" i="24"/>
  <c r="F109" i="24" s="1"/>
  <c r="E108" i="24"/>
  <c r="F108" i="24" s="1"/>
  <c r="E107" i="24"/>
  <c r="F107" i="24" s="1"/>
  <c r="E106" i="24"/>
  <c r="F106" i="24" s="1"/>
  <c r="E105" i="24"/>
  <c r="F105" i="24" s="1"/>
  <c r="E103" i="24"/>
  <c r="F103" i="24" s="1"/>
  <c r="E100" i="24"/>
  <c r="F100" i="24" s="1"/>
  <c r="E98" i="24"/>
  <c r="F98" i="24" s="1"/>
  <c r="E96" i="24"/>
  <c r="F96" i="24" s="1"/>
  <c r="E94" i="24"/>
  <c r="F94" i="24" s="1"/>
  <c r="E92" i="24"/>
  <c r="F92" i="24" s="1"/>
  <c r="E90" i="24"/>
  <c r="F90" i="24" s="1"/>
  <c r="E88" i="24"/>
  <c r="F88" i="24" s="1"/>
  <c r="E86" i="24"/>
  <c r="F86" i="24" s="1"/>
  <c r="E84" i="24"/>
  <c r="F84" i="24" s="1"/>
  <c r="E82" i="24"/>
  <c r="F82" i="24" s="1"/>
  <c r="E80" i="24"/>
  <c r="F80" i="24" s="1"/>
  <c r="E78" i="24"/>
  <c r="F78" i="24" s="1"/>
  <c r="E76" i="24"/>
  <c r="F76" i="24" s="1"/>
  <c r="E74" i="24"/>
  <c r="F74" i="24" s="1"/>
  <c r="E72" i="24"/>
  <c r="F72" i="24" s="1"/>
  <c r="E70" i="24"/>
  <c r="F70" i="24" s="1"/>
  <c r="E68" i="24"/>
  <c r="F68" i="24" s="1"/>
  <c r="E66" i="24"/>
  <c r="F66" i="24" s="1"/>
  <c r="E64" i="24"/>
  <c r="F64" i="24" s="1"/>
  <c r="E62" i="24"/>
  <c r="F62" i="24" s="1"/>
  <c r="E60" i="24"/>
  <c r="F60" i="24" s="1"/>
  <c r="E58" i="24"/>
  <c r="F58" i="24" s="1"/>
  <c r="E56" i="24"/>
  <c r="F56" i="24" s="1"/>
  <c r="E54" i="24"/>
  <c r="F54" i="24" s="1"/>
  <c r="E52" i="24"/>
  <c r="F52" i="24" s="1"/>
  <c r="E50" i="24"/>
  <c r="F50" i="24" s="1"/>
  <c r="E48" i="24"/>
  <c r="F48" i="24" s="1"/>
  <c r="E46" i="24"/>
  <c r="F46" i="24" s="1"/>
  <c r="E44" i="24"/>
  <c r="F44" i="24" s="1"/>
  <c r="E42" i="24"/>
  <c r="F42" i="24" s="1"/>
  <c r="E40" i="24"/>
  <c r="F40" i="24" s="1"/>
  <c r="E38" i="24"/>
  <c r="F38" i="24" s="1"/>
  <c r="E36" i="24"/>
  <c r="F36" i="24" s="1"/>
  <c r="E34" i="24"/>
  <c r="F34" i="24" s="1"/>
  <c r="E32" i="24"/>
  <c r="F32" i="24" s="1"/>
  <c r="E31" i="24"/>
  <c r="F31" i="24" s="1"/>
  <c r="E29" i="24"/>
  <c r="F29" i="24" s="1"/>
  <c r="E28" i="24"/>
  <c r="F28" i="24" s="1"/>
  <c r="E27" i="24"/>
  <c r="F27" i="24" s="1"/>
  <c r="E26" i="23"/>
  <c r="F26" i="23" s="1"/>
  <c r="E20" i="24"/>
  <c r="F20" i="24" s="1"/>
  <c r="E18" i="23"/>
  <c r="F18" i="23" s="1"/>
  <c r="E14" i="24"/>
  <c r="F14" i="24" s="1"/>
  <c r="E8" i="11"/>
  <c r="F8" i="11" s="1"/>
  <c r="E10" i="11"/>
  <c r="F10" i="11" s="1"/>
  <c r="E105" i="23"/>
  <c r="F105" i="23" s="1"/>
  <c r="E104" i="23"/>
  <c r="F104" i="23" s="1"/>
  <c r="E103" i="23"/>
  <c r="F103" i="23" s="1"/>
  <c r="E102" i="23"/>
  <c r="F102" i="23" s="1"/>
  <c r="E101" i="23"/>
  <c r="F101" i="23" s="1"/>
  <c r="E100" i="23"/>
  <c r="F100" i="23" s="1"/>
  <c r="E99" i="23"/>
  <c r="F99" i="23" s="1"/>
  <c r="E98" i="23"/>
  <c r="F98" i="23" s="1"/>
  <c r="E97" i="23"/>
  <c r="F97" i="23" s="1"/>
  <c r="E96" i="23"/>
  <c r="F96" i="23" s="1"/>
  <c r="E95" i="23"/>
  <c r="F95" i="23" s="1"/>
  <c r="E94" i="23"/>
  <c r="F94" i="23" s="1"/>
  <c r="E93" i="23"/>
  <c r="F93" i="23" s="1"/>
  <c r="E92" i="23"/>
  <c r="F92" i="23" s="1"/>
  <c r="E91" i="23"/>
  <c r="F91" i="23" s="1"/>
  <c r="E90" i="23"/>
  <c r="F90" i="23" s="1"/>
  <c r="E89" i="23"/>
  <c r="F89" i="23" s="1"/>
  <c r="E88" i="23"/>
  <c r="F88" i="23" s="1"/>
  <c r="E87" i="23"/>
  <c r="F87" i="23" s="1"/>
  <c r="E86" i="23"/>
  <c r="F86" i="23" s="1"/>
  <c r="E85" i="23"/>
  <c r="F85" i="23" s="1"/>
  <c r="E84" i="23"/>
  <c r="F84" i="23" s="1"/>
  <c r="E83" i="23"/>
  <c r="F83" i="23" s="1"/>
  <c r="E82" i="23"/>
  <c r="F82" i="23" s="1"/>
  <c r="E81" i="23"/>
  <c r="F81" i="23" s="1"/>
  <c r="E80" i="23"/>
  <c r="F80" i="23" s="1"/>
  <c r="E79" i="23"/>
  <c r="F79" i="23" s="1"/>
  <c r="E78" i="23"/>
  <c r="F78" i="23" s="1"/>
  <c r="E77" i="23"/>
  <c r="F77" i="23" s="1"/>
  <c r="E76" i="23"/>
  <c r="F76" i="23" s="1"/>
  <c r="E75" i="23"/>
  <c r="F75" i="23" s="1"/>
  <c r="E74" i="23"/>
  <c r="F74" i="23" s="1"/>
  <c r="E73" i="23"/>
  <c r="F73" i="23" s="1"/>
  <c r="E72" i="23"/>
  <c r="F72" i="23" s="1"/>
  <c r="E71" i="23"/>
  <c r="F71" i="23" s="1"/>
  <c r="E70" i="23"/>
  <c r="F70" i="23" s="1"/>
  <c r="E69" i="23"/>
  <c r="F69" i="23" s="1"/>
  <c r="E68" i="23"/>
  <c r="F68" i="23" s="1"/>
  <c r="E67" i="23"/>
  <c r="F67" i="23" s="1"/>
  <c r="E66" i="23"/>
  <c r="F66" i="23" s="1"/>
  <c r="E65" i="23"/>
  <c r="F65" i="23" s="1"/>
  <c r="E64" i="23"/>
  <c r="F64" i="23" s="1"/>
  <c r="E63" i="23"/>
  <c r="F63" i="23" s="1"/>
  <c r="E62" i="23"/>
  <c r="F62" i="23" s="1"/>
  <c r="E61" i="23"/>
  <c r="F61" i="23" s="1"/>
  <c r="E60" i="23"/>
  <c r="F60" i="23" s="1"/>
  <c r="E59" i="23"/>
  <c r="F59" i="23" s="1"/>
  <c r="E58" i="23"/>
  <c r="F58" i="23" s="1"/>
  <c r="E57" i="23"/>
  <c r="F57" i="23" s="1"/>
  <c r="E56" i="23"/>
  <c r="F56" i="23" s="1"/>
  <c r="E55" i="23"/>
  <c r="F55" i="23" s="1"/>
  <c r="E54" i="23"/>
  <c r="F54" i="23" s="1"/>
  <c r="E53" i="23"/>
  <c r="F53" i="23" s="1"/>
  <c r="E52" i="23"/>
  <c r="F52" i="23" s="1"/>
  <c r="E51" i="23"/>
  <c r="F51" i="23" s="1"/>
  <c r="E50" i="23"/>
  <c r="F50" i="23" s="1"/>
  <c r="E49" i="23"/>
  <c r="F49" i="23" s="1"/>
  <c r="E48" i="23"/>
  <c r="F48" i="23" s="1"/>
  <c r="E47" i="23"/>
  <c r="F47" i="23" s="1"/>
  <c r="E46" i="23"/>
  <c r="F46" i="23" s="1"/>
  <c r="E45" i="23"/>
  <c r="F45" i="23" s="1"/>
  <c r="E44" i="23"/>
  <c r="F44" i="23" s="1"/>
  <c r="E43" i="23"/>
  <c r="F43" i="23" s="1"/>
  <c r="E42" i="23"/>
  <c r="F42" i="23" s="1"/>
  <c r="E41" i="23"/>
  <c r="F41" i="23" s="1"/>
  <c r="E40" i="23"/>
  <c r="F40" i="23" s="1"/>
  <c r="E39" i="23"/>
  <c r="F39" i="23" s="1"/>
  <c r="E38" i="23"/>
  <c r="F38" i="23" s="1"/>
  <c r="E37" i="23"/>
  <c r="F37" i="23" s="1"/>
  <c r="E36" i="23"/>
  <c r="F36" i="23" s="1"/>
  <c r="E35" i="23"/>
  <c r="F35" i="23" s="1"/>
  <c r="E34" i="23"/>
  <c r="F34" i="23" s="1"/>
  <c r="E33" i="23"/>
  <c r="F33" i="23" s="1"/>
  <c r="E32" i="23"/>
  <c r="F32" i="23" s="1"/>
  <c r="E31" i="23"/>
  <c r="F31" i="23" s="1"/>
  <c r="E30" i="23"/>
  <c r="F30" i="23" s="1"/>
  <c r="E29" i="23"/>
  <c r="F29" i="23" s="1"/>
  <c r="E28" i="23"/>
  <c r="F28" i="23" s="1"/>
  <c r="E27" i="23"/>
  <c r="F27" i="23" s="1"/>
  <c r="E26" i="24"/>
  <c r="F26" i="24" s="1"/>
  <c r="E20" i="23"/>
  <c r="F20" i="23" s="1"/>
  <c r="E18" i="24"/>
  <c r="F18" i="24" s="1"/>
  <c r="E14" i="23"/>
  <c r="F14" i="23" s="1"/>
  <c r="E25" i="23"/>
  <c r="F25" i="23" s="1"/>
  <c r="E23" i="23"/>
  <c r="F23" i="23" s="1"/>
  <c r="E22" i="23"/>
  <c r="F22" i="23" s="1"/>
  <c r="E21" i="23"/>
  <c r="F21" i="23" s="1"/>
  <c r="E19" i="23"/>
  <c r="F19" i="23" s="1"/>
  <c r="E17" i="24"/>
  <c r="F17" i="24" s="1"/>
  <c r="E15" i="23"/>
  <c r="F15" i="23" s="1"/>
  <c r="E13" i="24"/>
  <c r="F13" i="24" s="1"/>
  <c r="E11" i="23"/>
  <c r="F11" i="23" s="1"/>
  <c r="E16" i="23"/>
  <c r="F16" i="23" s="1"/>
  <c r="E12" i="24"/>
  <c r="F12" i="24" s="1"/>
  <c r="E7" i="11"/>
  <c r="F7" i="11" s="1"/>
  <c r="E9" i="11"/>
  <c r="F9" i="11" s="1"/>
  <c r="E104" i="24"/>
  <c r="F104" i="24" s="1"/>
  <c r="E102" i="24"/>
  <c r="F102" i="24" s="1"/>
  <c r="E101" i="24"/>
  <c r="F101" i="24" s="1"/>
  <c r="E99" i="24"/>
  <c r="F99" i="24" s="1"/>
  <c r="E97" i="24"/>
  <c r="F97" i="24" s="1"/>
  <c r="E95" i="24"/>
  <c r="F95" i="24" s="1"/>
  <c r="E93" i="24"/>
  <c r="F93" i="24" s="1"/>
  <c r="E91" i="24"/>
  <c r="F91" i="24" s="1"/>
  <c r="E89" i="24"/>
  <c r="F89" i="24" s="1"/>
  <c r="E87" i="24"/>
  <c r="F87" i="24" s="1"/>
  <c r="E85" i="24"/>
  <c r="F85" i="24" s="1"/>
  <c r="E83" i="24"/>
  <c r="F83" i="24" s="1"/>
  <c r="E81" i="24"/>
  <c r="F81" i="24" s="1"/>
  <c r="E79" i="24"/>
  <c r="F79" i="24" s="1"/>
  <c r="E77" i="24"/>
  <c r="F77" i="24" s="1"/>
  <c r="E75" i="24"/>
  <c r="F75" i="24" s="1"/>
  <c r="E73" i="24"/>
  <c r="F73" i="24" s="1"/>
  <c r="E71" i="24"/>
  <c r="F71" i="24" s="1"/>
  <c r="E69" i="24"/>
  <c r="F69" i="24" s="1"/>
  <c r="E67" i="24"/>
  <c r="F67" i="24" s="1"/>
  <c r="E65" i="24"/>
  <c r="F65" i="24" s="1"/>
  <c r="E63" i="24"/>
  <c r="F63" i="24" s="1"/>
  <c r="E61" i="24"/>
  <c r="F61" i="24" s="1"/>
  <c r="E59" i="24"/>
  <c r="F59" i="24" s="1"/>
  <c r="E57" i="24"/>
  <c r="F57" i="24" s="1"/>
  <c r="E55" i="24"/>
  <c r="F55" i="24" s="1"/>
  <c r="E53" i="24"/>
  <c r="F53" i="24" s="1"/>
  <c r="E51" i="24"/>
  <c r="F51" i="24" s="1"/>
  <c r="E49" i="24"/>
  <c r="F49" i="24" s="1"/>
  <c r="E47" i="24"/>
  <c r="F47" i="24" s="1"/>
  <c r="E45" i="24"/>
  <c r="F45" i="24" s="1"/>
  <c r="E43" i="24"/>
  <c r="F43" i="24" s="1"/>
  <c r="E41" i="24"/>
  <c r="F41" i="24" s="1"/>
  <c r="E39" i="24"/>
  <c r="F39" i="24" s="1"/>
  <c r="E37" i="24"/>
  <c r="F37" i="24" s="1"/>
  <c r="E35" i="24"/>
  <c r="F35" i="24" s="1"/>
  <c r="E33" i="24"/>
  <c r="F33" i="24" s="1"/>
  <c r="E30" i="24"/>
  <c r="F30" i="24" s="1"/>
  <c r="E25" i="24"/>
  <c r="F25" i="24" s="1"/>
  <c r="E23" i="24"/>
  <c r="F23" i="24" s="1"/>
  <c r="E22" i="24"/>
  <c r="F22" i="24" s="1"/>
  <c r="E21" i="24"/>
  <c r="F21" i="24" s="1"/>
  <c r="E19" i="24"/>
  <c r="F19" i="24" s="1"/>
  <c r="E17" i="23"/>
  <c r="F17" i="23" s="1"/>
  <c r="E15" i="24"/>
  <c r="F15" i="24" s="1"/>
  <c r="E13" i="23"/>
  <c r="F13" i="23" s="1"/>
  <c r="E11" i="24"/>
  <c r="F11" i="24" s="1"/>
  <c r="E16" i="24"/>
  <c r="F16" i="24" s="1"/>
  <c r="E12" i="23"/>
  <c r="F12" i="23" s="1"/>
  <c r="E24" i="24"/>
  <c r="F24" i="24" s="1"/>
  <c r="E24" i="23"/>
  <c r="F24" i="23" s="1"/>
  <c r="AK168" i="11"/>
  <c r="F168" i="11"/>
  <c r="F20" i="11"/>
  <c r="F12" i="11"/>
  <c r="F26" i="11"/>
  <c r="F16" i="11"/>
  <c r="D9" i="11"/>
  <c r="D19" i="11"/>
  <c r="D11" i="11"/>
  <c r="D8" i="11"/>
  <c r="D169" i="23"/>
  <c r="D168" i="11"/>
  <c r="D167" i="11"/>
  <c r="D166" i="11"/>
  <c r="D165" i="11"/>
  <c r="D164" i="11"/>
  <c r="D170" i="23"/>
  <c r="C6" i="23"/>
  <c r="C6" i="24"/>
  <c r="C10" i="23"/>
  <c r="C10" i="24"/>
  <c r="C7" i="23"/>
  <c r="C7" i="24"/>
  <c r="C8" i="23"/>
  <c r="C8" i="24"/>
  <c r="C9" i="23"/>
  <c r="C9" i="24"/>
  <c r="D170" i="24"/>
  <c r="D20" i="23"/>
  <c r="D169" i="24"/>
  <c r="D6" i="11"/>
  <c r="D10" i="11"/>
  <c r="E9" i="24" l="1"/>
  <c r="F9" i="24" s="1"/>
  <c r="E6" i="23"/>
  <c r="F6" i="23" s="1"/>
  <c r="E9" i="23"/>
  <c r="F9" i="23" s="1"/>
  <c r="E8" i="23"/>
  <c r="F8" i="23" s="1"/>
  <c r="E7" i="23"/>
  <c r="F7" i="23" s="1"/>
  <c r="E10" i="23"/>
  <c r="F10" i="23" s="1"/>
  <c r="E6" i="24"/>
  <c r="F6" i="24" s="1"/>
  <c r="E8" i="24"/>
  <c r="F8" i="24" s="1"/>
  <c r="E7" i="24"/>
  <c r="F7" i="24" s="1"/>
  <c r="E10" i="24"/>
  <c r="F10" i="24" s="1"/>
  <c r="D163" i="23"/>
  <c r="D14" i="23"/>
  <c r="D18" i="24"/>
  <c r="D12" i="23"/>
  <c r="D16" i="24"/>
  <c r="D11" i="23"/>
  <c r="D15" i="23"/>
  <c r="D19" i="23"/>
  <c r="D21" i="23"/>
  <c r="D22" i="23"/>
  <c r="D23" i="23"/>
  <c r="D24" i="23"/>
  <c r="D25" i="23"/>
  <c r="D158" i="23"/>
  <c r="D159" i="23"/>
  <c r="D162" i="23"/>
  <c r="D13" i="24"/>
  <c r="D17" i="24"/>
  <c r="D26" i="24"/>
  <c r="D27" i="23"/>
  <c r="D28" i="23"/>
  <c r="D31" i="23"/>
  <c r="D35" i="23"/>
  <c r="D39" i="23"/>
  <c r="D43" i="23"/>
  <c r="D47" i="23"/>
  <c r="D51" i="23"/>
  <c r="D55" i="23"/>
  <c r="D59" i="23"/>
  <c r="D63" i="23"/>
  <c r="D67" i="23"/>
  <c r="D71" i="23"/>
  <c r="D75" i="23"/>
  <c r="D79" i="23"/>
  <c r="D86" i="23"/>
  <c r="D90" i="23"/>
  <c r="D97" i="23"/>
  <c r="D101" i="23"/>
  <c r="D104" i="23"/>
  <c r="D108" i="23"/>
  <c r="D113" i="23"/>
  <c r="D116" i="23"/>
  <c r="D120" i="23"/>
  <c r="D124" i="23"/>
  <c r="D128" i="23"/>
  <c r="D132" i="23"/>
  <c r="D136" i="23"/>
  <c r="D140" i="23"/>
  <c r="D144" i="23"/>
  <c r="D150" i="23"/>
  <c r="D154" i="23"/>
  <c r="D157" i="23"/>
  <c r="D161" i="23"/>
  <c r="D165" i="23"/>
  <c r="D13" i="23"/>
  <c r="D17" i="23"/>
  <c r="D19" i="24"/>
  <c r="D21" i="24"/>
  <c r="D159" i="24"/>
  <c r="D95" i="24"/>
  <c r="D96" i="24"/>
  <c r="D97" i="24"/>
  <c r="D98" i="24"/>
  <c r="D131" i="24"/>
  <c r="D29" i="23"/>
  <c r="D30" i="23"/>
  <c r="D32" i="23"/>
  <c r="D33" i="23"/>
  <c r="D34" i="23"/>
  <c r="D36" i="23"/>
  <c r="D37" i="23"/>
  <c r="D38" i="23"/>
  <c r="D40" i="23"/>
  <c r="D41" i="23"/>
  <c r="D42" i="23"/>
  <c r="D44" i="23"/>
  <c r="D45" i="23"/>
  <c r="D46" i="23"/>
  <c r="D48" i="23"/>
  <c r="D49" i="23"/>
  <c r="D50" i="23"/>
  <c r="D52" i="23"/>
  <c r="D53" i="23"/>
  <c r="D54" i="23"/>
  <c r="D56" i="23"/>
  <c r="D57" i="23"/>
  <c r="D58" i="23"/>
  <c r="D60" i="23"/>
  <c r="D61" i="23"/>
  <c r="D62" i="23"/>
  <c r="D64" i="23"/>
  <c r="D65" i="23"/>
  <c r="D66" i="23"/>
  <c r="D68" i="23"/>
  <c r="D69" i="23"/>
  <c r="D70" i="23"/>
  <c r="D72" i="23"/>
  <c r="D73" i="23"/>
  <c r="D74" i="23"/>
  <c r="D76" i="23"/>
  <c r="D77" i="23"/>
  <c r="D78" i="23"/>
  <c r="D80" i="23"/>
  <c r="D81" i="23"/>
  <c r="D82" i="23"/>
  <c r="D83" i="23"/>
  <c r="D84" i="23"/>
  <c r="D85" i="23"/>
  <c r="D87" i="23"/>
  <c r="D88" i="23"/>
  <c r="D89" i="23"/>
  <c r="D91" i="23"/>
  <c r="D92" i="23"/>
  <c r="D93" i="23"/>
  <c r="D94" i="23"/>
  <c r="D95" i="23"/>
  <c r="D96" i="23"/>
  <c r="D98" i="23"/>
  <c r="D99" i="23"/>
  <c r="D100" i="23"/>
  <c r="D102" i="23"/>
  <c r="D103" i="23"/>
  <c r="D105" i="23"/>
  <c r="D106" i="23"/>
  <c r="D107" i="23"/>
  <c r="D109" i="23"/>
  <c r="D110" i="23"/>
  <c r="D111" i="23"/>
  <c r="D112" i="23"/>
  <c r="D114" i="23"/>
  <c r="D115" i="23"/>
  <c r="D117" i="23"/>
  <c r="D118" i="23"/>
  <c r="D119" i="23"/>
  <c r="D121" i="23"/>
  <c r="D122" i="23"/>
  <c r="D123" i="23"/>
  <c r="D125" i="23"/>
  <c r="D126" i="23"/>
  <c r="D127" i="23"/>
  <c r="D129" i="23"/>
  <c r="D130" i="23"/>
  <c r="D131" i="23"/>
  <c r="D133" i="23"/>
  <c r="D134" i="23"/>
  <c r="D135" i="23"/>
  <c r="D137" i="23"/>
  <c r="D138" i="23"/>
  <c r="D139" i="23"/>
  <c r="D141" i="23"/>
  <c r="D142" i="23"/>
  <c r="D143" i="23"/>
  <c r="D145" i="23"/>
  <c r="D146" i="23"/>
  <c r="D147" i="23"/>
  <c r="D148" i="23"/>
  <c r="D149" i="23"/>
  <c r="D151" i="23"/>
  <c r="D152" i="23"/>
  <c r="D153" i="23"/>
  <c r="D155" i="23"/>
  <c r="D156" i="23"/>
  <c r="D160" i="23"/>
  <c r="D164" i="23"/>
  <c r="D166" i="23"/>
  <c r="D167" i="23"/>
  <c r="D168" i="23"/>
  <c r="D8" i="24"/>
  <c r="D7" i="24"/>
  <c r="D12" i="24"/>
  <c r="D16" i="23"/>
  <c r="D11" i="24"/>
  <c r="D15" i="24"/>
  <c r="D22" i="24"/>
  <c r="D23" i="24"/>
  <c r="D24" i="24"/>
  <c r="D25" i="24"/>
  <c r="D158" i="24"/>
  <c r="D162" i="24"/>
  <c r="D163" i="24"/>
  <c r="D14" i="24"/>
  <c r="D18" i="23"/>
  <c r="D20" i="24"/>
  <c r="D26" i="23"/>
  <c r="D27" i="24"/>
  <c r="D28" i="24"/>
  <c r="D29" i="24"/>
  <c r="D30" i="24"/>
  <c r="D31" i="24"/>
  <c r="D32" i="24"/>
  <c r="D33" i="24"/>
  <c r="D34" i="24"/>
  <c r="D35" i="24"/>
  <c r="D36" i="24"/>
  <c r="D37" i="24"/>
  <c r="D38" i="24"/>
  <c r="D39" i="24"/>
  <c r="D40" i="24"/>
  <c r="D41" i="24"/>
  <c r="D42" i="24"/>
  <c r="D43" i="24"/>
  <c r="D44" i="24"/>
  <c r="D45" i="24"/>
  <c r="D46" i="24"/>
  <c r="D47" i="24"/>
  <c r="D48" i="24"/>
  <c r="D49" i="24"/>
  <c r="D50" i="24"/>
  <c r="D51" i="24"/>
  <c r="D52" i="24"/>
  <c r="D53" i="24"/>
  <c r="D54" i="24"/>
  <c r="D55" i="24"/>
  <c r="D56" i="24"/>
  <c r="D57" i="24"/>
  <c r="D58" i="24"/>
  <c r="D59" i="24"/>
  <c r="D60" i="24"/>
  <c r="D61" i="24"/>
  <c r="D62" i="24"/>
  <c r="D63" i="24"/>
  <c r="D64" i="24"/>
  <c r="D65" i="24"/>
  <c r="D66" i="24"/>
  <c r="D67" i="24"/>
  <c r="D68" i="24"/>
  <c r="D69" i="24"/>
  <c r="D70" i="24"/>
  <c r="D71" i="24"/>
  <c r="D72" i="24"/>
  <c r="D73" i="24"/>
  <c r="D74" i="24"/>
  <c r="D75" i="24"/>
  <c r="D76" i="24"/>
  <c r="D77" i="24"/>
  <c r="D78" i="24"/>
  <c r="D79" i="24"/>
  <c r="D80" i="24"/>
  <c r="D81" i="24"/>
  <c r="D82" i="24"/>
  <c r="D83" i="24"/>
  <c r="D84" i="24"/>
  <c r="D85" i="24"/>
  <c r="D86" i="24"/>
  <c r="D87" i="24"/>
  <c r="D88" i="24"/>
  <c r="D89" i="24"/>
  <c r="D90" i="24"/>
  <c r="D91" i="24"/>
  <c r="D92" i="24"/>
  <c r="D93" i="24"/>
  <c r="D94" i="24"/>
  <c r="D99" i="24"/>
  <c r="D100" i="24"/>
  <c r="D101" i="24"/>
  <c r="D102" i="24"/>
  <c r="D103" i="24"/>
  <c r="D104" i="24"/>
  <c r="D105" i="24"/>
  <c r="D106" i="24"/>
  <c r="D107" i="24"/>
  <c r="D108" i="24"/>
  <c r="D109" i="24"/>
  <c r="D110" i="24"/>
  <c r="D111" i="24"/>
  <c r="D112" i="24"/>
  <c r="D113" i="24"/>
  <c r="D114" i="24"/>
  <c r="D115" i="24"/>
  <c r="D116" i="24"/>
  <c r="D117" i="24"/>
  <c r="D118" i="24"/>
  <c r="D119" i="24"/>
  <c r="D120" i="24"/>
  <c r="D121" i="24"/>
  <c r="D122" i="24"/>
  <c r="D123" i="24"/>
  <c r="D124" i="24"/>
  <c r="D125" i="24"/>
  <c r="D126" i="24"/>
  <c r="D127" i="24"/>
  <c r="D128" i="24"/>
  <c r="D129" i="24"/>
  <c r="D130" i="24"/>
  <c r="D132" i="24"/>
  <c r="D133" i="24"/>
  <c r="D134" i="24"/>
  <c r="D135" i="24"/>
  <c r="D136" i="24"/>
  <c r="D137" i="24"/>
  <c r="D138" i="24"/>
  <c r="D139" i="24"/>
  <c r="D140" i="24"/>
  <c r="D141" i="24"/>
  <c r="D142" i="24"/>
  <c r="D143" i="24"/>
  <c r="D144" i="24"/>
  <c r="D145" i="24"/>
  <c r="D146" i="24"/>
  <c r="D147" i="24"/>
  <c r="D148" i="24"/>
  <c r="D149" i="24"/>
  <c r="D150" i="24"/>
  <c r="D151" i="24"/>
  <c r="D152" i="24"/>
  <c r="D153" i="24"/>
  <c r="D154" i="24"/>
  <c r="D155" i="24"/>
  <c r="D156" i="24"/>
  <c r="D157" i="24"/>
  <c r="D160" i="24"/>
  <c r="D161" i="24"/>
  <c r="D164" i="24"/>
  <c r="D165" i="24"/>
  <c r="D166" i="24"/>
  <c r="D167" i="24"/>
  <c r="D168" i="24"/>
  <c r="D9" i="23" l="1"/>
  <c r="D6" i="24"/>
  <c r="D10" i="23"/>
  <c r="D9" i="24"/>
  <c r="D6" i="23"/>
  <c r="D10" i="24"/>
  <c r="D7" i="23"/>
  <c r="D8" i="23"/>
  <c r="F307" i="23" l="1"/>
  <c r="F307" i="24"/>
  <c r="G302" i="24" l="1"/>
  <c r="G301" i="24"/>
  <c r="G300" i="24"/>
  <c r="G303" i="24"/>
  <c r="G304" i="24"/>
  <c r="G305" i="24"/>
  <c r="G227" i="24"/>
  <c r="G226" i="24"/>
  <c r="G299" i="24"/>
  <c r="G298" i="24"/>
  <c r="G295" i="24"/>
  <c r="G294" i="24"/>
  <c r="G277" i="24"/>
  <c r="G276" i="24"/>
  <c r="G273" i="24"/>
  <c r="G272" i="24"/>
  <c r="G269" i="24"/>
  <c r="G268" i="24"/>
  <c r="G266" i="24"/>
  <c r="G263" i="24"/>
  <c r="G262" i="24"/>
  <c r="G258" i="24"/>
  <c r="G257" i="24"/>
  <c r="G255" i="24"/>
  <c r="G254" i="24"/>
  <c r="G250" i="24"/>
  <c r="G247" i="24"/>
  <c r="G246" i="24"/>
  <c r="G242" i="24"/>
  <c r="G239" i="24"/>
  <c r="G238" i="24"/>
  <c r="G234" i="24"/>
  <c r="G292" i="24"/>
  <c r="G291" i="24"/>
  <c r="G287" i="24"/>
  <c r="G283" i="24"/>
  <c r="G280" i="24"/>
  <c r="G279" i="24"/>
  <c r="G278" i="24"/>
  <c r="G274" i="24"/>
  <c r="G271" i="24"/>
  <c r="G270" i="24"/>
  <c r="G264" i="24"/>
  <c r="G261" i="24"/>
  <c r="G260" i="24"/>
  <c r="G253" i="24"/>
  <c r="G252" i="24"/>
  <c r="G248" i="24"/>
  <c r="G245" i="24"/>
  <c r="G244" i="24"/>
  <c r="G240" i="24"/>
  <c r="G237" i="24"/>
  <c r="G236" i="24"/>
  <c r="G232" i="24"/>
  <c r="G229" i="24"/>
  <c r="G228" i="24"/>
  <c r="G231" i="24"/>
  <c r="G230" i="24"/>
  <c r="G297" i="24"/>
  <c r="G296" i="24"/>
  <c r="G293" i="24"/>
  <c r="G259" i="24"/>
  <c r="G256" i="24"/>
  <c r="G251" i="24"/>
  <c r="G243" i="24"/>
  <c r="G235" i="24"/>
  <c r="G290" i="24"/>
  <c r="G289" i="24"/>
  <c r="G288" i="24"/>
  <c r="G286" i="24"/>
  <c r="G285" i="24"/>
  <c r="G284" i="24"/>
  <c r="G282" i="24"/>
  <c r="G281" i="24"/>
  <c r="G275" i="24"/>
  <c r="G267" i="24"/>
  <c r="G265" i="24"/>
  <c r="G249" i="24"/>
  <c r="G241" i="24"/>
  <c r="G233" i="24"/>
  <c r="G304" i="23"/>
  <c r="G303" i="23"/>
  <c r="G302" i="23"/>
  <c r="G305" i="23"/>
  <c r="G300" i="23"/>
  <c r="G301" i="23"/>
  <c r="G299" i="23"/>
  <c r="G295" i="23"/>
  <c r="G263" i="23"/>
  <c r="G296" i="23"/>
  <c r="G277" i="23"/>
  <c r="G276" i="23"/>
  <c r="G269" i="23"/>
  <c r="G268" i="23"/>
  <c r="G262" i="23"/>
  <c r="G259" i="23"/>
  <c r="G258" i="23"/>
  <c r="G254" i="23"/>
  <c r="G251" i="23"/>
  <c r="G250" i="23"/>
  <c r="G246" i="23"/>
  <c r="G243" i="23"/>
  <c r="G242" i="23"/>
  <c r="G235" i="23"/>
  <c r="G292" i="23"/>
  <c r="G291" i="23"/>
  <c r="G290" i="23"/>
  <c r="G286" i="23"/>
  <c r="G285" i="23"/>
  <c r="G282" i="23"/>
  <c r="G281" i="23"/>
  <c r="G280" i="23"/>
  <c r="G271" i="23"/>
  <c r="G298" i="23"/>
  <c r="G297" i="23"/>
  <c r="G294" i="23"/>
  <c r="G293" i="23"/>
  <c r="G273" i="23"/>
  <c r="G272" i="23"/>
  <c r="G266" i="23"/>
  <c r="G257" i="23"/>
  <c r="G256" i="23"/>
  <c r="G255" i="23"/>
  <c r="G247" i="23"/>
  <c r="G239" i="23"/>
  <c r="G238" i="23"/>
  <c r="G234" i="23"/>
  <c r="G289" i="23"/>
  <c r="G288" i="23"/>
  <c r="G287" i="23"/>
  <c r="G284" i="23"/>
  <c r="G283" i="23"/>
  <c r="G279" i="23"/>
  <c r="G278" i="23"/>
  <c r="G275" i="23"/>
  <c r="G274" i="23"/>
  <c r="G270" i="23"/>
  <c r="G267" i="23"/>
  <c r="G264" i="23"/>
  <c r="G261" i="23"/>
  <c r="G260" i="23"/>
  <c r="G253" i="23"/>
  <c r="G252" i="23"/>
  <c r="G248" i="23"/>
  <c r="G245" i="23"/>
  <c r="G244" i="23"/>
  <c r="G237" i="23"/>
  <c r="G232" i="23"/>
  <c r="G229" i="23"/>
  <c r="G231" i="23"/>
  <c r="G227" i="23"/>
  <c r="G226" i="23"/>
  <c r="G265" i="23"/>
  <c r="G249" i="23"/>
  <c r="G241" i="23"/>
  <c r="G240" i="23"/>
  <c r="G236" i="23"/>
  <c r="G233" i="23"/>
  <c r="G228" i="23"/>
  <c r="G230" i="23"/>
  <c r="G213" i="23"/>
  <c r="G218" i="23"/>
  <c r="G207" i="23"/>
  <c r="G206" i="23"/>
  <c r="G205" i="23"/>
  <c r="G225" i="23"/>
  <c r="G224" i="23"/>
  <c r="G210" i="23"/>
  <c r="G219" i="23"/>
  <c r="G215" i="23"/>
  <c r="G214" i="23"/>
  <c r="G217" i="23"/>
  <c r="G202" i="23"/>
  <c r="G196" i="23"/>
  <c r="G211" i="23"/>
  <c r="G223" i="23"/>
  <c r="G222" i="23"/>
  <c r="G220" i="23"/>
  <c r="G216" i="23"/>
  <c r="G209" i="23"/>
  <c r="G204" i="23"/>
  <c r="G203" i="23"/>
  <c r="G200" i="23"/>
  <c r="G199" i="23"/>
  <c r="G197" i="23"/>
  <c r="G212" i="23"/>
  <c r="G221" i="23"/>
  <c r="G208" i="23"/>
  <c r="G201" i="23"/>
  <c r="G198" i="23"/>
  <c r="G222" i="24"/>
  <c r="G221" i="24"/>
  <c r="G217" i="24"/>
  <c r="G209" i="24"/>
  <c r="G208" i="24"/>
  <c r="G204" i="24"/>
  <c r="G201" i="24"/>
  <c r="G200" i="24"/>
  <c r="G197" i="24"/>
  <c r="G223" i="24"/>
  <c r="G220" i="24"/>
  <c r="G216" i="24"/>
  <c r="G203" i="24"/>
  <c r="G202" i="24"/>
  <c r="G199" i="24"/>
  <c r="G198" i="24"/>
  <c r="G218" i="24"/>
  <c r="G207" i="24"/>
  <c r="G205" i="24"/>
  <c r="G215" i="24"/>
  <c r="G196" i="24"/>
  <c r="G212" i="24"/>
  <c r="G225" i="24"/>
  <c r="G224" i="24"/>
  <c r="G213" i="24"/>
  <c r="G210" i="24"/>
  <c r="G219" i="24"/>
  <c r="G206" i="24"/>
  <c r="G214" i="24"/>
  <c r="G211" i="24"/>
  <c r="G10" i="23"/>
  <c r="G192" i="23"/>
  <c r="G188" i="23"/>
  <c r="G184" i="23"/>
  <c r="G180" i="23"/>
  <c r="G176" i="23"/>
  <c r="G193" i="23"/>
  <c r="G183" i="23"/>
  <c r="G181" i="23"/>
  <c r="G179" i="23"/>
  <c r="G190" i="23"/>
  <c r="G186" i="23"/>
  <c r="G182" i="23"/>
  <c r="G178" i="23"/>
  <c r="G195" i="23"/>
  <c r="G191" i="23"/>
  <c r="G189" i="23"/>
  <c r="G187" i="23"/>
  <c r="G185" i="23"/>
  <c r="G177" i="23"/>
  <c r="G194" i="23"/>
  <c r="G194" i="24"/>
  <c r="G189" i="24"/>
  <c r="G185" i="24"/>
  <c r="G181" i="24"/>
  <c r="G177" i="24"/>
  <c r="G190" i="24"/>
  <c r="G188" i="24"/>
  <c r="G186" i="24"/>
  <c r="G178" i="24"/>
  <c r="G176" i="24"/>
  <c r="G192" i="24"/>
  <c r="G195" i="24"/>
  <c r="G193" i="24"/>
  <c r="G191" i="24"/>
  <c r="G187" i="24"/>
  <c r="G183" i="24"/>
  <c r="G179" i="24"/>
  <c r="G184" i="24"/>
  <c r="G182" i="24"/>
  <c r="G180" i="24"/>
  <c r="G9" i="23"/>
  <c r="G174" i="24"/>
  <c r="G175" i="24"/>
  <c r="G173" i="24"/>
  <c r="G172" i="24"/>
  <c r="G171" i="24"/>
  <c r="G169" i="24"/>
  <c r="G170" i="24"/>
  <c r="G8" i="24"/>
  <c r="G168" i="24"/>
  <c r="G166" i="24"/>
  <c r="G164" i="24"/>
  <c r="G160" i="24"/>
  <c r="G156" i="24"/>
  <c r="G154" i="24"/>
  <c r="G152" i="24"/>
  <c r="G150" i="24"/>
  <c r="G148" i="24"/>
  <c r="G146" i="24"/>
  <c r="G144" i="24"/>
  <c r="G142" i="24"/>
  <c r="G140" i="24"/>
  <c r="G138" i="24"/>
  <c r="G136" i="24"/>
  <c r="G134" i="24"/>
  <c r="G132" i="24"/>
  <c r="G129" i="24"/>
  <c r="G127" i="24"/>
  <c r="G125" i="24"/>
  <c r="G123" i="24"/>
  <c r="G121" i="24"/>
  <c r="G119" i="24"/>
  <c r="G117" i="24"/>
  <c r="G115" i="24"/>
  <c r="G113" i="24"/>
  <c r="G111" i="24"/>
  <c r="G109" i="24"/>
  <c r="G107" i="24"/>
  <c r="G105" i="24"/>
  <c r="G103" i="24"/>
  <c r="G101" i="24"/>
  <c r="G99" i="24"/>
  <c r="G93" i="24"/>
  <c r="G91" i="24"/>
  <c r="G89" i="24"/>
  <c r="G87" i="24"/>
  <c r="G85" i="24"/>
  <c r="G83" i="24"/>
  <c r="G81" i="24"/>
  <c r="G79" i="24"/>
  <c r="G77" i="24"/>
  <c r="G75" i="24"/>
  <c r="G73" i="24"/>
  <c r="G71" i="24"/>
  <c r="G69" i="24"/>
  <c r="G67" i="24"/>
  <c r="G65" i="24"/>
  <c r="G63" i="24"/>
  <c r="G61" i="24"/>
  <c r="G59" i="24"/>
  <c r="G57" i="24"/>
  <c r="G55" i="24"/>
  <c r="G53" i="24"/>
  <c r="G51" i="24"/>
  <c r="G49" i="24"/>
  <c r="G47" i="24"/>
  <c r="G45" i="24"/>
  <c r="G43" i="24"/>
  <c r="G41" i="24"/>
  <c r="G39" i="24"/>
  <c r="G37" i="24"/>
  <c r="G35" i="24"/>
  <c r="G33" i="24"/>
  <c r="G31" i="24"/>
  <c r="G29" i="24"/>
  <c r="G27" i="24"/>
  <c r="G20" i="24"/>
  <c r="G14" i="24"/>
  <c r="G162" i="24"/>
  <c r="G25" i="24"/>
  <c r="G23" i="24"/>
  <c r="G15" i="24"/>
  <c r="G98" i="24"/>
  <c r="G96" i="24"/>
  <c r="G159" i="24"/>
  <c r="G19" i="24"/>
  <c r="G26" i="24"/>
  <c r="G13" i="24"/>
  <c r="G16" i="24"/>
  <c r="G18" i="24"/>
  <c r="G7" i="24"/>
  <c r="G167" i="24"/>
  <c r="G165" i="24"/>
  <c r="G161" i="24"/>
  <c r="G157" i="24"/>
  <c r="G155" i="24"/>
  <c r="G153" i="24"/>
  <c r="G151" i="24"/>
  <c r="G149" i="24"/>
  <c r="G147" i="24"/>
  <c r="G145" i="24"/>
  <c r="G143" i="24"/>
  <c r="G141" i="24"/>
  <c r="G139" i="24"/>
  <c r="G137" i="24"/>
  <c r="G135" i="24"/>
  <c r="G133" i="24"/>
  <c r="G130" i="24"/>
  <c r="G128" i="24"/>
  <c r="G126" i="24"/>
  <c r="G124" i="24"/>
  <c r="G122" i="24"/>
  <c r="G120" i="24"/>
  <c r="G118" i="24"/>
  <c r="G116" i="24"/>
  <c r="G114" i="24"/>
  <c r="G112" i="24"/>
  <c r="G110" i="24"/>
  <c r="G108" i="24"/>
  <c r="G106" i="24"/>
  <c r="G104" i="24"/>
  <c r="G102" i="24"/>
  <c r="G100" i="24"/>
  <c r="G94" i="24"/>
  <c r="G92" i="24"/>
  <c r="G90" i="24"/>
  <c r="G88" i="24"/>
  <c r="G86" i="24"/>
  <c r="G84" i="24"/>
  <c r="G82" i="24"/>
  <c r="G80" i="24"/>
  <c r="G78" i="24"/>
  <c r="G76" i="24"/>
  <c r="G74" i="24"/>
  <c r="G72" i="24"/>
  <c r="G70" i="24"/>
  <c r="G68" i="24"/>
  <c r="G66" i="24"/>
  <c r="G64" i="24"/>
  <c r="G62" i="24"/>
  <c r="G60" i="24"/>
  <c r="G58" i="24"/>
  <c r="G56" i="24"/>
  <c r="G54" i="24"/>
  <c r="G52" i="24"/>
  <c r="G50" i="24"/>
  <c r="G48" i="24"/>
  <c r="G46" i="24"/>
  <c r="G44" i="24"/>
  <c r="G42" i="24"/>
  <c r="G40" i="24"/>
  <c r="G38" i="24"/>
  <c r="G36" i="24"/>
  <c r="G34" i="24"/>
  <c r="G32" i="24"/>
  <c r="G30" i="24"/>
  <c r="G28" i="24"/>
  <c r="G163" i="24"/>
  <c r="G158" i="24"/>
  <c r="G24" i="24"/>
  <c r="G22" i="24"/>
  <c r="G11" i="24"/>
  <c r="G12" i="24"/>
  <c r="G131" i="24"/>
  <c r="G97" i="24"/>
  <c r="G95" i="24"/>
  <c r="G21" i="24"/>
  <c r="G17" i="24"/>
  <c r="G174" i="23"/>
  <c r="G175" i="23"/>
  <c r="G173" i="23"/>
  <c r="G171" i="23"/>
  <c r="G20" i="23"/>
  <c r="G170" i="23"/>
  <c r="G169" i="23"/>
  <c r="G16" i="23"/>
  <c r="G168" i="23"/>
  <c r="G166" i="23"/>
  <c r="G160" i="23"/>
  <c r="G155" i="23"/>
  <c r="G152" i="23"/>
  <c r="G149" i="23"/>
  <c r="G147" i="23"/>
  <c r="G145" i="23"/>
  <c r="G142" i="23"/>
  <c r="G139" i="23"/>
  <c r="G137" i="23"/>
  <c r="G134" i="23"/>
  <c r="G131" i="23"/>
  <c r="G129" i="23"/>
  <c r="G126" i="23"/>
  <c r="G123" i="23"/>
  <c r="G121" i="23"/>
  <c r="G118" i="23"/>
  <c r="G115" i="23"/>
  <c r="G112" i="23"/>
  <c r="G110" i="23"/>
  <c r="G107" i="23"/>
  <c r="G105" i="23"/>
  <c r="G102" i="23"/>
  <c r="G99" i="23"/>
  <c r="G96" i="23"/>
  <c r="G94" i="23"/>
  <c r="G92" i="23"/>
  <c r="G89" i="23"/>
  <c r="G87" i="23"/>
  <c r="G84" i="23"/>
  <c r="G82" i="23"/>
  <c r="G80" i="23"/>
  <c r="G77" i="23"/>
  <c r="G74" i="23"/>
  <c r="G72" i="23"/>
  <c r="G69" i="23"/>
  <c r="G66" i="23"/>
  <c r="G64" i="23"/>
  <c r="G61" i="23"/>
  <c r="G58" i="23"/>
  <c r="G56" i="23"/>
  <c r="G53" i="23"/>
  <c r="G50" i="23"/>
  <c r="G48" i="23"/>
  <c r="G45" i="23"/>
  <c r="G42" i="23"/>
  <c r="G40" i="23"/>
  <c r="G37" i="23"/>
  <c r="G34" i="23"/>
  <c r="G32" i="23"/>
  <c r="G29" i="23"/>
  <c r="G13" i="23"/>
  <c r="G161" i="23"/>
  <c r="G154" i="23"/>
  <c r="G144" i="23"/>
  <c r="G136" i="23"/>
  <c r="G128" i="23"/>
  <c r="G120" i="23"/>
  <c r="G113" i="23"/>
  <c r="G104" i="23"/>
  <c r="G97" i="23"/>
  <c r="G86" i="23"/>
  <c r="G75" i="23"/>
  <c r="G67" i="23"/>
  <c r="G59" i="23"/>
  <c r="G51" i="23"/>
  <c r="G43" i="23"/>
  <c r="G35" i="23"/>
  <c r="G28" i="23"/>
  <c r="G159" i="23"/>
  <c r="G25" i="23"/>
  <c r="G23" i="23"/>
  <c r="G21" i="23"/>
  <c r="G15" i="23"/>
  <c r="G163" i="23"/>
  <c r="G26" i="23"/>
  <c r="G18" i="23"/>
  <c r="G167" i="23"/>
  <c r="G164" i="23"/>
  <c r="G156" i="23"/>
  <c r="G153" i="23"/>
  <c r="G151" i="23"/>
  <c r="G148" i="23"/>
  <c r="G146" i="23"/>
  <c r="G143" i="23"/>
  <c r="G141" i="23"/>
  <c r="G138" i="23"/>
  <c r="G135" i="23"/>
  <c r="G133" i="23"/>
  <c r="G130" i="23"/>
  <c r="G127" i="23"/>
  <c r="G125" i="23"/>
  <c r="G122" i="23"/>
  <c r="G119" i="23"/>
  <c r="G117" i="23"/>
  <c r="G114" i="23"/>
  <c r="G111" i="23"/>
  <c r="G109" i="23"/>
  <c r="G106" i="23"/>
  <c r="G103" i="23"/>
  <c r="G100" i="23"/>
  <c r="G98" i="23"/>
  <c r="G95" i="23"/>
  <c r="G93" i="23"/>
  <c r="G91" i="23"/>
  <c r="G88" i="23"/>
  <c r="G85" i="23"/>
  <c r="G83" i="23"/>
  <c r="G81" i="23"/>
  <c r="G78" i="23"/>
  <c r="G76" i="23"/>
  <c r="G73" i="23"/>
  <c r="G70" i="23"/>
  <c r="G68" i="23"/>
  <c r="G65" i="23"/>
  <c r="G62" i="23"/>
  <c r="G60" i="23"/>
  <c r="G57" i="23"/>
  <c r="G54" i="23"/>
  <c r="G52" i="23"/>
  <c r="G49" i="23"/>
  <c r="G46" i="23"/>
  <c r="G44" i="23"/>
  <c r="G41" i="23"/>
  <c r="G38" i="23"/>
  <c r="G36" i="23"/>
  <c r="G33" i="23"/>
  <c r="G30" i="23"/>
  <c r="G17" i="23"/>
  <c r="G165" i="23"/>
  <c r="G157" i="23"/>
  <c r="G150" i="23"/>
  <c r="G140" i="23"/>
  <c r="G132" i="23"/>
  <c r="G124" i="23"/>
  <c r="G116" i="23"/>
  <c r="G108" i="23"/>
  <c r="G101" i="23"/>
  <c r="G90" i="23"/>
  <c r="G79" i="23"/>
  <c r="G71" i="23"/>
  <c r="G63" i="23"/>
  <c r="G55" i="23"/>
  <c r="G47" i="23"/>
  <c r="G39" i="23"/>
  <c r="G31" i="23"/>
  <c r="G27" i="23"/>
  <c r="G162" i="23"/>
  <c r="G158" i="23"/>
  <c r="G24" i="23"/>
  <c r="G22" i="23"/>
  <c r="G19" i="23"/>
  <c r="G11" i="23"/>
  <c r="G12" i="23"/>
  <c r="G14" i="23"/>
  <c r="G6" i="24"/>
  <c r="G9" i="24"/>
  <c r="G10" i="24"/>
  <c r="G8" i="23"/>
  <c r="G6" i="23"/>
  <c r="G7" i="23"/>
  <c r="Y230" i="23" l="1"/>
  <c r="U230" i="23"/>
  <c r="Q230" i="23"/>
  <c r="M230" i="23"/>
  <c r="I230" i="23"/>
  <c r="AB230" i="23"/>
  <c r="X230" i="23"/>
  <c r="T230" i="23"/>
  <c r="P230" i="23"/>
  <c r="L230" i="23"/>
  <c r="H230" i="23"/>
  <c r="AA230" i="23"/>
  <c r="W230" i="23"/>
  <c r="S230" i="23"/>
  <c r="O230" i="23"/>
  <c r="K230" i="23"/>
  <c r="Z230" i="23"/>
  <c r="V230" i="23"/>
  <c r="R230" i="23"/>
  <c r="N230" i="23"/>
  <c r="J230" i="23"/>
  <c r="Y233" i="23"/>
  <c r="U233" i="23"/>
  <c r="Q233" i="23"/>
  <c r="M233" i="23"/>
  <c r="I233" i="23"/>
  <c r="AB233" i="23"/>
  <c r="X233" i="23"/>
  <c r="T233" i="23"/>
  <c r="P233" i="23"/>
  <c r="L233" i="23"/>
  <c r="H233" i="23"/>
  <c r="AA233" i="23"/>
  <c r="W233" i="23"/>
  <c r="S233" i="23"/>
  <c r="O233" i="23"/>
  <c r="K233" i="23"/>
  <c r="Z233" i="23"/>
  <c r="V233" i="23"/>
  <c r="R233" i="23"/>
  <c r="N233" i="23"/>
  <c r="J233" i="23"/>
  <c r="Z240" i="23"/>
  <c r="V240" i="23"/>
  <c r="R240" i="23"/>
  <c r="N240" i="23"/>
  <c r="J240" i="23"/>
  <c r="Y240" i="23"/>
  <c r="U240" i="23"/>
  <c r="Q240" i="23"/>
  <c r="M240" i="23"/>
  <c r="I240" i="23"/>
  <c r="AB240" i="23"/>
  <c r="X240" i="23"/>
  <c r="T240" i="23"/>
  <c r="P240" i="23"/>
  <c r="L240" i="23"/>
  <c r="H240" i="23"/>
  <c r="AA240" i="23"/>
  <c r="W240" i="23"/>
  <c r="S240" i="23"/>
  <c r="O240" i="23"/>
  <c r="K240" i="23"/>
  <c r="Y249" i="23"/>
  <c r="U249" i="23"/>
  <c r="Q249" i="23"/>
  <c r="M249" i="23"/>
  <c r="I249" i="23"/>
  <c r="AB249" i="23"/>
  <c r="X249" i="23"/>
  <c r="T249" i="23"/>
  <c r="P249" i="23"/>
  <c r="L249" i="23"/>
  <c r="H249" i="23"/>
  <c r="AA249" i="23"/>
  <c r="W249" i="23"/>
  <c r="S249" i="23"/>
  <c r="O249" i="23"/>
  <c r="K249" i="23"/>
  <c r="Z249" i="23"/>
  <c r="V249" i="23"/>
  <c r="R249" i="23"/>
  <c r="N249" i="23"/>
  <c r="J249" i="23"/>
  <c r="AB226" i="23"/>
  <c r="X226" i="23"/>
  <c r="T226" i="23"/>
  <c r="P226" i="23"/>
  <c r="L226" i="23"/>
  <c r="H226" i="23"/>
  <c r="AA226" i="23"/>
  <c r="W226" i="23"/>
  <c r="S226" i="23"/>
  <c r="O226" i="23"/>
  <c r="K226" i="23"/>
  <c r="Z226" i="23"/>
  <c r="V226" i="23"/>
  <c r="R226" i="23"/>
  <c r="N226" i="23"/>
  <c r="J226" i="23"/>
  <c r="Y226" i="23"/>
  <c r="U226" i="23"/>
  <c r="Q226" i="23"/>
  <c r="M226" i="23"/>
  <c r="I226" i="23"/>
  <c r="AA231" i="23"/>
  <c r="W231" i="23"/>
  <c r="S231" i="23"/>
  <c r="O231" i="23"/>
  <c r="K231" i="23"/>
  <c r="Z231" i="23"/>
  <c r="V231" i="23"/>
  <c r="R231" i="23"/>
  <c r="N231" i="23"/>
  <c r="J231" i="23"/>
  <c r="Y231" i="23"/>
  <c r="U231" i="23"/>
  <c r="Q231" i="23"/>
  <c r="M231" i="23"/>
  <c r="I231" i="23"/>
  <c r="AB231" i="23"/>
  <c r="X231" i="23"/>
  <c r="T231" i="23"/>
  <c r="P231" i="23"/>
  <c r="L231" i="23"/>
  <c r="H231" i="23"/>
  <c r="AB232" i="23"/>
  <c r="X232" i="23"/>
  <c r="T232" i="23"/>
  <c r="P232" i="23"/>
  <c r="L232" i="23"/>
  <c r="H232" i="23"/>
  <c r="AA232" i="23"/>
  <c r="W232" i="23"/>
  <c r="S232" i="23"/>
  <c r="O232" i="23"/>
  <c r="K232" i="23"/>
  <c r="Z232" i="23"/>
  <c r="V232" i="23"/>
  <c r="R232" i="23"/>
  <c r="N232" i="23"/>
  <c r="J232" i="23"/>
  <c r="Y232" i="23"/>
  <c r="U232" i="23"/>
  <c r="Q232" i="23"/>
  <c r="M232" i="23"/>
  <c r="I232" i="23"/>
  <c r="AA244" i="23"/>
  <c r="W244" i="23"/>
  <c r="S244" i="23"/>
  <c r="O244" i="23"/>
  <c r="K244" i="23"/>
  <c r="Z244" i="23"/>
  <c r="V244" i="23"/>
  <c r="R244" i="23"/>
  <c r="N244" i="23"/>
  <c r="J244" i="23"/>
  <c r="Y244" i="23"/>
  <c r="U244" i="23"/>
  <c r="Q244" i="23"/>
  <c r="M244" i="23"/>
  <c r="I244" i="23"/>
  <c r="AB244" i="23"/>
  <c r="X244" i="23"/>
  <c r="T244" i="23"/>
  <c r="P244" i="23"/>
  <c r="L244" i="23"/>
  <c r="H244" i="23"/>
  <c r="AA248" i="23"/>
  <c r="W248" i="23"/>
  <c r="S248" i="23"/>
  <c r="O248" i="23"/>
  <c r="K248" i="23"/>
  <c r="Z248" i="23"/>
  <c r="V248" i="23"/>
  <c r="R248" i="23"/>
  <c r="N248" i="23"/>
  <c r="J248" i="23"/>
  <c r="Y248" i="23"/>
  <c r="U248" i="23"/>
  <c r="Q248" i="23"/>
  <c r="M248" i="23"/>
  <c r="I248" i="23"/>
  <c r="AB248" i="23"/>
  <c r="X248" i="23"/>
  <c r="T248" i="23"/>
  <c r="P248" i="23"/>
  <c r="L248" i="23"/>
  <c r="H248" i="23"/>
  <c r="AB253" i="23"/>
  <c r="X253" i="23"/>
  <c r="T253" i="23"/>
  <c r="P253" i="23"/>
  <c r="L253" i="23"/>
  <c r="H253" i="23"/>
  <c r="AA253" i="23"/>
  <c r="W253" i="23"/>
  <c r="S253" i="23"/>
  <c r="O253" i="23"/>
  <c r="K253" i="23"/>
  <c r="Z253" i="23"/>
  <c r="V253" i="23"/>
  <c r="R253" i="23"/>
  <c r="N253" i="23"/>
  <c r="J253" i="23"/>
  <c r="Y253" i="23"/>
  <c r="U253" i="23"/>
  <c r="Q253" i="23"/>
  <c r="M253" i="23"/>
  <c r="I253" i="23"/>
  <c r="AB261" i="23"/>
  <c r="X261" i="23"/>
  <c r="T261" i="23"/>
  <c r="P261" i="23"/>
  <c r="L261" i="23"/>
  <c r="H261" i="23"/>
  <c r="AA261" i="23"/>
  <c r="W261" i="23"/>
  <c r="S261" i="23"/>
  <c r="O261" i="23"/>
  <c r="K261" i="23"/>
  <c r="Z261" i="23"/>
  <c r="V261" i="23"/>
  <c r="R261" i="23"/>
  <c r="N261" i="23"/>
  <c r="J261" i="23"/>
  <c r="Y261" i="23"/>
  <c r="U261" i="23"/>
  <c r="Q261" i="23"/>
  <c r="M261" i="23"/>
  <c r="I261" i="23"/>
  <c r="AA267" i="23"/>
  <c r="W267" i="23"/>
  <c r="S267" i="23"/>
  <c r="O267" i="23"/>
  <c r="K267" i="23"/>
  <c r="Z267" i="23"/>
  <c r="V267" i="23"/>
  <c r="R267" i="23"/>
  <c r="N267" i="23"/>
  <c r="J267" i="23"/>
  <c r="U267" i="23"/>
  <c r="M267" i="23"/>
  <c r="AB267" i="23"/>
  <c r="T267" i="23"/>
  <c r="L267" i="23"/>
  <c r="Y267" i="23"/>
  <c r="Q267" i="23"/>
  <c r="I267" i="23"/>
  <c r="X267" i="23"/>
  <c r="P267" i="23"/>
  <c r="H267" i="23"/>
  <c r="Z274" i="23"/>
  <c r="V274" i="23"/>
  <c r="R274" i="23"/>
  <c r="N274" i="23"/>
  <c r="J274" i="23"/>
  <c r="Y274" i="23"/>
  <c r="U274" i="23"/>
  <c r="Q274" i="23"/>
  <c r="M274" i="23"/>
  <c r="I274" i="23"/>
  <c r="AB274" i="23"/>
  <c r="X274" i="23"/>
  <c r="T274" i="23"/>
  <c r="P274" i="23"/>
  <c r="L274" i="23"/>
  <c r="H274" i="23"/>
  <c r="AA274" i="23"/>
  <c r="W274" i="23"/>
  <c r="S274" i="23"/>
  <c r="O274" i="23"/>
  <c r="K274" i="23"/>
  <c r="Z278" i="23"/>
  <c r="V278" i="23"/>
  <c r="R278" i="23"/>
  <c r="N278" i="23"/>
  <c r="J278" i="23"/>
  <c r="Y278" i="23"/>
  <c r="U278" i="23"/>
  <c r="Q278" i="23"/>
  <c r="M278" i="23"/>
  <c r="I278" i="23"/>
  <c r="AB278" i="23"/>
  <c r="X278" i="23"/>
  <c r="T278" i="23"/>
  <c r="P278" i="23"/>
  <c r="L278" i="23"/>
  <c r="H278" i="23"/>
  <c r="AA278" i="23"/>
  <c r="W278" i="23"/>
  <c r="S278" i="23"/>
  <c r="O278" i="23"/>
  <c r="K278" i="23"/>
  <c r="Y283" i="23"/>
  <c r="U283" i="23"/>
  <c r="Q283" i="23"/>
  <c r="M283" i="23"/>
  <c r="I283" i="23"/>
  <c r="AB283" i="23"/>
  <c r="X283" i="23"/>
  <c r="T283" i="23"/>
  <c r="P283" i="23"/>
  <c r="L283" i="23"/>
  <c r="H283" i="23"/>
  <c r="AA283" i="23"/>
  <c r="W283" i="23"/>
  <c r="S283" i="23"/>
  <c r="O283" i="23"/>
  <c r="K283" i="23"/>
  <c r="Z283" i="23"/>
  <c r="V283" i="23"/>
  <c r="R283" i="23"/>
  <c r="N283" i="23"/>
  <c r="J283" i="23"/>
  <c r="Y287" i="23"/>
  <c r="U287" i="23"/>
  <c r="Q287" i="23"/>
  <c r="M287" i="23"/>
  <c r="I287" i="23"/>
  <c r="AB287" i="23"/>
  <c r="X287" i="23"/>
  <c r="T287" i="23"/>
  <c r="P287" i="23"/>
  <c r="L287" i="23"/>
  <c r="H287" i="23"/>
  <c r="AA287" i="23"/>
  <c r="W287" i="23"/>
  <c r="S287" i="23"/>
  <c r="O287" i="23"/>
  <c r="K287" i="23"/>
  <c r="Z287" i="23"/>
  <c r="V287" i="23"/>
  <c r="R287" i="23"/>
  <c r="N287" i="23"/>
  <c r="J287" i="23"/>
  <c r="Y289" i="23"/>
  <c r="U289" i="23"/>
  <c r="Q289" i="23"/>
  <c r="M289" i="23"/>
  <c r="I289" i="23"/>
  <c r="AB289" i="23"/>
  <c r="T289" i="23"/>
  <c r="L289" i="23"/>
  <c r="Z289" i="23"/>
  <c r="R289" i="23"/>
  <c r="J289" i="23"/>
  <c r="AA289" i="23"/>
  <c r="W289" i="23"/>
  <c r="S289" i="23"/>
  <c r="O289" i="23"/>
  <c r="K289" i="23"/>
  <c r="X289" i="23"/>
  <c r="P289" i="23"/>
  <c r="H289" i="23"/>
  <c r="V289" i="23"/>
  <c r="N289" i="23"/>
  <c r="Y238" i="23"/>
  <c r="U238" i="23"/>
  <c r="Q238" i="23"/>
  <c r="M238" i="23"/>
  <c r="I238" i="23"/>
  <c r="AB238" i="23"/>
  <c r="X238" i="23"/>
  <c r="T238" i="23"/>
  <c r="P238" i="23"/>
  <c r="L238" i="23"/>
  <c r="H238" i="23"/>
  <c r="AA238" i="23"/>
  <c r="W238" i="23"/>
  <c r="S238" i="23"/>
  <c r="O238" i="23"/>
  <c r="K238" i="23"/>
  <c r="Z238" i="23"/>
  <c r="V238" i="23"/>
  <c r="R238" i="23"/>
  <c r="N238" i="23"/>
  <c r="J238" i="23"/>
  <c r="Z247" i="23"/>
  <c r="V247" i="23"/>
  <c r="R247" i="23"/>
  <c r="N247" i="23"/>
  <c r="J247" i="23"/>
  <c r="Y247" i="23"/>
  <c r="U247" i="23"/>
  <c r="Q247" i="23"/>
  <c r="M247" i="23"/>
  <c r="I247" i="23"/>
  <c r="AB247" i="23"/>
  <c r="X247" i="23"/>
  <c r="T247" i="23"/>
  <c r="P247" i="23"/>
  <c r="L247" i="23"/>
  <c r="H247" i="23"/>
  <c r="AA247" i="23"/>
  <c r="W247" i="23"/>
  <c r="S247" i="23"/>
  <c r="O247" i="23"/>
  <c r="K247" i="23"/>
  <c r="Y256" i="23"/>
  <c r="U256" i="23"/>
  <c r="Q256" i="23"/>
  <c r="M256" i="23"/>
  <c r="I256" i="23"/>
  <c r="AB256" i="23"/>
  <c r="X256" i="23"/>
  <c r="T256" i="23"/>
  <c r="P256" i="23"/>
  <c r="L256" i="23"/>
  <c r="H256" i="23"/>
  <c r="AA256" i="23"/>
  <c r="W256" i="23"/>
  <c r="S256" i="23"/>
  <c r="O256" i="23"/>
  <c r="K256" i="23"/>
  <c r="Z256" i="23"/>
  <c r="V256" i="23"/>
  <c r="R256" i="23"/>
  <c r="N256" i="23"/>
  <c r="J256" i="23"/>
  <c r="Z266" i="23"/>
  <c r="V266" i="23"/>
  <c r="R266" i="23"/>
  <c r="N266" i="23"/>
  <c r="J266" i="23"/>
  <c r="Y266" i="23"/>
  <c r="U266" i="23"/>
  <c r="Q266" i="23"/>
  <c r="M266" i="23"/>
  <c r="I266" i="23"/>
  <c r="AB266" i="23"/>
  <c r="T266" i="23"/>
  <c r="L266" i="23"/>
  <c r="AA266" i="23"/>
  <c r="S266" i="23"/>
  <c r="K266" i="23"/>
  <c r="X266" i="23"/>
  <c r="P266" i="23"/>
  <c r="H266" i="23"/>
  <c r="W266" i="23"/>
  <c r="O266" i="23"/>
  <c r="Z273" i="23"/>
  <c r="V273" i="23"/>
  <c r="R273" i="23"/>
  <c r="N273" i="23"/>
  <c r="J273" i="23"/>
  <c r="Y273" i="23"/>
  <c r="U273" i="23"/>
  <c r="Q273" i="23"/>
  <c r="M273" i="23"/>
  <c r="I273" i="23"/>
  <c r="AB273" i="23"/>
  <c r="T273" i="23"/>
  <c r="L273" i="23"/>
  <c r="AA273" i="23"/>
  <c r="S273" i="23"/>
  <c r="K273" i="23"/>
  <c r="X273" i="23"/>
  <c r="P273" i="23"/>
  <c r="H273" i="23"/>
  <c r="W273" i="23"/>
  <c r="O273" i="23"/>
  <c r="Z294" i="23"/>
  <c r="V294" i="23"/>
  <c r="R294" i="23"/>
  <c r="N294" i="23"/>
  <c r="J294" i="23"/>
  <c r="Y294" i="23"/>
  <c r="U294" i="23"/>
  <c r="Q294" i="23"/>
  <c r="M294" i="23"/>
  <c r="I294" i="23"/>
  <c r="AB294" i="23"/>
  <c r="T294" i="23"/>
  <c r="L294" i="23"/>
  <c r="AA294" i="23"/>
  <c r="S294" i="23"/>
  <c r="K294" i="23"/>
  <c r="X294" i="23"/>
  <c r="P294" i="23"/>
  <c r="H294" i="23"/>
  <c r="W294" i="23"/>
  <c r="O294" i="23"/>
  <c r="Z298" i="23"/>
  <c r="V298" i="23"/>
  <c r="R298" i="23"/>
  <c r="N298" i="23"/>
  <c r="J298" i="23"/>
  <c r="Y298" i="23"/>
  <c r="U298" i="23"/>
  <c r="Q298" i="23"/>
  <c r="M298" i="23"/>
  <c r="I298" i="23"/>
  <c r="AB298" i="23"/>
  <c r="T298" i="23"/>
  <c r="L298" i="23"/>
  <c r="AA298" i="23"/>
  <c r="S298" i="23"/>
  <c r="K298" i="23"/>
  <c r="X298" i="23"/>
  <c r="P298" i="23"/>
  <c r="H298" i="23"/>
  <c r="W298" i="23"/>
  <c r="O298" i="23"/>
  <c r="AA280" i="23"/>
  <c r="W280" i="23"/>
  <c r="S280" i="23"/>
  <c r="O280" i="23"/>
  <c r="K280" i="23"/>
  <c r="Z280" i="23"/>
  <c r="V280" i="23"/>
  <c r="R280" i="23"/>
  <c r="N280" i="23"/>
  <c r="J280" i="23"/>
  <c r="Y280" i="23"/>
  <c r="U280" i="23"/>
  <c r="Q280" i="23"/>
  <c r="M280" i="23"/>
  <c r="I280" i="23"/>
  <c r="AB280" i="23"/>
  <c r="X280" i="23"/>
  <c r="T280" i="23"/>
  <c r="P280" i="23"/>
  <c r="L280" i="23"/>
  <c r="H280" i="23"/>
  <c r="AA282" i="23"/>
  <c r="W282" i="23"/>
  <c r="S282" i="23"/>
  <c r="O282" i="23"/>
  <c r="K282" i="23"/>
  <c r="Z282" i="23"/>
  <c r="V282" i="23"/>
  <c r="R282" i="23"/>
  <c r="N282" i="23"/>
  <c r="J282" i="23"/>
  <c r="Y282" i="23"/>
  <c r="U282" i="23"/>
  <c r="Q282" i="23"/>
  <c r="M282" i="23"/>
  <c r="I282" i="23"/>
  <c r="AB282" i="23"/>
  <c r="X282" i="23"/>
  <c r="T282" i="23"/>
  <c r="P282" i="23"/>
  <c r="L282" i="23"/>
  <c r="H282" i="23"/>
  <c r="AA286" i="23"/>
  <c r="W286" i="23"/>
  <c r="S286" i="23"/>
  <c r="O286" i="23"/>
  <c r="K286" i="23"/>
  <c r="Z286" i="23"/>
  <c r="V286" i="23"/>
  <c r="R286" i="23"/>
  <c r="N286" i="23"/>
  <c r="J286" i="23"/>
  <c r="Y286" i="23"/>
  <c r="U286" i="23"/>
  <c r="Q286" i="23"/>
  <c r="M286" i="23"/>
  <c r="I286" i="23"/>
  <c r="AB286" i="23"/>
  <c r="X286" i="23"/>
  <c r="T286" i="23"/>
  <c r="P286" i="23"/>
  <c r="L286" i="23"/>
  <c r="H286" i="23"/>
  <c r="AB291" i="23"/>
  <c r="X291" i="23"/>
  <c r="T291" i="23"/>
  <c r="P291" i="23"/>
  <c r="L291" i="23"/>
  <c r="H291" i="23"/>
  <c r="Y291" i="23"/>
  <c r="Q291" i="23"/>
  <c r="I291" i="23"/>
  <c r="W291" i="23"/>
  <c r="O291" i="23"/>
  <c r="Z291" i="23"/>
  <c r="V291" i="23"/>
  <c r="R291" i="23"/>
  <c r="N291" i="23"/>
  <c r="J291" i="23"/>
  <c r="U291" i="23"/>
  <c r="M291" i="23"/>
  <c r="AA291" i="23"/>
  <c r="S291" i="23"/>
  <c r="K291" i="23"/>
  <c r="AA235" i="23"/>
  <c r="W235" i="23"/>
  <c r="S235" i="23"/>
  <c r="O235" i="23"/>
  <c r="K235" i="23"/>
  <c r="Z235" i="23"/>
  <c r="V235" i="23"/>
  <c r="R235" i="23"/>
  <c r="N235" i="23"/>
  <c r="J235" i="23"/>
  <c r="Y235" i="23"/>
  <c r="U235" i="23"/>
  <c r="Q235" i="23"/>
  <c r="M235" i="23"/>
  <c r="I235" i="23"/>
  <c r="AB235" i="23"/>
  <c r="X235" i="23"/>
  <c r="T235" i="23"/>
  <c r="P235" i="23"/>
  <c r="L235" i="23"/>
  <c r="H235" i="23"/>
  <c r="AA243" i="23"/>
  <c r="W243" i="23"/>
  <c r="S243" i="23"/>
  <c r="O243" i="23"/>
  <c r="K243" i="23"/>
  <c r="Z243" i="23"/>
  <c r="V243" i="23"/>
  <c r="R243" i="23"/>
  <c r="N243" i="23"/>
  <c r="J243" i="23"/>
  <c r="Y243" i="23"/>
  <c r="U243" i="23"/>
  <c r="Q243" i="23"/>
  <c r="M243" i="23"/>
  <c r="I243" i="23"/>
  <c r="AB243" i="23"/>
  <c r="X243" i="23"/>
  <c r="T243" i="23"/>
  <c r="P243" i="23"/>
  <c r="L243" i="23"/>
  <c r="H243" i="23"/>
  <c r="AB250" i="23"/>
  <c r="X250" i="23"/>
  <c r="T250" i="23"/>
  <c r="P250" i="23"/>
  <c r="L250" i="23"/>
  <c r="H250" i="23"/>
  <c r="AA250" i="23"/>
  <c r="W250" i="23"/>
  <c r="S250" i="23"/>
  <c r="O250" i="23"/>
  <c r="K250" i="23"/>
  <c r="Z250" i="23"/>
  <c r="V250" i="23"/>
  <c r="R250" i="23"/>
  <c r="N250" i="23"/>
  <c r="J250" i="23"/>
  <c r="Y250" i="23"/>
  <c r="U250" i="23"/>
  <c r="Q250" i="23"/>
  <c r="M250" i="23"/>
  <c r="I250" i="23"/>
  <c r="AB254" i="23"/>
  <c r="X254" i="23"/>
  <c r="T254" i="23"/>
  <c r="P254" i="23"/>
  <c r="L254" i="23"/>
  <c r="H254" i="23"/>
  <c r="AA254" i="23"/>
  <c r="W254" i="23"/>
  <c r="S254" i="23"/>
  <c r="O254" i="23"/>
  <c r="K254" i="23"/>
  <c r="Z254" i="23"/>
  <c r="V254" i="23"/>
  <c r="R254" i="23"/>
  <c r="N254" i="23"/>
  <c r="J254" i="23"/>
  <c r="Y254" i="23"/>
  <c r="U254" i="23"/>
  <c r="Q254" i="23"/>
  <c r="M254" i="23"/>
  <c r="I254" i="23"/>
  <c r="Y259" i="23"/>
  <c r="U259" i="23"/>
  <c r="Q259" i="23"/>
  <c r="M259" i="23"/>
  <c r="I259" i="23"/>
  <c r="AB259" i="23"/>
  <c r="X259" i="23"/>
  <c r="T259" i="23"/>
  <c r="P259" i="23"/>
  <c r="L259" i="23"/>
  <c r="H259" i="23"/>
  <c r="W259" i="23"/>
  <c r="O259" i="23"/>
  <c r="V259" i="23"/>
  <c r="N259" i="23"/>
  <c r="AA259" i="23"/>
  <c r="S259" i="23"/>
  <c r="K259" i="23"/>
  <c r="Z259" i="23"/>
  <c r="R259" i="23"/>
  <c r="J259" i="23"/>
  <c r="Y268" i="23"/>
  <c r="U268" i="23"/>
  <c r="Q268" i="23"/>
  <c r="M268" i="23"/>
  <c r="I268" i="23"/>
  <c r="AB268" i="23"/>
  <c r="X268" i="23"/>
  <c r="T268" i="23"/>
  <c r="P268" i="23"/>
  <c r="L268" i="23"/>
  <c r="H268" i="23"/>
  <c r="W268" i="23"/>
  <c r="O268" i="23"/>
  <c r="V268" i="23"/>
  <c r="N268" i="23"/>
  <c r="AA268" i="23"/>
  <c r="S268" i="23"/>
  <c r="K268" i="23"/>
  <c r="Z268" i="23"/>
  <c r="R268" i="23"/>
  <c r="J268" i="23"/>
  <c r="Y276" i="23"/>
  <c r="U276" i="23"/>
  <c r="Q276" i="23"/>
  <c r="M276" i="23"/>
  <c r="I276" i="23"/>
  <c r="AB276" i="23"/>
  <c r="X276" i="23"/>
  <c r="T276" i="23"/>
  <c r="P276" i="23"/>
  <c r="L276" i="23"/>
  <c r="H276" i="23"/>
  <c r="W276" i="23"/>
  <c r="O276" i="23"/>
  <c r="V276" i="23"/>
  <c r="N276" i="23"/>
  <c r="AA276" i="23"/>
  <c r="S276" i="23"/>
  <c r="K276" i="23"/>
  <c r="Z276" i="23"/>
  <c r="R276" i="23"/>
  <c r="J276" i="23"/>
  <c r="Z296" i="23"/>
  <c r="V296" i="23"/>
  <c r="R296" i="23"/>
  <c r="N296" i="23"/>
  <c r="J296" i="23"/>
  <c r="Y296" i="23"/>
  <c r="U296" i="23"/>
  <c r="Q296" i="23"/>
  <c r="M296" i="23"/>
  <c r="I296" i="23"/>
  <c r="X296" i="23"/>
  <c r="P296" i="23"/>
  <c r="H296" i="23"/>
  <c r="W296" i="23"/>
  <c r="O296" i="23"/>
  <c r="AB296" i="23"/>
  <c r="T296" i="23"/>
  <c r="L296" i="23"/>
  <c r="AA296" i="23"/>
  <c r="S296" i="23"/>
  <c r="K296" i="23"/>
  <c r="AB295" i="23"/>
  <c r="X295" i="23"/>
  <c r="T295" i="23"/>
  <c r="P295" i="23"/>
  <c r="L295" i="23"/>
  <c r="H295" i="23"/>
  <c r="AA295" i="23"/>
  <c r="W295" i="23"/>
  <c r="S295" i="23"/>
  <c r="O295" i="23"/>
  <c r="K295" i="23"/>
  <c r="V295" i="23"/>
  <c r="N295" i="23"/>
  <c r="U295" i="23"/>
  <c r="M295" i="23"/>
  <c r="Z295" i="23"/>
  <c r="R295" i="23"/>
  <c r="J295" i="23"/>
  <c r="Y295" i="23"/>
  <c r="Q295" i="23"/>
  <c r="I295" i="23"/>
  <c r="AA301" i="23"/>
  <c r="S301" i="23"/>
  <c r="K301" i="23"/>
  <c r="Z301" i="23"/>
  <c r="R301" i="23"/>
  <c r="J301" i="23"/>
  <c r="Y301" i="23"/>
  <c r="U301" i="23"/>
  <c r="Q301" i="23"/>
  <c r="M301" i="23"/>
  <c r="I301" i="23"/>
  <c r="AB301" i="23"/>
  <c r="X301" i="23"/>
  <c r="T301" i="23"/>
  <c r="P301" i="23"/>
  <c r="L301" i="23"/>
  <c r="H301" i="23"/>
  <c r="W301" i="23"/>
  <c r="O301" i="23"/>
  <c r="V301" i="23"/>
  <c r="N301" i="23"/>
  <c r="AB305" i="23"/>
  <c r="X305" i="23"/>
  <c r="T305" i="23"/>
  <c r="P305" i="23"/>
  <c r="L305" i="23"/>
  <c r="H305" i="23"/>
  <c r="M305" i="23"/>
  <c r="I305" i="23"/>
  <c r="Y305" i="23"/>
  <c r="U305" i="23"/>
  <c r="Q305" i="23"/>
  <c r="Z305" i="23"/>
  <c r="V305" i="23"/>
  <c r="R305" i="23"/>
  <c r="N305" i="23"/>
  <c r="J305" i="23"/>
  <c r="O305" i="23"/>
  <c r="K305" i="23"/>
  <c r="AA305" i="23"/>
  <c r="W305" i="23"/>
  <c r="S305" i="23"/>
  <c r="W303" i="23"/>
  <c r="O303" i="23"/>
  <c r="V303" i="23"/>
  <c r="N303" i="23"/>
  <c r="Y303" i="23"/>
  <c r="U303" i="23"/>
  <c r="Q303" i="23"/>
  <c r="M303" i="23"/>
  <c r="I303" i="23"/>
  <c r="AB303" i="23"/>
  <c r="X303" i="23"/>
  <c r="T303" i="23"/>
  <c r="P303" i="23"/>
  <c r="L303" i="23"/>
  <c r="H303" i="23"/>
  <c r="AA303" i="23"/>
  <c r="S303" i="23"/>
  <c r="K303" i="23"/>
  <c r="Z303" i="23"/>
  <c r="R303" i="23"/>
  <c r="J303" i="23"/>
  <c r="Z233" i="24"/>
  <c r="V233" i="24"/>
  <c r="R233" i="24"/>
  <c r="N233" i="24"/>
  <c r="J233" i="24"/>
  <c r="Y233" i="24"/>
  <c r="U233" i="24"/>
  <c r="Q233" i="24"/>
  <c r="M233" i="24"/>
  <c r="I233" i="24"/>
  <c r="AB233" i="24"/>
  <c r="X233" i="24"/>
  <c r="T233" i="24"/>
  <c r="P233" i="24"/>
  <c r="L233" i="24"/>
  <c r="H233" i="24"/>
  <c r="AA233" i="24"/>
  <c r="W233" i="24"/>
  <c r="S233" i="24"/>
  <c r="O233" i="24"/>
  <c r="K233" i="24"/>
  <c r="Z249" i="24"/>
  <c r="V249" i="24"/>
  <c r="R249" i="24"/>
  <c r="N249" i="24"/>
  <c r="J249" i="24"/>
  <c r="Y249" i="24"/>
  <c r="U249" i="24"/>
  <c r="Q249" i="24"/>
  <c r="M249" i="24"/>
  <c r="I249" i="24"/>
  <c r="AB249" i="24"/>
  <c r="X249" i="24"/>
  <c r="T249" i="24"/>
  <c r="P249" i="24"/>
  <c r="L249" i="24"/>
  <c r="H249" i="24"/>
  <c r="AA249" i="24"/>
  <c r="W249" i="24"/>
  <c r="S249" i="24"/>
  <c r="O249" i="24"/>
  <c r="K249" i="24"/>
  <c r="Y267" i="24"/>
  <c r="U267" i="24"/>
  <c r="Q267" i="24"/>
  <c r="M267" i="24"/>
  <c r="I267" i="24"/>
  <c r="AB267" i="24"/>
  <c r="X267" i="24"/>
  <c r="T267" i="24"/>
  <c r="P267" i="24"/>
  <c r="L267" i="24"/>
  <c r="H267" i="24"/>
  <c r="AA267" i="24"/>
  <c r="W267" i="24"/>
  <c r="S267" i="24"/>
  <c r="O267" i="24"/>
  <c r="K267" i="24"/>
  <c r="Z267" i="24"/>
  <c r="V267" i="24"/>
  <c r="R267" i="24"/>
  <c r="N267" i="24"/>
  <c r="J267" i="24"/>
  <c r="Y281" i="24"/>
  <c r="U281" i="24"/>
  <c r="Q281" i="24"/>
  <c r="M281" i="24"/>
  <c r="I281" i="24"/>
  <c r="AB281" i="24"/>
  <c r="X281" i="24"/>
  <c r="T281" i="24"/>
  <c r="P281" i="24"/>
  <c r="L281" i="24"/>
  <c r="H281" i="24"/>
  <c r="AA281" i="24"/>
  <c r="W281" i="24"/>
  <c r="S281" i="24"/>
  <c r="O281" i="24"/>
  <c r="K281" i="24"/>
  <c r="Z281" i="24"/>
  <c r="V281" i="24"/>
  <c r="R281" i="24"/>
  <c r="N281" i="24"/>
  <c r="J281" i="24"/>
  <c r="Z284" i="24"/>
  <c r="V284" i="24"/>
  <c r="R284" i="24"/>
  <c r="N284" i="24"/>
  <c r="J284" i="24"/>
  <c r="Y284" i="24"/>
  <c r="U284" i="24"/>
  <c r="Q284" i="24"/>
  <c r="M284" i="24"/>
  <c r="I284" i="24"/>
  <c r="AB284" i="24"/>
  <c r="X284" i="24"/>
  <c r="T284" i="24"/>
  <c r="P284" i="24"/>
  <c r="L284" i="24"/>
  <c r="H284" i="24"/>
  <c r="AA284" i="24"/>
  <c r="W284" i="24"/>
  <c r="S284" i="24"/>
  <c r="O284" i="24"/>
  <c r="K284" i="24"/>
  <c r="Z286" i="24"/>
  <c r="V286" i="24"/>
  <c r="R286" i="24"/>
  <c r="N286" i="24"/>
  <c r="J286" i="24"/>
  <c r="Y286" i="24"/>
  <c r="U286" i="24"/>
  <c r="Q286" i="24"/>
  <c r="M286" i="24"/>
  <c r="I286" i="24"/>
  <c r="AB286" i="24"/>
  <c r="X286" i="24"/>
  <c r="T286" i="24"/>
  <c r="P286" i="24"/>
  <c r="L286" i="24"/>
  <c r="H286" i="24"/>
  <c r="AA286" i="24"/>
  <c r="W286" i="24"/>
  <c r="S286" i="24"/>
  <c r="O286" i="24"/>
  <c r="K286" i="24"/>
  <c r="Y289" i="24"/>
  <c r="U289" i="24"/>
  <c r="Q289" i="24"/>
  <c r="M289" i="24"/>
  <c r="I289" i="24"/>
  <c r="AB289" i="24"/>
  <c r="X289" i="24"/>
  <c r="T289" i="24"/>
  <c r="P289" i="24"/>
  <c r="L289" i="24"/>
  <c r="H289" i="24"/>
  <c r="AA289" i="24"/>
  <c r="W289" i="24"/>
  <c r="S289" i="24"/>
  <c r="O289" i="24"/>
  <c r="K289" i="24"/>
  <c r="Z289" i="24"/>
  <c r="V289" i="24"/>
  <c r="R289" i="24"/>
  <c r="N289" i="24"/>
  <c r="J289" i="24"/>
  <c r="Y235" i="24"/>
  <c r="U235" i="24"/>
  <c r="Q235" i="24"/>
  <c r="M235" i="24"/>
  <c r="I235" i="24"/>
  <c r="AB235" i="24"/>
  <c r="X235" i="24"/>
  <c r="T235" i="24"/>
  <c r="P235" i="24"/>
  <c r="L235" i="24"/>
  <c r="H235" i="24"/>
  <c r="AA235" i="24"/>
  <c r="W235" i="24"/>
  <c r="S235" i="24"/>
  <c r="O235" i="24"/>
  <c r="K235" i="24"/>
  <c r="Z235" i="24"/>
  <c r="V235" i="24"/>
  <c r="R235" i="24"/>
  <c r="N235" i="24"/>
  <c r="J235" i="24"/>
  <c r="Y251" i="24"/>
  <c r="U251" i="24"/>
  <c r="Q251" i="24"/>
  <c r="M251" i="24"/>
  <c r="I251" i="24"/>
  <c r="AB251" i="24"/>
  <c r="X251" i="24"/>
  <c r="T251" i="24"/>
  <c r="P251" i="24"/>
  <c r="L251" i="24"/>
  <c r="H251" i="24"/>
  <c r="AA251" i="24"/>
  <c r="W251" i="24"/>
  <c r="S251" i="24"/>
  <c r="O251" i="24"/>
  <c r="K251" i="24"/>
  <c r="Z251" i="24"/>
  <c r="V251" i="24"/>
  <c r="R251" i="24"/>
  <c r="N251" i="24"/>
  <c r="J251" i="24"/>
  <c r="Y259" i="24"/>
  <c r="U259" i="24"/>
  <c r="Q259" i="24"/>
  <c r="M259" i="24"/>
  <c r="I259" i="24"/>
  <c r="AB259" i="24"/>
  <c r="X259" i="24"/>
  <c r="T259" i="24"/>
  <c r="P259" i="24"/>
  <c r="L259" i="24"/>
  <c r="H259" i="24"/>
  <c r="AA259" i="24"/>
  <c r="W259" i="24"/>
  <c r="S259" i="24"/>
  <c r="O259" i="24"/>
  <c r="K259" i="24"/>
  <c r="Z259" i="24"/>
  <c r="V259" i="24"/>
  <c r="R259" i="24"/>
  <c r="N259" i="24"/>
  <c r="J259" i="24"/>
  <c r="Z296" i="24"/>
  <c r="V296" i="24"/>
  <c r="R296" i="24"/>
  <c r="N296" i="24"/>
  <c r="J296" i="24"/>
  <c r="Y296" i="24"/>
  <c r="U296" i="24"/>
  <c r="Q296" i="24"/>
  <c r="M296" i="24"/>
  <c r="I296" i="24"/>
  <c r="AB296" i="24"/>
  <c r="X296" i="24"/>
  <c r="T296" i="24"/>
  <c r="P296" i="24"/>
  <c r="L296" i="24"/>
  <c r="H296" i="24"/>
  <c r="AA296" i="24"/>
  <c r="W296" i="24"/>
  <c r="S296" i="24"/>
  <c r="O296" i="24"/>
  <c r="K296" i="24"/>
  <c r="Y230" i="24"/>
  <c r="U230" i="24"/>
  <c r="Q230" i="24"/>
  <c r="M230" i="24"/>
  <c r="I230" i="24"/>
  <c r="AB230" i="24"/>
  <c r="X230" i="24"/>
  <c r="T230" i="24"/>
  <c r="P230" i="24"/>
  <c r="L230" i="24"/>
  <c r="H230" i="24"/>
  <c r="AA230" i="24"/>
  <c r="W230" i="24"/>
  <c r="S230" i="24"/>
  <c r="O230" i="24"/>
  <c r="K230" i="24"/>
  <c r="Z230" i="24"/>
  <c r="V230" i="24"/>
  <c r="R230" i="24"/>
  <c r="N230" i="24"/>
  <c r="J230" i="24"/>
  <c r="AB228" i="24"/>
  <c r="X228" i="24"/>
  <c r="T228" i="24"/>
  <c r="P228" i="24"/>
  <c r="L228" i="24"/>
  <c r="H228" i="24"/>
  <c r="AA228" i="24"/>
  <c r="W228" i="24"/>
  <c r="S228" i="24"/>
  <c r="O228" i="24"/>
  <c r="K228" i="24"/>
  <c r="Z228" i="24"/>
  <c r="V228" i="24"/>
  <c r="R228" i="24"/>
  <c r="N228" i="24"/>
  <c r="J228" i="24"/>
  <c r="Y228" i="24"/>
  <c r="U228" i="24"/>
  <c r="Q228" i="24"/>
  <c r="M228" i="24"/>
  <c r="I228" i="24"/>
  <c r="AB232" i="24"/>
  <c r="X232" i="24"/>
  <c r="T232" i="24"/>
  <c r="P232" i="24"/>
  <c r="L232" i="24"/>
  <c r="H232" i="24"/>
  <c r="AA232" i="24"/>
  <c r="W232" i="24"/>
  <c r="S232" i="24"/>
  <c r="O232" i="24"/>
  <c r="K232" i="24"/>
  <c r="Z232" i="24"/>
  <c r="V232" i="24"/>
  <c r="R232" i="24"/>
  <c r="N232" i="24"/>
  <c r="J232" i="24"/>
  <c r="Y232" i="24"/>
  <c r="U232" i="24"/>
  <c r="Q232" i="24"/>
  <c r="M232" i="24"/>
  <c r="I232" i="24"/>
  <c r="AA237" i="24"/>
  <c r="W237" i="24"/>
  <c r="S237" i="24"/>
  <c r="O237" i="24"/>
  <c r="K237" i="24"/>
  <c r="Z237" i="24"/>
  <c r="V237" i="24"/>
  <c r="R237" i="24"/>
  <c r="N237" i="24"/>
  <c r="J237" i="24"/>
  <c r="Y237" i="24"/>
  <c r="U237" i="24"/>
  <c r="Q237" i="24"/>
  <c r="M237" i="24"/>
  <c r="I237" i="24"/>
  <c r="AB237" i="24"/>
  <c r="X237" i="24"/>
  <c r="T237" i="24"/>
  <c r="P237" i="24"/>
  <c r="L237" i="24"/>
  <c r="H237" i="24"/>
  <c r="AB244" i="24"/>
  <c r="X244" i="24"/>
  <c r="T244" i="24"/>
  <c r="P244" i="24"/>
  <c r="L244" i="24"/>
  <c r="H244" i="24"/>
  <c r="AA244" i="24"/>
  <c r="W244" i="24"/>
  <c r="S244" i="24"/>
  <c r="O244" i="24"/>
  <c r="K244" i="24"/>
  <c r="Z244" i="24"/>
  <c r="V244" i="24"/>
  <c r="R244" i="24"/>
  <c r="N244" i="24"/>
  <c r="J244" i="24"/>
  <c r="Y244" i="24"/>
  <c r="U244" i="24"/>
  <c r="Q244" i="24"/>
  <c r="M244" i="24"/>
  <c r="I244" i="24"/>
  <c r="AB248" i="24"/>
  <c r="X248" i="24"/>
  <c r="T248" i="24"/>
  <c r="P248" i="24"/>
  <c r="L248" i="24"/>
  <c r="H248" i="24"/>
  <c r="AA248" i="24"/>
  <c r="W248" i="24"/>
  <c r="S248" i="24"/>
  <c r="O248" i="24"/>
  <c r="K248" i="24"/>
  <c r="Z248" i="24"/>
  <c r="V248" i="24"/>
  <c r="R248" i="24"/>
  <c r="N248" i="24"/>
  <c r="J248" i="24"/>
  <c r="Y248" i="24"/>
  <c r="U248" i="24"/>
  <c r="Q248" i="24"/>
  <c r="M248" i="24"/>
  <c r="I248" i="24"/>
  <c r="AA253" i="24"/>
  <c r="W253" i="24"/>
  <c r="S253" i="24"/>
  <c r="O253" i="24"/>
  <c r="K253" i="24"/>
  <c r="Z253" i="24"/>
  <c r="V253" i="24"/>
  <c r="R253" i="24"/>
  <c r="N253" i="24"/>
  <c r="J253" i="24"/>
  <c r="Y253" i="24"/>
  <c r="U253" i="24"/>
  <c r="Q253" i="24"/>
  <c r="M253" i="24"/>
  <c r="I253" i="24"/>
  <c r="AB253" i="24"/>
  <c r="X253" i="24"/>
  <c r="T253" i="24"/>
  <c r="P253" i="24"/>
  <c r="L253" i="24"/>
  <c r="H253" i="24"/>
  <c r="AA261" i="24"/>
  <c r="W261" i="24"/>
  <c r="S261" i="24"/>
  <c r="O261" i="24"/>
  <c r="K261" i="24"/>
  <c r="Z261" i="24"/>
  <c r="V261" i="24"/>
  <c r="R261" i="24"/>
  <c r="N261" i="24"/>
  <c r="J261" i="24"/>
  <c r="Y261" i="24"/>
  <c r="U261" i="24"/>
  <c r="Q261" i="24"/>
  <c r="M261" i="24"/>
  <c r="I261" i="24"/>
  <c r="AB261" i="24"/>
  <c r="X261" i="24"/>
  <c r="T261" i="24"/>
  <c r="P261" i="24"/>
  <c r="L261" i="24"/>
  <c r="H261" i="24"/>
  <c r="AA270" i="24"/>
  <c r="W270" i="24"/>
  <c r="S270" i="24"/>
  <c r="O270" i="24"/>
  <c r="K270" i="24"/>
  <c r="Z270" i="24"/>
  <c r="V270" i="24"/>
  <c r="R270" i="24"/>
  <c r="N270" i="24"/>
  <c r="J270" i="24"/>
  <c r="Y270" i="24"/>
  <c r="U270" i="24"/>
  <c r="Q270" i="24"/>
  <c r="M270" i="24"/>
  <c r="I270" i="24"/>
  <c r="AB270" i="24"/>
  <c r="X270" i="24"/>
  <c r="T270" i="24"/>
  <c r="P270" i="24"/>
  <c r="L270" i="24"/>
  <c r="H270" i="24"/>
  <c r="AA274" i="24"/>
  <c r="W274" i="24"/>
  <c r="S274" i="24"/>
  <c r="O274" i="24"/>
  <c r="K274" i="24"/>
  <c r="Z274" i="24"/>
  <c r="V274" i="24"/>
  <c r="R274" i="24"/>
  <c r="N274" i="24"/>
  <c r="J274" i="24"/>
  <c r="Y274" i="24"/>
  <c r="U274" i="24"/>
  <c r="Q274" i="24"/>
  <c r="M274" i="24"/>
  <c r="I274" i="24"/>
  <c r="AB274" i="24"/>
  <c r="X274" i="24"/>
  <c r="T274" i="24"/>
  <c r="P274" i="24"/>
  <c r="L274" i="24"/>
  <c r="H274" i="24"/>
  <c r="AB279" i="24"/>
  <c r="X279" i="24"/>
  <c r="T279" i="24"/>
  <c r="P279" i="24"/>
  <c r="L279" i="24"/>
  <c r="H279" i="24"/>
  <c r="AA279" i="24"/>
  <c r="W279" i="24"/>
  <c r="S279" i="24"/>
  <c r="O279" i="24"/>
  <c r="K279" i="24"/>
  <c r="Z279" i="24"/>
  <c r="V279" i="24"/>
  <c r="R279" i="24"/>
  <c r="N279" i="24"/>
  <c r="J279" i="24"/>
  <c r="Y279" i="24"/>
  <c r="U279" i="24"/>
  <c r="Q279" i="24"/>
  <c r="M279" i="24"/>
  <c r="I279" i="24"/>
  <c r="AB283" i="24"/>
  <c r="X283" i="24"/>
  <c r="T283" i="24"/>
  <c r="P283" i="24"/>
  <c r="L283" i="24"/>
  <c r="H283" i="24"/>
  <c r="AA283" i="24"/>
  <c r="W283" i="24"/>
  <c r="S283" i="24"/>
  <c r="O283" i="24"/>
  <c r="K283" i="24"/>
  <c r="Z283" i="24"/>
  <c r="V283" i="24"/>
  <c r="R283" i="24"/>
  <c r="N283" i="24"/>
  <c r="J283" i="24"/>
  <c r="Y283" i="24"/>
  <c r="U283" i="24"/>
  <c r="Q283" i="24"/>
  <c r="M283" i="24"/>
  <c r="I283" i="24"/>
  <c r="AB291" i="24"/>
  <c r="X291" i="24"/>
  <c r="T291" i="24"/>
  <c r="P291" i="24"/>
  <c r="L291" i="24"/>
  <c r="H291" i="24"/>
  <c r="AA291" i="24"/>
  <c r="W291" i="24"/>
  <c r="S291" i="24"/>
  <c r="O291" i="24"/>
  <c r="K291" i="24"/>
  <c r="Z291" i="24"/>
  <c r="V291" i="24"/>
  <c r="R291" i="24"/>
  <c r="N291" i="24"/>
  <c r="J291" i="24"/>
  <c r="Y291" i="24"/>
  <c r="U291" i="24"/>
  <c r="Q291" i="24"/>
  <c r="M291" i="24"/>
  <c r="I291" i="24"/>
  <c r="AA234" i="24"/>
  <c r="W234" i="24"/>
  <c r="S234" i="24"/>
  <c r="O234" i="24"/>
  <c r="K234" i="24"/>
  <c r="Z234" i="24"/>
  <c r="V234" i="24"/>
  <c r="R234" i="24"/>
  <c r="N234" i="24"/>
  <c r="J234" i="24"/>
  <c r="Y234" i="24"/>
  <c r="U234" i="24"/>
  <c r="Q234" i="24"/>
  <c r="M234" i="24"/>
  <c r="I234" i="24"/>
  <c r="AB234" i="24"/>
  <c r="X234" i="24"/>
  <c r="T234" i="24"/>
  <c r="P234" i="24"/>
  <c r="L234" i="24"/>
  <c r="H234" i="24"/>
  <c r="AB239" i="24"/>
  <c r="X239" i="24"/>
  <c r="T239" i="24"/>
  <c r="P239" i="24"/>
  <c r="L239" i="24"/>
  <c r="H239" i="24"/>
  <c r="AA239" i="24"/>
  <c r="W239" i="24"/>
  <c r="S239" i="24"/>
  <c r="O239" i="24"/>
  <c r="K239" i="24"/>
  <c r="Z239" i="24"/>
  <c r="V239" i="24"/>
  <c r="R239" i="24"/>
  <c r="N239" i="24"/>
  <c r="J239" i="24"/>
  <c r="Y239" i="24"/>
  <c r="U239" i="24"/>
  <c r="Q239" i="24"/>
  <c r="M239" i="24"/>
  <c r="I239" i="24"/>
  <c r="AA246" i="24"/>
  <c r="W246" i="24"/>
  <c r="S246" i="24"/>
  <c r="O246" i="24"/>
  <c r="K246" i="24"/>
  <c r="Z246" i="24"/>
  <c r="V246" i="24"/>
  <c r="R246" i="24"/>
  <c r="N246" i="24"/>
  <c r="J246" i="24"/>
  <c r="Y246" i="24"/>
  <c r="U246" i="24"/>
  <c r="Q246" i="24"/>
  <c r="M246" i="24"/>
  <c r="I246" i="24"/>
  <c r="AB246" i="24"/>
  <c r="X246" i="24"/>
  <c r="T246" i="24"/>
  <c r="P246" i="24"/>
  <c r="L246" i="24"/>
  <c r="H246" i="24"/>
  <c r="AA250" i="24"/>
  <c r="W250" i="24"/>
  <c r="S250" i="24"/>
  <c r="O250" i="24"/>
  <c r="K250" i="24"/>
  <c r="Z250" i="24"/>
  <c r="V250" i="24"/>
  <c r="R250" i="24"/>
  <c r="N250" i="24"/>
  <c r="J250" i="24"/>
  <c r="Y250" i="24"/>
  <c r="U250" i="24"/>
  <c r="Q250" i="24"/>
  <c r="M250" i="24"/>
  <c r="I250" i="24"/>
  <c r="AB250" i="24"/>
  <c r="X250" i="24"/>
  <c r="T250" i="24"/>
  <c r="P250" i="24"/>
  <c r="L250" i="24"/>
  <c r="H250" i="24"/>
  <c r="AB255" i="24"/>
  <c r="X255" i="24"/>
  <c r="T255" i="24"/>
  <c r="P255" i="24"/>
  <c r="L255" i="24"/>
  <c r="H255" i="24"/>
  <c r="AA255" i="24"/>
  <c r="W255" i="24"/>
  <c r="S255" i="24"/>
  <c r="O255" i="24"/>
  <c r="K255" i="24"/>
  <c r="Z255" i="24"/>
  <c r="V255" i="24"/>
  <c r="R255" i="24"/>
  <c r="N255" i="24"/>
  <c r="J255" i="24"/>
  <c r="Y255" i="24"/>
  <c r="U255" i="24"/>
  <c r="Q255" i="24"/>
  <c r="M255" i="24"/>
  <c r="I255" i="24"/>
  <c r="AA258" i="24"/>
  <c r="W258" i="24"/>
  <c r="S258" i="24"/>
  <c r="O258" i="24"/>
  <c r="K258" i="24"/>
  <c r="Z258" i="24"/>
  <c r="V258" i="24"/>
  <c r="R258" i="24"/>
  <c r="N258" i="24"/>
  <c r="J258" i="24"/>
  <c r="Y258" i="24"/>
  <c r="U258" i="24"/>
  <c r="Q258" i="24"/>
  <c r="M258" i="24"/>
  <c r="I258" i="24"/>
  <c r="AB258" i="24"/>
  <c r="X258" i="24"/>
  <c r="T258" i="24"/>
  <c r="P258" i="24"/>
  <c r="L258" i="24"/>
  <c r="H258" i="24"/>
  <c r="AB263" i="24"/>
  <c r="X263" i="24"/>
  <c r="T263" i="24"/>
  <c r="P263" i="24"/>
  <c r="L263" i="24"/>
  <c r="H263" i="24"/>
  <c r="AA263" i="24"/>
  <c r="W263" i="24"/>
  <c r="S263" i="24"/>
  <c r="O263" i="24"/>
  <c r="K263" i="24"/>
  <c r="Z263" i="24"/>
  <c r="V263" i="24"/>
  <c r="R263" i="24"/>
  <c r="N263" i="24"/>
  <c r="J263" i="24"/>
  <c r="Y263" i="24"/>
  <c r="U263" i="24"/>
  <c r="Q263" i="24"/>
  <c r="M263" i="24"/>
  <c r="I263" i="24"/>
  <c r="AB268" i="24"/>
  <c r="X268" i="24"/>
  <c r="T268" i="24"/>
  <c r="P268" i="24"/>
  <c r="L268" i="24"/>
  <c r="H268" i="24"/>
  <c r="AA268" i="24"/>
  <c r="W268" i="24"/>
  <c r="S268" i="24"/>
  <c r="O268" i="24"/>
  <c r="K268" i="24"/>
  <c r="Z268" i="24"/>
  <c r="V268" i="24"/>
  <c r="R268" i="24"/>
  <c r="N268" i="24"/>
  <c r="J268" i="24"/>
  <c r="Y268" i="24"/>
  <c r="U268" i="24"/>
  <c r="Q268" i="24"/>
  <c r="M268" i="24"/>
  <c r="I268" i="24"/>
  <c r="AB272" i="24"/>
  <c r="X272" i="24"/>
  <c r="T272" i="24"/>
  <c r="P272" i="24"/>
  <c r="L272" i="24"/>
  <c r="H272" i="24"/>
  <c r="AA272" i="24"/>
  <c r="W272" i="24"/>
  <c r="S272" i="24"/>
  <c r="O272" i="24"/>
  <c r="K272" i="24"/>
  <c r="Z272" i="24"/>
  <c r="V272" i="24"/>
  <c r="R272" i="24"/>
  <c r="N272" i="24"/>
  <c r="J272" i="24"/>
  <c r="Y272" i="24"/>
  <c r="U272" i="24"/>
  <c r="Q272" i="24"/>
  <c r="M272" i="24"/>
  <c r="I272" i="24"/>
  <c r="AB276" i="24"/>
  <c r="X276" i="24"/>
  <c r="T276" i="24"/>
  <c r="P276" i="24"/>
  <c r="L276" i="24"/>
  <c r="H276" i="24"/>
  <c r="AA276" i="24"/>
  <c r="W276" i="24"/>
  <c r="S276" i="24"/>
  <c r="O276" i="24"/>
  <c r="K276" i="24"/>
  <c r="Z276" i="24"/>
  <c r="V276" i="24"/>
  <c r="R276" i="24"/>
  <c r="N276" i="24"/>
  <c r="J276" i="24"/>
  <c r="Y276" i="24"/>
  <c r="U276" i="24"/>
  <c r="Q276" i="24"/>
  <c r="M276" i="24"/>
  <c r="I276" i="24"/>
  <c r="AA294" i="24"/>
  <c r="W294" i="24"/>
  <c r="S294" i="24"/>
  <c r="O294" i="24"/>
  <c r="K294" i="24"/>
  <c r="Z294" i="24"/>
  <c r="V294" i="24"/>
  <c r="R294" i="24"/>
  <c r="N294" i="24"/>
  <c r="J294" i="24"/>
  <c r="Y294" i="24"/>
  <c r="U294" i="24"/>
  <c r="Q294" i="24"/>
  <c r="M294" i="24"/>
  <c r="I294" i="24"/>
  <c r="AB294" i="24"/>
  <c r="X294" i="24"/>
  <c r="T294" i="24"/>
  <c r="P294" i="24"/>
  <c r="L294" i="24"/>
  <c r="H294" i="24"/>
  <c r="AA298" i="24"/>
  <c r="W298" i="24"/>
  <c r="S298" i="24"/>
  <c r="O298" i="24"/>
  <c r="K298" i="24"/>
  <c r="Z298" i="24"/>
  <c r="V298" i="24"/>
  <c r="R298" i="24"/>
  <c r="N298" i="24"/>
  <c r="J298" i="24"/>
  <c r="Y298" i="24"/>
  <c r="U298" i="24"/>
  <c r="Q298" i="24"/>
  <c r="M298" i="24"/>
  <c r="I298" i="24"/>
  <c r="AB298" i="24"/>
  <c r="X298" i="24"/>
  <c r="T298" i="24"/>
  <c r="P298" i="24"/>
  <c r="L298" i="24"/>
  <c r="H298" i="24"/>
  <c r="AA226" i="24"/>
  <c r="W226" i="24"/>
  <c r="S226" i="24"/>
  <c r="O226" i="24"/>
  <c r="K226" i="24"/>
  <c r="Z226" i="24"/>
  <c r="V226" i="24"/>
  <c r="R226" i="24"/>
  <c r="N226" i="24"/>
  <c r="J226" i="24"/>
  <c r="Y226" i="24"/>
  <c r="U226" i="24"/>
  <c r="Q226" i="24"/>
  <c r="M226" i="24"/>
  <c r="I226" i="24"/>
  <c r="AB226" i="24"/>
  <c r="X226" i="24"/>
  <c r="T226" i="24"/>
  <c r="P226" i="24"/>
  <c r="L226" i="24"/>
  <c r="H226" i="24"/>
  <c r="AB305" i="24"/>
  <c r="T305" i="24"/>
  <c r="L305" i="24"/>
  <c r="AA305" i="24"/>
  <c r="S305" i="24"/>
  <c r="K305" i="24"/>
  <c r="Z305" i="24"/>
  <c r="V305" i="24"/>
  <c r="R305" i="24"/>
  <c r="N305" i="24"/>
  <c r="J305" i="24"/>
  <c r="Y305" i="24"/>
  <c r="U305" i="24"/>
  <c r="Q305" i="24"/>
  <c r="M305" i="24"/>
  <c r="I305" i="24"/>
  <c r="X305" i="24"/>
  <c r="P305" i="24"/>
  <c r="H305" i="24"/>
  <c r="W305" i="24"/>
  <c r="O305" i="24"/>
  <c r="Y303" i="24"/>
  <c r="U303" i="24"/>
  <c r="Q303" i="24"/>
  <c r="M303" i="24"/>
  <c r="I303" i="24"/>
  <c r="AB303" i="24"/>
  <c r="X303" i="24"/>
  <c r="T303" i="24"/>
  <c r="P303" i="24"/>
  <c r="L303" i="24"/>
  <c r="H303" i="24"/>
  <c r="AA303" i="24"/>
  <c r="W303" i="24"/>
  <c r="S303" i="24"/>
  <c r="O303" i="24"/>
  <c r="K303" i="24"/>
  <c r="Z303" i="24"/>
  <c r="V303" i="24"/>
  <c r="R303" i="24"/>
  <c r="N303" i="24"/>
  <c r="J303" i="24"/>
  <c r="AB301" i="24"/>
  <c r="X301" i="24"/>
  <c r="T301" i="24"/>
  <c r="P301" i="24"/>
  <c r="L301" i="24"/>
  <c r="H301" i="24"/>
  <c r="AA301" i="24"/>
  <c r="W301" i="24"/>
  <c r="S301" i="24"/>
  <c r="O301" i="24"/>
  <c r="K301" i="24"/>
  <c r="Z301" i="24"/>
  <c r="V301" i="24"/>
  <c r="R301" i="24"/>
  <c r="N301" i="24"/>
  <c r="J301" i="24"/>
  <c r="Y301" i="24"/>
  <c r="U301" i="24"/>
  <c r="Q301" i="24"/>
  <c r="M301" i="24"/>
  <c r="I301" i="24"/>
  <c r="AB228" i="23"/>
  <c r="X228" i="23"/>
  <c r="T228" i="23"/>
  <c r="P228" i="23"/>
  <c r="L228" i="23"/>
  <c r="H228" i="23"/>
  <c r="Y228" i="23"/>
  <c r="U228" i="23"/>
  <c r="Q228" i="23"/>
  <c r="M228" i="23"/>
  <c r="I228" i="23"/>
  <c r="Z228" i="23"/>
  <c r="V228" i="23"/>
  <c r="R228" i="23"/>
  <c r="N228" i="23"/>
  <c r="J228" i="23"/>
  <c r="AA228" i="23"/>
  <c r="W228" i="23"/>
  <c r="S228" i="23"/>
  <c r="O228" i="23"/>
  <c r="K228" i="23"/>
  <c r="Z236" i="23"/>
  <c r="V236" i="23"/>
  <c r="R236" i="23"/>
  <c r="N236" i="23"/>
  <c r="J236" i="23"/>
  <c r="Y236" i="23"/>
  <c r="U236" i="23"/>
  <c r="Q236" i="23"/>
  <c r="M236" i="23"/>
  <c r="I236" i="23"/>
  <c r="AB236" i="23"/>
  <c r="X236" i="23"/>
  <c r="T236" i="23"/>
  <c r="P236" i="23"/>
  <c r="L236" i="23"/>
  <c r="H236" i="23"/>
  <c r="AA236" i="23"/>
  <c r="W236" i="23"/>
  <c r="S236" i="23"/>
  <c r="O236" i="23"/>
  <c r="K236" i="23"/>
  <c r="Y241" i="23"/>
  <c r="U241" i="23"/>
  <c r="Q241" i="23"/>
  <c r="M241" i="23"/>
  <c r="I241" i="23"/>
  <c r="AB241" i="23"/>
  <c r="X241" i="23"/>
  <c r="T241" i="23"/>
  <c r="P241" i="23"/>
  <c r="L241" i="23"/>
  <c r="H241" i="23"/>
  <c r="AA241" i="23"/>
  <c r="W241" i="23"/>
  <c r="S241" i="23"/>
  <c r="O241" i="23"/>
  <c r="K241" i="23"/>
  <c r="Z241" i="23"/>
  <c r="V241" i="23"/>
  <c r="R241" i="23"/>
  <c r="N241" i="23"/>
  <c r="J241" i="23"/>
  <c r="Y265" i="23"/>
  <c r="U265" i="23"/>
  <c r="Q265" i="23"/>
  <c r="M265" i="23"/>
  <c r="I265" i="23"/>
  <c r="AA265" i="23"/>
  <c r="S265" i="23"/>
  <c r="K265" i="23"/>
  <c r="AB265" i="23"/>
  <c r="X265" i="23"/>
  <c r="T265" i="23"/>
  <c r="P265" i="23"/>
  <c r="L265" i="23"/>
  <c r="H265" i="23"/>
  <c r="W265" i="23"/>
  <c r="O265" i="23"/>
  <c r="Z265" i="23"/>
  <c r="V265" i="23"/>
  <c r="R265" i="23"/>
  <c r="N265" i="23"/>
  <c r="J265" i="23"/>
  <c r="AA227" i="23"/>
  <c r="W227" i="23"/>
  <c r="S227" i="23"/>
  <c r="O227" i="23"/>
  <c r="K227" i="23"/>
  <c r="Z227" i="23"/>
  <c r="V227" i="23"/>
  <c r="R227" i="23"/>
  <c r="N227" i="23"/>
  <c r="J227" i="23"/>
  <c r="Y227" i="23"/>
  <c r="U227" i="23"/>
  <c r="Q227" i="23"/>
  <c r="M227" i="23"/>
  <c r="I227" i="23"/>
  <c r="AB227" i="23"/>
  <c r="X227" i="23"/>
  <c r="T227" i="23"/>
  <c r="P227" i="23"/>
  <c r="L227" i="23"/>
  <c r="H227" i="23"/>
  <c r="AA229" i="23"/>
  <c r="W229" i="23"/>
  <c r="S229" i="23"/>
  <c r="O229" i="23"/>
  <c r="K229" i="23"/>
  <c r="Z229" i="23"/>
  <c r="V229" i="23"/>
  <c r="R229" i="23"/>
  <c r="N229" i="23"/>
  <c r="J229" i="23"/>
  <c r="Y229" i="23"/>
  <c r="U229" i="23"/>
  <c r="Q229" i="23"/>
  <c r="M229" i="23"/>
  <c r="I229" i="23"/>
  <c r="AB229" i="23"/>
  <c r="X229" i="23"/>
  <c r="T229" i="23"/>
  <c r="P229" i="23"/>
  <c r="L229" i="23"/>
  <c r="H229" i="23"/>
  <c r="AB237" i="23"/>
  <c r="X237" i="23"/>
  <c r="T237" i="23"/>
  <c r="P237" i="23"/>
  <c r="L237" i="23"/>
  <c r="H237" i="23"/>
  <c r="AA237" i="23"/>
  <c r="W237" i="23"/>
  <c r="S237" i="23"/>
  <c r="O237" i="23"/>
  <c r="K237" i="23"/>
  <c r="Z237" i="23"/>
  <c r="V237" i="23"/>
  <c r="R237" i="23"/>
  <c r="N237" i="23"/>
  <c r="J237" i="23"/>
  <c r="Y237" i="23"/>
  <c r="U237" i="23"/>
  <c r="Q237" i="23"/>
  <c r="M237" i="23"/>
  <c r="I237" i="23"/>
  <c r="AB245" i="23"/>
  <c r="X245" i="23"/>
  <c r="T245" i="23"/>
  <c r="P245" i="23"/>
  <c r="L245" i="23"/>
  <c r="H245" i="23"/>
  <c r="AA245" i="23"/>
  <c r="W245" i="23"/>
  <c r="S245" i="23"/>
  <c r="O245" i="23"/>
  <c r="K245" i="23"/>
  <c r="Z245" i="23"/>
  <c r="V245" i="23"/>
  <c r="R245" i="23"/>
  <c r="N245" i="23"/>
  <c r="J245" i="23"/>
  <c r="Y245" i="23"/>
  <c r="U245" i="23"/>
  <c r="Q245" i="23"/>
  <c r="M245" i="23"/>
  <c r="I245" i="23"/>
  <c r="AA252" i="23"/>
  <c r="W252" i="23"/>
  <c r="S252" i="23"/>
  <c r="O252" i="23"/>
  <c r="K252" i="23"/>
  <c r="Z252" i="23"/>
  <c r="V252" i="23"/>
  <c r="R252" i="23"/>
  <c r="N252" i="23"/>
  <c r="J252" i="23"/>
  <c r="Y252" i="23"/>
  <c r="U252" i="23"/>
  <c r="Q252" i="23"/>
  <c r="M252" i="23"/>
  <c r="I252" i="23"/>
  <c r="AB252" i="23"/>
  <c r="X252" i="23"/>
  <c r="T252" i="23"/>
  <c r="P252" i="23"/>
  <c r="L252" i="23"/>
  <c r="H252" i="23"/>
  <c r="AA260" i="23"/>
  <c r="W260" i="23"/>
  <c r="S260" i="23"/>
  <c r="O260" i="23"/>
  <c r="K260" i="23"/>
  <c r="Z260" i="23"/>
  <c r="V260" i="23"/>
  <c r="R260" i="23"/>
  <c r="N260" i="23"/>
  <c r="J260" i="23"/>
  <c r="Y260" i="23"/>
  <c r="U260" i="23"/>
  <c r="Q260" i="23"/>
  <c r="M260" i="23"/>
  <c r="I260" i="23"/>
  <c r="AB260" i="23"/>
  <c r="X260" i="23"/>
  <c r="T260" i="23"/>
  <c r="P260" i="23"/>
  <c r="L260" i="23"/>
  <c r="H260" i="23"/>
  <c r="AA264" i="23"/>
  <c r="W264" i="23"/>
  <c r="S264" i="23"/>
  <c r="O264" i="23"/>
  <c r="K264" i="23"/>
  <c r="Z264" i="23"/>
  <c r="V264" i="23"/>
  <c r="R264" i="23"/>
  <c r="N264" i="23"/>
  <c r="J264" i="23"/>
  <c r="Y264" i="23"/>
  <c r="U264" i="23"/>
  <c r="Q264" i="23"/>
  <c r="M264" i="23"/>
  <c r="I264" i="23"/>
  <c r="AB264" i="23"/>
  <c r="X264" i="23"/>
  <c r="T264" i="23"/>
  <c r="P264" i="23"/>
  <c r="L264" i="23"/>
  <c r="H264" i="23"/>
  <c r="Z270" i="23"/>
  <c r="V270" i="23"/>
  <c r="R270" i="23"/>
  <c r="N270" i="23"/>
  <c r="AB270" i="23"/>
  <c r="X270" i="23"/>
  <c r="T270" i="23"/>
  <c r="P270" i="23"/>
  <c r="L270" i="23"/>
  <c r="H270" i="23"/>
  <c r="AA270" i="23"/>
  <c r="W270" i="23"/>
  <c r="S270" i="23"/>
  <c r="O270" i="23"/>
  <c r="K270" i="23"/>
  <c r="U270" i="23"/>
  <c r="M270" i="23"/>
  <c r="J270" i="23"/>
  <c r="Y270" i="23"/>
  <c r="Q270" i="23"/>
  <c r="I270" i="23"/>
  <c r="Y275" i="23"/>
  <c r="U275" i="23"/>
  <c r="Q275" i="23"/>
  <c r="M275" i="23"/>
  <c r="I275" i="23"/>
  <c r="AB275" i="23"/>
  <c r="X275" i="23"/>
  <c r="T275" i="23"/>
  <c r="P275" i="23"/>
  <c r="L275" i="23"/>
  <c r="H275" i="23"/>
  <c r="AA275" i="23"/>
  <c r="W275" i="23"/>
  <c r="S275" i="23"/>
  <c r="O275" i="23"/>
  <c r="K275" i="23"/>
  <c r="Z275" i="23"/>
  <c r="V275" i="23"/>
  <c r="R275" i="23"/>
  <c r="N275" i="23"/>
  <c r="J275" i="23"/>
  <c r="Y279" i="23"/>
  <c r="U279" i="23"/>
  <c r="Q279" i="23"/>
  <c r="M279" i="23"/>
  <c r="I279" i="23"/>
  <c r="AB279" i="23"/>
  <c r="X279" i="23"/>
  <c r="T279" i="23"/>
  <c r="P279" i="23"/>
  <c r="L279" i="23"/>
  <c r="H279" i="23"/>
  <c r="AA279" i="23"/>
  <c r="W279" i="23"/>
  <c r="S279" i="23"/>
  <c r="O279" i="23"/>
  <c r="K279" i="23"/>
  <c r="Z279" i="23"/>
  <c r="V279" i="23"/>
  <c r="R279" i="23"/>
  <c r="N279" i="23"/>
  <c r="J279" i="23"/>
  <c r="Z284" i="23"/>
  <c r="V284" i="23"/>
  <c r="R284" i="23"/>
  <c r="N284" i="23"/>
  <c r="J284" i="23"/>
  <c r="Y284" i="23"/>
  <c r="U284" i="23"/>
  <c r="Q284" i="23"/>
  <c r="M284" i="23"/>
  <c r="I284" i="23"/>
  <c r="AB284" i="23"/>
  <c r="X284" i="23"/>
  <c r="T284" i="23"/>
  <c r="P284" i="23"/>
  <c r="L284" i="23"/>
  <c r="H284" i="23"/>
  <c r="AA284" i="23"/>
  <c r="W284" i="23"/>
  <c r="S284" i="23"/>
  <c r="O284" i="23"/>
  <c r="K284" i="23"/>
  <c r="Z288" i="23"/>
  <c r="V288" i="23"/>
  <c r="R288" i="23"/>
  <c r="N288" i="23"/>
  <c r="J288" i="23"/>
  <c r="U288" i="23"/>
  <c r="M288" i="23"/>
  <c r="AA288" i="23"/>
  <c r="S288" i="23"/>
  <c r="K288" i="23"/>
  <c r="AB288" i="23"/>
  <c r="X288" i="23"/>
  <c r="T288" i="23"/>
  <c r="P288" i="23"/>
  <c r="L288" i="23"/>
  <c r="H288" i="23"/>
  <c r="Y288" i="23"/>
  <c r="Q288" i="23"/>
  <c r="I288" i="23"/>
  <c r="W288" i="23"/>
  <c r="O288" i="23"/>
  <c r="Y234" i="23"/>
  <c r="U234" i="23"/>
  <c r="Q234" i="23"/>
  <c r="M234" i="23"/>
  <c r="I234" i="23"/>
  <c r="AB234" i="23"/>
  <c r="X234" i="23"/>
  <c r="T234" i="23"/>
  <c r="P234" i="23"/>
  <c r="L234" i="23"/>
  <c r="H234" i="23"/>
  <c r="AA234" i="23"/>
  <c r="W234" i="23"/>
  <c r="S234" i="23"/>
  <c r="O234" i="23"/>
  <c r="K234" i="23"/>
  <c r="Z234" i="23"/>
  <c r="V234" i="23"/>
  <c r="R234" i="23"/>
  <c r="N234" i="23"/>
  <c r="J234" i="23"/>
  <c r="Z239" i="23"/>
  <c r="V239" i="23"/>
  <c r="R239" i="23"/>
  <c r="N239" i="23"/>
  <c r="J239" i="23"/>
  <c r="Y239" i="23"/>
  <c r="U239" i="23"/>
  <c r="Q239" i="23"/>
  <c r="M239" i="23"/>
  <c r="I239" i="23"/>
  <c r="AB239" i="23"/>
  <c r="X239" i="23"/>
  <c r="T239" i="23"/>
  <c r="P239" i="23"/>
  <c r="L239" i="23"/>
  <c r="H239" i="23"/>
  <c r="AA239" i="23"/>
  <c r="W239" i="23"/>
  <c r="S239" i="23"/>
  <c r="O239" i="23"/>
  <c r="K239" i="23"/>
  <c r="Z255" i="23"/>
  <c r="V255" i="23"/>
  <c r="R255" i="23"/>
  <c r="N255" i="23"/>
  <c r="J255" i="23"/>
  <c r="Y255" i="23"/>
  <c r="U255" i="23"/>
  <c r="Q255" i="23"/>
  <c r="M255" i="23"/>
  <c r="I255" i="23"/>
  <c r="AB255" i="23"/>
  <c r="X255" i="23"/>
  <c r="T255" i="23"/>
  <c r="P255" i="23"/>
  <c r="L255" i="23"/>
  <c r="H255" i="23"/>
  <c r="AA255" i="23"/>
  <c r="W255" i="23"/>
  <c r="S255" i="23"/>
  <c r="O255" i="23"/>
  <c r="K255" i="23"/>
  <c r="AA257" i="23"/>
  <c r="W257" i="23"/>
  <c r="S257" i="23"/>
  <c r="Z257" i="23"/>
  <c r="R257" i="23"/>
  <c r="M257" i="23"/>
  <c r="I257" i="23"/>
  <c r="AB257" i="23"/>
  <c r="T257" i="23"/>
  <c r="N257" i="23"/>
  <c r="J257" i="23"/>
  <c r="Y257" i="23"/>
  <c r="U257" i="23"/>
  <c r="Q257" i="23"/>
  <c r="V257" i="23"/>
  <c r="O257" i="23"/>
  <c r="K257" i="23"/>
  <c r="X257" i="23"/>
  <c r="P257" i="23"/>
  <c r="L257" i="23"/>
  <c r="H257" i="23"/>
  <c r="Y272" i="23"/>
  <c r="U272" i="23"/>
  <c r="Q272" i="23"/>
  <c r="M272" i="23"/>
  <c r="I272" i="23"/>
  <c r="AB272" i="23"/>
  <c r="X272" i="23"/>
  <c r="T272" i="23"/>
  <c r="P272" i="23"/>
  <c r="L272" i="23"/>
  <c r="H272" i="23"/>
  <c r="AA272" i="23"/>
  <c r="S272" i="23"/>
  <c r="K272" i="23"/>
  <c r="Z272" i="23"/>
  <c r="R272" i="23"/>
  <c r="J272" i="23"/>
  <c r="W272" i="23"/>
  <c r="O272" i="23"/>
  <c r="V272" i="23"/>
  <c r="N272" i="23"/>
  <c r="Y293" i="23"/>
  <c r="U293" i="23"/>
  <c r="Q293" i="23"/>
  <c r="M293" i="23"/>
  <c r="I293" i="23"/>
  <c r="AB293" i="23"/>
  <c r="X293" i="23"/>
  <c r="T293" i="23"/>
  <c r="P293" i="23"/>
  <c r="L293" i="23"/>
  <c r="H293" i="23"/>
  <c r="AA293" i="23"/>
  <c r="S293" i="23"/>
  <c r="K293" i="23"/>
  <c r="Z293" i="23"/>
  <c r="R293" i="23"/>
  <c r="J293" i="23"/>
  <c r="W293" i="23"/>
  <c r="O293" i="23"/>
  <c r="V293" i="23"/>
  <c r="N293" i="23"/>
  <c r="Y297" i="23"/>
  <c r="U297" i="23"/>
  <c r="Q297" i="23"/>
  <c r="M297" i="23"/>
  <c r="I297" i="23"/>
  <c r="AB297" i="23"/>
  <c r="X297" i="23"/>
  <c r="T297" i="23"/>
  <c r="P297" i="23"/>
  <c r="L297" i="23"/>
  <c r="H297" i="23"/>
  <c r="AA297" i="23"/>
  <c r="S297" i="23"/>
  <c r="K297" i="23"/>
  <c r="Z297" i="23"/>
  <c r="R297" i="23"/>
  <c r="J297" i="23"/>
  <c r="W297" i="23"/>
  <c r="O297" i="23"/>
  <c r="V297" i="23"/>
  <c r="N297" i="23"/>
  <c r="AB271" i="23"/>
  <c r="X271" i="23"/>
  <c r="T271" i="23"/>
  <c r="P271" i="23"/>
  <c r="L271" i="23"/>
  <c r="H271" i="23"/>
  <c r="AA271" i="23"/>
  <c r="W271" i="23"/>
  <c r="S271" i="23"/>
  <c r="O271" i="23"/>
  <c r="K271" i="23"/>
  <c r="Z271" i="23"/>
  <c r="V271" i="23"/>
  <c r="R271" i="23"/>
  <c r="N271" i="23"/>
  <c r="J271" i="23"/>
  <c r="Y271" i="23"/>
  <c r="U271" i="23"/>
  <c r="Q271" i="23"/>
  <c r="M271" i="23"/>
  <c r="I271" i="23"/>
  <c r="AB281" i="23"/>
  <c r="X281" i="23"/>
  <c r="T281" i="23"/>
  <c r="P281" i="23"/>
  <c r="L281" i="23"/>
  <c r="H281" i="23"/>
  <c r="AA281" i="23"/>
  <c r="W281" i="23"/>
  <c r="S281" i="23"/>
  <c r="O281" i="23"/>
  <c r="K281" i="23"/>
  <c r="Z281" i="23"/>
  <c r="V281" i="23"/>
  <c r="R281" i="23"/>
  <c r="N281" i="23"/>
  <c r="J281" i="23"/>
  <c r="Y281" i="23"/>
  <c r="U281" i="23"/>
  <c r="Q281" i="23"/>
  <c r="M281" i="23"/>
  <c r="I281" i="23"/>
  <c r="AB285" i="23"/>
  <c r="X285" i="23"/>
  <c r="T285" i="23"/>
  <c r="P285" i="23"/>
  <c r="L285" i="23"/>
  <c r="H285" i="23"/>
  <c r="AA285" i="23"/>
  <c r="W285" i="23"/>
  <c r="S285" i="23"/>
  <c r="O285" i="23"/>
  <c r="K285" i="23"/>
  <c r="Z285" i="23"/>
  <c r="V285" i="23"/>
  <c r="R285" i="23"/>
  <c r="N285" i="23"/>
  <c r="J285" i="23"/>
  <c r="Y285" i="23"/>
  <c r="U285" i="23"/>
  <c r="Q285" i="23"/>
  <c r="M285" i="23"/>
  <c r="I285" i="23"/>
  <c r="AA290" i="23"/>
  <c r="W290" i="23"/>
  <c r="S290" i="23"/>
  <c r="O290" i="23"/>
  <c r="K290" i="23"/>
  <c r="V290" i="23"/>
  <c r="N290" i="23"/>
  <c r="AB290" i="23"/>
  <c r="T290" i="23"/>
  <c r="L290" i="23"/>
  <c r="Y290" i="23"/>
  <c r="U290" i="23"/>
  <c r="Q290" i="23"/>
  <c r="M290" i="23"/>
  <c r="I290" i="23"/>
  <c r="Z290" i="23"/>
  <c r="R290" i="23"/>
  <c r="J290" i="23"/>
  <c r="X290" i="23"/>
  <c r="P290" i="23"/>
  <c r="H290" i="23"/>
  <c r="AA292" i="23"/>
  <c r="W292" i="23"/>
  <c r="S292" i="23"/>
  <c r="O292" i="23"/>
  <c r="K292" i="23"/>
  <c r="X292" i="23"/>
  <c r="P292" i="23"/>
  <c r="H292" i="23"/>
  <c r="V292" i="23"/>
  <c r="N292" i="23"/>
  <c r="Y292" i="23"/>
  <c r="U292" i="23"/>
  <c r="Q292" i="23"/>
  <c r="M292" i="23"/>
  <c r="I292" i="23"/>
  <c r="AB292" i="23"/>
  <c r="T292" i="23"/>
  <c r="L292" i="23"/>
  <c r="Z292" i="23"/>
  <c r="R292" i="23"/>
  <c r="J292" i="23"/>
  <c r="AB242" i="23"/>
  <c r="X242" i="23"/>
  <c r="T242" i="23"/>
  <c r="P242" i="23"/>
  <c r="L242" i="23"/>
  <c r="H242" i="23"/>
  <c r="AA242" i="23"/>
  <c r="W242" i="23"/>
  <c r="S242" i="23"/>
  <c r="O242" i="23"/>
  <c r="K242" i="23"/>
  <c r="Z242" i="23"/>
  <c r="V242" i="23"/>
  <c r="R242" i="23"/>
  <c r="N242" i="23"/>
  <c r="J242" i="23"/>
  <c r="Y242" i="23"/>
  <c r="U242" i="23"/>
  <c r="Q242" i="23"/>
  <c r="M242" i="23"/>
  <c r="I242" i="23"/>
  <c r="AB246" i="23"/>
  <c r="X246" i="23"/>
  <c r="T246" i="23"/>
  <c r="P246" i="23"/>
  <c r="L246" i="23"/>
  <c r="H246" i="23"/>
  <c r="AA246" i="23"/>
  <c r="W246" i="23"/>
  <c r="S246" i="23"/>
  <c r="O246" i="23"/>
  <c r="K246" i="23"/>
  <c r="Z246" i="23"/>
  <c r="V246" i="23"/>
  <c r="R246" i="23"/>
  <c r="N246" i="23"/>
  <c r="J246" i="23"/>
  <c r="Y246" i="23"/>
  <c r="U246" i="23"/>
  <c r="Q246" i="23"/>
  <c r="M246" i="23"/>
  <c r="I246" i="23"/>
  <c r="AA251" i="23"/>
  <c r="W251" i="23"/>
  <c r="S251" i="23"/>
  <c r="O251" i="23"/>
  <c r="K251" i="23"/>
  <c r="Z251" i="23"/>
  <c r="V251" i="23"/>
  <c r="R251" i="23"/>
  <c r="N251" i="23"/>
  <c r="J251" i="23"/>
  <c r="Y251" i="23"/>
  <c r="U251" i="23"/>
  <c r="Q251" i="23"/>
  <c r="M251" i="23"/>
  <c r="I251" i="23"/>
  <c r="AB251" i="23"/>
  <c r="X251" i="23"/>
  <c r="T251" i="23"/>
  <c r="P251" i="23"/>
  <c r="L251" i="23"/>
  <c r="H251" i="23"/>
  <c r="Z258" i="23"/>
  <c r="V258" i="23"/>
  <c r="R258" i="23"/>
  <c r="N258" i="23"/>
  <c r="J258" i="23"/>
  <c r="AB258" i="23"/>
  <c r="T258" i="23"/>
  <c r="L258" i="23"/>
  <c r="AA258" i="23"/>
  <c r="W258" i="23"/>
  <c r="S258" i="23"/>
  <c r="O258" i="23"/>
  <c r="K258" i="23"/>
  <c r="X258" i="23"/>
  <c r="P258" i="23"/>
  <c r="H258" i="23"/>
  <c r="Y258" i="23"/>
  <c r="U258" i="23"/>
  <c r="Q258" i="23"/>
  <c r="M258" i="23"/>
  <c r="I258" i="23"/>
  <c r="Z262" i="23"/>
  <c r="V262" i="23"/>
  <c r="R262" i="23"/>
  <c r="N262" i="23"/>
  <c r="J262" i="23"/>
  <c r="Y262" i="23"/>
  <c r="U262" i="23"/>
  <c r="Q262" i="23"/>
  <c r="M262" i="23"/>
  <c r="I262" i="23"/>
  <c r="X262" i="23"/>
  <c r="P262" i="23"/>
  <c r="H262" i="23"/>
  <c r="W262" i="23"/>
  <c r="O262" i="23"/>
  <c r="AB262" i="23"/>
  <c r="T262" i="23"/>
  <c r="L262" i="23"/>
  <c r="AA262" i="23"/>
  <c r="S262" i="23"/>
  <c r="K262" i="23"/>
  <c r="Z269" i="23"/>
  <c r="V269" i="23"/>
  <c r="R269" i="23"/>
  <c r="N269" i="23"/>
  <c r="J269" i="23"/>
  <c r="Y269" i="23"/>
  <c r="U269" i="23"/>
  <c r="Q269" i="23"/>
  <c r="M269" i="23"/>
  <c r="I269" i="23"/>
  <c r="X269" i="23"/>
  <c r="P269" i="23"/>
  <c r="H269" i="23"/>
  <c r="W269" i="23"/>
  <c r="O269" i="23"/>
  <c r="AB269" i="23"/>
  <c r="T269" i="23"/>
  <c r="L269" i="23"/>
  <c r="AA269" i="23"/>
  <c r="S269" i="23"/>
  <c r="K269" i="23"/>
  <c r="Z277" i="23"/>
  <c r="V277" i="23"/>
  <c r="R277" i="23"/>
  <c r="N277" i="23"/>
  <c r="J277" i="23"/>
  <c r="Y277" i="23"/>
  <c r="U277" i="23"/>
  <c r="Q277" i="23"/>
  <c r="M277" i="23"/>
  <c r="I277" i="23"/>
  <c r="X277" i="23"/>
  <c r="P277" i="23"/>
  <c r="H277" i="23"/>
  <c r="W277" i="23"/>
  <c r="O277" i="23"/>
  <c r="AB277" i="23"/>
  <c r="T277" i="23"/>
  <c r="L277" i="23"/>
  <c r="AA277" i="23"/>
  <c r="S277" i="23"/>
  <c r="K277" i="23"/>
  <c r="AB263" i="23"/>
  <c r="X263" i="23"/>
  <c r="T263" i="23"/>
  <c r="P263" i="23"/>
  <c r="L263" i="23"/>
  <c r="H263" i="23"/>
  <c r="AA263" i="23"/>
  <c r="W263" i="23"/>
  <c r="S263" i="23"/>
  <c r="O263" i="23"/>
  <c r="K263" i="23"/>
  <c r="Z263" i="23"/>
  <c r="R263" i="23"/>
  <c r="J263" i="23"/>
  <c r="Y263" i="23"/>
  <c r="Q263" i="23"/>
  <c r="I263" i="23"/>
  <c r="V263" i="23"/>
  <c r="N263" i="23"/>
  <c r="U263" i="23"/>
  <c r="M263" i="23"/>
  <c r="AB299" i="23"/>
  <c r="X299" i="23"/>
  <c r="T299" i="23"/>
  <c r="P299" i="23"/>
  <c r="L299" i="23"/>
  <c r="H299" i="23"/>
  <c r="AA299" i="23"/>
  <c r="W299" i="23"/>
  <c r="S299" i="23"/>
  <c r="O299" i="23"/>
  <c r="K299" i="23"/>
  <c r="V299" i="23"/>
  <c r="N299" i="23"/>
  <c r="U299" i="23"/>
  <c r="M299" i="23"/>
  <c r="Z299" i="23"/>
  <c r="R299" i="23"/>
  <c r="J299" i="23"/>
  <c r="Y299" i="23"/>
  <c r="Q299" i="23"/>
  <c r="I299" i="23"/>
  <c r="Y300" i="23"/>
  <c r="U300" i="23"/>
  <c r="Q300" i="23"/>
  <c r="M300" i="23"/>
  <c r="I300" i="23"/>
  <c r="AB300" i="23"/>
  <c r="X300" i="23"/>
  <c r="T300" i="23"/>
  <c r="P300" i="23"/>
  <c r="L300" i="23"/>
  <c r="H300" i="23"/>
  <c r="AA300" i="23"/>
  <c r="W300" i="23"/>
  <c r="S300" i="23"/>
  <c r="O300" i="23"/>
  <c r="K300" i="23"/>
  <c r="Z300" i="23"/>
  <c r="V300" i="23"/>
  <c r="R300" i="23"/>
  <c r="N300" i="23"/>
  <c r="J300" i="23"/>
  <c r="AB302" i="23"/>
  <c r="T302" i="23"/>
  <c r="L302" i="23"/>
  <c r="W302" i="23"/>
  <c r="O302" i="23"/>
  <c r="Z302" i="23"/>
  <c r="V302" i="23"/>
  <c r="R302" i="23"/>
  <c r="N302" i="23"/>
  <c r="J302" i="23"/>
  <c r="Y302" i="23"/>
  <c r="U302" i="23"/>
  <c r="Q302" i="23"/>
  <c r="M302" i="23"/>
  <c r="I302" i="23"/>
  <c r="X302" i="23"/>
  <c r="P302" i="23"/>
  <c r="H302" i="23"/>
  <c r="AA302" i="23"/>
  <c r="S302" i="23"/>
  <c r="K302" i="23"/>
  <c r="AA304" i="23"/>
  <c r="W304" i="23"/>
  <c r="S304" i="23"/>
  <c r="O304" i="23"/>
  <c r="K304" i="23"/>
  <c r="Z304" i="23"/>
  <c r="V304" i="23"/>
  <c r="R304" i="23"/>
  <c r="N304" i="23"/>
  <c r="J304" i="23"/>
  <c r="Y304" i="23"/>
  <c r="U304" i="23"/>
  <c r="Q304" i="23"/>
  <c r="M304" i="23"/>
  <c r="I304" i="23"/>
  <c r="AB304" i="23"/>
  <c r="X304" i="23"/>
  <c r="T304" i="23"/>
  <c r="P304" i="23"/>
  <c r="L304" i="23"/>
  <c r="H304" i="23"/>
  <c r="Z241" i="24"/>
  <c r="V241" i="24"/>
  <c r="R241" i="24"/>
  <c r="N241" i="24"/>
  <c r="J241" i="24"/>
  <c r="Y241" i="24"/>
  <c r="U241" i="24"/>
  <c r="Q241" i="24"/>
  <c r="M241" i="24"/>
  <c r="I241" i="24"/>
  <c r="AB241" i="24"/>
  <c r="X241" i="24"/>
  <c r="T241" i="24"/>
  <c r="P241" i="24"/>
  <c r="L241" i="24"/>
  <c r="H241" i="24"/>
  <c r="AA241" i="24"/>
  <c r="W241" i="24"/>
  <c r="S241" i="24"/>
  <c r="O241" i="24"/>
  <c r="K241" i="24"/>
  <c r="Z265" i="24"/>
  <c r="V265" i="24"/>
  <c r="R265" i="24"/>
  <c r="N265" i="24"/>
  <c r="J265" i="24"/>
  <c r="Y265" i="24"/>
  <c r="U265" i="24"/>
  <c r="Q265" i="24"/>
  <c r="M265" i="24"/>
  <c r="I265" i="24"/>
  <c r="AB265" i="24"/>
  <c r="X265" i="24"/>
  <c r="T265" i="24"/>
  <c r="P265" i="24"/>
  <c r="L265" i="24"/>
  <c r="H265" i="24"/>
  <c r="AA265" i="24"/>
  <c r="W265" i="24"/>
  <c r="S265" i="24"/>
  <c r="O265" i="24"/>
  <c r="K265" i="24"/>
  <c r="Y275" i="24"/>
  <c r="U275" i="24"/>
  <c r="Q275" i="24"/>
  <c r="M275" i="24"/>
  <c r="I275" i="24"/>
  <c r="AB275" i="24"/>
  <c r="X275" i="24"/>
  <c r="T275" i="24"/>
  <c r="P275" i="24"/>
  <c r="L275" i="24"/>
  <c r="H275" i="24"/>
  <c r="AA275" i="24"/>
  <c r="W275" i="24"/>
  <c r="S275" i="24"/>
  <c r="O275" i="24"/>
  <c r="K275" i="24"/>
  <c r="Z275" i="24"/>
  <c r="V275" i="24"/>
  <c r="R275" i="24"/>
  <c r="N275" i="24"/>
  <c r="J275" i="24"/>
  <c r="Z282" i="24"/>
  <c r="V282" i="24"/>
  <c r="R282" i="24"/>
  <c r="N282" i="24"/>
  <c r="J282" i="24"/>
  <c r="Y282" i="24"/>
  <c r="U282" i="24"/>
  <c r="Q282" i="24"/>
  <c r="M282" i="24"/>
  <c r="I282" i="24"/>
  <c r="AB282" i="24"/>
  <c r="X282" i="24"/>
  <c r="T282" i="24"/>
  <c r="P282" i="24"/>
  <c r="L282" i="24"/>
  <c r="H282" i="24"/>
  <c r="AA282" i="24"/>
  <c r="W282" i="24"/>
  <c r="S282" i="24"/>
  <c r="O282" i="24"/>
  <c r="K282" i="24"/>
  <c r="Y285" i="24"/>
  <c r="U285" i="24"/>
  <c r="Q285" i="24"/>
  <c r="M285" i="24"/>
  <c r="I285" i="24"/>
  <c r="AB285" i="24"/>
  <c r="X285" i="24"/>
  <c r="T285" i="24"/>
  <c r="P285" i="24"/>
  <c r="L285" i="24"/>
  <c r="H285" i="24"/>
  <c r="AA285" i="24"/>
  <c r="W285" i="24"/>
  <c r="S285" i="24"/>
  <c r="O285" i="24"/>
  <c r="K285" i="24"/>
  <c r="Z285" i="24"/>
  <c r="V285" i="24"/>
  <c r="R285" i="24"/>
  <c r="N285" i="24"/>
  <c r="J285" i="24"/>
  <c r="Z288" i="24"/>
  <c r="V288" i="24"/>
  <c r="R288" i="24"/>
  <c r="N288" i="24"/>
  <c r="J288" i="24"/>
  <c r="Y288" i="24"/>
  <c r="U288" i="24"/>
  <c r="Q288" i="24"/>
  <c r="M288" i="24"/>
  <c r="I288" i="24"/>
  <c r="AB288" i="24"/>
  <c r="X288" i="24"/>
  <c r="T288" i="24"/>
  <c r="P288" i="24"/>
  <c r="L288" i="24"/>
  <c r="H288" i="24"/>
  <c r="AA288" i="24"/>
  <c r="W288" i="24"/>
  <c r="S288" i="24"/>
  <c r="O288" i="24"/>
  <c r="K288" i="24"/>
  <c r="Z290" i="24"/>
  <c r="V290" i="24"/>
  <c r="R290" i="24"/>
  <c r="N290" i="24"/>
  <c r="J290" i="24"/>
  <c r="Y290" i="24"/>
  <c r="U290" i="24"/>
  <c r="Q290" i="24"/>
  <c r="M290" i="24"/>
  <c r="I290" i="24"/>
  <c r="AB290" i="24"/>
  <c r="X290" i="24"/>
  <c r="T290" i="24"/>
  <c r="P290" i="24"/>
  <c r="L290" i="24"/>
  <c r="H290" i="24"/>
  <c r="AA290" i="24"/>
  <c r="W290" i="24"/>
  <c r="S290" i="24"/>
  <c r="O290" i="24"/>
  <c r="K290" i="24"/>
  <c r="Y243" i="24"/>
  <c r="U243" i="24"/>
  <c r="Q243" i="24"/>
  <c r="M243" i="24"/>
  <c r="I243" i="24"/>
  <c r="AB243" i="24"/>
  <c r="X243" i="24"/>
  <c r="T243" i="24"/>
  <c r="P243" i="24"/>
  <c r="L243" i="24"/>
  <c r="H243" i="24"/>
  <c r="AA243" i="24"/>
  <c r="W243" i="24"/>
  <c r="S243" i="24"/>
  <c r="O243" i="24"/>
  <c r="K243" i="24"/>
  <c r="Z243" i="24"/>
  <c r="V243" i="24"/>
  <c r="R243" i="24"/>
  <c r="N243" i="24"/>
  <c r="J243" i="24"/>
  <c r="Z256" i="24"/>
  <c r="V256" i="24"/>
  <c r="R256" i="24"/>
  <c r="N256" i="24"/>
  <c r="J256" i="24"/>
  <c r="Y256" i="24"/>
  <c r="U256" i="24"/>
  <c r="Q256" i="24"/>
  <c r="M256" i="24"/>
  <c r="I256" i="24"/>
  <c r="AB256" i="24"/>
  <c r="X256" i="24"/>
  <c r="T256" i="24"/>
  <c r="P256" i="24"/>
  <c r="L256" i="24"/>
  <c r="H256" i="24"/>
  <c r="AA256" i="24"/>
  <c r="W256" i="24"/>
  <c r="S256" i="24"/>
  <c r="O256" i="24"/>
  <c r="K256" i="24"/>
  <c r="Y293" i="24"/>
  <c r="U293" i="24"/>
  <c r="Q293" i="24"/>
  <c r="M293" i="24"/>
  <c r="I293" i="24"/>
  <c r="AB293" i="24"/>
  <c r="X293" i="24"/>
  <c r="T293" i="24"/>
  <c r="P293" i="24"/>
  <c r="L293" i="24"/>
  <c r="H293" i="24"/>
  <c r="AA293" i="24"/>
  <c r="W293" i="24"/>
  <c r="S293" i="24"/>
  <c r="O293" i="24"/>
  <c r="K293" i="24"/>
  <c r="Z293" i="24"/>
  <c r="V293" i="24"/>
  <c r="R293" i="24"/>
  <c r="N293" i="24"/>
  <c r="J293" i="24"/>
  <c r="Y297" i="24"/>
  <c r="U297" i="24"/>
  <c r="Q297" i="24"/>
  <c r="M297" i="24"/>
  <c r="I297" i="24"/>
  <c r="AB297" i="24"/>
  <c r="X297" i="24"/>
  <c r="T297" i="24"/>
  <c r="P297" i="24"/>
  <c r="L297" i="24"/>
  <c r="H297" i="24"/>
  <c r="AA297" i="24"/>
  <c r="W297" i="24"/>
  <c r="S297" i="24"/>
  <c r="O297" i="24"/>
  <c r="K297" i="24"/>
  <c r="Z297" i="24"/>
  <c r="V297" i="24"/>
  <c r="R297" i="24"/>
  <c r="N297" i="24"/>
  <c r="J297" i="24"/>
  <c r="Z231" i="24"/>
  <c r="V231" i="24"/>
  <c r="R231" i="24"/>
  <c r="N231" i="24"/>
  <c r="J231" i="24"/>
  <c r="Y231" i="24"/>
  <c r="U231" i="24"/>
  <c r="Q231" i="24"/>
  <c r="M231" i="24"/>
  <c r="I231" i="24"/>
  <c r="AB231" i="24"/>
  <c r="X231" i="24"/>
  <c r="T231" i="24"/>
  <c r="P231" i="24"/>
  <c r="L231" i="24"/>
  <c r="H231" i="24"/>
  <c r="AA231" i="24"/>
  <c r="W231" i="24"/>
  <c r="S231" i="24"/>
  <c r="O231" i="24"/>
  <c r="K231" i="24"/>
  <c r="AA229" i="24"/>
  <c r="W229" i="24"/>
  <c r="S229" i="24"/>
  <c r="O229" i="24"/>
  <c r="K229" i="24"/>
  <c r="Z229" i="24"/>
  <c r="V229" i="24"/>
  <c r="R229" i="24"/>
  <c r="N229" i="24"/>
  <c r="J229" i="24"/>
  <c r="Y229" i="24"/>
  <c r="U229" i="24"/>
  <c r="Q229" i="24"/>
  <c r="M229" i="24"/>
  <c r="I229" i="24"/>
  <c r="AB229" i="24"/>
  <c r="X229" i="24"/>
  <c r="T229" i="24"/>
  <c r="P229" i="24"/>
  <c r="L229" i="24"/>
  <c r="H229" i="24"/>
  <c r="AB236" i="24"/>
  <c r="X236" i="24"/>
  <c r="T236" i="24"/>
  <c r="P236" i="24"/>
  <c r="L236" i="24"/>
  <c r="H236" i="24"/>
  <c r="AA236" i="24"/>
  <c r="W236" i="24"/>
  <c r="S236" i="24"/>
  <c r="O236" i="24"/>
  <c r="K236" i="24"/>
  <c r="Z236" i="24"/>
  <c r="V236" i="24"/>
  <c r="R236" i="24"/>
  <c r="N236" i="24"/>
  <c r="J236" i="24"/>
  <c r="Y236" i="24"/>
  <c r="U236" i="24"/>
  <c r="Q236" i="24"/>
  <c r="M236" i="24"/>
  <c r="I236" i="24"/>
  <c r="AB240" i="24"/>
  <c r="X240" i="24"/>
  <c r="T240" i="24"/>
  <c r="P240" i="24"/>
  <c r="L240" i="24"/>
  <c r="H240" i="24"/>
  <c r="AA240" i="24"/>
  <c r="W240" i="24"/>
  <c r="S240" i="24"/>
  <c r="O240" i="24"/>
  <c r="K240" i="24"/>
  <c r="Z240" i="24"/>
  <c r="V240" i="24"/>
  <c r="R240" i="24"/>
  <c r="N240" i="24"/>
  <c r="J240" i="24"/>
  <c r="Y240" i="24"/>
  <c r="U240" i="24"/>
  <c r="Q240" i="24"/>
  <c r="M240" i="24"/>
  <c r="I240" i="24"/>
  <c r="AA245" i="24"/>
  <c r="W245" i="24"/>
  <c r="S245" i="24"/>
  <c r="O245" i="24"/>
  <c r="K245" i="24"/>
  <c r="Z245" i="24"/>
  <c r="V245" i="24"/>
  <c r="R245" i="24"/>
  <c r="N245" i="24"/>
  <c r="J245" i="24"/>
  <c r="Y245" i="24"/>
  <c r="U245" i="24"/>
  <c r="Q245" i="24"/>
  <c r="M245" i="24"/>
  <c r="I245" i="24"/>
  <c r="AB245" i="24"/>
  <c r="X245" i="24"/>
  <c r="T245" i="24"/>
  <c r="P245" i="24"/>
  <c r="L245" i="24"/>
  <c r="H245" i="24"/>
  <c r="AB252" i="24"/>
  <c r="X252" i="24"/>
  <c r="T252" i="24"/>
  <c r="P252" i="24"/>
  <c r="L252" i="24"/>
  <c r="H252" i="24"/>
  <c r="AA252" i="24"/>
  <c r="W252" i="24"/>
  <c r="S252" i="24"/>
  <c r="O252" i="24"/>
  <c r="K252" i="24"/>
  <c r="Z252" i="24"/>
  <c r="V252" i="24"/>
  <c r="R252" i="24"/>
  <c r="N252" i="24"/>
  <c r="J252" i="24"/>
  <c r="Y252" i="24"/>
  <c r="U252" i="24"/>
  <c r="Q252" i="24"/>
  <c r="M252" i="24"/>
  <c r="I252" i="24"/>
  <c r="AB260" i="24"/>
  <c r="X260" i="24"/>
  <c r="T260" i="24"/>
  <c r="P260" i="24"/>
  <c r="L260" i="24"/>
  <c r="H260" i="24"/>
  <c r="AA260" i="24"/>
  <c r="W260" i="24"/>
  <c r="S260" i="24"/>
  <c r="O260" i="24"/>
  <c r="K260" i="24"/>
  <c r="Z260" i="24"/>
  <c r="V260" i="24"/>
  <c r="R260" i="24"/>
  <c r="N260" i="24"/>
  <c r="J260" i="24"/>
  <c r="Y260" i="24"/>
  <c r="U260" i="24"/>
  <c r="Q260" i="24"/>
  <c r="M260" i="24"/>
  <c r="I260" i="24"/>
  <c r="AB264" i="24"/>
  <c r="X264" i="24"/>
  <c r="T264" i="24"/>
  <c r="P264" i="24"/>
  <c r="L264" i="24"/>
  <c r="H264" i="24"/>
  <c r="AA264" i="24"/>
  <c r="W264" i="24"/>
  <c r="S264" i="24"/>
  <c r="O264" i="24"/>
  <c r="K264" i="24"/>
  <c r="Z264" i="24"/>
  <c r="V264" i="24"/>
  <c r="R264" i="24"/>
  <c r="N264" i="24"/>
  <c r="J264" i="24"/>
  <c r="Y264" i="24"/>
  <c r="U264" i="24"/>
  <c r="Q264" i="24"/>
  <c r="M264" i="24"/>
  <c r="I264" i="24"/>
  <c r="AB271" i="24"/>
  <c r="X271" i="24"/>
  <c r="T271" i="24"/>
  <c r="P271" i="24"/>
  <c r="L271" i="24"/>
  <c r="H271" i="24"/>
  <c r="AA271" i="24"/>
  <c r="W271" i="24"/>
  <c r="S271" i="24"/>
  <c r="O271" i="24"/>
  <c r="K271" i="24"/>
  <c r="Z271" i="24"/>
  <c r="V271" i="24"/>
  <c r="R271" i="24"/>
  <c r="N271" i="24"/>
  <c r="J271" i="24"/>
  <c r="Y271" i="24"/>
  <c r="U271" i="24"/>
  <c r="Q271" i="24"/>
  <c r="M271" i="24"/>
  <c r="I271" i="24"/>
  <c r="AA278" i="24"/>
  <c r="W278" i="24"/>
  <c r="S278" i="24"/>
  <c r="O278" i="24"/>
  <c r="K278" i="24"/>
  <c r="Z278" i="24"/>
  <c r="V278" i="24"/>
  <c r="R278" i="24"/>
  <c r="N278" i="24"/>
  <c r="J278" i="24"/>
  <c r="Y278" i="24"/>
  <c r="U278" i="24"/>
  <c r="Q278" i="24"/>
  <c r="M278" i="24"/>
  <c r="I278" i="24"/>
  <c r="AB278" i="24"/>
  <c r="X278" i="24"/>
  <c r="T278" i="24"/>
  <c r="P278" i="24"/>
  <c r="L278" i="24"/>
  <c r="H278" i="24"/>
  <c r="AA280" i="24"/>
  <c r="W280" i="24"/>
  <c r="S280" i="24"/>
  <c r="O280" i="24"/>
  <c r="K280" i="24"/>
  <c r="Z280" i="24"/>
  <c r="V280" i="24"/>
  <c r="R280" i="24"/>
  <c r="N280" i="24"/>
  <c r="J280" i="24"/>
  <c r="Y280" i="24"/>
  <c r="U280" i="24"/>
  <c r="Q280" i="24"/>
  <c r="M280" i="24"/>
  <c r="I280" i="24"/>
  <c r="AB280" i="24"/>
  <c r="X280" i="24"/>
  <c r="T280" i="24"/>
  <c r="P280" i="24"/>
  <c r="L280" i="24"/>
  <c r="H280" i="24"/>
  <c r="AB287" i="24"/>
  <c r="X287" i="24"/>
  <c r="T287" i="24"/>
  <c r="P287" i="24"/>
  <c r="L287" i="24"/>
  <c r="H287" i="24"/>
  <c r="AA287" i="24"/>
  <c r="W287" i="24"/>
  <c r="S287" i="24"/>
  <c r="O287" i="24"/>
  <c r="K287" i="24"/>
  <c r="Z287" i="24"/>
  <c r="V287" i="24"/>
  <c r="R287" i="24"/>
  <c r="N287" i="24"/>
  <c r="J287" i="24"/>
  <c r="Y287" i="24"/>
  <c r="U287" i="24"/>
  <c r="Q287" i="24"/>
  <c r="M287" i="24"/>
  <c r="I287" i="24"/>
  <c r="AA292" i="24"/>
  <c r="W292" i="24"/>
  <c r="S292" i="24"/>
  <c r="O292" i="24"/>
  <c r="K292" i="24"/>
  <c r="Z292" i="24"/>
  <c r="V292" i="24"/>
  <c r="R292" i="24"/>
  <c r="N292" i="24"/>
  <c r="J292" i="24"/>
  <c r="Y292" i="24"/>
  <c r="U292" i="24"/>
  <c r="Q292" i="24"/>
  <c r="M292" i="24"/>
  <c r="I292" i="24"/>
  <c r="AB292" i="24"/>
  <c r="X292" i="24"/>
  <c r="T292" i="24"/>
  <c r="P292" i="24"/>
  <c r="L292" i="24"/>
  <c r="H292" i="24"/>
  <c r="AA238" i="24"/>
  <c r="W238" i="24"/>
  <c r="S238" i="24"/>
  <c r="O238" i="24"/>
  <c r="K238" i="24"/>
  <c r="Z238" i="24"/>
  <c r="V238" i="24"/>
  <c r="R238" i="24"/>
  <c r="N238" i="24"/>
  <c r="J238" i="24"/>
  <c r="Y238" i="24"/>
  <c r="U238" i="24"/>
  <c r="Q238" i="24"/>
  <c r="M238" i="24"/>
  <c r="I238" i="24"/>
  <c r="AB238" i="24"/>
  <c r="X238" i="24"/>
  <c r="T238" i="24"/>
  <c r="P238" i="24"/>
  <c r="L238" i="24"/>
  <c r="H238" i="24"/>
  <c r="AA242" i="24"/>
  <c r="W242" i="24"/>
  <c r="S242" i="24"/>
  <c r="O242" i="24"/>
  <c r="K242" i="24"/>
  <c r="Z242" i="24"/>
  <c r="V242" i="24"/>
  <c r="R242" i="24"/>
  <c r="N242" i="24"/>
  <c r="J242" i="24"/>
  <c r="Y242" i="24"/>
  <c r="U242" i="24"/>
  <c r="Q242" i="24"/>
  <c r="M242" i="24"/>
  <c r="I242" i="24"/>
  <c r="AB242" i="24"/>
  <c r="X242" i="24"/>
  <c r="T242" i="24"/>
  <c r="P242" i="24"/>
  <c r="L242" i="24"/>
  <c r="H242" i="24"/>
  <c r="AB247" i="24"/>
  <c r="X247" i="24"/>
  <c r="T247" i="24"/>
  <c r="P247" i="24"/>
  <c r="L247" i="24"/>
  <c r="H247" i="24"/>
  <c r="AA247" i="24"/>
  <c r="W247" i="24"/>
  <c r="S247" i="24"/>
  <c r="O247" i="24"/>
  <c r="K247" i="24"/>
  <c r="Z247" i="24"/>
  <c r="V247" i="24"/>
  <c r="R247" i="24"/>
  <c r="N247" i="24"/>
  <c r="J247" i="24"/>
  <c r="Y247" i="24"/>
  <c r="U247" i="24"/>
  <c r="Q247" i="24"/>
  <c r="M247" i="24"/>
  <c r="I247" i="24"/>
  <c r="AA254" i="24"/>
  <c r="W254" i="24"/>
  <c r="S254" i="24"/>
  <c r="O254" i="24"/>
  <c r="K254" i="24"/>
  <c r="Z254" i="24"/>
  <c r="V254" i="24"/>
  <c r="R254" i="24"/>
  <c r="N254" i="24"/>
  <c r="J254" i="24"/>
  <c r="Y254" i="24"/>
  <c r="U254" i="24"/>
  <c r="Q254" i="24"/>
  <c r="M254" i="24"/>
  <c r="I254" i="24"/>
  <c r="AB254" i="24"/>
  <c r="X254" i="24"/>
  <c r="T254" i="24"/>
  <c r="P254" i="24"/>
  <c r="L254" i="24"/>
  <c r="H254" i="24"/>
  <c r="AB257" i="24"/>
  <c r="X257" i="24"/>
  <c r="T257" i="24"/>
  <c r="P257" i="24"/>
  <c r="L257" i="24"/>
  <c r="H257" i="24"/>
  <c r="AA257" i="24"/>
  <c r="W257" i="24"/>
  <c r="S257" i="24"/>
  <c r="O257" i="24"/>
  <c r="K257" i="24"/>
  <c r="Z257" i="24"/>
  <c r="V257" i="24"/>
  <c r="R257" i="24"/>
  <c r="N257" i="24"/>
  <c r="J257" i="24"/>
  <c r="Y257" i="24"/>
  <c r="U257" i="24"/>
  <c r="Q257" i="24"/>
  <c r="M257" i="24"/>
  <c r="I257" i="24"/>
  <c r="AA262" i="24"/>
  <c r="W262" i="24"/>
  <c r="S262" i="24"/>
  <c r="O262" i="24"/>
  <c r="K262" i="24"/>
  <c r="Z262" i="24"/>
  <c r="V262" i="24"/>
  <c r="R262" i="24"/>
  <c r="N262" i="24"/>
  <c r="J262" i="24"/>
  <c r="Y262" i="24"/>
  <c r="U262" i="24"/>
  <c r="Q262" i="24"/>
  <c r="M262" i="24"/>
  <c r="I262" i="24"/>
  <c r="AB262" i="24"/>
  <c r="X262" i="24"/>
  <c r="T262" i="24"/>
  <c r="P262" i="24"/>
  <c r="L262" i="24"/>
  <c r="H262" i="24"/>
  <c r="AA266" i="24"/>
  <c r="W266" i="24"/>
  <c r="S266" i="24"/>
  <c r="O266" i="24"/>
  <c r="K266" i="24"/>
  <c r="Z266" i="24"/>
  <c r="V266" i="24"/>
  <c r="R266" i="24"/>
  <c r="N266" i="24"/>
  <c r="J266" i="24"/>
  <c r="Y266" i="24"/>
  <c r="U266" i="24"/>
  <c r="Q266" i="24"/>
  <c r="M266" i="24"/>
  <c r="I266" i="24"/>
  <c r="AB266" i="24"/>
  <c r="X266" i="24"/>
  <c r="T266" i="24"/>
  <c r="P266" i="24"/>
  <c r="L266" i="24"/>
  <c r="H266" i="24"/>
  <c r="AA269" i="24"/>
  <c r="W269" i="24"/>
  <c r="S269" i="24"/>
  <c r="O269" i="24"/>
  <c r="K269" i="24"/>
  <c r="Z269" i="24"/>
  <c r="V269" i="24"/>
  <c r="R269" i="24"/>
  <c r="N269" i="24"/>
  <c r="J269" i="24"/>
  <c r="Y269" i="24"/>
  <c r="U269" i="24"/>
  <c r="Q269" i="24"/>
  <c r="M269" i="24"/>
  <c r="I269" i="24"/>
  <c r="AB269" i="24"/>
  <c r="X269" i="24"/>
  <c r="T269" i="24"/>
  <c r="P269" i="24"/>
  <c r="L269" i="24"/>
  <c r="H269" i="24"/>
  <c r="AA273" i="24"/>
  <c r="W273" i="24"/>
  <c r="S273" i="24"/>
  <c r="O273" i="24"/>
  <c r="K273" i="24"/>
  <c r="Z273" i="24"/>
  <c r="V273" i="24"/>
  <c r="R273" i="24"/>
  <c r="N273" i="24"/>
  <c r="J273" i="24"/>
  <c r="Y273" i="24"/>
  <c r="U273" i="24"/>
  <c r="Q273" i="24"/>
  <c r="M273" i="24"/>
  <c r="I273" i="24"/>
  <c r="AB273" i="24"/>
  <c r="X273" i="24"/>
  <c r="T273" i="24"/>
  <c r="P273" i="24"/>
  <c r="L273" i="24"/>
  <c r="H273" i="24"/>
  <c r="AA277" i="24"/>
  <c r="W277" i="24"/>
  <c r="S277" i="24"/>
  <c r="O277" i="24"/>
  <c r="K277" i="24"/>
  <c r="Z277" i="24"/>
  <c r="V277" i="24"/>
  <c r="R277" i="24"/>
  <c r="N277" i="24"/>
  <c r="J277" i="24"/>
  <c r="Y277" i="24"/>
  <c r="U277" i="24"/>
  <c r="Q277" i="24"/>
  <c r="M277" i="24"/>
  <c r="I277" i="24"/>
  <c r="AB277" i="24"/>
  <c r="X277" i="24"/>
  <c r="T277" i="24"/>
  <c r="P277" i="24"/>
  <c r="L277" i="24"/>
  <c r="H277" i="24"/>
  <c r="AB295" i="24"/>
  <c r="X295" i="24"/>
  <c r="T295" i="24"/>
  <c r="P295" i="24"/>
  <c r="L295" i="24"/>
  <c r="H295" i="24"/>
  <c r="AA295" i="24"/>
  <c r="W295" i="24"/>
  <c r="S295" i="24"/>
  <c r="O295" i="24"/>
  <c r="K295" i="24"/>
  <c r="Z295" i="24"/>
  <c r="V295" i="24"/>
  <c r="R295" i="24"/>
  <c r="N295" i="24"/>
  <c r="J295" i="24"/>
  <c r="Y295" i="24"/>
  <c r="U295" i="24"/>
  <c r="Q295" i="24"/>
  <c r="M295" i="24"/>
  <c r="I295" i="24"/>
  <c r="AB299" i="24"/>
  <c r="X299" i="24"/>
  <c r="T299" i="24"/>
  <c r="P299" i="24"/>
  <c r="L299" i="24"/>
  <c r="H299" i="24"/>
  <c r="AA299" i="24"/>
  <c r="W299" i="24"/>
  <c r="S299" i="24"/>
  <c r="O299" i="24"/>
  <c r="K299" i="24"/>
  <c r="Z299" i="24"/>
  <c r="V299" i="24"/>
  <c r="R299" i="24"/>
  <c r="N299" i="24"/>
  <c r="J299" i="24"/>
  <c r="Y299" i="24"/>
  <c r="U299" i="24"/>
  <c r="Q299" i="24"/>
  <c r="M299" i="24"/>
  <c r="I299" i="24"/>
  <c r="AB227" i="24"/>
  <c r="X227" i="24"/>
  <c r="T227" i="24"/>
  <c r="P227" i="24"/>
  <c r="L227" i="24"/>
  <c r="H227" i="24"/>
  <c r="AA227" i="24"/>
  <c r="W227" i="24"/>
  <c r="S227" i="24"/>
  <c r="O227" i="24"/>
  <c r="K227" i="24"/>
  <c r="Z227" i="24"/>
  <c r="V227" i="24"/>
  <c r="R227" i="24"/>
  <c r="N227" i="24"/>
  <c r="J227" i="24"/>
  <c r="Y227" i="24"/>
  <c r="U227" i="24"/>
  <c r="Q227" i="24"/>
  <c r="M227" i="24"/>
  <c r="I227" i="24"/>
  <c r="Z304" i="24"/>
  <c r="R304" i="24"/>
  <c r="J304" i="24"/>
  <c r="Y304" i="24"/>
  <c r="Q304" i="24"/>
  <c r="M304" i="24"/>
  <c r="AB304" i="24"/>
  <c r="X304" i="24"/>
  <c r="T304" i="24"/>
  <c r="P304" i="24"/>
  <c r="L304" i="24"/>
  <c r="H304" i="24"/>
  <c r="AA304" i="24"/>
  <c r="W304" i="24"/>
  <c r="S304" i="24"/>
  <c r="O304" i="24"/>
  <c r="K304" i="24"/>
  <c r="V304" i="24"/>
  <c r="N304" i="24"/>
  <c r="U304" i="24"/>
  <c r="I304" i="24"/>
  <c r="AB300" i="24"/>
  <c r="T300" i="24"/>
  <c r="L300" i="24"/>
  <c r="AA300" i="24"/>
  <c r="S300" i="24"/>
  <c r="K300" i="24"/>
  <c r="Z300" i="24"/>
  <c r="V300" i="24"/>
  <c r="R300" i="24"/>
  <c r="N300" i="24"/>
  <c r="J300" i="24"/>
  <c r="Y300" i="24"/>
  <c r="U300" i="24"/>
  <c r="Q300" i="24"/>
  <c r="M300" i="24"/>
  <c r="I300" i="24"/>
  <c r="X300" i="24"/>
  <c r="P300" i="24"/>
  <c r="H300" i="24"/>
  <c r="W300" i="24"/>
  <c r="O300" i="24"/>
  <c r="AA302" i="24"/>
  <c r="W302" i="24"/>
  <c r="S302" i="24"/>
  <c r="O302" i="24"/>
  <c r="K302" i="24"/>
  <c r="Z302" i="24"/>
  <c r="V302" i="24"/>
  <c r="R302" i="24"/>
  <c r="N302" i="24"/>
  <c r="J302" i="24"/>
  <c r="Y302" i="24"/>
  <c r="U302" i="24"/>
  <c r="Q302" i="24"/>
  <c r="M302" i="24"/>
  <c r="I302" i="24"/>
  <c r="AB302" i="24"/>
  <c r="X302" i="24"/>
  <c r="T302" i="24"/>
  <c r="P302" i="24"/>
  <c r="L302" i="24"/>
  <c r="H302" i="24"/>
  <c r="G307" i="24"/>
  <c r="AG227" i="24" l="1"/>
  <c r="AH227" i="24"/>
  <c r="AE227" i="24"/>
  <c r="AF227" i="24"/>
  <c r="AC227" i="24"/>
  <c r="G226" i="21" s="1"/>
  <c r="AD227" i="24"/>
  <c r="AM227" i="24"/>
  <c r="AI295" i="24"/>
  <c r="AJ295" i="24"/>
  <c r="AE277" i="24"/>
  <c r="AD277" i="24"/>
  <c r="AC277" i="24"/>
  <c r="G276" i="21" s="1"/>
  <c r="AF277" i="24"/>
  <c r="AM277" i="24"/>
  <c r="AG273" i="24"/>
  <c r="AH273" i="24"/>
  <c r="AE269" i="24"/>
  <c r="AF269" i="24"/>
  <c r="AC269" i="24"/>
  <c r="G268" i="21" s="1"/>
  <c r="AD269" i="24"/>
  <c r="AM269" i="24"/>
  <c r="AI266" i="24"/>
  <c r="AJ266" i="24"/>
  <c r="AG257" i="24"/>
  <c r="AH257" i="24"/>
  <c r="AC257" i="24"/>
  <c r="G256" i="21" s="1"/>
  <c r="AD257" i="24"/>
  <c r="AE257" i="24"/>
  <c r="AF257" i="24"/>
  <c r="AM257" i="24"/>
  <c r="AI247" i="24"/>
  <c r="AJ247" i="24"/>
  <c r="AE247" i="24"/>
  <c r="AF247" i="24"/>
  <c r="AC247" i="24"/>
  <c r="G246" i="21" s="1"/>
  <c r="AD247" i="24"/>
  <c r="AM247" i="24"/>
  <c r="AI238" i="24"/>
  <c r="AJ238" i="24"/>
  <c r="AJ287" i="24"/>
  <c r="AI287" i="24"/>
  <c r="AC280" i="24"/>
  <c r="G279" i="21" s="1"/>
  <c r="AD280" i="24"/>
  <c r="AE280" i="24"/>
  <c r="AF280" i="24"/>
  <c r="AM280" i="24"/>
  <c r="AG278" i="24"/>
  <c r="AH278" i="24"/>
  <c r="AI264" i="24"/>
  <c r="AJ264" i="24"/>
  <c r="AG264" i="24"/>
  <c r="AH264" i="24"/>
  <c r="AC264" i="24"/>
  <c r="G263" i="21" s="1"/>
  <c r="AD264" i="24"/>
  <c r="AE264" i="24"/>
  <c r="AF264" i="24"/>
  <c r="AM264" i="24"/>
  <c r="AI252" i="24"/>
  <c r="AJ252" i="24"/>
  <c r="AG252" i="24"/>
  <c r="AH252" i="24"/>
  <c r="AC252" i="24"/>
  <c r="G251" i="21" s="1"/>
  <c r="AD252" i="24"/>
  <c r="AE252" i="24"/>
  <c r="AF252" i="24"/>
  <c r="AM252" i="24"/>
  <c r="AE245" i="24"/>
  <c r="AF245" i="24"/>
  <c r="AC245" i="24"/>
  <c r="G244" i="21" s="1"/>
  <c r="AD245" i="24"/>
  <c r="AM245" i="24"/>
  <c r="AI240" i="24"/>
  <c r="AJ240" i="24"/>
  <c r="AG240" i="24"/>
  <c r="AH240" i="24"/>
  <c r="AC240" i="24"/>
  <c r="G239" i="21" s="1"/>
  <c r="AD240" i="24"/>
  <c r="AE240" i="24"/>
  <c r="AF240" i="24"/>
  <c r="AM240" i="24"/>
  <c r="AI229" i="24"/>
  <c r="AJ229" i="24"/>
  <c r="AG229" i="24"/>
  <c r="AH229" i="24"/>
  <c r="AI231" i="24"/>
  <c r="AJ231" i="24"/>
  <c r="AG231" i="24"/>
  <c r="AH231" i="24"/>
  <c r="AJ293" i="24"/>
  <c r="AI293" i="24"/>
  <c r="AG293" i="24"/>
  <c r="AH293" i="24"/>
  <c r="AC293" i="24"/>
  <c r="G292" i="21" s="1"/>
  <c r="AF293" i="24"/>
  <c r="AE293" i="24"/>
  <c r="AD293" i="24"/>
  <c r="AM293" i="24"/>
  <c r="AE256" i="24"/>
  <c r="AF256" i="24"/>
  <c r="AC256" i="24"/>
  <c r="G255" i="21" s="1"/>
  <c r="AD256" i="24"/>
  <c r="AM256" i="24"/>
  <c r="AI243" i="24"/>
  <c r="AJ243" i="24"/>
  <c r="AG243" i="24"/>
  <c r="AH243" i="24"/>
  <c r="AC243" i="24"/>
  <c r="G242" i="21" s="1"/>
  <c r="AD243" i="24"/>
  <c r="AE243" i="24"/>
  <c r="AF243" i="24"/>
  <c r="AM243" i="24"/>
  <c r="AC290" i="24"/>
  <c r="G289" i="21" s="1"/>
  <c r="AD290" i="24"/>
  <c r="AE290" i="24"/>
  <c r="AF290" i="24"/>
  <c r="AM290" i="24"/>
  <c r="AI288" i="24"/>
  <c r="AJ288" i="24"/>
  <c r="AG288" i="24"/>
  <c r="AH288" i="24"/>
  <c r="AI282" i="24"/>
  <c r="AJ282" i="24"/>
  <c r="AG282" i="24"/>
  <c r="AH282" i="24"/>
  <c r="AI265" i="24"/>
  <c r="AJ265" i="24"/>
  <c r="AG265" i="24"/>
  <c r="AH265" i="24"/>
  <c r="AE241" i="24"/>
  <c r="AF241" i="24"/>
  <c r="AC241" i="24"/>
  <c r="G240" i="21" s="1"/>
  <c r="AD241" i="24"/>
  <c r="AM241" i="24"/>
  <c r="AE304" i="23"/>
  <c r="AD304" i="23"/>
  <c r="AM304" i="23"/>
  <c r="AC304" i="23"/>
  <c r="I303" i="21" s="1"/>
  <c r="AF304" i="23"/>
  <c r="AD302" i="23"/>
  <c r="AM302" i="23"/>
  <c r="AC302" i="23"/>
  <c r="AF302" i="23"/>
  <c r="AE302" i="23"/>
  <c r="AJ302" i="23"/>
  <c r="AI302" i="23"/>
  <c r="AH302" i="23"/>
  <c r="AG302" i="23"/>
  <c r="AJ300" i="23"/>
  <c r="AI300" i="23"/>
  <c r="AG300" i="23"/>
  <c r="AH300" i="23"/>
  <c r="AM300" i="23"/>
  <c r="AC300" i="23"/>
  <c r="I299" i="21" s="1"/>
  <c r="AF300" i="23"/>
  <c r="AE300" i="23"/>
  <c r="AD300" i="23"/>
  <c r="AJ299" i="23"/>
  <c r="AI299" i="23"/>
  <c r="AF299" i="23"/>
  <c r="AE299" i="23"/>
  <c r="AD299" i="23"/>
  <c r="AM299" i="23"/>
  <c r="AC299" i="23"/>
  <c r="I298" i="21" s="1"/>
  <c r="AH263" i="23"/>
  <c r="AG263" i="23"/>
  <c r="AD269" i="23"/>
  <c r="AM269" i="23"/>
  <c r="AC269" i="23"/>
  <c r="I268" i="21" s="1"/>
  <c r="AF269" i="23"/>
  <c r="AE269" i="23"/>
  <c r="AJ269" i="23"/>
  <c r="AI269" i="23"/>
  <c r="AH269" i="23"/>
  <c r="AG269" i="23"/>
  <c r="AJ258" i="23"/>
  <c r="AI258" i="23"/>
  <c r="AH258" i="23"/>
  <c r="AG258" i="23"/>
  <c r="AI251" i="23"/>
  <c r="AJ251" i="23"/>
  <c r="AH251" i="23"/>
  <c r="AG251" i="23"/>
  <c r="AJ242" i="23"/>
  <c r="AI242" i="23"/>
  <c r="AH242" i="23"/>
  <c r="AG242" i="23"/>
  <c r="AF242" i="23"/>
  <c r="AE242" i="23"/>
  <c r="AD242" i="23"/>
  <c r="AM242" i="23"/>
  <c r="AC242" i="23"/>
  <c r="I241" i="21" s="1"/>
  <c r="AI292" i="23"/>
  <c r="AJ292" i="23"/>
  <c r="AI290" i="23"/>
  <c r="AJ290" i="23"/>
  <c r="AJ281" i="23"/>
  <c r="AI281" i="23"/>
  <c r="AH281" i="23"/>
  <c r="AG281" i="23"/>
  <c r="AF281" i="23"/>
  <c r="AE281" i="23"/>
  <c r="AD281" i="23"/>
  <c r="AM281" i="23"/>
  <c r="AC281" i="23"/>
  <c r="AG297" i="23"/>
  <c r="AH297" i="23"/>
  <c r="AJ293" i="23"/>
  <c r="AI293" i="23"/>
  <c r="AM293" i="23"/>
  <c r="AC293" i="23"/>
  <c r="I292" i="21" s="1"/>
  <c r="AF293" i="23"/>
  <c r="AE293" i="23"/>
  <c r="AD293" i="23"/>
  <c r="AG272" i="23"/>
  <c r="AH272" i="23"/>
  <c r="AE257" i="23"/>
  <c r="AF257" i="23"/>
  <c r="AM257" i="23"/>
  <c r="AC257" i="23"/>
  <c r="I256" i="21" s="1"/>
  <c r="AD257" i="23"/>
  <c r="AI257" i="23"/>
  <c r="AJ257" i="23"/>
  <c r="AG257" i="23"/>
  <c r="AH257" i="23"/>
  <c r="AD255" i="23"/>
  <c r="AM255" i="23"/>
  <c r="AC255" i="23"/>
  <c r="I254" i="21" s="1"/>
  <c r="AF255" i="23"/>
  <c r="AE255" i="23"/>
  <c r="AJ239" i="23"/>
  <c r="AI239" i="23"/>
  <c r="AH239" i="23"/>
  <c r="AG239" i="23"/>
  <c r="AI288" i="23"/>
  <c r="AJ288" i="23"/>
  <c r="AH288" i="23"/>
  <c r="AG288" i="23"/>
  <c r="AD284" i="23"/>
  <c r="AM284" i="23"/>
  <c r="AC284" i="23"/>
  <c r="I283" i="21" s="1"/>
  <c r="AF284" i="23"/>
  <c r="AE284" i="23"/>
  <c r="AJ279" i="23"/>
  <c r="AI279" i="23"/>
  <c r="AG279" i="23"/>
  <c r="AH279" i="23"/>
  <c r="AM279" i="23"/>
  <c r="AC279" i="23"/>
  <c r="I278" i="21" s="1"/>
  <c r="AF279" i="23"/>
  <c r="AE279" i="23"/>
  <c r="AD279" i="23"/>
  <c r="AH270" i="23"/>
  <c r="AG270" i="23"/>
  <c r="AI264" i="23"/>
  <c r="AJ264" i="23"/>
  <c r="AH264" i="23"/>
  <c r="AG264" i="23"/>
  <c r="AE260" i="23"/>
  <c r="AD260" i="23"/>
  <c r="AM260" i="23"/>
  <c r="AC260" i="23"/>
  <c r="I259" i="21" s="1"/>
  <c r="AF260" i="23"/>
  <c r="AI252" i="23"/>
  <c r="AJ252" i="23"/>
  <c r="AH252" i="23"/>
  <c r="AG252" i="23"/>
  <c r="AJ237" i="23"/>
  <c r="AI237" i="23"/>
  <c r="AH237" i="23"/>
  <c r="AG237" i="23"/>
  <c r="AF237" i="23"/>
  <c r="AE237" i="23"/>
  <c r="AD237" i="23"/>
  <c r="AM237" i="23"/>
  <c r="AC237" i="23"/>
  <c r="I236" i="21" s="1"/>
  <c r="AE229" i="23"/>
  <c r="AD229" i="23"/>
  <c r="AM229" i="23"/>
  <c r="AC229" i="23"/>
  <c r="I228" i="21" s="1"/>
  <c r="AF229" i="23"/>
  <c r="AI227" i="23"/>
  <c r="AJ227" i="23"/>
  <c r="AH227" i="23"/>
  <c r="AG227" i="23"/>
  <c r="AI265" i="23"/>
  <c r="AJ265" i="23"/>
  <c r="AG265" i="23"/>
  <c r="AH265" i="23"/>
  <c r="AJ236" i="23"/>
  <c r="AI236" i="23"/>
  <c r="AH236" i="23"/>
  <c r="AG236" i="23"/>
  <c r="AJ228" i="23"/>
  <c r="AI228" i="23"/>
  <c r="AG228" i="23"/>
  <c r="AH228" i="23"/>
  <c r="AF228" i="23"/>
  <c r="AM228" i="23"/>
  <c r="AC228" i="23"/>
  <c r="AD228" i="23"/>
  <c r="AE228" i="23"/>
  <c r="AC305" i="24"/>
  <c r="G304" i="21" s="1"/>
  <c r="AF305" i="24"/>
  <c r="AE305" i="24"/>
  <c r="AD305" i="24"/>
  <c r="AM305" i="24"/>
  <c r="AJ305" i="24"/>
  <c r="AI305" i="24"/>
  <c r="AG305" i="24"/>
  <c r="AH305" i="24"/>
  <c r="AI226" i="24"/>
  <c r="AJ226" i="24"/>
  <c r="AG226" i="24"/>
  <c r="AH226" i="24"/>
  <c r="AE298" i="24"/>
  <c r="AF298" i="24"/>
  <c r="AC298" i="24"/>
  <c r="G297" i="21" s="1"/>
  <c r="AD298" i="24"/>
  <c r="AM298" i="24"/>
  <c r="AI294" i="24"/>
  <c r="AJ294" i="24"/>
  <c r="AG294" i="24"/>
  <c r="AH294" i="24"/>
  <c r="AI272" i="24"/>
  <c r="AJ272" i="24"/>
  <c r="AG272" i="24"/>
  <c r="AH272" i="24"/>
  <c r="AC272" i="24"/>
  <c r="G271" i="21" s="1"/>
  <c r="AD272" i="24"/>
  <c r="AE272" i="24"/>
  <c r="AF272" i="24"/>
  <c r="AM272" i="24"/>
  <c r="AI263" i="24"/>
  <c r="AJ263" i="24"/>
  <c r="AG263" i="24"/>
  <c r="AH263" i="24"/>
  <c r="AC263" i="24"/>
  <c r="G262" i="21" s="1"/>
  <c r="AD263" i="24"/>
  <c r="AE263" i="24"/>
  <c r="AF263" i="24"/>
  <c r="AM263" i="24"/>
  <c r="AC258" i="24"/>
  <c r="G257" i="21" s="1"/>
  <c r="AD258" i="24"/>
  <c r="AE258" i="24"/>
  <c r="AF258" i="24"/>
  <c r="AM258" i="24"/>
  <c r="AI255" i="24"/>
  <c r="AJ255" i="24"/>
  <c r="AG255" i="24"/>
  <c r="AH255" i="24"/>
  <c r="AE255" i="24"/>
  <c r="AF255" i="24"/>
  <c r="AC255" i="24"/>
  <c r="G254" i="21" s="1"/>
  <c r="AD255" i="24"/>
  <c r="AM255" i="24"/>
  <c r="AE250" i="24"/>
  <c r="AF250" i="24"/>
  <c r="AC250" i="24"/>
  <c r="G249" i="21" s="1"/>
  <c r="AD250" i="24"/>
  <c r="AM250" i="24"/>
  <c r="AI246" i="24"/>
  <c r="AJ246" i="24"/>
  <c r="AG246" i="24"/>
  <c r="AH246" i="24"/>
  <c r="AI234" i="24"/>
  <c r="AJ234" i="24"/>
  <c r="AG234" i="24"/>
  <c r="AH234" i="24"/>
  <c r="AJ283" i="24"/>
  <c r="AI283" i="24"/>
  <c r="AG283" i="24"/>
  <c r="AH283" i="24"/>
  <c r="AC283" i="24"/>
  <c r="G282" i="21" s="1"/>
  <c r="AF283" i="24"/>
  <c r="AE283" i="24"/>
  <c r="AD283" i="24"/>
  <c r="AM283" i="24"/>
  <c r="AI274" i="24"/>
  <c r="AJ274" i="24"/>
  <c r="AG274" i="24"/>
  <c r="AH274" i="24"/>
  <c r="AC270" i="24"/>
  <c r="G269" i="21" s="1"/>
  <c r="AD270" i="24"/>
  <c r="AE270" i="24"/>
  <c r="AF270" i="24"/>
  <c r="AM270" i="24"/>
  <c r="AI261" i="24"/>
  <c r="AJ261" i="24"/>
  <c r="AG261" i="24"/>
  <c r="AH261" i="24"/>
  <c r="AE253" i="24"/>
  <c r="AF253" i="24"/>
  <c r="AC253" i="24"/>
  <c r="G252" i="21" s="1"/>
  <c r="AD253" i="24"/>
  <c r="AM253" i="24"/>
  <c r="AI248" i="24"/>
  <c r="AJ248" i="24"/>
  <c r="AG248" i="24"/>
  <c r="AH248" i="24"/>
  <c r="AC248" i="24"/>
  <c r="G247" i="21" s="1"/>
  <c r="AD248" i="24"/>
  <c r="AE248" i="24"/>
  <c r="AF248" i="24"/>
  <c r="AM248" i="24"/>
  <c r="AI237" i="24"/>
  <c r="AJ237" i="24"/>
  <c r="AG237" i="24"/>
  <c r="AH237" i="24"/>
  <c r="AI228" i="24"/>
  <c r="AJ228" i="24"/>
  <c r="AG228" i="24"/>
  <c r="AH228" i="24"/>
  <c r="AC228" i="24"/>
  <c r="G227" i="21" s="1"/>
  <c r="AD228" i="24"/>
  <c r="AE228" i="24"/>
  <c r="AF228" i="24"/>
  <c r="AM228" i="24"/>
  <c r="AI230" i="24"/>
  <c r="AJ230" i="24"/>
  <c r="AG230" i="24"/>
  <c r="AH230" i="24"/>
  <c r="AC230" i="24"/>
  <c r="G229" i="21" s="1"/>
  <c r="AD230" i="24"/>
  <c r="AE230" i="24"/>
  <c r="AF230" i="24"/>
  <c r="AM230" i="24"/>
  <c r="AC296" i="24"/>
  <c r="G295" i="21" s="1"/>
  <c r="AD296" i="24"/>
  <c r="AE296" i="24"/>
  <c r="AF296" i="24"/>
  <c r="AM296" i="24"/>
  <c r="AI259" i="24"/>
  <c r="AJ259" i="24"/>
  <c r="AG259" i="24"/>
  <c r="AH259" i="24"/>
  <c r="AE259" i="24"/>
  <c r="AF259" i="24"/>
  <c r="AC259" i="24"/>
  <c r="G258" i="21" s="1"/>
  <c r="AD259" i="24"/>
  <c r="AM259" i="24"/>
  <c r="AI235" i="24"/>
  <c r="AJ235" i="24"/>
  <c r="AG235" i="24"/>
  <c r="AH235" i="24"/>
  <c r="AC235" i="24"/>
  <c r="G234" i="21" s="1"/>
  <c r="AD235" i="24"/>
  <c r="AE235" i="24"/>
  <c r="AF235" i="24"/>
  <c r="AM235" i="24"/>
  <c r="AI286" i="24"/>
  <c r="AJ286" i="24"/>
  <c r="AG286" i="24"/>
  <c r="AH286" i="24"/>
  <c r="AC284" i="24"/>
  <c r="G283" i="21" s="1"/>
  <c r="AD284" i="24"/>
  <c r="AE284" i="24"/>
  <c r="AF284" i="24"/>
  <c r="AM284" i="24"/>
  <c r="AJ281" i="24"/>
  <c r="AI281" i="24"/>
  <c r="AG281" i="24"/>
  <c r="AH281" i="24"/>
  <c r="AC281" i="24"/>
  <c r="G280" i="21" s="1"/>
  <c r="AF281" i="24"/>
  <c r="AE281" i="24"/>
  <c r="AD281" i="24"/>
  <c r="AM281" i="24"/>
  <c r="AI249" i="24"/>
  <c r="AJ249" i="24"/>
  <c r="AG249" i="24"/>
  <c r="AH249" i="24"/>
  <c r="AE233" i="24"/>
  <c r="AF233" i="24"/>
  <c r="AC233" i="24"/>
  <c r="G232" i="21" s="1"/>
  <c r="AD233" i="24"/>
  <c r="AM233" i="24"/>
  <c r="AJ303" i="23"/>
  <c r="AI303" i="23"/>
  <c r="AE303" i="23"/>
  <c r="AD303" i="23"/>
  <c r="AM303" i="23"/>
  <c r="AC303" i="23"/>
  <c r="I302" i="21" s="1"/>
  <c r="AF303" i="23"/>
  <c r="AJ305" i="23"/>
  <c r="AI305" i="23"/>
  <c r="AG305" i="23"/>
  <c r="AH305" i="23"/>
  <c r="AF305" i="23"/>
  <c r="AM305" i="23"/>
  <c r="AC305" i="23"/>
  <c r="AD305" i="23"/>
  <c r="AE305" i="23"/>
  <c r="AE301" i="23"/>
  <c r="AM301" i="23"/>
  <c r="AC301" i="23"/>
  <c r="I300" i="21" s="1"/>
  <c r="AF301" i="23"/>
  <c r="AD301" i="23"/>
  <c r="AH301" i="23"/>
  <c r="AG301" i="23"/>
  <c r="AJ295" i="23"/>
  <c r="AI295" i="23"/>
  <c r="AF295" i="23"/>
  <c r="AE295" i="23"/>
  <c r="AD295" i="23"/>
  <c r="AM295" i="23"/>
  <c r="AC295" i="23"/>
  <c r="I294" i="21" s="1"/>
  <c r="AD296" i="23"/>
  <c r="AM296" i="23"/>
  <c r="AC296" i="23"/>
  <c r="I295" i="21" s="1"/>
  <c r="AF296" i="23"/>
  <c r="AE296" i="23"/>
  <c r="AJ296" i="23"/>
  <c r="AI296" i="23"/>
  <c r="AH296" i="23"/>
  <c r="AG296" i="23"/>
  <c r="AG276" i="23"/>
  <c r="AH276" i="23"/>
  <c r="AJ268" i="23"/>
  <c r="AI268" i="23"/>
  <c r="AM268" i="23"/>
  <c r="AC268" i="23"/>
  <c r="I267" i="21" s="1"/>
  <c r="AF268" i="23"/>
  <c r="AE268" i="23"/>
  <c r="AD268" i="23"/>
  <c r="AG259" i="23"/>
  <c r="AH259" i="23"/>
  <c r="AJ250" i="23"/>
  <c r="AI250" i="23"/>
  <c r="AH250" i="23"/>
  <c r="AG250" i="23"/>
  <c r="AF250" i="23"/>
  <c r="AE250" i="23"/>
  <c r="AD250" i="23"/>
  <c r="AM250" i="23"/>
  <c r="AC250" i="23"/>
  <c r="I249" i="21" s="1"/>
  <c r="AE243" i="23"/>
  <c r="AD243" i="23"/>
  <c r="AM243" i="23"/>
  <c r="AC243" i="23"/>
  <c r="AF243" i="23"/>
  <c r="AI235" i="23"/>
  <c r="AJ235" i="23"/>
  <c r="AH235" i="23"/>
  <c r="AG235" i="23"/>
  <c r="AI286" i="23"/>
  <c r="AJ286" i="23"/>
  <c r="AH286" i="23"/>
  <c r="AG286" i="23"/>
  <c r="AE282" i="23"/>
  <c r="AD282" i="23"/>
  <c r="AM282" i="23"/>
  <c r="AC282" i="23"/>
  <c r="I281" i="21" s="1"/>
  <c r="AF282" i="23"/>
  <c r="AI280" i="23"/>
  <c r="AJ280" i="23"/>
  <c r="AH280" i="23"/>
  <c r="AG280" i="23"/>
  <c r="AD298" i="23"/>
  <c r="AM298" i="23"/>
  <c r="AC298" i="23"/>
  <c r="AF298" i="23"/>
  <c r="AE298" i="23"/>
  <c r="AJ298" i="23"/>
  <c r="AI298" i="23"/>
  <c r="AH298" i="23"/>
  <c r="AG298" i="23"/>
  <c r="AD273" i="23"/>
  <c r="AM273" i="23"/>
  <c r="AC273" i="23"/>
  <c r="AF273" i="23"/>
  <c r="AE273" i="23"/>
  <c r="AJ273" i="23"/>
  <c r="AI273" i="23"/>
  <c r="AH273" i="23"/>
  <c r="AG273" i="23"/>
  <c r="AJ256" i="23"/>
  <c r="AI256" i="23"/>
  <c r="AG256" i="23"/>
  <c r="AH256" i="23"/>
  <c r="AM256" i="23"/>
  <c r="AC256" i="23"/>
  <c r="I255" i="21" s="1"/>
  <c r="AF256" i="23"/>
  <c r="AE256" i="23"/>
  <c r="AD256" i="23"/>
  <c r="AD247" i="23"/>
  <c r="AM247" i="23"/>
  <c r="AC247" i="23"/>
  <c r="I246" i="21" s="1"/>
  <c r="AF247" i="23"/>
  <c r="AE247" i="23"/>
  <c r="AJ238" i="23"/>
  <c r="AI238" i="23"/>
  <c r="AG238" i="23"/>
  <c r="AH238" i="23"/>
  <c r="AM238" i="23"/>
  <c r="AC238" i="23"/>
  <c r="I237" i="21" s="1"/>
  <c r="AF238" i="23"/>
  <c r="AE238" i="23"/>
  <c r="AD238" i="23"/>
  <c r="AG289" i="23"/>
  <c r="AH289" i="23"/>
  <c r="AJ287" i="23"/>
  <c r="AI287" i="23"/>
  <c r="AG287" i="23"/>
  <c r="AH287" i="23"/>
  <c r="AM287" i="23"/>
  <c r="AC287" i="23"/>
  <c r="I286" i="21" s="1"/>
  <c r="AF287" i="23"/>
  <c r="AE287" i="23"/>
  <c r="AD287" i="23"/>
  <c r="AJ278" i="23"/>
  <c r="AI278" i="23"/>
  <c r="AH278" i="23"/>
  <c r="AG278" i="23"/>
  <c r="AD274" i="23"/>
  <c r="AM274" i="23"/>
  <c r="AC274" i="23"/>
  <c r="I273" i="21" s="1"/>
  <c r="AF274" i="23"/>
  <c r="AE274" i="23"/>
  <c r="AE267" i="23"/>
  <c r="AD267" i="23"/>
  <c r="AM267" i="23"/>
  <c r="AC267" i="23"/>
  <c r="I266" i="21" s="1"/>
  <c r="AF267" i="23"/>
  <c r="AJ261" i="23"/>
  <c r="AI261" i="23"/>
  <c r="AH261" i="23"/>
  <c r="AG261" i="23"/>
  <c r="AF261" i="23"/>
  <c r="AE261" i="23"/>
  <c r="AD261" i="23"/>
  <c r="AM261" i="23"/>
  <c r="AC261" i="23"/>
  <c r="I260" i="21" s="1"/>
  <c r="AI248" i="23"/>
  <c r="AJ248" i="23"/>
  <c r="AH248" i="23"/>
  <c r="AG248" i="23"/>
  <c r="AE244" i="23"/>
  <c r="AD244" i="23"/>
  <c r="AM244" i="23"/>
  <c r="AC244" i="23"/>
  <c r="AF244" i="23"/>
  <c r="AJ232" i="23"/>
  <c r="AI232" i="23"/>
  <c r="AH232" i="23"/>
  <c r="AG232" i="23"/>
  <c r="AF232" i="23"/>
  <c r="AE232" i="23"/>
  <c r="AD232" i="23"/>
  <c r="AM232" i="23"/>
  <c r="AC232" i="23"/>
  <c r="I231" i="21" s="1"/>
  <c r="AE231" i="23"/>
  <c r="AD231" i="23"/>
  <c r="AM231" i="23"/>
  <c r="AC231" i="23"/>
  <c r="I230" i="21" s="1"/>
  <c r="AF231" i="23"/>
  <c r="AJ226" i="23"/>
  <c r="AI226" i="23"/>
  <c r="AH226" i="23"/>
  <c r="AG226" i="23"/>
  <c r="AF226" i="23"/>
  <c r="AE226" i="23"/>
  <c r="AD226" i="23"/>
  <c r="AM226" i="23"/>
  <c r="AC226" i="23"/>
  <c r="I225" i="21" s="1"/>
  <c r="AJ249" i="23"/>
  <c r="AI249" i="23"/>
  <c r="AG249" i="23"/>
  <c r="AH249" i="23"/>
  <c r="AM249" i="23"/>
  <c r="AC249" i="23"/>
  <c r="I248" i="21" s="1"/>
  <c r="AF249" i="23"/>
  <c r="AE249" i="23"/>
  <c r="AD249" i="23"/>
  <c r="AD240" i="23"/>
  <c r="AM240" i="23"/>
  <c r="AC240" i="23"/>
  <c r="I239" i="21" s="1"/>
  <c r="AF240" i="23"/>
  <c r="AE240" i="23"/>
  <c r="AJ233" i="23"/>
  <c r="AI233" i="23"/>
  <c r="AG233" i="23"/>
  <c r="AH233" i="23"/>
  <c r="AM233" i="23"/>
  <c r="AC233" i="23"/>
  <c r="I232" i="21" s="1"/>
  <c r="AF233" i="23"/>
  <c r="AE233" i="23"/>
  <c r="AD233" i="23"/>
  <c r="AE302" i="24"/>
  <c r="AF302" i="24"/>
  <c r="AC302" i="24"/>
  <c r="G301" i="21" s="1"/>
  <c r="AD302" i="24"/>
  <c r="AM302" i="24"/>
  <c r="AI304" i="24"/>
  <c r="AJ304" i="24"/>
  <c r="AI227" i="24"/>
  <c r="AJ227" i="24"/>
  <c r="AH295" i="24"/>
  <c r="AG295" i="24"/>
  <c r="AE295" i="24"/>
  <c r="AD295" i="24"/>
  <c r="AC295" i="24"/>
  <c r="G294" i="21" s="1"/>
  <c r="AF295" i="24"/>
  <c r="AM295" i="24"/>
  <c r="AI273" i="24"/>
  <c r="AJ273" i="24"/>
  <c r="AG266" i="24"/>
  <c r="AH266" i="24"/>
  <c r="AE262" i="24"/>
  <c r="AF262" i="24"/>
  <c r="AC262" i="24"/>
  <c r="G261" i="21" s="1"/>
  <c r="AD262" i="24"/>
  <c r="AM262" i="24"/>
  <c r="AI257" i="24"/>
  <c r="AJ257" i="24"/>
  <c r="AC254" i="24"/>
  <c r="G253" i="21" s="1"/>
  <c r="AD254" i="24"/>
  <c r="AE254" i="24"/>
  <c r="AF254" i="24"/>
  <c r="AM254" i="24"/>
  <c r="AG247" i="24"/>
  <c r="AH247" i="24"/>
  <c r="AE242" i="24"/>
  <c r="AF242" i="24"/>
  <c r="AC242" i="24"/>
  <c r="G241" i="21" s="1"/>
  <c r="AD242" i="24"/>
  <c r="AM242" i="24"/>
  <c r="AG238" i="24"/>
  <c r="AH238" i="24"/>
  <c r="AC292" i="24"/>
  <c r="G291" i="21" s="1"/>
  <c r="AD292" i="24"/>
  <c r="AE292" i="24"/>
  <c r="AF292" i="24"/>
  <c r="AM292" i="24"/>
  <c r="AG287" i="24"/>
  <c r="AH287" i="24"/>
  <c r="AC287" i="24"/>
  <c r="G286" i="21" s="1"/>
  <c r="AF287" i="24"/>
  <c r="AE287" i="24"/>
  <c r="AD287" i="24"/>
  <c r="AM287" i="24"/>
  <c r="AI278" i="24"/>
  <c r="AJ278" i="24"/>
  <c r="AI302" i="24"/>
  <c r="AJ302" i="24"/>
  <c r="AG302" i="24"/>
  <c r="AH302" i="24"/>
  <c r="AE300" i="24"/>
  <c r="AF300" i="24"/>
  <c r="AC300" i="24"/>
  <c r="G299" i="21" s="1"/>
  <c r="AD300" i="24"/>
  <c r="AM300" i="24"/>
  <c r="AI300" i="24"/>
  <c r="AJ300" i="24"/>
  <c r="AG300" i="24"/>
  <c r="AH300" i="24"/>
  <c r="AC304" i="24"/>
  <c r="G303" i="21" s="1"/>
  <c r="AD304" i="24"/>
  <c r="AE304" i="24"/>
  <c r="AF304" i="24"/>
  <c r="AM304" i="24"/>
  <c r="AG304" i="24"/>
  <c r="AH304" i="24"/>
  <c r="AI299" i="24"/>
  <c r="AJ299" i="24"/>
  <c r="AH299" i="24"/>
  <c r="AG299" i="24"/>
  <c r="AE299" i="24"/>
  <c r="AD299" i="24"/>
  <c r="AC299" i="24"/>
  <c r="G298" i="21" s="1"/>
  <c r="AF299" i="24"/>
  <c r="AM299" i="24"/>
  <c r="AI277" i="24"/>
  <c r="AJ277" i="24"/>
  <c r="AH277" i="24"/>
  <c r="AG277" i="24"/>
  <c r="AC273" i="24"/>
  <c r="G272" i="21" s="1"/>
  <c r="AD273" i="24"/>
  <c r="AE273" i="24"/>
  <c r="AF273" i="24"/>
  <c r="AM273" i="24"/>
  <c r="AI269" i="24"/>
  <c r="AJ269" i="24"/>
  <c r="AG269" i="24"/>
  <c r="AH269" i="24"/>
  <c r="AC266" i="24"/>
  <c r="G265" i="21" s="1"/>
  <c r="AD266" i="24"/>
  <c r="AE266" i="24"/>
  <c r="AF266" i="24"/>
  <c r="AM266" i="24"/>
  <c r="AI262" i="24"/>
  <c r="AJ262" i="24"/>
  <c r="AG262" i="24"/>
  <c r="AH262" i="24"/>
  <c r="AI254" i="24"/>
  <c r="AJ254" i="24"/>
  <c r="AG254" i="24"/>
  <c r="AH254" i="24"/>
  <c r="AI242" i="24"/>
  <c r="AJ242" i="24"/>
  <c r="AG242" i="24"/>
  <c r="AH242" i="24"/>
  <c r="AC238" i="24"/>
  <c r="G237" i="21" s="1"/>
  <c r="AD238" i="24"/>
  <c r="AE238" i="24"/>
  <c r="AF238" i="24"/>
  <c r="AM238" i="24"/>
  <c r="AI292" i="24"/>
  <c r="AJ292" i="24"/>
  <c r="AG292" i="24"/>
  <c r="AH292" i="24"/>
  <c r="AI280" i="24"/>
  <c r="AJ280" i="24"/>
  <c r="AG280" i="24"/>
  <c r="AH280" i="24"/>
  <c r="AC278" i="24"/>
  <c r="G277" i="21" s="1"/>
  <c r="AD278" i="24"/>
  <c r="AE278" i="24"/>
  <c r="AF278" i="24"/>
  <c r="AM278" i="24"/>
  <c r="AI271" i="24"/>
  <c r="AJ271" i="24"/>
  <c r="AG271" i="24"/>
  <c r="AH271" i="24"/>
  <c r="AE271" i="24"/>
  <c r="AF271" i="24"/>
  <c r="AC271" i="24"/>
  <c r="G270" i="21" s="1"/>
  <c r="AD271" i="24"/>
  <c r="AM271" i="24"/>
  <c r="AI260" i="24"/>
  <c r="AJ260" i="24"/>
  <c r="AG260" i="24"/>
  <c r="AH260" i="24"/>
  <c r="AC260" i="24"/>
  <c r="G259" i="21" s="1"/>
  <c r="AD260" i="24"/>
  <c r="AE260" i="24"/>
  <c r="AF260" i="24"/>
  <c r="AM260" i="24"/>
  <c r="AI245" i="24"/>
  <c r="AJ245" i="24"/>
  <c r="AG245" i="24"/>
  <c r="AH245" i="24"/>
  <c r="AI236" i="24"/>
  <c r="AJ236" i="24"/>
  <c r="AG236" i="24"/>
  <c r="AH236" i="24"/>
  <c r="AC236" i="24"/>
  <c r="G235" i="21" s="1"/>
  <c r="AD236" i="24"/>
  <c r="AE236" i="24"/>
  <c r="AF236" i="24"/>
  <c r="AM236" i="24"/>
  <c r="AE229" i="24"/>
  <c r="AF229" i="24"/>
  <c r="AC229" i="24"/>
  <c r="G228" i="21" s="1"/>
  <c r="AD229" i="24"/>
  <c r="AM229" i="24"/>
  <c r="AE231" i="24"/>
  <c r="AF231" i="24"/>
  <c r="AC231" i="24"/>
  <c r="G230" i="21" s="1"/>
  <c r="AD231" i="24"/>
  <c r="AM231" i="24"/>
  <c r="AJ297" i="24"/>
  <c r="AI297" i="24"/>
  <c r="AG297" i="24"/>
  <c r="AH297" i="24"/>
  <c r="AC297" i="24"/>
  <c r="G296" i="21" s="1"/>
  <c r="AF297" i="24"/>
  <c r="AE297" i="24"/>
  <c r="AD297" i="24"/>
  <c r="AM297" i="24"/>
  <c r="AI256" i="24"/>
  <c r="AJ256" i="24"/>
  <c r="AG256" i="24"/>
  <c r="AH256" i="24"/>
  <c r="AI290" i="24"/>
  <c r="AJ290" i="24"/>
  <c r="AG290" i="24"/>
  <c r="AH290" i="24"/>
  <c r="AC288" i="24"/>
  <c r="G287" i="21" s="1"/>
  <c r="AD288" i="24"/>
  <c r="AE288" i="24"/>
  <c r="AF288" i="24"/>
  <c r="AM288" i="24"/>
  <c r="AJ285" i="24"/>
  <c r="AI285" i="24"/>
  <c r="AG285" i="24"/>
  <c r="AH285" i="24"/>
  <c r="AC285" i="24"/>
  <c r="G284" i="21" s="1"/>
  <c r="AF285" i="24"/>
  <c r="AE285" i="24"/>
  <c r="AD285" i="24"/>
  <c r="AM285" i="24"/>
  <c r="AC282" i="24"/>
  <c r="G281" i="21" s="1"/>
  <c r="AD282" i="24"/>
  <c r="AE282" i="24"/>
  <c r="AF282" i="24"/>
  <c r="AM282" i="24"/>
  <c r="AJ275" i="24"/>
  <c r="AI275" i="24"/>
  <c r="AG275" i="24"/>
  <c r="AH275" i="24"/>
  <c r="AC275" i="24"/>
  <c r="G274" i="21" s="1"/>
  <c r="AF275" i="24"/>
  <c r="AE275" i="24"/>
  <c r="AD275" i="24"/>
  <c r="AM275" i="24"/>
  <c r="AE265" i="24"/>
  <c r="AF265" i="24"/>
  <c r="AC265" i="24"/>
  <c r="G264" i="21" s="1"/>
  <c r="AD265" i="24"/>
  <c r="AM265" i="24"/>
  <c r="AI241" i="24"/>
  <c r="AJ241" i="24"/>
  <c r="AG241" i="24"/>
  <c r="AH241" i="24"/>
  <c r="AI304" i="23"/>
  <c r="AJ304" i="23"/>
  <c r="AH304" i="23"/>
  <c r="AG304" i="23"/>
  <c r="AH299" i="23"/>
  <c r="AG299" i="23"/>
  <c r="AJ263" i="23"/>
  <c r="AI263" i="23"/>
  <c r="AF263" i="23"/>
  <c r="AE263" i="23"/>
  <c r="AD263" i="23"/>
  <c r="AM263" i="23"/>
  <c r="AC263" i="23"/>
  <c r="I262" i="21" s="1"/>
  <c r="AD277" i="23"/>
  <c r="AM277" i="23"/>
  <c r="AC277" i="23"/>
  <c r="I276" i="21" s="1"/>
  <c r="AF277" i="23"/>
  <c r="AE277" i="23"/>
  <c r="AJ277" i="23"/>
  <c r="AI277" i="23"/>
  <c r="AH277" i="23"/>
  <c r="AG277" i="23"/>
  <c r="AD262" i="23"/>
  <c r="AM262" i="23"/>
  <c r="AC262" i="23"/>
  <c r="AF262" i="23"/>
  <c r="AE262" i="23"/>
  <c r="AJ262" i="23"/>
  <c r="AI262" i="23"/>
  <c r="AH262" i="23"/>
  <c r="AG262" i="23"/>
  <c r="AD258" i="23"/>
  <c r="AM258" i="23"/>
  <c r="AC258" i="23"/>
  <c r="I257" i="21" s="1"/>
  <c r="AF258" i="23"/>
  <c r="AE258" i="23"/>
  <c r="AE251" i="23"/>
  <c r="AD251" i="23"/>
  <c r="AM251" i="23"/>
  <c r="AC251" i="23"/>
  <c r="I250" i="21" s="1"/>
  <c r="AF251" i="23"/>
  <c r="AJ246" i="23"/>
  <c r="AI246" i="23"/>
  <c r="AH246" i="23"/>
  <c r="AG246" i="23"/>
  <c r="AF246" i="23"/>
  <c r="AE246" i="23"/>
  <c r="AD246" i="23"/>
  <c r="AM246" i="23"/>
  <c r="AC246" i="23"/>
  <c r="I245" i="21" s="1"/>
  <c r="AG292" i="23"/>
  <c r="AH292" i="23"/>
  <c r="AE292" i="23"/>
  <c r="AF292" i="23"/>
  <c r="AD292" i="23"/>
  <c r="AM292" i="23"/>
  <c r="AC292" i="23"/>
  <c r="I291" i="21" s="1"/>
  <c r="AE290" i="23"/>
  <c r="AD290" i="23"/>
  <c r="AM290" i="23"/>
  <c r="AC290" i="23"/>
  <c r="AF290" i="23"/>
  <c r="AG290" i="23"/>
  <c r="AH290" i="23"/>
  <c r="AJ285" i="23"/>
  <c r="AI285" i="23"/>
  <c r="AH285" i="23"/>
  <c r="AG285" i="23"/>
  <c r="AF285" i="23"/>
  <c r="AE285" i="23"/>
  <c r="AD285" i="23"/>
  <c r="AM285" i="23"/>
  <c r="AC285" i="23"/>
  <c r="I284" i="21" s="1"/>
  <c r="AJ271" i="23"/>
  <c r="AI271" i="23"/>
  <c r="AH271" i="23"/>
  <c r="AG271" i="23"/>
  <c r="AF271" i="23"/>
  <c r="AE271" i="23"/>
  <c r="AD271" i="23"/>
  <c r="AM271" i="23"/>
  <c r="AC271" i="23"/>
  <c r="I270" i="21" s="1"/>
  <c r="AJ297" i="23"/>
  <c r="AI297" i="23"/>
  <c r="AM297" i="23"/>
  <c r="AC297" i="23"/>
  <c r="I296" i="21" s="1"/>
  <c r="AF297" i="23"/>
  <c r="AE297" i="23"/>
  <c r="AD297" i="23"/>
  <c r="AG293" i="23"/>
  <c r="AH293" i="23"/>
  <c r="AJ272" i="23"/>
  <c r="AI272" i="23"/>
  <c r="AM272" i="23"/>
  <c r="AC272" i="23"/>
  <c r="I271" i="21" s="1"/>
  <c r="AF272" i="23"/>
  <c r="AE272" i="23"/>
  <c r="AD272" i="23"/>
  <c r="AJ255" i="23"/>
  <c r="AI255" i="23"/>
  <c r="AH255" i="23"/>
  <c r="AG255" i="23"/>
  <c r="AD239" i="23"/>
  <c r="AM239" i="23"/>
  <c r="AC239" i="23"/>
  <c r="I238" i="21" s="1"/>
  <c r="AF239" i="23"/>
  <c r="AE239" i="23"/>
  <c r="AJ234" i="23"/>
  <c r="AI234" i="23"/>
  <c r="AG234" i="23"/>
  <c r="AH234" i="23"/>
  <c r="AM234" i="23"/>
  <c r="AC234" i="23"/>
  <c r="AF234" i="23"/>
  <c r="AE234" i="23"/>
  <c r="AD234" i="23"/>
  <c r="AD288" i="23"/>
  <c r="AM288" i="23"/>
  <c r="AC288" i="23"/>
  <c r="I287" i="21" s="1"/>
  <c r="AF288" i="23"/>
  <c r="AE288" i="23"/>
  <c r="AJ284" i="23"/>
  <c r="AI284" i="23"/>
  <c r="AH284" i="23"/>
  <c r="AG284" i="23"/>
  <c r="AJ275" i="23"/>
  <c r="AI275" i="23"/>
  <c r="AG275" i="23"/>
  <c r="AH275" i="23"/>
  <c r="AM275" i="23"/>
  <c r="AC275" i="23"/>
  <c r="AF275" i="23"/>
  <c r="AE275" i="23"/>
  <c r="AD275" i="23"/>
  <c r="AJ270" i="23"/>
  <c r="AI270" i="23"/>
  <c r="AD270" i="23"/>
  <c r="AF270" i="23"/>
  <c r="AE270" i="23"/>
  <c r="AM270" i="23"/>
  <c r="AC270" i="23"/>
  <c r="I269" i="21" s="1"/>
  <c r="AE264" i="23"/>
  <c r="AD264" i="23"/>
  <c r="AM264" i="23"/>
  <c r="AC264" i="23"/>
  <c r="I263" i="21" s="1"/>
  <c r="AF264" i="23"/>
  <c r="AI260" i="23"/>
  <c r="AJ260" i="23"/>
  <c r="AH260" i="23"/>
  <c r="AG260" i="23"/>
  <c r="AE252" i="23"/>
  <c r="AD252" i="23"/>
  <c r="AM252" i="23"/>
  <c r="AC252" i="23"/>
  <c r="I251" i="21" s="1"/>
  <c r="AF252" i="23"/>
  <c r="AJ245" i="23"/>
  <c r="AI245" i="23"/>
  <c r="AH245" i="23"/>
  <c r="AG245" i="23"/>
  <c r="AF245" i="23"/>
  <c r="AE245" i="23"/>
  <c r="AD245" i="23"/>
  <c r="AM245" i="23"/>
  <c r="AC245" i="23"/>
  <c r="I244" i="21" s="1"/>
  <c r="AI229" i="23"/>
  <c r="AJ229" i="23"/>
  <c r="AH229" i="23"/>
  <c r="AG229" i="23"/>
  <c r="AE227" i="23"/>
  <c r="AD227" i="23"/>
  <c r="AM227" i="23"/>
  <c r="AC227" i="23"/>
  <c r="I226" i="21" s="1"/>
  <c r="AF227" i="23"/>
  <c r="AM265" i="23"/>
  <c r="AC265" i="23"/>
  <c r="I264" i="21" s="1"/>
  <c r="AF265" i="23"/>
  <c r="AE265" i="23"/>
  <c r="AD265" i="23"/>
  <c r="AJ241" i="23"/>
  <c r="AI241" i="23"/>
  <c r="AG241" i="23"/>
  <c r="AH241" i="23"/>
  <c r="AM241" i="23"/>
  <c r="AC241" i="23"/>
  <c r="I240" i="21" s="1"/>
  <c r="AF241" i="23"/>
  <c r="AE241" i="23"/>
  <c r="AD241" i="23"/>
  <c r="AD236" i="23"/>
  <c r="AM236" i="23"/>
  <c r="AC236" i="23"/>
  <c r="AF236" i="23"/>
  <c r="AE236" i="23"/>
  <c r="AI301" i="24"/>
  <c r="AJ301" i="24"/>
  <c r="AH301" i="24"/>
  <c r="AG301" i="24"/>
  <c r="AE301" i="24"/>
  <c r="AD301" i="24"/>
  <c r="AC301" i="24"/>
  <c r="G300" i="21" s="1"/>
  <c r="AF301" i="24"/>
  <c r="AM301" i="24"/>
  <c r="AI303" i="24"/>
  <c r="AJ303" i="24"/>
  <c r="AH303" i="24"/>
  <c r="AG303" i="24"/>
  <c r="AE303" i="24"/>
  <c r="AD303" i="24"/>
  <c r="AM303" i="24"/>
  <c r="AC303" i="24"/>
  <c r="G302" i="21" s="1"/>
  <c r="AF303" i="24"/>
  <c r="AC226" i="24"/>
  <c r="G225" i="21" s="1"/>
  <c r="AD226" i="24"/>
  <c r="AE226" i="24"/>
  <c r="AF226" i="24"/>
  <c r="AM226" i="24"/>
  <c r="AI298" i="24"/>
  <c r="AJ298" i="24"/>
  <c r="AG298" i="24"/>
  <c r="AH298" i="24"/>
  <c r="AE294" i="24"/>
  <c r="AF294" i="24"/>
  <c r="AC294" i="24"/>
  <c r="G293" i="21" s="1"/>
  <c r="AD294" i="24"/>
  <c r="AM294" i="24"/>
  <c r="AI276" i="24"/>
  <c r="AJ276" i="24"/>
  <c r="AG276" i="24"/>
  <c r="AH276" i="24"/>
  <c r="AE276" i="24"/>
  <c r="AF276" i="24"/>
  <c r="AC276" i="24"/>
  <c r="G275" i="21" s="1"/>
  <c r="AD276" i="24"/>
  <c r="AM276" i="24"/>
  <c r="AI268" i="24"/>
  <c r="AJ268" i="24"/>
  <c r="AG268" i="24"/>
  <c r="AH268" i="24"/>
  <c r="AE268" i="24"/>
  <c r="AF268" i="24"/>
  <c r="AC268" i="24"/>
  <c r="G267" i="21" s="1"/>
  <c r="AD268" i="24"/>
  <c r="AM268" i="24"/>
  <c r="AI258" i="24"/>
  <c r="AJ258" i="24"/>
  <c r="AG258" i="24"/>
  <c r="AH258" i="24"/>
  <c r="AI250" i="24"/>
  <c r="AJ250" i="24"/>
  <c r="AG250" i="24"/>
  <c r="AH250" i="24"/>
  <c r="AC246" i="24"/>
  <c r="G245" i="21" s="1"/>
  <c r="AD246" i="24"/>
  <c r="AE246" i="24"/>
  <c r="AF246" i="24"/>
  <c r="AM246" i="24"/>
  <c r="AI239" i="24"/>
  <c r="AJ239" i="24"/>
  <c r="AG239" i="24"/>
  <c r="AH239" i="24"/>
  <c r="AE239" i="24"/>
  <c r="AF239" i="24"/>
  <c r="AC239" i="24"/>
  <c r="G238" i="21" s="1"/>
  <c r="AD239" i="24"/>
  <c r="AM239" i="24"/>
  <c r="AE234" i="24"/>
  <c r="AF234" i="24"/>
  <c r="AC234" i="24"/>
  <c r="G233" i="21" s="1"/>
  <c r="AD234" i="24"/>
  <c r="AM234" i="24"/>
  <c r="AJ291" i="24"/>
  <c r="AI291" i="24"/>
  <c r="AG291" i="24"/>
  <c r="AH291" i="24"/>
  <c r="AC291" i="24"/>
  <c r="G290" i="21" s="1"/>
  <c r="AF291" i="24"/>
  <c r="AE291" i="24"/>
  <c r="AD291" i="24"/>
  <c r="AM291" i="24"/>
  <c r="AJ279" i="24"/>
  <c r="AI279" i="24"/>
  <c r="AG279" i="24"/>
  <c r="AH279" i="24"/>
  <c r="AC279" i="24"/>
  <c r="G278" i="21" s="1"/>
  <c r="AF279" i="24"/>
  <c r="AE279" i="24"/>
  <c r="AD279" i="24"/>
  <c r="AM279" i="24"/>
  <c r="AC274" i="24"/>
  <c r="G273" i="21" s="1"/>
  <c r="AD274" i="24"/>
  <c r="AE274" i="24"/>
  <c r="AF274" i="24"/>
  <c r="AM274" i="24"/>
  <c r="AI270" i="24"/>
  <c r="AJ270" i="24"/>
  <c r="AG270" i="24"/>
  <c r="AH270" i="24"/>
  <c r="AE261" i="24"/>
  <c r="AF261" i="24"/>
  <c r="AC261" i="24"/>
  <c r="G260" i="21" s="1"/>
  <c r="AD261" i="24"/>
  <c r="AM261" i="24"/>
  <c r="AI253" i="24"/>
  <c r="AJ253" i="24"/>
  <c r="AG253" i="24"/>
  <c r="AH253" i="24"/>
  <c r="AI244" i="24"/>
  <c r="AJ244" i="24"/>
  <c r="AG244" i="24"/>
  <c r="AH244" i="24"/>
  <c r="AC244" i="24"/>
  <c r="G243" i="21" s="1"/>
  <c r="AD244" i="24"/>
  <c r="AE244" i="24"/>
  <c r="AF244" i="24"/>
  <c r="AM244" i="24"/>
  <c r="AE237" i="24"/>
  <c r="AF237" i="24"/>
  <c r="AC237" i="24"/>
  <c r="G236" i="21" s="1"/>
  <c r="AD237" i="24"/>
  <c r="AM237" i="24"/>
  <c r="AI232" i="24"/>
  <c r="AJ232" i="24"/>
  <c r="AG232" i="24"/>
  <c r="AH232" i="24"/>
  <c r="AC232" i="24"/>
  <c r="G231" i="21" s="1"/>
  <c r="AD232" i="24"/>
  <c r="AE232" i="24"/>
  <c r="AF232" i="24"/>
  <c r="AM232" i="24"/>
  <c r="AI296" i="24"/>
  <c r="AJ296" i="24"/>
  <c r="AG296" i="24"/>
  <c r="AH296" i="24"/>
  <c r="AI251" i="24"/>
  <c r="AJ251" i="24"/>
  <c r="AG251" i="24"/>
  <c r="AH251" i="24"/>
  <c r="AC251" i="24"/>
  <c r="G250" i="21" s="1"/>
  <c r="AD251" i="24"/>
  <c r="AE251" i="24"/>
  <c r="AF251" i="24"/>
  <c r="AM251" i="24"/>
  <c r="AJ289" i="24"/>
  <c r="AI289" i="24"/>
  <c r="AG289" i="24"/>
  <c r="AH289" i="24"/>
  <c r="AC289" i="24"/>
  <c r="G288" i="21" s="1"/>
  <c r="AF289" i="24"/>
  <c r="AE289" i="24"/>
  <c r="AD289" i="24"/>
  <c r="AM289" i="24"/>
  <c r="AC286" i="24"/>
  <c r="G285" i="21" s="1"/>
  <c r="AD286" i="24"/>
  <c r="AE286" i="24"/>
  <c r="AF286" i="24"/>
  <c r="AM286" i="24"/>
  <c r="AI284" i="24"/>
  <c r="AJ284" i="24"/>
  <c r="AG284" i="24"/>
  <c r="AH284" i="24"/>
  <c r="AI267" i="24"/>
  <c r="AJ267" i="24"/>
  <c r="AG267" i="24"/>
  <c r="AH267" i="24"/>
  <c r="AC267" i="24"/>
  <c r="G266" i="21" s="1"/>
  <c r="AD267" i="24"/>
  <c r="AE267" i="24"/>
  <c r="AF267" i="24"/>
  <c r="AM267" i="24"/>
  <c r="AE249" i="24"/>
  <c r="AF249" i="24"/>
  <c r="AC249" i="24"/>
  <c r="G248" i="21" s="1"/>
  <c r="AD249" i="24"/>
  <c r="AM249" i="24"/>
  <c r="AI233" i="24"/>
  <c r="AJ233" i="24"/>
  <c r="AG233" i="24"/>
  <c r="AH233" i="24"/>
  <c r="AG303" i="23"/>
  <c r="AH303" i="23"/>
  <c r="AJ301" i="23"/>
  <c r="AI301" i="23"/>
  <c r="AH295" i="23"/>
  <c r="AG295" i="23"/>
  <c r="AJ276" i="23"/>
  <c r="AI276" i="23"/>
  <c r="AM276" i="23"/>
  <c r="AC276" i="23"/>
  <c r="I275" i="21" s="1"/>
  <c r="AF276" i="23"/>
  <c r="AE276" i="23"/>
  <c r="AD276" i="23"/>
  <c r="AG268" i="23"/>
  <c r="AH268" i="23"/>
  <c r="AJ259" i="23"/>
  <c r="AI259" i="23"/>
  <c r="AM259" i="23"/>
  <c r="AC259" i="23"/>
  <c r="I258" i="21" s="1"/>
  <c r="AF259" i="23"/>
  <c r="AE259" i="23"/>
  <c r="AD259" i="23"/>
  <c r="AJ254" i="23"/>
  <c r="AI254" i="23"/>
  <c r="AH254" i="23"/>
  <c r="AG254" i="23"/>
  <c r="AF254" i="23"/>
  <c r="AE254" i="23"/>
  <c r="AD254" i="23"/>
  <c r="AM254" i="23"/>
  <c r="AC254" i="23"/>
  <c r="I253" i="21" s="1"/>
  <c r="AI243" i="23"/>
  <c r="AJ243" i="23"/>
  <c r="AH243" i="23"/>
  <c r="AG243" i="23"/>
  <c r="AE235" i="23"/>
  <c r="AD235" i="23"/>
  <c r="AM235" i="23"/>
  <c r="AC235" i="23"/>
  <c r="I234" i="21" s="1"/>
  <c r="AF235" i="23"/>
  <c r="AJ291" i="23"/>
  <c r="AI291" i="23"/>
  <c r="AG291" i="23"/>
  <c r="AH291" i="23"/>
  <c r="AF291" i="23"/>
  <c r="AE291" i="23"/>
  <c r="AD291" i="23"/>
  <c r="AM291" i="23"/>
  <c r="AC291" i="23"/>
  <c r="I290" i="21" s="1"/>
  <c r="AE286" i="23"/>
  <c r="AD286" i="23"/>
  <c r="AM286" i="23"/>
  <c r="AC286" i="23"/>
  <c r="AF286" i="23"/>
  <c r="AI282" i="23"/>
  <c r="AJ282" i="23"/>
  <c r="AH282" i="23"/>
  <c r="AG282" i="23"/>
  <c r="AE280" i="23"/>
  <c r="AD280" i="23"/>
  <c r="AM280" i="23"/>
  <c r="AC280" i="23"/>
  <c r="I279" i="21" s="1"/>
  <c r="AF280" i="23"/>
  <c r="AD294" i="23"/>
  <c r="AM294" i="23"/>
  <c r="AC294" i="23"/>
  <c r="AF294" i="23"/>
  <c r="AE294" i="23"/>
  <c r="AJ294" i="23"/>
  <c r="AI294" i="23"/>
  <c r="AH294" i="23"/>
  <c r="AG294" i="23"/>
  <c r="AD266" i="23"/>
  <c r="AM266" i="23"/>
  <c r="AC266" i="23"/>
  <c r="AF266" i="23"/>
  <c r="AE266" i="23"/>
  <c r="AJ266" i="23"/>
  <c r="AI266" i="23"/>
  <c r="AH266" i="23"/>
  <c r="AG266" i="23"/>
  <c r="AJ247" i="23"/>
  <c r="AI247" i="23"/>
  <c r="AH247" i="23"/>
  <c r="AG247" i="23"/>
  <c r="AM289" i="23"/>
  <c r="AC289" i="23"/>
  <c r="I288" i="21" s="1"/>
  <c r="AE289" i="23"/>
  <c r="AF289" i="23"/>
  <c r="AD289" i="23"/>
  <c r="AJ289" i="23"/>
  <c r="AI289" i="23"/>
  <c r="AJ283" i="23"/>
  <c r="AI283" i="23"/>
  <c r="AG283" i="23"/>
  <c r="AH283" i="23"/>
  <c r="AM283" i="23"/>
  <c r="AC283" i="23"/>
  <c r="I282" i="21" s="1"/>
  <c r="AF283" i="23"/>
  <c r="AE283" i="23"/>
  <c r="AD283" i="23"/>
  <c r="AD278" i="23"/>
  <c r="AM278" i="23"/>
  <c r="AC278" i="23"/>
  <c r="I277" i="21" s="1"/>
  <c r="AF278" i="23"/>
  <c r="AE278" i="23"/>
  <c r="AJ274" i="23"/>
  <c r="AI274" i="23"/>
  <c r="AH274" i="23"/>
  <c r="AG274" i="23"/>
  <c r="AI267" i="23"/>
  <c r="AJ267" i="23"/>
  <c r="AH267" i="23"/>
  <c r="AG267" i="23"/>
  <c r="AJ253" i="23"/>
  <c r="AI253" i="23"/>
  <c r="AH253" i="23"/>
  <c r="AG253" i="23"/>
  <c r="AF253" i="23"/>
  <c r="AE253" i="23"/>
  <c r="AD253" i="23"/>
  <c r="AM253" i="23"/>
  <c r="AC253" i="23"/>
  <c r="I252" i="21" s="1"/>
  <c r="AE248" i="23"/>
  <c r="AD248" i="23"/>
  <c r="AM248" i="23"/>
  <c r="AC248" i="23"/>
  <c r="I247" i="21" s="1"/>
  <c r="AF248" i="23"/>
  <c r="AI244" i="23"/>
  <c r="AJ244" i="23"/>
  <c r="AH244" i="23"/>
  <c r="AG244" i="23"/>
  <c r="AI231" i="23"/>
  <c r="AJ231" i="23"/>
  <c r="AH231" i="23"/>
  <c r="AG231" i="23"/>
  <c r="AJ240" i="23"/>
  <c r="AI240" i="23"/>
  <c r="AH240" i="23"/>
  <c r="AG240" i="23"/>
  <c r="AJ230" i="23"/>
  <c r="AI230" i="23"/>
  <c r="AG230" i="23"/>
  <c r="AH230" i="23"/>
  <c r="AM230" i="23"/>
  <c r="AC230" i="23"/>
  <c r="I229" i="21" s="1"/>
  <c r="AF230" i="23"/>
  <c r="AE230" i="23"/>
  <c r="AD230" i="23"/>
  <c r="L14" i="31"/>
  <c r="I304" i="21" l="1"/>
  <c r="I297" i="21"/>
  <c r="I272" i="21"/>
  <c r="I242" i="21"/>
  <c r="I243" i="21"/>
  <c r="I235" i="21"/>
  <c r="I227" i="21"/>
  <c r="I261" i="21"/>
  <c r="I233" i="21"/>
  <c r="I289" i="21"/>
  <c r="I285" i="21"/>
  <c r="I301" i="21"/>
  <c r="I293" i="21"/>
  <c r="I265" i="21"/>
  <c r="I280" i="21"/>
  <c r="I274" i="21"/>
  <c r="R6" i="31"/>
  <c r="T9" i="31" s="1"/>
  <c r="S9" i="31" s="1"/>
  <c r="K89" i="27" l="1"/>
  <c r="B89" i="27"/>
  <c r="B86" i="27"/>
  <c r="K83" i="27"/>
  <c r="K82" i="27"/>
  <c r="K88" i="27" l="1"/>
  <c r="K85" i="27"/>
  <c r="B81" i="27"/>
  <c r="B82" i="27" s="1"/>
  <c r="K80" i="27" l="1"/>
  <c r="K81" i="27"/>
  <c r="K74" i="27"/>
  <c r="K73" i="27"/>
  <c r="K72" i="27"/>
  <c r="K71" i="27"/>
  <c r="K70" i="27"/>
  <c r="K69" i="27"/>
  <c r="K68" i="27"/>
  <c r="K77" i="27" l="1"/>
  <c r="B67" i="27"/>
  <c r="B68" i="27" s="1"/>
  <c r="K66" i="27" l="1"/>
  <c r="K67" i="27"/>
  <c r="B51" i="27" l="1"/>
  <c r="B52" i="27" s="1"/>
  <c r="K43" i="27" l="1"/>
  <c r="B34" i="27"/>
  <c r="B35" i="27" s="1"/>
  <c r="D33" i="29" l="1"/>
  <c r="D32" i="29"/>
  <c r="AA8" i="29"/>
  <c r="AA7" i="29" l="1"/>
  <c r="AA6" i="29"/>
  <c r="F1" i="29" l="1"/>
  <c r="AY205" i="2"/>
  <c r="AY204" i="2"/>
  <c r="BA204" i="2" s="1"/>
  <c r="AZ204" i="2" s="1"/>
  <c r="AY203" i="2"/>
  <c r="BA203" i="2" s="1"/>
  <c r="AZ203" i="2" s="1"/>
  <c r="AY202" i="2"/>
  <c r="BA202" i="2" s="1"/>
  <c r="AZ202" i="2" s="1"/>
  <c r="AY201" i="2"/>
  <c r="AY200" i="2"/>
  <c r="BA200" i="2" s="1"/>
  <c r="AZ200" i="2" s="1"/>
  <c r="AY199" i="2"/>
  <c r="BA199" i="2" s="1"/>
  <c r="AZ199" i="2" s="1"/>
  <c r="AY198" i="2"/>
  <c r="BA198" i="2" s="1"/>
  <c r="AZ198" i="2" s="1"/>
  <c r="AY197" i="2"/>
  <c r="AY196" i="2"/>
  <c r="BA196" i="2" s="1"/>
  <c r="AZ196" i="2" s="1"/>
  <c r="AY195" i="2"/>
  <c r="BA195" i="2" s="1"/>
  <c r="AZ195" i="2" s="1"/>
  <c r="AY194" i="2"/>
  <c r="BA194" i="2" s="1"/>
  <c r="AZ194" i="2" s="1"/>
  <c r="AY193" i="2"/>
  <c r="AY192" i="2"/>
  <c r="BA192" i="2" s="1"/>
  <c r="AY191" i="2"/>
  <c r="BA191" i="2" s="1"/>
  <c r="AZ191" i="2" s="1"/>
  <c r="AY190" i="2"/>
  <c r="BA190" i="2" s="1"/>
  <c r="AZ190" i="2" s="1"/>
  <c r="AY189" i="2"/>
  <c r="AY188" i="2"/>
  <c r="BA188" i="2" s="1"/>
  <c r="AZ188" i="2" s="1"/>
  <c r="AY187" i="2"/>
  <c r="BA187" i="2" s="1"/>
  <c r="AZ187" i="2" s="1"/>
  <c r="AY186" i="2"/>
  <c r="BA186" i="2" s="1"/>
  <c r="AZ186" i="2" s="1"/>
  <c r="AY185" i="2"/>
  <c r="AY184" i="2"/>
  <c r="BA184" i="2" s="1"/>
  <c r="AZ184" i="2" s="1"/>
  <c r="AY183" i="2"/>
  <c r="BA183" i="2" s="1"/>
  <c r="AZ183" i="2" s="1"/>
  <c r="AY182" i="2"/>
  <c r="BA182" i="2" s="1"/>
  <c r="AZ182" i="2" s="1"/>
  <c r="AY181" i="2"/>
  <c r="AY180" i="2"/>
  <c r="BA180" i="2" s="1"/>
  <c r="AZ180" i="2" s="1"/>
  <c r="AY179" i="2"/>
  <c r="BA179" i="2" s="1"/>
  <c r="AZ179" i="2" s="1"/>
  <c r="AY178" i="2"/>
  <c r="BA178" i="2" s="1"/>
  <c r="AZ178" i="2" s="1"/>
  <c r="AY177" i="2"/>
  <c r="AY176" i="2"/>
  <c r="AZ176" i="2" s="1"/>
  <c r="AY175" i="2"/>
  <c r="BA175" i="2" s="1"/>
  <c r="AZ175" i="2" s="1"/>
  <c r="AY174" i="2"/>
  <c r="BA174" i="2" s="1"/>
  <c r="AZ174" i="2" s="1"/>
  <c r="AY173" i="2"/>
  <c r="AY172" i="2"/>
  <c r="BA172" i="2" s="1"/>
  <c r="AZ172" i="2" s="1"/>
  <c r="AY171" i="2"/>
  <c r="BA171" i="2" s="1"/>
  <c r="AZ171" i="2" s="1"/>
  <c r="AY170" i="2"/>
  <c r="BA170" i="2" s="1"/>
  <c r="AZ170" i="2" s="1"/>
  <c r="AY169" i="2"/>
  <c r="AY168" i="2"/>
  <c r="BA168" i="2" s="1"/>
  <c r="AZ168" i="2" s="1"/>
  <c r="AY167" i="2"/>
  <c r="AZ167" i="2" s="1"/>
  <c r="AY166" i="2"/>
  <c r="BA166" i="2" s="1"/>
  <c r="AZ166" i="2" s="1"/>
  <c r="AY165" i="2"/>
  <c r="BA165" i="2" s="1"/>
  <c r="AZ165" i="2" s="1"/>
  <c r="AY164" i="2"/>
  <c r="BA164" i="2" s="1"/>
  <c r="AZ164" i="2" s="1"/>
  <c r="AY163" i="2"/>
  <c r="BA163" i="2" s="1"/>
  <c r="AY162" i="2"/>
  <c r="BA162" i="2" s="1"/>
  <c r="AZ162" i="2" s="1"/>
  <c r="AY161" i="2"/>
  <c r="BA161" i="2" s="1"/>
  <c r="AZ161" i="2" s="1"/>
  <c r="AY160" i="2"/>
  <c r="BA160" i="2" s="1"/>
  <c r="AY159" i="2"/>
  <c r="AZ159" i="2" s="1"/>
  <c r="BA159" i="2" l="1"/>
  <c r="AZ160" i="2"/>
  <c r="AZ163" i="2"/>
  <c r="BA167" i="2"/>
  <c r="BA169" i="2"/>
  <c r="AZ169" i="2" s="1"/>
  <c r="BA176" i="2"/>
  <c r="BA181" i="2"/>
  <c r="AZ181" i="2" s="1"/>
  <c r="BA189" i="2"/>
  <c r="AZ189" i="2" s="1"/>
  <c r="AZ192" i="2"/>
  <c r="BA193" i="2"/>
  <c r="AZ193" i="2" s="1"/>
  <c r="BA201" i="2"/>
  <c r="AZ201" i="2" s="1"/>
  <c r="BA173" i="2"/>
  <c r="AZ173" i="2" s="1"/>
  <c r="BA177" i="2"/>
  <c r="AZ177" i="2" s="1"/>
  <c r="BA185" i="2"/>
  <c r="AZ185" i="2" s="1"/>
  <c r="BA197" i="2"/>
  <c r="AZ197" i="2" s="1"/>
  <c r="BA205" i="2"/>
  <c r="AZ205" i="2" s="1"/>
  <c r="AY158" i="2"/>
  <c r="BA158" i="2" s="1"/>
  <c r="AZ158" i="2" s="1"/>
  <c r="AY157" i="2"/>
  <c r="BA157" i="2" s="1"/>
  <c r="AZ157" i="2" s="1"/>
  <c r="AY156" i="2"/>
  <c r="BA156" i="2" s="1"/>
  <c r="AZ156" i="2" s="1"/>
  <c r="AY155" i="2"/>
  <c r="BA155" i="2" s="1"/>
  <c r="AY154" i="2"/>
  <c r="BA154" i="2" s="1"/>
  <c r="AZ154" i="2" s="1"/>
  <c r="AY153" i="2"/>
  <c r="BA153" i="2" s="1"/>
  <c r="AZ153" i="2" s="1"/>
  <c r="AY152" i="2"/>
  <c r="BA152" i="2" s="1"/>
  <c r="AZ152" i="2" s="1"/>
  <c r="AY151" i="2"/>
  <c r="AZ151" i="2" s="1"/>
  <c r="AY150" i="2"/>
  <c r="BA150" i="2" s="1"/>
  <c r="AZ150" i="2" s="1"/>
  <c r="AY149" i="2"/>
  <c r="BA149" i="2" s="1"/>
  <c r="AZ149" i="2" s="1"/>
  <c r="AY148" i="2"/>
  <c r="BA148" i="2" s="1"/>
  <c r="AZ148" i="2" s="1"/>
  <c r="AY147" i="2"/>
  <c r="BA147" i="2" s="1"/>
  <c r="AY146" i="2"/>
  <c r="BA146" i="2" s="1"/>
  <c r="AZ146" i="2" s="1"/>
  <c r="AY145" i="2"/>
  <c r="BA145" i="2" s="1"/>
  <c r="AZ145" i="2" s="1"/>
  <c r="AY144" i="2"/>
  <c r="BA144" i="2" s="1"/>
  <c r="AZ144" i="2" s="1"/>
  <c r="AY143" i="2"/>
  <c r="AZ143" i="2" s="1"/>
  <c r="AY142" i="2"/>
  <c r="BA142" i="2" s="1"/>
  <c r="AZ142" i="2" s="1"/>
  <c r="AY141" i="2"/>
  <c r="BA141" i="2" s="1"/>
  <c r="AZ141" i="2" s="1"/>
  <c r="AY140" i="2"/>
  <c r="BA140" i="2" s="1"/>
  <c r="AZ140" i="2" s="1"/>
  <c r="AY139" i="2"/>
  <c r="BA139" i="2" s="1"/>
  <c r="AY138" i="2"/>
  <c r="BA138" i="2" s="1"/>
  <c r="AZ138" i="2" s="1"/>
  <c r="AY137" i="2"/>
  <c r="BA137" i="2" s="1"/>
  <c r="AZ137" i="2" s="1"/>
  <c r="AY136" i="2"/>
  <c r="BA136" i="2" s="1"/>
  <c r="AZ136" i="2" s="1"/>
  <c r="AY135" i="2"/>
  <c r="AZ135" i="2" s="1"/>
  <c r="AY134" i="2"/>
  <c r="BA134" i="2" s="1"/>
  <c r="AZ134" i="2" s="1"/>
  <c r="AY133" i="2"/>
  <c r="BA133" i="2" s="1"/>
  <c r="AZ133" i="2" s="1"/>
  <c r="AY132" i="2"/>
  <c r="BA132" i="2" s="1"/>
  <c r="AZ132" i="2" s="1"/>
  <c r="AZ139" i="2" l="1"/>
  <c r="AZ147" i="2"/>
  <c r="AZ155" i="2"/>
  <c r="BA143" i="2"/>
  <c r="BA151" i="2"/>
  <c r="BA135" i="2"/>
  <c r="AY131" i="2"/>
  <c r="BA131" i="2" s="1"/>
  <c r="AY130" i="2"/>
  <c r="BA130" i="2" s="1"/>
  <c r="AZ130" i="2" s="1"/>
  <c r="AY129" i="2"/>
  <c r="BA129" i="2" s="1"/>
  <c r="AZ129" i="2" s="1"/>
  <c r="AY128" i="2"/>
  <c r="BA128" i="2" s="1"/>
  <c r="AZ128" i="2" s="1"/>
  <c r="AY127" i="2"/>
  <c r="AZ127" i="2" s="1"/>
  <c r="AY126" i="2"/>
  <c r="BA126" i="2" s="1"/>
  <c r="AZ126" i="2" s="1"/>
  <c r="AY125" i="2"/>
  <c r="BA125" i="2" s="1"/>
  <c r="AZ125" i="2" s="1"/>
  <c r="AY124" i="2"/>
  <c r="BA124" i="2" s="1"/>
  <c r="AZ124" i="2" s="1"/>
  <c r="AY123" i="2"/>
  <c r="BA123" i="2" s="1"/>
  <c r="AY122" i="2"/>
  <c r="BA122" i="2" s="1"/>
  <c r="AZ122" i="2" s="1"/>
  <c r="AY121" i="2"/>
  <c r="BA121" i="2" s="1"/>
  <c r="AZ121" i="2" s="1"/>
  <c r="AY120" i="2"/>
  <c r="BA120" i="2" s="1"/>
  <c r="AZ120" i="2" s="1"/>
  <c r="AY119" i="2"/>
  <c r="AZ119" i="2" s="1"/>
  <c r="AY118" i="2"/>
  <c r="BA118" i="2" s="1"/>
  <c r="AZ118" i="2" s="1"/>
  <c r="AY117" i="2"/>
  <c r="BA117" i="2" s="1"/>
  <c r="AZ117" i="2" s="1"/>
  <c r="AY116" i="2"/>
  <c r="BA116" i="2" s="1"/>
  <c r="AZ116" i="2" s="1"/>
  <c r="AY115" i="2"/>
  <c r="BA115" i="2" s="1"/>
  <c r="AY114" i="2"/>
  <c r="BA114" i="2" s="1"/>
  <c r="AZ114" i="2" s="1"/>
  <c r="AY113" i="2"/>
  <c r="BA113" i="2" s="1"/>
  <c r="AZ113" i="2" s="1"/>
  <c r="AY112" i="2"/>
  <c r="BA112" i="2" s="1"/>
  <c r="AZ112" i="2" s="1"/>
  <c r="AY111" i="2"/>
  <c r="AZ111" i="2" s="1"/>
  <c r="AY110" i="2"/>
  <c r="BA110" i="2" s="1"/>
  <c r="AZ110" i="2" s="1"/>
  <c r="AY109" i="2"/>
  <c r="BA109" i="2" s="1"/>
  <c r="AZ109" i="2" s="1"/>
  <c r="AY108" i="2"/>
  <c r="BA108" i="2" s="1"/>
  <c r="AZ108" i="2" s="1"/>
  <c r="AY107" i="2"/>
  <c r="BA107" i="2" s="1"/>
  <c r="AY106" i="2"/>
  <c r="BA106" i="2" s="1"/>
  <c r="AZ106" i="2" s="1"/>
  <c r="AY105" i="2"/>
  <c r="BA105" i="2" s="1"/>
  <c r="AZ105" i="2" s="1"/>
  <c r="AY104" i="2"/>
  <c r="BA104" i="2" s="1"/>
  <c r="AZ104" i="2" s="1"/>
  <c r="AY103" i="2"/>
  <c r="AZ103" i="2" s="1"/>
  <c r="AY102" i="2"/>
  <c r="BA102" i="2" s="1"/>
  <c r="AZ102" i="2" s="1"/>
  <c r="AY101" i="2"/>
  <c r="BA101" i="2" s="1"/>
  <c r="AZ101" i="2" s="1"/>
  <c r="AY100" i="2"/>
  <c r="AZ100" i="2" s="1"/>
  <c r="AY99" i="2"/>
  <c r="AZ99" i="2" s="1"/>
  <c r="AY98" i="2"/>
  <c r="BA98" i="2" s="1"/>
  <c r="AZ98" i="2" s="1"/>
  <c r="AY97" i="2"/>
  <c r="BA97" i="2" s="1"/>
  <c r="AZ97" i="2" s="1"/>
  <c r="AY96" i="2"/>
  <c r="BA96" i="2" s="1"/>
  <c r="AZ96" i="2" s="1"/>
  <c r="AY95" i="2"/>
  <c r="BA95" i="2" s="1"/>
  <c r="AY94" i="2"/>
  <c r="BA94" i="2" s="1"/>
  <c r="AZ94" i="2" s="1"/>
  <c r="AY93" i="2"/>
  <c r="BA93" i="2" s="1"/>
  <c r="AZ93" i="2" s="1"/>
  <c r="AY92" i="2"/>
  <c r="BA92" i="2" s="1"/>
  <c r="AZ92" i="2" s="1"/>
  <c r="AY91" i="2"/>
  <c r="AZ91" i="2" s="1"/>
  <c r="AY90" i="2"/>
  <c r="BA90" i="2" s="1"/>
  <c r="AZ90" i="2" s="1"/>
  <c r="AY89" i="2"/>
  <c r="BA89" i="2" s="1"/>
  <c r="AZ89" i="2" s="1"/>
  <c r="AY88" i="2"/>
  <c r="BA88" i="2" s="1"/>
  <c r="AZ88" i="2" s="1"/>
  <c r="AY87" i="2"/>
  <c r="BA87" i="2" s="1"/>
  <c r="AY86" i="2"/>
  <c r="BA86" i="2" s="1"/>
  <c r="AZ86" i="2" s="1"/>
  <c r="AY85" i="2"/>
  <c r="BA85" i="2" s="1"/>
  <c r="AZ85" i="2" s="1"/>
  <c r="AY84" i="2"/>
  <c r="BA84" i="2" s="1"/>
  <c r="AY83" i="2"/>
  <c r="BA83" i="2" s="1"/>
  <c r="AY82" i="2"/>
  <c r="BA82" i="2" s="1"/>
  <c r="AY81" i="2"/>
  <c r="AY80" i="2"/>
  <c r="BA80" i="2" s="1"/>
  <c r="AY79" i="2"/>
  <c r="BA79" i="2" s="1"/>
  <c r="AZ79" i="2" s="1"/>
  <c r="AY78" i="2"/>
  <c r="AZ78" i="2" s="1"/>
  <c r="AY77" i="2"/>
  <c r="AY76" i="2"/>
  <c r="AZ76" i="2" s="1"/>
  <c r="AY75" i="2"/>
  <c r="BA75" i="2" s="1"/>
  <c r="AZ75" i="2" s="1"/>
  <c r="AY74" i="2"/>
  <c r="BA74" i="2" s="1"/>
  <c r="AY73" i="2"/>
  <c r="AY72" i="2"/>
  <c r="BA72" i="2" s="1"/>
  <c r="AY71" i="2"/>
  <c r="BA71" i="2" s="1"/>
  <c r="AZ71" i="2" s="1"/>
  <c r="AY70" i="2"/>
  <c r="AZ70" i="2" s="1"/>
  <c r="AY69" i="2"/>
  <c r="AY68" i="2"/>
  <c r="AZ68" i="2" s="1"/>
  <c r="AY67" i="2"/>
  <c r="AZ67" i="2" s="1"/>
  <c r="AY66" i="2"/>
  <c r="AZ66" i="2" s="1"/>
  <c r="AY65" i="2"/>
  <c r="AY64" i="2"/>
  <c r="AZ64" i="2" s="1"/>
  <c r="AY63" i="2"/>
  <c r="BA63" i="2" s="1"/>
  <c r="AZ63" i="2" s="1"/>
  <c r="AY62" i="2"/>
  <c r="BA62" i="2" s="1"/>
  <c r="AY61" i="2"/>
  <c r="AY60" i="2"/>
  <c r="BA60" i="2" s="1"/>
  <c r="AY59" i="2"/>
  <c r="BA59" i="2" s="1"/>
  <c r="AZ59" i="2" s="1"/>
  <c r="AY58" i="2"/>
  <c r="AZ58" i="2" s="1"/>
  <c r="AY57" i="2"/>
  <c r="AY56" i="2"/>
  <c r="AZ56" i="2" s="1"/>
  <c r="AY55" i="2"/>
  <c r="BA55" i="2" s="1"/>
  <c r="AZ55" i="2" s="1"/>
  <c r="AY54" i="2"/>
  <c r="BA54" i="2" s="1"/>
  <c r="AY53" i="2"/>
  <c r="AY52" i="2"/>
  <c r="BA52" i="2" s="1"/>
  <c r="AY51" i="2"/>
  <c r="BA51" i="2" s="1"/>
  <c r="AY50" i="2"/>
  <c r="BA50" i="2" s="1"/>
  <c r="AY49" i="2"/>
  <c r="AY48" i="2"/>
  <c r="BA48" i="2" s="1"/>
  <c r="AY47" i="2"/>
  <c r="BA47" i="2" s="1"/>
  <c r="AZ47" i="2" s="1"/>
  <c r="AY46" i="2"/>
  <c r="AZ46" i="2" s="1"/>
  <c r="AY45" i="2"/>
  <c r="AY44" i="2"/>
  <c r="AZ44" i="2" s="1"/>
  <c r="AY43" i="2"/>
  <c r="BA43" i="2" s="1"/>
  <c r="AZ43" i="2" s="1"/>
  <c r="AY42" i="2"/>
  <c r="BA42" i="2" s="1"/>
  <c r="AY41" i="2"/>
  <c r="AY40" i="2"/>
  <c r="BA40" i="2" s="1"/>
  <c r="AY39" i="2"/>
  <c r="BA39" i="2" s="1"/>
  <c r="AZ39" i="2" s="1"/>
  <c r="AY38" i="2"/>
  <c r="AZ38" i="2" s="1"/>
  <c r="AY37" i="2"/>
  <c r="AY36" i="2"/>
  <c r="AZ36" i="2" s="1"/>
  <c r="AY35" i="2"/>
  <c r="AZ35" i="2" s="1"/>
  <c r="AY34" i="2"/>
  <c r="AZ34" i="2" s="1"/>
  <c r="AY33" i="2"/>
  <c r="AY32" i="2"/>
  <c r="AZ32" i="2" s="1"/>
  <c r="AY31" i="2"/>
  <c r="BA31" i="2" s="1"/>
  <c r="AZ31" i="2" s="1"/>
  <c r="AY30" i="2"/>
  <c r="BA30" i="2" s="1"/>
  <c r="AY29" i="2"/>
  <c r="AY28" i="2"/>
  <c r="BA28" i="2" s="1"/>
  <c r="AY27" i="2"/>
  <c r="BA27" i="2" s="1"/>
  <c r="AZ27" i="2" s="1"/>
  <c r="AY26" i="2"/>
  <c r="AZ26" i="2" s="1"/>
  <c r="AY25" i="2"/>
  <c r="AZ40" i="2" l="1"/>
  <c r="AZ50" i="2"/>
  <c r="AZ72" i="2"/>
  <c r="AZ82" i="2"/>
  <c r="AZ30" i="2"/>
  <c r="AZ52" i="2"/>
  <c r="AZ62" i="2"/>
  <c r="AZ84" i="2"/>
  <c r="AZ87" i="2"/>
  <c r="AZ95" i="2"/>
  <c r="AZ28" i="2"/>
  <c r="BA41" i="2"/>
  <c r="AZ41" i="2" s="1"/>
  <c r="AZ42" i="2"/>
  <c r="AZ48" i="2"/>
  <c r="AZ51" i="2"/>
  <c r="BA53" i="2"/>
  <c r="AZ53" i="2" s="1"/>
  <c r="AZ54" i="2"/>
  <c r="AZ60" i="2"/>
  <c r="BA73" i="2"/>
  <c r="AZ73" i="2" s="1"/>
  <c r="AZ74" i="2"/>
  <c r="AZ80" i="2"/>
  <c r="AZ83" i="2"/>
  <c r="AZ107" i="2"/>
  <c r="AZ115" i="2"/>
  <c r="AZ123" i="2"/>
  <c r="AZ131" i="2"/>
  <c r="BA26" i="2"/>
  <c r="BA35" i="2"/>
  <c r="BA56" i="2"/>
  <c r="BA58" i="2"/>
  <c r="BA64" i="2"/>
  <c r="BA66" i="2"/>
  <c r="BA67" i="2"/>
  <c r="BA68" i="2"/>
  <c r="BA70" i="2"/>
  <c r="BA76" i="2"/>
  <c r="BA78" i="2"/>
  <c r="BA91" i="2"/>
  <c r="BA99" i="2"/>
  <c r="BA100" i="2"/>
  <c r="BA103" i="2"/>
  <c r="BA111" i="2"/>
  <c r="BA119" i="2"/>
  <c r="BA127" i="2"/>
  <c r="BA32" i="2"/>
  <c r="BA34" i="2"/>
  <c r="BA36" i="2"/>
  <c r="BA38" i="2"/>
  <c r="BA44" i="2"/>
  <c r="BA46" i="2"/>
  <c r="BA25" i="2"/>
  <c r="AZ25" i="2" s="1"/>
  <c r="BA33" i="2"/>
  <c r="AZ33" i="2" s="1"/>
  <c r="BA37" i="2"/>
  <c r="AZ37" i="2" s="1"/>
  <c r="BA45" i="2"/>
  <c r="AZ45" i="2" s="1"/>
  <c r="BA57" i="2"/>
  <c r="AZ57" i="2" s="1"/>
  <c r="BA65" i="2"/>
  <c r="AZ65" i="2" s="1"/>
  <c r="BA69" i="2"/>
  <c r="AZ69" i="2" s="1"/>
  <c r="BA77" i="2"/>
  <c r="AZ77" i="2" s="1"/>
  <c r="AY24" i="2"/>
  <c r="BA24" i="2" s="1"/>
  <c r="AY22" i="2"/>
  <c r="BA22" i="2" s="1"/>
  <c r="AZ22" i="2" s="1"/>
  <c r="AZ24" i="2" l="1"/>
  <c r="E54" i="27" l="1"/>
  <c r="F54" i="27" s="1"/>
  <c r="E50" i="27"/>
  <c r="F50" i="27" s="1"/>
  <c r="B27" i="1"/>
  <c r="C22" i="1" s="1"/>
  <c r="Q21" i="1"/>
  <c r="P21" i="1"/>
  <c r="O21" i="1"/>
  <c r="K54" i="27" l="1"/>
  <c r="E51" i="27"/>
  <c r="F51" i="27" s="1"/>
  <c r="E52" i="27"/>
  <c r="F52" i="27" s="1"/>
  <c r="E55" i="27"/>
  <c r="AW174" i="11"/>
  <c r="AW175" i="11"/>
  <c r="AU172" i="11"/>
  <c r="AU173" i="11"/>
  <c r="AU174" i="11"/>
  <c r="AU175" i="11"/>
  <c r="AW172" i="11"/>
  <c r="AW173" i="11"/>
  <c r="AW171" i="11"/>
  <c r="AU171" i="11"/>
  <c r="AW169" i="11"/>
  <c r="AU169" i="11"/>
  <c r="AU170" i="11"/>
  <c r="AW170" i="11"/>
  <c r="AU168" i="11"/>
  <c r="AW161" i="11"/>
  <c r="AV161" i="11" s="1"/>
  <c r="AK161" i="11" s="1"/>
  <c r="AW158" i="11"/>
  <c r="AV158" i="11" s="1"/>
  <c r="AK158" i="11" s="1"/>
  <c r="AU160" i="11"/>
  <c r="AU163" i="11"/>
  <c r="AU164" i="11"/>
  <c r="AU166" i="11"/>
  <c r="AW168" i="11"/>
  <c r="AW156" i="11"/>
  <c r="AV156" i="11" s="1"/>
  <c r="AK156" i="11" s="1"/>
  <c r="AW159" i="11"/>
  <c r="AV159" i="11" s="1"/>
  <c r="AK159" i="11" s="1"/>
  <c r="AW160" i="11"/>
  <c r="AV160" i="11" s="1"/>
  <c r="AK160" i="11" s="1"/>
  <c r="AW163" i="11"/>
  <c r="AV163" i="11" s="1"/>
  <c r="AK163" i="11" s="1"/>
  <c r="AW165" i="11"/>
  <c r="AV165" i="11" s="1"/>
  <c r="AK165" i="11" s="1"/>
  <c r="AW167" i="11"/>
  <c r="AV167" i="11" s="1"/>
  <c r="AK167" i="11" s="1"/>
  <c r="AW162" i="11"/>
  <c r="AV162" i="11" s="1"/>
  <c r="AK162" i="11" s="1"/>
  <c r="AU157" i="11"/>
  <c r="AU161" i="11"/>
  <c r="AU162" i="11"/>
  <c r="AW166" i="11"/>
  <c r="AV166" i="11" s="1"/>
  <c r="AK166" i="11" s="1"/>
  <c r="AW157" i="11"/>
  <c r="AV157" i="11" s="1"/>
  <c r="AK157" i="11" s="1"/>
  <c r="AU156" i="11"/>
  <c r="AU159" i="11"/>
  <c r="AU165" i="11"/>
  <c r="AU167" i="11"/>
  <c r="AU158" i="11"/>
  <c r="AW164" i="11"/>
  <c r="AV164" i="11" s="1"/>
  <c r="AK164" i="11" s="1"/>
  <c r="G6" i="31"/>
  <c r="R8" i="31" s="1"/>
  <c r="I343" i="28"/>
  <c r="I342" i="28"/>
  <c r="I341" i="28"/>
  <c r="I340" i="28"/>
  <c r="I339" i="28"/>
  <c r="I338" i="28"/>
  <c r="I337" i="28"/>
  <c r="I336" i="28"/>
  <c r="I335" i="28"/>
  <c r="I334" i="28"/>
  <c r="I333" i="28"/>
  <c r="I332" i="28"/>
  <c r="I331" i="28"/>
  <c r="I330" i="28"/>
  <c r="I329" i="28"/>
  <c r="I328" i="28"/>
  <c r="I324" i="28"/>
  <c r="I323" i="28"/>
  <c r="I322" i="28"/>
  <c r="I321" i="28"/>
  <c r="I320" i="28"/>
  <c r="I319" i="28"/>
  <c r="I318" i="28"/>
  <c r="I317" i="28"/>
  <c r="I316" i="28"/>
  <c r="I315" i="28"/>
  <c r="I314" i="28"/>
  <c r="I313" i="28"/>
  <c r="I312" i="28"/>
  <c r="I311" i="28"/>
  <c r="I310" i="28"/>
  <c r="I309" i="28"/>
  <c r="I305" i="28"/>
  <c r="I304" i="28"/>
  <c r="I303" i="28"/>
  <c r="I302" i="28"/>
  <c r="I301" i="28"/>
  <c r="I300" i="28"/>
  <c r="I299" i="28"/>
  <c r="I298" i="28"/>
  <c r="I297" i="28"/>
  <c r="I296" i="28"/>
  <c r="I295" i="28"/>
  <c r="I294" i="28"/>
  <c r="I293" i="28"/>
  <c r="I292" i="28"/>
  <c r="I291" i="28"/>
  <c r="I290" i="28"/>
  <c r="I286" i="28"/>
  <c r="I285" i="28"/>
  <c r="I284" i="28"/>
  <c r="I283" i="28"/>
  <c r="I282" i="28"/>
  <c r="I281" i="28"/>
  <c r="I280" i="28"/>
  <c r="I279" i="28"/>
  <c r="I278" i="28"/>
  <c r="I277" i="28"/>
  <c r="I276" i="28"/>
  <c r="I275" i="28"/>
  <c r="I274" i="28"/>
  <c r="I273" i="28"/>
  <c r="I272" i="28"/>
  <c r="I271" i="28"/>
  <c r="I267" i="28"/>
  <c r="I266" i="28"/>
  <c r="I265" i="28"/>
  <c r="I264" i="28"/>
  <c r="I263" i="28"/>
  <c r="I262" i="28"/>
  <c r="I261" i="28"/>
  <c r="I260" i="28"/>
  <c r="I259" i="28"/>
  <c r="I258" i="28"/>
  <c r="I257" i="28"/>
  <c r="I256" i="28"/>
  <c r="I255" i="28"/>
  <c r="I254" i="28"/>
  <c r="I253" i="28"/>
  <c r="I252" i="28"/>
  <c r="I248" i="28"/>
  <c r="I247" i="28"/>
  <c r="I245" i="28"/>
  <c r="I244" i="28"/>
  <c r="I243" i="28"/>
  <c r="I242" i="28"/>
  <c r="I241" i="28"/>
  <c r="I240" i="28"/>
  <c r="I239" i="28"/>
  <c r="I238" i="28"/>
  <c r="I233" i="28"/>
  <c r="I229" i="28"/>
  <c r="I228" i="28"/>
  <c r="I227" i="28"/>
  <c r="I226" i="28"/>
  <c r="I225" i="28"/>
  <c r="I224" i="28"/>
  <c r="I223" i="28"/>
  <c r="I222" i="28"/>
  <c r="I221" i="28"/>
  <c r="I220" i="28"/>
  <c r="I219" i="28"/>
  <c r="I218" i="28"/>
  <c r="I217" i="28"/>
  <c r="I216" i="28"/>
  <c r="I215" i="28"/>
  <c r="I214" i="28"/>
  <c r="I196" i="28"/>
  <c r="I195" i="28"/>
  <c r="L124" i="28"/>
  <c r="E56" i="27" l="1"/>
  <c r="F56" i="27" s="1"/>
  <c r="F55" i="27"/>
  <c r="E57" i="27"/>
  <c r="E53" i="27"/>
  <c r="F53" i="27" s="1"/>
  <c r="K50" i="27"/>
  <c r="AK157" i="23"/>
  <c r="AK166" i="24"/>
  <c r="AK163" i="24"/>
  <c r="AK164" i="23"/>
  <c r="AK160" i="24"/>
  <c r="F10" i="1"/>
  <c r="G10" i="1" s="1"/>
  <c r="AK158" i="23"/>
  <c r="AK158" i="24"/>
  <c r="AK165" i="24"/>
  <c r="AK165" i="23"/>
  <c r="AK156" i="23"/>
  <c r="AK156" i="24"/>
  <c r="AK162" i="23"/>
  <c r="AK162" i="24"/>
  <c r="AK157" i="24"/>
  <c r="AK166" i="23"/>
  <c r="AK167" i="24"/>
  <c r="AK167" i="23"/>
  <c r="AK159" i="24"/>
  <c r="AK159" i="23"/>
  <c r="AK161" i="24"/>
  <c r="AK161" i="23"/>
  <c r="AK160" i="23"/>
  <c r="C7" i="15"/>
  <c r="G3" i="2"/>
  <c r="AD3" i="2"/>
  <c r="G4" i="2" l="1"/>
  <c r="AC4" i="2"/>
  <c r="F57" i="27"/>
  <c r="E58" i="27"/>
  <c r="E59" i="27"/>
  <c r="E62" i="27" s="1"/>
  <c r="K56" i="27"/>
  <c r="E61" i="27"/>
  <c r="F61" i="27" s="1"/>
  <c r="K51" i="27"/>
  <c r="AK164" i="24"/>
  <c r="AK163" i="23"/>
  <c r="K10" i="1"/>
  <c r="E38" i="27"/>
  <c r="F38" i="27" s="1"/>
  <c r="C15" i="15"/>
  <c r="B29" i="32"/>
  <c r="C29" i="32" s="1"/>
  <c r="B9" i="32"/>
  <c r="B7" i="29"/>
  <c r="F7" i="29" s="1"/>
  <c r="D7" i="29" s="1"/>
  <c r="AS10" i="2"/>
  <c r="AX9" i="2"/>
  <c r="W8" i="1"/>
  <c r="A8" i="1"/>
  <c r="F15" i="15"/>
  <c r="C19" i="15"/>
  <c r="B33" i="32"/>
  <c r="C33" i="32" s="1"/>
  <c r="B13" i="32"/>
  <c r="B11" i="29"/>
  <c r="F11" i="29" s="1"/>
  <c r="D11" i="29" s="1"/>
  <c r="AS14" i="2"/>
  <c r="AX13" i="2"/>
  <c r="W12" i="1"/>
  <c r="A12" i="1"/>
  <c r="F19" i="15"/>
  <c r="C14" i="15"/>
  <c r="B8" i="32"/>
  <c r="B28" i="32"/>
  <c r="C28" i="32" s="1"/>
  <c r="B6" i="29"/>
  <c r="F6" i="29" s="1"/>
  <c r="D6" i="29" s="1"/>
  <c r="AS9" i="2"/>
  <c r="AX8" i="2"/>
  <c r="F14" i="15"/>
  <c r="W7" i="1"/>
  <c r="A7" i="1"/>
  <c r="C18" i="15"/>
  <c r="B12" i="32"/>
  <c r="B32" i="32"/>
  <c r="C32" i="32" s="1"/>
  <c r="B10" i="29"/>
  <c r="F10" i="29" s="1"/>
  <c r="D10" i="29" s="1"/>
  <c r="AS13" i="2"/>
  <c r="AX12" i="2"/>
  <c r="F18" i="15"/>
  <c r="W11" i="1"/>
  <c r="A11" i="1"/>
  <c r="C24" i="15"/>
  <c r="B16" i="29"/>
  <c r="F16" i="29" s="1"/>
  <c r="B38" i="32"/>
  <c r="C38" i="32" s="1"/>
  <c r="B18" i="32"/>
  <c r="AS19" i="2"/>
  <c r="AX18" i="2"/>
  <c r="A17" i="1"/>
  <c r="W17" i="1"/>
  <c r="F24" i="15"/>
  <c r="C27" i="15"/>
  <c r="B41" i="32"/>
  <c r="C41" i="32" s="1"/>
  <c r="B21" i="32"/>
  <c r="B19" i="29"/>
  <c r="F19" i="29" s="1"/>
  <c r="AS22" i="2"/>
  <c r="AX21" i="2"/>
  <c r="W20" i="1"/>
  <c r="A20" i="1"/>
  <c r="F27" i="15"/>
  <c r="C21" i="15"/>
  <c r="B35" i="32"/>
  <c r="C35" i="32" s="1"/>
  <c r="B15" i="32"/>
  <c r="B13" i="29"/>
  <c r="F13" i="29" s="1"/>
  <c r="D13" i="29" s="1"/>
  <c r="AS16" i="2"/>
  <c r="AX15" i="2"/>
  <c r="F21" i="15"/>
  <c r="W14" i="1"/>
  <c r="A14" i="1"/>
  <c r="C26" i="15"/>
  <c r="B18" i="29"/>
  <c r="F18" i="29" s="1"/>
  <c r="B40" i="32"/>
  <c r="C40" i="32" s="1"/>
  <c r="B20" i="32"/>
  <c r="AS21" i="2"/>
  <c r="AX20" i="2"/>
  <c r="F26" i="15"/>
  <c r="W19" i="1"/>
  <c r="A19" i="1"/>
  <c r="C13" i="15"/>
  <c r="B27" i="32"/>
  <c r="C27" i="32" s="1"/>
  <c r="B7" i="32"/>
  <c r="B5" i="29"/>
  <c r="F5" i="29" s="1"/>
  <c r="D5" i="29" s="1"/>
  <c r="AS8" i="2"/>
  <c r="AX7" i="2"/>
  <c r="W6" i="1"/>
  <c r="A6" i="1"/>
  <c r="F13" i="15"/>
  <c r="C17" i="15"/>
  <c r="B31" i="32"/>
  <c r="C31" i="32" s="1"/>
  <c r="B11" i="32"/>
  <c r="B9" i="29"/>
  <c r="F9" i="29" s="1"/>
  <c r="D9" i="29" s="1"/>
  <c r="AS12" i="2"/>
  <c r="AX11" i="2"/>
  <c r="W10" i="1"/>
  <c r="A10" i="1"/>
  <c r="F17" i="15"/>
  <c r="C12" i="15"/>
  <c r="K86" i="27"/>
  <c r="B83" i="27"/>
  <c r="B69" i="27"/>
  <c r="B70" i="27" s="1"/>
  <c r="B71" i="27" s="1"/>
  <c r="B72" i="27" s="1"/>
  <c r="B73" i="27" s="1"/>
  <c r="B74" i="27" s="1"/>
  <c r="B75" i="27" s="1"/>
  <c r="B76" i="27" s="1"/>
  <c r="E36" i="27"/>
  <c r="F36" i="27" s="1"/>
  <c r="E35" i="27"/>
  <c r="E32" i="27"/>
  <c r="F32" i="27" s="1"/>
  <c r="E34" i="27"/>
  <c r="F34" i="27" s="1"/>
  <c r="B6" i="32"/>
  <c r="B26" i="32"/>
  <c r="C26" i="32" s="1"/>
  <c r="B4" i="29"/>
  <c r="AS7" i="2"/>
  <c r="AX6" i="2"/>
  <c r="F12" i="15"/>
  <c r="W5" i="1"/>
  <c r="A5" i="1"/>
  <c r="C16" i="15"/>
  <c r="B10" i="32"/>
  <c r="B30" i="32"/>
  <c r="C30" i="32" s="1"/>
  <c r="B8" i="29"/>
  <c r="F8" i="29" s="1"/>
  <c r="D8" i="29" s="1"/>
  <c r="AS11" i="2"/>
  <c r="AX10" i="2"/>
  <c r="F16" i="15"/>
  <c r="W9" i="1"/>
  <c r="A9" i="1"/>
  <c r="C22" i="15"/>
  <c r="B36" i="32"/>
  <c r="C36" i="32" s="1"/>
  <c r="B16" i="32"/>
  <c r="B14" i="29"/>
  <c r="F14" i="29" s="1"/>
  <c r="D14" i="29" s="1"/>
  <c r="AS17" i="2"/>
  <c r="AX16" i="2"/>
  <c r="W15" i="1"/>
  <c r="A15" i="1"/>
  <c r="F22" i="15"/>
  <c r="C25" i="15"/>
  <c r="B39" i="32"/>
  <c r="C39" i="32" s="1"/>
  <c r="B19" i="32"/>
  <c r="B17" i="29"/>
  <c r="F17" i="29" s="1"/>
  <c r="AS20" i="2"/>
  <c r="AX19" i="2"/>
  <c r="W18" i="1"/>
  <c r="A18" i="1"/>
  <c r="F25" i="15"/>
  <c r="C20" i="15"/>
  <c r="B34" i="32"/>
  <c r="C34" i="32" s="1"/>
  <c r="B14" i="32"/>
  <c r="B12" i="29"/>
  <c r="F12" i="29" s="1"/>
  <c r="D12" i="29" s="1"/>
  <c r="AS15" i="2"/>
  <c r="AX14" i="2"/>
  <c r="W13" i="1"/>
  <c r="F20" i="15"/>
  <c r="A13" i="1"/>
  <c r="C23" i="15"/>
  <c r="B37" i="32"/>
  <c r="C37" i="32" s="1"/>
  <c r="B17" i="32"/>
  <c r="B15" i="29"/>
  <c r="F15" i="29" s="1"/>
  <c r="D15" i="29" s="1"/>
  <c r="AS18" i="2"/>
  <c r="AX17" i="2"/>
  <c r="F23" i="15"/>
  <c r="W16" i="1"/>
  <c r="A16" i="1"/>
  <c r="J26" i="32" l="1"/>
  <c r="G31" i="32"/>
  <c r="J32" i="32"/>
  <c r="G27" i="32"/>
  <c r="J28" i="32"/>
  <c r="G29" i="32"/>
  <c r="M12" i="29"/>
  <c r="N12" i="29" s="1"/>
  <c r="K12" i="29"/>
  <c r="L12" i="29" s="1"/>
  <c r="M14" i="29"/>
  <c r="N14" i="29" s="1"/>
  <c r="K14" i="29"/>
  <c r="L14" i="29" s="1"/>
  <c r="K9" i="29"/>
  <c r="L9" i="29" s="1"/>
  <c r="M9" i="29"/>
  <c r="N9" i="29" s="1"/>
  <c r="K5" i="29"/>
  <c r="L5" i="29" s="1"/>
  <c r="M5" i="29"/>
  <c r="N5" i="29" s="1"/>
  <c r="K13" i="29"/>
  <c r="L13" i="29" s="1"/>
  <c r="M13" i="29"/>
  <c r="N13" i="29" s="1"/>
  <c r="D16" i="29"/>
  <c r="M16" i="29"/>
  <c r="N16" i="29" s="1"/>
  <c r="I16" i="29"/>
  <c r="J16" i="29" s="1"/>
  <c r="K16" i="29"/>
  <c r="L16" i="29" s="1"/>
  <c r="M10" i="29"/>
  <c r="N10" i="29" s="1"/>
  <c r="K10" i="29"/>
  <c r="L10" i="29" s="1"/>
  <c r="M6" i="29"/>
  <c r="N6" i="29" s="1"/>
  <c r="K6" i="29"/>
  <c r="L6" i="29" s="1"/>
  <c r="K15" i="29"/>
  <c r="L15" i="29" s="1"/>
  <c r="M15" i="29"/>
  <c r="N15" i="29" s="1"/>
  <c r="I15" i="29"/>
  <c r="J15" i="29" s="1"/>
  <c r="D17" i="29"/>
  <c r="K17" i="29"/>
  <c r="L17" i="29" s="1"/>
  <c r="M17" i="29"/>
  <c r="N17" i="29" s="1"/>
  <c r="I17" i="29"/>
  <c r="J17" i="29" s="1"/>
  <c r="M8" i="29"/>
  <c r="N8" i="29" s="1"/>
  <c r="K8" i="29"/>
  <c r="L8" i="29" s="1"/>
  <c r="D18" i="29"/>
  <c r="M18" i="29"/>
  <c r="N18" i="29" s="1"/>
  <c r="I18" i="29"/>
  <c r="J18" i="29" s="1"/>
  <c r="K18" i="29"/>
  <c r="L18" i="29" s="1"/>
  <c r="D19" i="29"/>
  <c r="K19" i="29"/>
  <c r="L19" i="29" s="1"/>
  <c r="M19" i="29"/>
  <c r="N19" i="29" s="1"/>
  <c r="I19" i="29"/>
  <c r="J19" i="29" s="1"/>
  <c r="K11" i="29"/>
  <c r="L11" i="29" s="1"/>
  <c r="M11" i="29"/>
  <c r="N11" i="29" s="1"/>
  <c r="K7" i="29"/>
  <c r="L7" i="29" s="1"/>
  <c r="M7" i="29"/>
  <c r="N7" i="29" s="1"/>
  <c r="AN135" i="2"/>
  <c r="AN133" i="2"/>
  <c r="AN131" i="2"/>
  <c r="AN129" i="2"/>
  <c r="AN127" i="2"/>
  <c r="AN132" i="2"/>
  <c r="AN128" i="2"/>
  <c r="AN134" i="2"/>
  <c r="AN130" i="2"/>
  <c r="AN126" i="2"/>
  <c r="J30" i="32"/>
  <c r="K75" i="27"/>
  <c r="B77" i="27"/>
  <c r="F35" i="27"/>
  <c r="F62" i="27"/>
  <c r="K62" i="27" s="1"/>
  <c r="F59" i="27"/>
  <c r="K57" i="27"/>
  <c r="E60" i="27"/>
  <c r="E64" i="27" s="1"/>
  <c r="F64" i="27" s="1"/>
  <c r="K64" i="27" s="1"/>
  <c r="F58" i="27"/>
  <c r="T4" i="2"/>
  <c r="AT3" i="2" s="1"/>
  <c r="L14" i="27" s="1"/>
  <c r="K34" i="27"/>
  <c r="E63" i="27"/>
  <c r="K61" i="27"/>
  <c r="K32" i="27"/>
  <c r="B36" i="27"/>
  <c r="B38" i="27" s="1"/>
  <c r="B39" i="27" s="1"/>
  <c r="K38" i="27"/>
  <c r="F41" i="32"/>
  <c r="I41" i="32"/>
  <c r="AH4" i="2"/>
  <c r="H22" i="1"/>
  <c r="F78" i="27"/>
  <c r="J29" i="32"/>
  <c r="D17" i="15"/>
  <c r="D13" i="15"/>
  <c r="D27" i="15"/>
  <c r="D9" i="32"/>
  <c r="G30" i="32"/>
  <c r="D10" i="32"/>
  <c r="E39" i="27"/>
  <c r="F39" i="27" s="1"/>
  <c r="G26" i="32"/>
  <c r="J31" i="32"/>
  <c r="D11" i="32"/>
  <c r="J27" i="32"/>
  <c r="D7" i="32"/>
  <c r="D24" i="15"/>
  <c r="G32" i="32"/>
  <c r="D12" i="32"/>
  <c r="G28" i="32"/>
  <c r="D8" i="32"/>
  <c r="D19" i="15"/>
  <c r="D15" i="15"/>
  <c r="D25" i="15"/>
  <c r="D22" i="15"/>
  <c r="D16" i="15"/>
  <c r="D23" i="15"/>
  <c r="D20" i="15"/>
  <c r="D18" i="15"/>
  <c r="AY17" i="2"/>
  <c r="F16" i="1"/>
  <c r="G16" i="1" s="1"/>
  <c r="H23" i="15"/>
  <c r="C15" i="29"/>
  <c r="K16" i="1"/>
  <c r="D17" i="32"/>
  <c r="C12" i="29"/>
  <c r="E12" i="29" s="1"/>
  <c r="G12" i="29" s="1"/>
  <c r="K13" i="1"/>
  <c r="D14" i="32"/>
  <c r="M19" i="15"/>
  <c r="C17" i="29"/>
  <c r="K18" i="1"/>
  <c r="D19" i="32"/>
  <c r="C14" i="29"/>
  <c r="E14" i="29" s="1"/>
  <c r="G14" i="29" s="1"/>
  <c r="K15" i="1"/>
  <c r="D16" i="32"/>
  <c r="M21" i="15"/>
  <c r="C8" i="29"/>
  <c r="E8" i="29" s="1"/>
  <c r="G8" i="29" s="1"/>
  <c r="K9" i="1"/>
  <c r="I30" i="32"/>
  <c r="F30" i="32"/>
  <c r="D30" i="32"/>
  <c r="H23" i="1"/>
  <c r="C4" i="29"/>
  <c r="K5" i="1"/>
  <c r="I26" i="32"/>
  <c r="D26" i="32"/>
  <c r="F26" i="32"/>
  <c r="AY11" i="2"/>
  <c r="H17" i="15"/>
  <c r="H9" i="29"/>
  <c r="I9" i="29" s="1"/>
  <c r="J9" i="29" s="1"/>
  <c r="D31" i="32"/>
  <c r="I31" i="32"/>
  <c r="F31" i="32"/>
  <c r="AY7" i="2"/>
  <c r="F6" i="1"/>
  <c r="H13" i="15"/>
  <c r="H5" i="29"/>
  <c r="I5" i="29" s="1"/>
  <c r="J5" i="29" s="1"/>
  <c r="I27" i="32"/>
  <c r="F27" i="32"/>
  <c r="D27" i="32"/>
  <c r="F19" i="1"/>
  <c r="G19" i="1" s="1"/>
  <c r="AY20" i="2"/>
  <c r="H26" i="15"/>
  <c r="D20" i="32"/>
  <c r="H18" i="29"/>
  <c r="AY15" i="2"/>
  <c r="H21" i="15"/>
  <c r="F14" i="1"/>
  <c r="G14" i="1" s="1"/>
  <c r="J35" i="32"/>
  <c r="F35" i="32"/>
  <c r="G35" i="32"/>
  <c r="I35" i="32"/>
  <c r="D35" i="32"/>
  <c r="AY21" i="2"/>
  <c r="F20" i="1"/>
  <c r="G20" i="1" s="1"/>
  <c r="H27" i="15"/>
  <c r="G41" i="32"/>
  <c r="D41" i="32"/>
  <c r="M26" i="15"/>
  <c r="C16" i="29"/>
  <c r="K17" i="1"/>
  <c r="G38" i="32"/>
  <c r="I38" i="32"/>
  <c r="D38" i="32"/>
  <c r="F38" i="32"/>
  <c r="K11" i="1"/>
  <c r="C10" i="29"/>
  <c r="E10" i="29" s="1"/>
  <c r="G10" i="29" s="1"/>
  <c r="I32" i="32"/>
  <c r="F32" i="32"/>
  <c r="D32" i="32"/>
  <c r="C6" i="29"/>
  <c r="E6" i="29" s="1"/>
  <c r="G6" i="29" s="1"/>
  <c r="K7" i="1"/>
  <c r="I28" i="32"/>
  <c r="F28" i="32"/>
  <c r="D28" i="32"/>
  <c r="C11" i="29"/>
  <c r="E11" i="29" s="1"/>
  <c r="K12" i="1"/>
  <c r="D13" i="32"/>
  <c r="C7" i="29"/>
  <c r="E7" i="29" s="1"/>
  <c r="G7" i="29" s="1"/>
  <c r="K8" i="1"/>
  <c r="D26" i="15"/>
  <c r="D21" i="15"/>
  <c r="E15" i="29"/>
  <c r="G15" i="29" s="1"/>
  <c r="H15" i="29"/>
  <c r="G37" i="32"/>
  <c r="F37" i="32"/>
  <c r="I37" i="32"/>
  <c r="D37" i="32"/>
  <c r="F13" i="1"/>
  <c r="G13" i="1" s="1"/>
  <c r="AY14" i="2"/>
  <c r="H20" i="15"/>
  <c r="H12" i="29"/>
  <c r="I12" i="29" s="1"/>
  <c r="J12" i="29" s="1"/>
  <c r="I34" i="32"/>
  <c r="D34" i="32"/>
  <c r="J34" i="32"/>
  <c r="F34" i="32"/>
  <c r="G34" i="32"/>
  <c r="AY19" i="2"/>
  <c r="H25" i="15"/>
  <c r="F18" i="1"/>
  <c r="G18" i="1" s="1"/>
  <c r="H17" i="29"/>
  <c r="E17" i="29"/>
  <c r="G17" i="29" s="1"/>
  <c r="G39" i="32"/>
  <c r="F39" i="32"/>
  <c r="I39" i="32"/>
  <c r="D39" i="32"/>
  <c r="F15" i="1"/>
  <c r="G15" i="1" s="1"/>
  <c r="AY16" i="2"/>
  <c r="H22" i="15"/>
  <c r="H14" i="29"/>
  <c r="I14" i="29" s="1"/>
  <c r="J14" i="29" s="1"/>
  <c r="I36" i="32"/>
  <c r="F36" i="32"/>
  <c r="D36" i="32"/>
  <c r="J36" i="32"/>
  <c r="G36" i="32"/>
  <c r="H16" i="15"/>
  <c r="F9" i="1"/>
  <c r="G9" i="1" s="1"/>
  <c r="AY10" i="2"/>
  <c r="H8" i="29"/>
  <c r="I8" i="29" s="1"/>
  <c r="J8" i="29" s="1"/>
  <c r="AY6" i="2"/>
  <c r="F5" i="1"/>
  <c r="H12" i="15"/>
  <c r="C9" i="29"/>
  <c r="E9" i="29" s="1"/>
  <c r="G9" i="29" s="1"/>
  <c r="C5" i="29"/>
  <c r="E5" i="29" s="1"/>
  <c r="G5" i="29" s="1"/>
  <c r="K6" i="1"/>
  <c r="C18" i="29"/>
  <c r="K19" i="1"/>
  <c r="G40" i="32"/>
  <c r="I40" i="32"/>
  <c r="D40" i="32"/>
  <c r="F40" i="32"/>
  <c r="C13" i="29"/>
  <c r="E13" i="29" s="1"/>
  <c r="G13" i="29" s="1"/>
  <c r="K14" i="1"/>
  <c r="D15" i="32"/>
  <c r="M20" i="15"/>
  <c r="C19" i="29"/>
  <c r="K20" i="1"/>
  <c r="D21" i="32"/>
  <c r="F17" i="1"/>
  <c r="G17" i="1" s="1"/>
  <c r="AY18" i="2"/>
  <c r="H24" i="15"/>
  <c r="D18" i="32"/>
  <c r="H16" i="29"/>
  <c r="E16" i="29"/>
  <c r="G16" i="29" s="1"/>
  <c r="H18" i="15"/>
  <c r="AY12" i="2"/>
  <c r="F11" i="1"/>
  <c r="G11" i="1" s="1"/>
  <c r="H10" i="29"/>
  <c r="I10" i="29" s="1"/>
  <c r="J10" i="29" s="1"/>
  <c r="H14" i="15"/>
  <c r="F7" i="1"/>
  <c r="AY8" i="2"/>
  <c r="H6" i="29"/>
  <c r="I6" i="29" s="1"/>
  <c r="J6" i="29" s="1"/>
  <c r="AY13" i="2"/>
  <c r="H19" i="15"/>
  <c r="F12" i="1"/>
  <c r="G12" i="1" s="1"/>
  <c r="H11" i="29"/>
  <c r="I11" i="29" s="1"/>
  <c r="J11" i="29" s="1"/>
  <c r="J33" i="32"/>
  <c r="F33" i="32"/>
  <c r="G33" i="32"/>
  <c r="I33" i="32"/>
  <c r="D33" i="32"/>
  <c r="AY9" i="2"/>
  <c r="F8" i="1"/>
  <c r="H15" i="15"/>
  <c r="H7" i="29"/>
  <c r="I7" i="29" s="1"/>
  <c r="J7" i="29" s="1"/>
  <c r="I29" i="32"/>
  <c r="F29" i="32"/>
  <c r="D29" i="32"/>
  <c r="D12" i="15"/>
  <c r="D14" i="15"/>
  <c r="E6" i="2" l="1"/>
  <c r="L15" i="27"/>
  <c r="L16" i="27" s="1"/>
  <c r="L17" i="27" s="1"/>
  <c r="L18" i="27" s="1"/>
  <c r="K76" i="27"/>
  <c r="B78" i="27"/>
  <c r="O15" i="29"/>
  <c r="K35" i="27"/>
  <c r="F63" i="27"/>
  <c r="K63" i="27" s="1"/>
  <c r="E40" i="32"/>
  <c r="F60" i="27"/>
  <c r="O14" i="29"/>
  <c r="E37" i="32"/>
  <c r="E41" i="27"/>
  <c r="E195" i="2"/>
  <c r="E193" i="2"/>
  <c r="E191" i="2"/>
  <c r="E189" i="2"/>
  <c r="E187" i="2"/>
  <c r="E194" i="2"/>
  <c r="E192" i="2"/>
  <c r="E190" i="2"/>
  <c r="E188" i="2"/>
  <c r="E203" i="2"/>
  <c r="E201" i="2"/>
  <c r="E199" i="2"/>
  <c r="E197" i="2"/>
  <c r="E204" i="2"/>
  <c r="E202" i="2"/>
  <c r="E200" i="2"/>
  <c r="E198" i="2"/>
  <c r="E196" i="2"/>
  <c r="E225" i="2"/>
  <c r="E223" i="2"/>
  <c r="E221" i="2"/>
  <c r="E219" i="2"/>
  <c r="E217" i="2"/>
  <c r="E215" i="2"/>
  <c r="E211" i="2"/>
  <c r="E209" i="2"/>
  <c r="E207" i="2"/>
  <c r="E205" i="2"/>
  <c r="E224" i="2"/>
  <c r="E222" i="2"/>
  <c r="E220" i="2"/>
  <c r="E218" i="2"/>
  <c r="E216" i="2"/>
  <c r="E212" i="2"/>
  <c r="E210" i="2"/>
  <c r="E208" i="2"/>
  <c r="E206" i="2"/>
  <c r="O10" i="29"/>
  <c r="O12" i="29"/>
  <c r="H11" i="30"/>
  <c r="E33" i="32"/>
  <c r="H33" i="32" s="1"/>
  <c r="O9" i="29"/>
  <c r="E36" i="32"/>
  <c r="E34" i="32"/>
  <c r="K36" i="27"/>
  <c r="K78" i="27"/>
  <c r="O11" i="29"/>
  <c r="E28" i="32"/>
  <c r="H28" i="32" s="1"/>
  <c r="O6" i="29"/>
  <c r="E30" i="32"/>
  <c r="K30" i="32" s="1"/>
  <c r="O8" i="29"/>
  <c r="E27" i="32"/>
  <c r="H27" i="32" s="1"/>
  <c r="O5" i="29"/>
  <c r="E32" i="32"/>
  <c r="E31" i="32"/>
  <c r="H19" i="29"/>
  <c r="E18" i="29"/>
  <c r="G18" i="29" s="1"/>
  <c r="E38" i="32"/>
  <c r="O18" i="29"/>
  <c r="E19" i="29"/>
  <c r="G19" i="29" s="1"/>
  <c r="E39" i="32"/>
  <c r="I26" i="15"/>
  <c r="N20" i="1"/>
  <c r="O7" i="29"/>
  <c r="E40" i="27"/>
  <c r="F40" i="27" s="1"/>
  <c r="I22" i="15"/>
  <c r="I20" i="15"/>
  <c r="N19" i="1"/>
  <c r="N17" i="1"/>
  <c r="N18" i="1"/>
  <c r="N16" i="1"/>
  <c r="I24" i="15"/>
  <c r="N14" i="1"/>
  <c r="BA29" i="2"/>
  <c r="AZ29" i="2" s="1"/>
  <c r="BA81" i="2"/>
  <c r="AZ81" i="2" s="1"/>
  <c r="BA49" i="2"/>
  <c r="AZ49" i="2" s="1"/>
  <c r="BA61" i="2"/>
  <c r="AZ61" i="2" s="1"/>
  <c r="E172" i="10"/>
  <c r="E174" i="10"/>
  <c r="E171" i="10"/>
  <c r="E170" i="10"/>
  <c r="E173" i="10"/>
  <c r="E168" i="10"/>
  <c r="E166" i="10"/>
  <c r="E162" i="10"/>
  <c r="E167" i="10"/>
  <c r="E163" i="10"/>
  <c r="E164" i="10"/>
  <c r="E160" i="10"/>
  <c r="E165" i="10"/>
  <c r="E161" i="10"/>
  <c r="E142" i="10"/>
  <c r="E138" i="10"/>
  <c r="E136" i="10"/>
  <c r="E141" i="10"/>
  <c r="E140" i="10"/>
  <c r="E143" i="10"/>
  <c r="E139" i="10"/>
  <c r="E137" i="10"/>
  <c r="E72" i="10"/>
  <c r="E67" i="10"/>
  <c r="E64" i="10"/>
  <c r="E71" i="10"/>
  <c r="E69" i="10"/>
  <c r="E74" i="10"/>
  <c r="E70" i="10"/>
  <c r="E68" i="10"/>
  <c r="E65" i="10"/>
  <c r="E73" i="10"/>
  <c r="E66" i="10"/>
  <c r="E56" i="10"/>
  <c r="E60" i="10"/>
  <c r="E51" i="10"/>
  <c r="E49" i="10"/>
  <c r="E54" i="10"/>
  <c r="E47" i="10"/>
  <c r="E57" i="10"/>
  <c r="E61" i="10"/>
  <c r="E62" i="10"/>
  <c r="E55" i="10"/>
  <c r="E46" i="10"/>
  <c r="E52" i="10"/>
  <c r="E59" i="10"/>
  <c r="E50" i="10"/>
  <c r="E58" i="10"/>
  <c r="E102" i="10"/>
  <c r="E97" i="10"/>
  <c r="E101" i="10"/>
  <c r="E104" i="10"/>
  <c r="E98" i="10"/>
  <c r="E106" i="10"/>
  <c r="E99" i="10"/>
  <c r="E96" i="10"/>
  <c r="E100" i="10"/>
  <c r="E95" i="10"/>
  <c r="E105" i="10"/>
  <c r="H13" i="29"/>
  <c r="I13" i="29" s="1"/>
  <c r="J13" i="29" s="1"/>
  <c r="E134" i="10"/>
  <c r="E132" i="10"/>
  <c r="E130" i="10"/>
  <c r="X130" i="10" s="1"/>
  <c r="W130" i="10" s="1"/>
  <c r="E129" i="10"/>
  <c r="E135" i="10"/>
  <c r="E133" i="10"/>
  <c r="E131" i="10"/>
  <c r="E128" i="10"/>
  <c r="E125" i="10"/>
  <c r="E126" i="10"/>
  <c r="E127" i="10"/>
  <c r="E121" i="10"/>
  <c r="E120" i="10"/>
  <c r="E115" i="10"/>
  <c r="E124" i="10"/>
  <c r="E123" i="10"/>
  <c r="E116" i="10"/>
  <c r="E110" i="10"/>
  <c r="E112" i="10"/>
  <c r="E108" i="10"/>
  <c r="E109" i="10"/>
  <c r="E107" i="10"/>
  <c r="E92" i="10"/>
  <c r="E88" i="10"/>
  <c r="E91" i="10"/>
  <c r="E93" i="10"/>
  <c r="E87" i="10"/>
  <c r="E94" i="10"/>
  <c r="E90" i="10"/>
  <c r="E86" i="10"/>
  <c r="E85" i="10"/>
  <c r="E89" i="10"/>
  <c r="E40" i="10"/>
  <c r="E45" i="10"/>
  <c r="E43" i="10"/>
  <c r="E39" i="10"/>
  <c r="E38" i="10"/>
  <c r="E44" i="10"/>
  <c r="E42" i="10"/>
  <c r="E41" i="10"/>
  <c r="E37" i="10"/>
  <c r="E33" i="10"/>
  <c r="E34" i="10"/>
  <c r="E36" i="10"/>
  <c r="E35" i="10"/>
  <c r="E31" i="10"/>
  <c r="E32" i="10"/>
  <c r="E30" i="10"/>
  <c r="I23" i="15"/>
  <c r="I16" i="15"/>
  <c r="I25" i="15"/>
  <c r="I27" i="15"/>
  <c r="I21" i="15"/>
  <c r="I19" i="15"/>
  <c r="I17" i="15"/>
  <c r="N9" i="1"/>
  <c r="B53" i="27"/>
  <c r="I18" i="15"/>
  <c r="N12" i="1"/>
  <c r="N11" i="1"/>
  <c r="N15" i="1"/>
  <c r="N13" i="1"/>
  <c r="N8" i="1"/>
  <c r="G8" i="1"/>
  <c r="I15" i="15" s="1"/>
  <c r="N7" i="1"/>
  <c r="G7" i="1"/>
  <c r="I14" i="15" s="1"/>
  <c r="AZ12" i="2"/>
  <c r="BA12" i="2"/>
  <c r="N5" i="1"/>
  <c r="G5" i="1"/>
  <c r="I12" i="15" s="1"/>
  <c r="BA16" i="2"/>
  <c r="AZ16" i="2"/>
  <c r="AZ19" i="2"/>
  <c r="BA19" i="2"/>
  <c r="J41" i="32"/>
  <c r="AZ15" i="2"/>
  <c r="BA15" i="2"/>
  <c r="AZ7" i="2"/>
  <c r="BA7" i="2"/>
  <c r="AZ11" i="2"/>
  <c r="BA11" i="2"/>
  <c r="AZ17" i="2"/>
  <c r="BA17" i="2"/>
  <c r="AZ9" i="2"/>
  <c r="BA9" i="2"/>
  <c r="G11" i="29"/>
  <c r="AZ13" i="2"/>
  <c r="BA13" i="2"/>
  <c r="AZ8" i="2"/>
  <c r="BA8" i="2"/>
  <c r="BA18" i="2"/>
  <c r="AZ18" i="2"/>
  <c r="AZ6" i="2"/>
  <c r="BA6" i="2"/>
  <c r="AZ10" i="2"/>
  <c r="BA10" i="2"/>
  <c r="BA14" i="2"/>
  <c r="AZ14" i="2"/>
  <c r="AZ21" i="2"/>
  <c r="E214" i="2" s="1"/>
  <c r="BA21" i="2"/>
  <c r="BA20" i="2"/>
  <c r="AZ20" i="2"/>
  <c r="E213" i="2" s="1"/>
  <c r="N6" i="1"/>
  <c r="G6" i="1"/>
  <c r="I13" i="15" s="1"/>
  <c r="H24" i="1"/>
  <c r="E146" i="10" l="1"/>
  <c r="X146" i="10" s="1"/>
  <c r="AL130" i="2"/>
  <c r="AL128" i="2"/>
  <c r="AL126" i="2"/>
  <c r="AL115" i="2"/>
  <c r="AL113" i="2"/>
  <c r="AL129" i="2"/>
  <c r="AL114" i="2"/>
  <c r="AL127" i="2"/>
  <c r="AP137" i="2"/>
  <c r="AP135" i="2"/>
  <c r="AP136" i="2"/>
  <c r="AP134" i="2"/>
  <c r="AP140" i="2"/>
  <c r="AP133" i="2"/>
  <c r="AP131" i="2"/>
  <c r="AP144" i="2"/>
  <c r="AP142" i="2"/>
  <c r="AP143" i="2"/>
  <c r="AP138" i="2"/>
  <c r="AP141" i="2"/>
  <c r="AP132" i="2"/>
  <c r="AP139" i="2"/>
  <c r="E148" i="10"/>
  <c r="W148" i="10" s="1"/>
  <c r="AL100" i="2"/>
  <c r="AL110" i="2"/>
  <c r="AL101" i="2"/>
  <c r="AL104" i="2"/>
  <c r="AL111" i="2"/>
  <c r="AL109" i="2"/>
  <c r="AL107" i="2"/>
  <c r="AL102" i="2"/>
  <c r="AL105" i="2"/>
  <c r="AL112" i="2"/>
  <c r="AL108" i="2"/>
  <c r="AL103" i="2"/>
  <c r="AL106" i="2"/>
  <c r="AL79" i="2"/>
  <c r="AL71" i="2"/>
  <c r="AL77" i="2"/>
  <c r="AL74" i="2"/>
  <c r="AL82" i="2"/>
  <c r="AL80" i="2"/>
  <c r="AL72" i="2"/>
  <c r="AL83" i="2"/>
  <c r="AL73" i="2"/>
  <c r="AL75" i="2"/>
  <c r="AL81" i="2"/>
  <c r="AL78" i="2"/>
  <c r="AL76" i="2"/>
  <c r="AL96" i="2"/>
  <c r="AL92" i="2"/>
  <c r="AL88" i="2"/>
  <c r="AL84" i="2"/>
  <c r="AL89" i="2"/>
  <c r="AL98" i="2"/>
  <c r="AL94" i="2"/>
  <c r="AL90" i="2"/>
  <c r="AL86" i="2"/>
  <c r="AL97" i="2"/>
  <c r="AL87" i="2"/>
  <c r="AL95" i="2"/>
  <c r="AL99" i="2"/>
  <c r="AL91" i="2"/>
  <c r="AL93" i="2"/>
  <c r="AL85" i="2"/>
  <c r="E145" i="10"/>
  <c r="X145" i="10" s="1"/>
  <c r="AL30" i="2"/>
  <c r="AL28" i="2"/>
  <c r="AL32" i="2"/>
  <c r="AL33" i="2"/>
  <c r="AL29" i="2"/>
  <c r="AL31" i="2"/>
  <c r="AL34" i="2"/>
  <c r="AL26" i="2"/>
  <c r="AL35" i="2"/>
  <c r="AL27" i="2"/>
  <c r="E147" i="10"/>
  <c r="X147" i="10" s="1"/>
  <c r="K28" i="32"/>
  <c r="L28" i="32" s="1"/>
  <c r="AL59" i="2"/>
  <c r="AL57" i="2"/>
  <c r="AL55" i="2"/>
  <c r="AL54" i="2"/>
  <c r="AL53" i="2"/>
  <c r="AL52" i="2"/>
  <c r="AL51" i="2"/>
  <c r="AL50" i="2"/>
  <c r="AL49" i="2"/>
  <c r="AL48" i="2"/>
  <c r="AL58" i="2"/>
  <c r="AL56" i="2"/>
  <c r="AL69" i="2"/>
  <c r="AL67" i="2"/>
  <c r="AL65" i="2"/>
  <c r="AL63" i="2"/>
  <c r="AL61" i="2"/>
  <c r="AL70" i="2"/>
  <c r="AL68" i="2"/>
  <c r="AL66" i="2"/>
  <c r="AL64" i="2"/>
  <c r="AL62" i="2"/>
  <c r="AL60" i="2"/>
  <c r="AL47" i="2"/>
  <c r="AL46" i="2"/>
  <c r="AM94" i="2"/>
  <c r="AM92" i="2"/>
  <c r="AM90" i="2"/>
  <c r="AM88" i="2"/>
  <c r="AM86" i="2"/>
  <c r="AM84" i="2"/>
  <c r="AM82" i="2"/>
  <c r="AM95" i="2"/>
  <c r="AM93" i="2"/>
  <c r="AM91" i="2"/>
  <c r="AM89" i="2"/>
  <c r="AM87" i="2"/>
  <c r="AM85" i="2"/>
  <c r="AM83" i="2"/>
  <c r="AM81" i="2"/>
  <c r="AM96" i="2"/>
  <c r="AM97" i="2"/>
  <c r="AJ35" i="2"/>
  <c r="AJ34" i="2"/>
  <c r="AJ33" i="2"/>
  <c r="AJ32" i="2"/>
  <c r="AJ31" i="2"/>
  <c r="AJ30" i="2"/>
  <c r="AJ29" i="2"/>
  <c r="AJ28" i="2"/>
  <c r="AJ27" i="2"/>
  <c r="AJ26" i="2"/>
  <c r="AM100" i="2"/>
  <c r="AM98" i="2"/>
  <c r="AM99" i="2"/>
  <c r="AL135" i="2"/>
  <c r="AL133" i="2"/>
  <c r="AL131" i="2"/>
  <c r="AL150" i="2"/>
  <c r="AL149" i="2"/>
  <c r="AL148" i="2"/>
  <c r="AL147" i="2"/>
  <c r="AL146" i="2"/>
  <c r="AL145" i="2"/>
  <c r="AL144" i="2"/>
  <c r="AL143" i="2"/>
  <c r="AL142" i="2"/>
  <c r="AL141" i="2"/>
  <c r="AL140" i="2"/>
  <c r="AL139" i="2"/>
  <c r="AL138" i="2"/>
  <c r="AL137" i="2"/>
  <c r="AL136" i="2"/>
  <c r="AL134" i="2"/>
  <c r="AL132" i="2"/>
  <c r="AJ55" i="2"/>
  <c r="AJ53" i="2"/>
  <c r="AJ51" i="2"/>
  <c r="AJ49" i="2"/>
  <c r="AJ47" i="2"/>
  <c r="AJ45" i="2"/>
  <c r="AJ43" i="2"/>
  <c r="AJ41" i="2"/>
  <c r="AJ39" i="2"/>
  <c r="AJ37" i="2"/>
  <c r="AJ54" i="2"/>
  <c r="AJ52" i="2"/>
  <c r="AJ50" i="2"/>
  <c r="AJ48" i="2"/>
  <c r="AJ46" i="2"/>
  <c r="AJ44" i="2"/>
  <c r="AJ42" i="2"/>
  <c r="AJ40" i="2"/>
  <c r="AJ38" i="2"/>
  <c r="AJ36" i="2"/>
  <c r="AK130" i="2"/>
  <c r="AK128" i="2"/>
  <c r="AK126" i="2"/>
  <c r="AK129" i="2"/>
  <c r="AK127" i="2"/>
  <c r="AJ73" i="2"/>
  <c r="AJ69" i="2"/>
  <c r="AJ65" i="2"/>
  <c r="AJ68" i="2"/>
  <c r="AJ70" i="2"/>
  <c r="AJ75" i="2"/>
  <c r="AJ71" i="2"/>
  <c r="AJ67" i="2"/>
  <c r="AJ72" i="2"/>
  <c r="AJ74" i="2"/>
  <c r="AJ66" i="2"/>
  <c r="AL45" i="2"/>
  <c r="AL41" i="2"/>
  <c r="AL37" i="2"/>
  <c r="AL40" i="2"/>
  <c r="AL42" i="2"/>
  <c r="AK46" i="2"/>
  <c r="AL43" i="2"/>
  <c r="AL39" i="2"/>
  <c r="AL44" i="2"/>
  <c r="AL36" i="2"/>
  <c r="AL38" i="2"/>
  <c r="AJ61" i="2"/>
  <c r="AJ57" i="2"/>
  <c r="AK52" i="2"/>
  <c r="AK48" i="2"/>
  <c r="AJ60" i="2"/>
  <c r="AK55" i="2"/>
  <c r="AK47" i="2"/>
  <c r="AJ62" i="2"/>
  <c r="AK53" i="2"/>
  <c r="AJ63" i="2"/>
  <c r="AJ59" i="2"/>
  <c r="AK54" i="2"/>
  <c r="AK50" i="2"/>
  <c r="AJ64" i="2"/>
  <c r="AJ56" i="2"/>
  <c r="AK51" i="2"/>
  <c r="AJ58" i="2"/>
  <c r="AK49" i="2"/>
  <c r="AO106" i="2"/>
  <c r="AO107" i="2"/>
  <c r="AL123" i="2"/>
  <c r="AL119" i="2"/>
  <c r="AO114" i="2"/>
  <c r="AO110" i="2"/>
  <c r="AL120" i="2"/>
  <c r="AO115" i="2"/>
  <c r="AL118" i="2"/>
  <c r="AO109" i="2"/>
  <c r="AL125" i="2"/>
  <c r="AL121" i="2"/>
  <c r="AL117" i="2"/>
  <c r="AO112" i="2"/>
  <c r="AO108" i="2"/>
  <c r="AL124" i="2"/>
  <c r="AL116" i="2"/>
  <c r="AO111" i="2"/>
  <c r="AL122" i="2"/>
  <c r="AO113" i="2"/>
  <c r="AJ180" i="2"/>
  <c r="AJ179" i="2"/>
  <c r="AJ178" i="2"/>
  <c r="AJ177" i="2"/>
  <c r="AJ176" i="2"/>
  <c r="AJ175" i="2"/>
  <c r="AJ171" i="2"/>
  <c r="AJ167" i="2"/>
  <c r="AJ172" i="2"/>
  <c r="AJ170" i="2"/>
  <c r="AJ173" i="2"/>
  <c r="AJ169" i="2"/>
  <c r="AJ168" i="2"/>
  <c r="AJ174" i="2"/>
  <c r="AJ166" i="2"/>
  <c r="AJ105" i="2"/>
  <c r="AJ120" i="2"/>
  <c r="AJ118" i="2"/>
  <c r="AJ116" i="2"/>
  <c r="AJ114" i="2"/>
  <c r="AJ112" i="2"/>
  <c r="AJ110" i="2"/>
  <c r="AJ108" i="2"/>
  <c r="AJ106" i="2"/>
  <c r="AJ119" i="2"/>
  <c r="AJ117" i="2"/>
  <c r="AJ115" i="2"/>
  <c r="AJ113" i="2"/>
  <c r="AJ111" i="2"/>
  <c r="AJ109" i="2"/>
  <c r="AJ107" i="2"/>
  <c r="AJ76" i="2"/>
  <c r="AJ101" i="2"/>
  <c r="AJ97" i="2"/>
  <c r="AJ93" i="2"/>
  <c r="AJ89" i="2"/>
  <c r="AJ85" i="2"/>
  <c r="AJ81" i="2"/>
  <c r="AJ77" i="2"/>
  <c r="AJ100" i="2"/>
  <c r="AJ92" i="2"/>
  <c r="AJ84" i="2"/>
  <c r="AJ98" i="2"/>
  <c r="AJ90" i="2"/>
  <c r="AJ82" i="2"/>
  <c r="AJ103" i="2"/>
  <c r="AJ99" i="2"/>
  <c r="AJ95" i="2"/>
  <c r="AJ91" i="2"/>
  <c r="AJ87" i="2"/>
  <c r="AJ83" i="2"/>
  <c r="AJ79" i="2"/>
  <c r="AJ104" i="2"/>
  <c r="AJ96" i="2"/>
  <c r="AJ88" i="2"/>
  <c r="AJ80" i="2"/>
  <c r="AJ102" i="2"/>
  <c r="AJ94" i="2"/>
  <c r="AJ86" i="2"/>
  <c r="AJ78" i="2"/>
  <c r="AN95" i="2"/>
  <c r="AN94" i="2"/>
  <c r="AN93" i="2"/>
  <c r="AN92" i="2"/>
  <c r="AN91" i="2"/>
  <c r="AN90" i="2"/>
  <c r="AN89" i="2"/>
  <c r="AN88" i="2"/>
  <c r="AN87" i="2"/>
  <c r="AN86" i="2"/>
  <c r="AN85" i="2"/>
  <c r="AN84" i="2"/>
  <c r="AN83" i="2"/>
  <c r="AN82" i="2"/>
  <c r="AN81" i="2"/>
  <c r="AN80" i="2"/>
  <c r="AN79" i="2"/>
  <c r="AN78" i="2"/>
  <c r="AN77" i="2"/>
  <c r="AN76" i="2"/>
  <c r="AN75" i="2"/>
  <c r="AN74" i="2"/>
  <c r="AN73" i="2"/>
  <c r="AN72" i="2"/>
  <c r="AN71" i="2"/>
  <c r="AN50" i="2"/>
  <c r="AN49" i="2"/>
  <c r="AN48" i="2"/>
  <c r="AN47" i="2"/>
  <c r="AN46" i="2"/>
  <c r="AN45" i="2"/>
  <c r="AN44" i="2"/>
  <c r="AN43" i="2"/>
  <c r="AN42" i="2"/>
  <c r="AN41" i="2"/>
  <c r="AN40" i="2"/>
  <c r="AN39" i="2"/>
  <c r="AN38" i="2"/>
  <c r="AN37" i="2"/>
  <c r="AN36" i="2"/>
  <c r="AN35" i="2"/>
  <c r="AN31" i="2"/>
  <c r="AN34" i="2"/>
  <c r="AN33" i="2"/>
  <c r="AN32" i="2"/>
  <c r="AN115" i="2"/>
  <c r="AN114" i="2"/>
  <c r="AN113" i="2"/>
  <c r="AN112" i="2"/>
  <c r="AN111" i="2"/>
  <c r="AN110" i="2"/>
  <c r="AN109" i="2"/>
  <c r="AN108" i="2"/>
  <c r="AN107" i="2"/>
  <c r="AN106" i="2"/>
  <c r="AN120" i="2"/>
  <c r="AN119" i="2"/>
  <c r="AN118" i="2"/>
  <c r="AN117" i="2"/>
  <c r="AN116" i="2"/>
  <c r="AN105" i="2"/>
  <c r="AN104" i="2"/>
  <c r="AN103" i="2"/>
  <c r="AN102" i="2"/>
  <c r="AN101" i="2"/>
  <c r="AN100" i="2"/>
  <c r="AN99" i="2"/>
  <c r="AN98" i="2"/>
  <c r="AN97" i="2"/>
  <c r="AN96" i="2"/>
  <c r="AN70" i="2"/>
  <c r="AN69" i="2"/>
  <c r="AN68" i="2"/>
  <c r="AN67" i="2"/>
  <c r="AN66" i="2"/>
  <c r="AN65" i="2"/>
  <c r="AN64" i="2"/>
  <c r="AN63" i="2"/>
  <c r="AN62" i="2"/>
  <c r="AN61" i="2"/>
  <c r="AN60" i="2"/>
  <c r="AN59" i="2"/>
  <c r="AN58" i="2"/>
  <c r="AN57" i="2"/>
  <c r="AN56" i="2"/>
  <c r="AN55" i="2"/>
  <c r="AN54" i="2"/>
  <c r="AN53" i="2"/>
  <c r="AN52" i="2"/>
  <c r="AN51" i="2"/>
  <c r="AL175" i="2"/>
  <c r="AL174" i="2"/>
  <c r="AL173" i="2"/>
  <c r="AL172" i="2"/>
  <c r="AL171" i="2"/>
  <c r="AL170" i="2"/>
  <c r="AL169" i="2"/>
  <c r="AL168" i="2"/>
  <c r="AL167" i="2"/>
  <c r="AL166" i="2"/>
  <c r="AL176" i="2"/>
  <c r="AL180" i="2"/>
  <c r="AL184" i="2"/>
  <c r="AL179" i="2"/>
  <c r="AL183" i="2"/>
  <c r="AL178" i="2"/>
  <c r="AL182" i="2"/>
  <c r="AL177" i="2"/>
  <c r="AL181" i="2"/>
  <c r="AL185" i="2"/>
  <c r="AJ163" i="2"/>
  <c r="AJ164" i="2"/>
  <c r="AJ162" i="2"/>
  <c r="AJ165" i="2"/>
  <c r="AJ161" i="2"/>
  <c r="AJ135" i="2"/>
  <c r="AJ134" i="2"/>
  <c r="AJ133" i="2"/>
  <c r="AJ132" i="2"/>
  <c r="AJ131" i="2"/>
  <c r="AJ130" i="2"/>
  <c r="AJ129" i="2"/>
  <c r="AJ128" i="2"/>
  <c r="AJ127" i="2"/>
  <c r="AJ126" i="2"/>
  <c r="AJ125" i="2"/>
  <c r="AJ124" i="2"/>
  <c r="AJ123" i="2"/>
  <c r="AJ122" i="2"/>
  <c r="AJ121" i="2"/>
  <c r="AJ139" i="2"/>
  <c r="AJ140" i="2"/>
  <c r="AJ138" i="2"/>
  <c r="AJ137" i="2"/>
  <c r="AJ136" i="2"/>
  <c r="AJ147" i="2"/>
  <c r="AJ143" i="2"/>
  <c r="AJ148" i="2"/>
  <c r="AJ146" i="2"/>
  <c r="AJ149" i="2"/>
  <c r="AJ145" i="2"/>
  <c r="AJ141" i="2"/>
  <c r="AJ144" i="2"/>
  <c r="AJ142" i="2"/>
  <c r="E186" i="2"/>
  <c r="K52" i="27"/>
  <c r="B54" i="27"/>
  <c r="F41" i="27"/>
  <c r="H10" i="30"/>
  <c r="O19" i="29"/>
  <c r="E41" i="32"/>
  <c r="H40" i="32"/>
  <c r="K33" i="32"/>
  <c r="H37" i="32"/>
  <c r="H39" i="32"/>
  <c r="H38" i="32"/>
  <c r="E42" i="27"/>
  <c r="F42" i="27" s="1"/>
  <c r="E122" i="10"/>
  <c r="W122" i="10" s="1"/>
  <c r="E219" i="10"/>
  <c r="X219" i="10" s="1"/>
  <c r="W219" i="10" s="1"/>
  <c r="G219" i="10" s="1"/>
  <c r="V219" i="10" s="1"/>
  <c r="E218" i="10"/>
  <c r="X218" i="10" s="1"/>
  <c r="W218" i="10" s="1"/>
  <c r="G218" i="10" s="1"/>
  <c r="V218" i="10" s="1"/>
  <c r="E210" i="10"/>
  <c r="X210" i="10" s="1"/>
  <c r="W210" i="10" s="1"/>
  <c r="G210" i="10" s="1"/>
  <c r="V210" i="10" s="1"/>
  <c r="E221" i="10"/>
  <c r="X221" i="10" s="1"/>
  <c r="W221" i="10" s="1"/>
  <c r="G221" i="10" s="1"/>
  <c r="V221" i="10" s="1"/>
  <c r="E215" i="10"/>
  <c r="X215" i="10" s="1"/>
  <c r="W215" i="10" s="1"/>
  <c r="G215" i="10" s="1"/>
  <c r="V215" i="10" s="1"/>
  <c r="E211" i="10"/>
  <c r="X211" i="10" s="1"/>
  <c r="W211" i="10" s="1"/>
  <c r="G211" i="10" s="1"/>
  <c r="V211" i="10" s="1"/>
  <c r="E207" i="10"/>
  <c r="X207" i="10" s="1"/>
  <c r="W207" i="10" s="1"/>
  <c r="G207" i="10" s="1"/>
  <c r="V207" i="10" s="1"/>
  <c r="E224" i="10"/>
  <c r="X224" i="10" s="1"/>
  <c r="W224" i="10" s="1"/>
  <c r="G224" i="10" s="1"/>
  <c r="V224" i="10" s="1"/>
  <c r="E216" i="10"/>
  <c r="X216" i="10" s="1"/>
  <c r="W216" i="10" s="1"/>
  <c r="G216" i="10" s="1"/>
  <c r="V216" i="10" s="1"/>
  <c r="E208" i="10"/>
  <c r="X208" i="10" s="1"/>
  <c r="W208" i="10" s="1"/>
  <c r="G208" i="10" s="1"/>
  <c r="V208" i="10" s="1"/>
  <c r="E223" i="10"/>
  <c r="X223" i="10" s="1"/>
  <c r="W223" i="10" s="1"/>
  <c r="G223" i="10" s="1"/>
  <c r="V223" i="10" s="1"/>
  <c r="E222" i="10"/>
  <c r="X222" i="10" s="1"/>
  <c r="W222" i="10" s="1"/>
  <c r="G222" i="10" s="1"/>
  <c r="V222" i="10" s="1"/>
  <c r="E214" i="10"/>
  <c r="X214" i="10" s="1"/>
  <c r="W214" i="10" s="1"/>
  <c r="G214" i="10" s="1"/>
  <c r="V214" i="10" s="1"/>
  <c r="E206" i="10"/>
  <c r="X206" i="10" s="1"/>
  <c r="W206" i="10" s="1"/>
  <c r="G206" i="10" s="1"/>
  <c r="V206" i="10" s="1"/>
  <c r="E217" i="10"/>
  <c r="X217" i="10" s="1"/>
  <c r="W217" i="10" s="1"/>
  <c r="G217" i="10" s="1"/>
  <c r="V217" i="10" s="1"/>
  <c r="E213" i="10"/>
  <c r="X213" i="10" s="1"/>
  <c r="W213" i="10" s="1"/>
  <c r="G213" i="10" s="1"/>
  <c r="V213" i="10" s="1"/>
  <c r="E209" i="10"/>
  <c r="X209" i="10" s="1"/>
  <c r="W209" i="10" s="1"/>
  <c r="G209" i="10" s="1"/>
  <c r="V209" i="10" s="1"/>
  <c r="E205" i="10"/>
  <c r="X205" i="10" s="1"/>
  <c r="W205" i="10" s="1"/>
  <c r="G205" i="10" s="1"/>
  <c r="V205" i="10" s="1"/>
  <c r="E220" i="10"/>
  <c r="X220" i="10" s="1"/>
  <c r="W220" i="10" s="1"/>
  <c r="G220" i="10" s="1"/>
  <c r="V220" i="10" s="1"/>
  <c r="E212" i="10"/>
  <c r="X212" i="10" s="1"/>
  <c r="W212" i="10" s="1"/>
  <c r="G212" i="10" s="1"/>
  <c r="V212" i="10" s="1"/>
  <c r="K36" i="32"/>
  <c r="H36" i="32"/>
  <c r="K34" i="32"/>
  <c r="H34" i="32"/>
  <c r="B40" i="27"/>
  <c r="K39" i="27" s="1"/>
  <c r="K27" i="32"/>
  <c r="L27" i="32" s="1"/>
  <c r="H30" i="32"/>
  <c r="O17" i="29"/>
  <c r="O16" i="29"/>
  <c r="E29" i="32"/>
  <c r="H31" i="32"/>
  <c r="K31" i="32"/>
  <c r="H32" i="32"/>
  <c r="K32" i="32"/>
  <c r="E81" i="10"/>
  <c r="X81" i="10" s="1"/>
  <c r="E77" i="10"/>
  <c r="X77" i="10" s="1"/>
  <c r="E78" i="10"/>
  <c r="X78" i="10" s="1"/>
  <c r="E79" i="10"/>
  <c r="X79" i="10" s="1"/>
  <c r="E75" i="10"/>
  <c r="X75" i="10" s="1"/>
  <c r="E76" i="10"/>
  <c r="X76" i="10" s="1"/>
  <c r="E84" i="10"/>
  <c r="X84" i="10" s="1"/>
  <c r="E82" i="10"/>
  <c r="X82" i="10" s="1"/>
  <c r="E83" i="10"/>
  <c r="X83" i="10" s="1"/>
  <c r="E80" i="10"/>
  <c r="X80" i="10" s="1"/>
  <c r="E111" i="10"/>
  <c r="W111" i="10" s="1"/>
  <c r="E113" i="10"/>
  <c r="W113" i="10" s="1"/>
  <c r="E114" i="10"/>
  <c r="E117" i="10"/>
  <c r="W117" i="10" s="1"/>
  <c r="E118" i="10"/>
  <c r="W118" i="10" s="1"/>
  <c r="X30" i="10"/>
  <c r="W30" i="10"/>
  <c r="X31" i="10"/>
  <c r="W31" i="10"/>
  <c r="W36" i="10"/>
  <c r="X36" i="10"/>
  <c r="X33" i="10"/>
  <c r="W33" i="10"/>
  <c r="X41" i="10"/>
  <c r="W41" i="10"/>
  <c r="X44" i="10"/>
  <c r="W44" i="10"/>
  <c r="W39" i="10"/>
  <c r="X39" i="10"/>
  <c r="W45" i="10"/>
  <c r="X45" i="10"/>
  <c r="W107" i="10"/>
  <c r="W109" i="10"/>
  <c r="W108" i="10"/>
  <c r="W112" i="10"/>
  <c r="W116" i="10"/>
  <c r="W124" i="10"/>
  <c r="W115" i="10"/>
  <c r="W120" i="10"/>
  <c r="W121" i="10"/>
  <c r="X126" i="10"/>
  <c r="W126" i="10"/>
  <c r="W128" i="10"/>
  <c r="X128" i="10"/>
  <c r="W133" i="10"/>
  <c r="X133" i="10"/>
  <c r="W129" i="10"/>
  <c r="X129" i="10"/>
  <c r="X132" i="10"/>
  <c r="W132" i="10"/>
  <c r="E158" i="10"/>
  <c r="E153" i="10"/>
  <c r="E151" i="10"/>
  <c r="E159" i="10"/>
  <c r="E155" i="10"/>
  <c r="E149" i="10"/>
  <c r="E156" i="10"/>
  <c r="E150" i="10"/>
  <c r="E157" i="10"/>
  <c r="E152" i="10"/>
  <c r="W58" i="10"/>
  <c r="X58" i="10"/>
  <c r="W59" i="10"/>
  <c r="X59" i="10"/>
  <c r="W46" i="10"/>
  <c r="X46" i="10"/>
  <c r="X62" i="10"/>
  <c r="W62" i="10"/>
  <c r="W57" i="10"/>
  <c r="X57" i="10"/>
  <c r="W54" i="10"/>
  <c r="X54" i="10"/>
  <c r="X60" i="10"/>
  <c r="W60" i="10"/>
  <c r="X66" i="10"/>
  <c r="X70" i="10"/>
  <c r="X69" i="10"/>
  <c r="X67" i="10"/>
  <c r="W139" i="10"/>
  <c r="W140" i="10"/>
  <c r="W136" i="10"/>
  <c r="W142" i="10"/>
  <c r="W165" i="10"/>
  <c r="W164" i="10"/>
  <c r="W167" i="10"/>
  <c r="W166" i="10"/>
  <c r="W173" i="10"/>
  <c r="W171" i="10"/>
  <c r="W172" i="10"/>
  <c r="X32" i="10"/>
  <c r="W32" i="10"/>
  <c r="X35" i="10"/>
  <c r="W35" i="10"/>
  <c r="X34" i="10"/>
  <c r="W34" i="10"/>
  <c r="W37" i="10"/>
  <c r="X37" i="10"/>
  <c r="W42" i="10"/>
  <c r="X42" i="10"/>
  <c r="W38" i="10"/>
  <c r="X38" i="10"/>
  <c r="W43" i="10"/>
  <c r="X43" i="10"/>
  <c r="W40" i="10"/>
  <c r="X40" i="10"/>
  <c r="W110" i="10"/>
  <c r="W123" i="10"/>
  <c r="W127" i="10"/>
  <c r="X127" i="10"/>
  <c r="X125" i="10"/>
  <c r="W125" i="10"/>
  <c r="W131" i="10"/>
  <c r="X131" i="10"/>
  <c r="W135" i="10"/>
  <c r="G130" i="10"/>
  <c r="V130" i="10" s="1"/>
  <c r="X134" i="10"/>
  <c r="W134" i="10"/>
  <c r="W50" i="10"/>
  <c r="X50" i="10"/>
  <c r="W52" i="10"/>
  <c r="X52" i="10"/>
  <c r="W55" i="10"/>
  <c r="X55" i="10"/>
  <c r="W61" i="10"/>
  <c r="X61" i="10"/>
  <c r="X47" i="10"/>
  <c r="W47" i="10"/>
  <c r="W49" i="10"/>
  <c r="X49" i="10"/>
  <c r="W51" i="10"/>
  <c r="X51" i="10"/>
  <c r="W56" i="10"/>
  <c r="X56" i="10"/>
  <c r="X73" i="10"/>
  <c r="X65" i="10"/>
  <c r="X68" i="10"/>
  <c r="X74" i="10"/>
  <c r="X71" i="10"/>
  <c r="X64" i="10"/>
  <c r="X72" i="10"/>
  <c r="W137" i="10"/>
  <c r="W143" i="10"/>
  <c r="W141" i="10"/>
  <c r="W138" i="10"/>
  <c r="W161" i="10"/>
  <c r="W160" i="10"/>
  <c r="W163" i="10"/>
  <c r="W162" i="10"/>
  <c r="W168" i="10"/>
  <c r="W170" i="10"/>
  <c r="W174" i="10"/>
  <c r="W146" i="10" l="1"/>
  <c r="G146" i="10" s="1"/>
  <c r="V146" i="10" s="1"/>
  <c r="W145" i="10"/>
  <c r="G145" i="10" s="1"/>
  <c r="V145" i="10" s="1"/>
  <c r="W147" i="10"/>
  <c r="G147" i="10" s="1"/>
  <c r="V147" i="10" s="1"/>
  <c r="X148" i="10"/>
  <c r="G148" i="10" s="1"/>
  <c r="V148" i="10" s="1"/>
  <c r="B41" i="27"/>
  <c r="B42" i="27" s="1"/>
  <c r="B43" i="27" s="1"/>
  <c r="B44" i="27" s="1"/>
  <c r="B45" i="27" s="1"/>
  <c r="K53" i="27"/>
  <c r="B55" i="27"/>
  <c r="B56" i="27" s="1"/>
  <c r="K60" i="27"/>
  <c r="K41" i="32"/>
  <c r="H41" i="32"/>
  <c r="K42" i="27"/>
  <c r="E46" i="27"/>
  <c r="F46" i="27" s="1"/>
  <c r="K41" i="27"/>
  <c r="E45" i="27"/>
  <c r="F45" i="27" s="1"/>
  <c r="M23" i="36"/>
  <c r="O13" i="29"/>
  <c r="E35" i="32"/>
  <c r="K40" i="27"/>
  <c r="L32" i="32"/>
  <c r="L31" i="32"/>
  <c r="H29" i="32"/>
  <c r="K29" i="32"/>
  <c r="G132" i="10"/>
  <c r="V132" i="10" s="1"/>
  <c r="G129" i="10"/>
  <c r="V129" i="10" s="1"/>
  <c r="G133" i="10"/>
  <c r="V133" i="10" s="1"/>
  <c r="G128" i="10"/>
  <c r="V128" i="10" s="1"/>
  <c r="G126" i="10"/>
  <c r="V126" i="10" s="1"/>
  <c r="G56" i="10"/>
  <c r="V56" i="10" s="1"/>
  <c r="G51" i="10"/>
  <c r="V51" i="10" s="1"/>
  <c r="G49" i="10"/>
  <c r="V49" i="10" s="1"/>
  <c r="G47" i="10"/>
  <c r="V47" i="10" s="1"/>
  <c r="G61" i="10"/>
  <c r="V61" i="10" s="1"/>
  <c r="G55" i="10"/>
  <c r="V55" i="10" s="1"/>
  <c r="G41" i="10"/>
  <c r="V41" i="10" s="1"/>
  <c r="G40" i="10"/>
  <c r="V40" i="10" s="1"/>
  <c r="G43" i="10"/>
  <c r="V43" i="10" s="1"/>
  <c r="G38" i="10"/>
  <c r="V38" i="10" s="1"/>
  <c r="G42" i="10"/>
  <c r="V42" i="10" s="1"/>
  <c r="G37" i="10"/>
  <c r="V37" i="10" s="1"/>
  <c r="G34" i="10"/>
  <c r="V34" i="10" s="1"/>
  <c r="G32" i="10"/>
  <c r="V32" i="10" s="1"/>
  <c r="G62" i="10"/>
  <c r="V62" i="10" s="1"/>
  <c r="G54" i="10"/>
  <c r="V54" i="10" s="1"/>
  <c r="G46" i="10"/>
  <c r="V46" i="10" s="1"/>
  <c r="G59" i="10"/>
  <c r="V59" i="10" s="1"/>
  <c r="G58" i="10"/>
  <c r="V58" i="10" s="1"/>
  <c r="G134" i="10"/>
  <c r="V134" i="10" s="1"/>
  <c r="G45" i="10"/>
  <c r="V45" i="10" s="1"/>
  <c r="G39" i="10"/>
  <c r="V39" i="10" s="1"/>
  <c r="G131" i="10"/>
  <c r="V131" i="10" s="1"/>
  <c r="G125" i="10"/>
  <c r="V125" i="10" s="1"/>
  <c r="G52" i="10"/>
  <c r="V52" i="10" s="1"/>
  <c r="G50" i="10"/>
  <c r="V50" i="10" s="1"/>
  <c r="G57" i="10"/>
  <c r="V57" i="10" s="1"/>
  <c r="X157" i="10"/>
  <c r="W157" i="10"/>
  <c r="W156" i="10"/>
  <c r="X156" i="10"/>
  <c r="X155" i="10"/>
  <c r="W155" i="10"/>
  <c r="X151" i="10"/>
  <c r="W151" i="10"/>
  <c r="W158" i="10"/>
  <c r="X158" i="10"/>
  <c r="G127" i="10"/>
  <c r="V127" i="10" s="1"/>
  <c r="G36" i="10"/>
  <c r="V36" i="10" s="1"/>
  <c r="G35" i="10"/>
  <c r="V35" i="10" s="1"/>
  <c r="G60" i="10"/>
  <c r="V60" i="10" s="1"/>
  <c r="W152" i="10"/>
  <c r="X152" i="10"/>
  <c r="X150" i="10"/>
  <c r="W150" i="10"/>
  <c r="X149" i="10"/>
  <c r="W149" i="10"/>
  <c r="X159" i="10"/>
  <c r="W159" i="10"/>
  <c r="X153" i="10"/>
  <c r="W153" i="10"/>
  <c r="G44" i="10"/>
  <c r="V44" i="10" s="1"/>
  <c r="G33" i="10"/>
  <c r="V33" i="10" s="1"/>
  <c r="G31" i="10"/>
  <c r="V31" i="10" s="1"/>
  <c r="G30" i="10"/>
  <c r="V30" i="10" s="1"/>
  <c r="AM153" i="2" l="1"/>
  <c r="AP145" i="2"/>
  <c r="AP148" i="2"/>
  <c r="AP147" i="2"/>
  <c r="AM154" i="2"/>
  <c r="AP146" i="2"/>
  <c r="AM152" i="2"/>
  <c r="AP150" i="2"/>
  <c r="AM155" i="2"/>
  <c r="AM151" i="2"/>
  <c r="AP149" i="2"/>
  <c r="K44" i="27"/>
  <c r="B46" i="27"/>
  <c r="B47" i="27" s="1"/>
  <c r="AJ155" i="2"/>
  <c r="AJ156" i="2"/>
  <c r="AJ154" i="2"/>
  <c r="AJ157" i="2"/>
  <c r="AJ152" i="2"/>
  <c r="AJ158" i="2"/>
  <c r="AJ159" i="2"/>
  <c r="AJ151" i="2"/>
  <c r="AJ153" i="2"/>
  <c r="AJ160" i="2"/>
  <c r="AJ150" i="2"/>
  <c r="S23" i="36"/>
  <c r="P23" i="36"/>
  <c r="K55" i="27"/>
  <c r="B57" i="27"/>
  <c r="B58" i="27" s="1"/>
  <c r="L41" i="32"/>
  <c r="M41" i="32" s="1"/>
  <c r="H17" i="30"/>
  <c r="E47" i="27"/>
  <c r="E91" i="27" s="1"/>
  <c r="V23" i="36"/>
  <c r="K35" i="32"/>
  <c r="H35" i="32"/>
  <c r="G158" i="10"/>
  <c r="V158" i="10" s="1"/>
  <c r="G151" i="10"/>
  <c r="V151" i="10" s="1"/>
  <c r="G155" i="10"/>
  <c r="V155" i="10" s="1"/>
  <c r="G156" i="10"/>
  <c r="V156" i="10" s="1"/>
  <c r="G157" i="10"/>
  <c r="V157" i="10" s="1"/>
  <c r="G153" i="10"/>
  <c r="V153" i="10" s="1"/>
  <c r="G159" i="10"/>
  <c r="V159" i="10" s="1"/>
  <c r="G149" i="10"/>
  <c r="V149" i="10" s="1"/>
  <c r="G150" i="10"/>
  <c r="V150" i="10" s="1"/>
  <c r="G152" i="10"/>
  <c r="V152" i="10" s="1"/>
  <c r="M26" i="36" l="1"/>
  <c r="P26" i="36" s="1"/>
  <c r="M17" i="36"/>
  <c r="V17" i="36" s="1"/>
  <c r="Y23" i="36"/>
  <c r="O41" i="32"/>
  <c r="N41" i="32"/>
  <c r="K46" i="27"/>
  <c r="F47" i="27"/>
  <c r="M17" i="30"/>
  <c r="J17" i="30"/>
  <c r="K45" i="27"/>
  <c r="G3" i="33"/>
  <c r="V26" i="36" l="1"/>
  <c r="S26" i="36"/>
  <c r="P17" i="36"/>
  <c r="S17" i="36"/>
  <c r="Y17" i="36" s="1"/>
  <c r="H19" i="30"/>
  <c r="J19" i="30" s="1"/>
  <c r="F91" i="27"/>
  <c r="S3" i="28" s="1"/>
  <c r="K47" i="27"/>
  <c r="K48" i="27" s="1"/>
  <c r="C5" i="33"/>
  <c r="C4" i="33"/>
  <c r="Y26" i="36" l="1"/>
  <c r="M19" i="30"/>
  <c r="M3" i="30" s="1"/>
  <c r="AW10" i="30"/>
  <c r="H8" i="30"/>
  <c r="AZ13" i="30"/>
  <c r="H15" i="30" s="1"/>
  <c r="AZ8" i="30"/>
  <c r="AZ9" i="30"/>
  <c r="AW11" i="30"/>
  <c r="AZ11" i="30"/>
  <c r="H7" i="30"/>
  <c r="AZ12" i="30"/>
  <c r="AW13" i="30"/>
  <c r="H14" i="30" s="1"/>
  <c r="AZ10" i="30"/>
  <c r="AW12" i="30"/>
  <c r="AW9" i="30"/>
  <c r="AW8" i="30"/>
  <c r="H9" i="30"/>
  <c r="N10" i="1"/>
  <c r="N22" i="1" s="1"/>
  <c r="D6" i="32"/>
  <c r="M27" i="32"/>
  <c r="O27" i="32" s="1"/>
  <c r="M28" i="32"/>
  <c r="O28" i="32" s="1"/>
  <c r="L29" i="32"/>
  <c r="M29" i="32" s="1"/>
  <c r="N29" i="32" s="1"/>
  <c r="L30" i="32"/>
  <c r="M30" i="32" s="1"/>
  <c r="M31" i="32"/>
  <c r="O31" i="32" s="1"/>
  <c r="M32" i="32"/>
  <c r="O32" i="32" s="1"/>
  <c r="L33" i="32"/>
  <c r="M33" i="32" s="1"/>
  <c r="L35" i="32"/>
  <c r="M35" i="32" s="1"/>
  <c r="D7" i="11"/>
  <c r="D20" i="11"/>
  <c r="E48" i="10"/>
  <c r="W48" i="10" s="1"/>
  <c r="E63" i="10"/>
  <c r="W63" i="10" s="1"/>
  <c r="E119" i="10"/>
  <c r="W119" i="10" s="1"/>
  <c r="E203" i="10"/>
  <c r="W203" i="10" s="1"/>
  <c r="E198" i="10"/>
  <c r="W198" i="10" s="1"/>
  <c r="E194" i="10"/>
  <c r="W194" i="10" s="1"/>
  <c r="E190" i="10"/>
  <c r="W190" i="10" s="1"/>
  <c r="E184" i="10"/>
  <c r="W184" i="10" s="1"/>
  <c r="E180" i="10"/>
  <c r="W180" i="10" s="1"/>
  <c r="E176" i="10"/>
  <c r="W176" i="10" s="1"/>
  <c r="E204" i="10"/>
  <c r="W204" i="10" s="1"/>
  <c r="E199" i="10"/>
  <c r="W199" i="10" s="1"/>
  <c r="E191" i="10"/>
  <c r="W191" i="10" s="1"/>
  <c r="E187" i="10"/>
  <c r="W187" i="10" s="1"/>
  <c r="E182" i="10"/>
  <c r="W182" i="10" s="1"/>
  <c r="E178" i="10"/>
  <c r="W178" i="10" s="1"/>
  <c r="E200" i="10"/>
  <c r="W200" i="10" s="1"/>
  <c r="E196" i="10"/>
  <c r="W196" i="10" s="1"/>
  <c r="E192" i="10"/>
  <c r="W192" i="10" s="1"/>
  <c r="E188" i="10"/>
  <c r="W188" i="10" s="1"/>
  <c r="E183" i="10"/>
  <c r="W183" i="10" s="1"/>
  <c r="E179" i="10"/>
  <c r="W179" i="10" s="1"/>
  <c r="E175" i="10"/>
  <c r="W175" i="10" s="1"/>
  <c r="E201" i="10"/>
  <c r="W201" i="10" s="1"/>
  <c r="E197" i="10"/>
  <c r="W197" i="10" s="1"/>
  <c r="E193" i="10"/>
  <c r="W193" i="10" s="1"/>
  <c r="E189" i="10"/>
  <c r="W189" i="10" s="1"/>
  <c r="E185" i="10"/>
  <c r="W185" i="10" s="1"/>
  <c r="E181" i="10"/>
  <c r="W181" i="10" s="1"/>
  <c r="E177" i="10"/>
  <c r="W177" i="10" s="1"/>
  <c r="E186" i="10"/>
  <c r="W186" i="10" s="1"/>
  <c r="E202" i="10"/>
  <c r="W202" i="10" s="1"/>
  <c r="M17" i="15"/>
  <c r="M14" i="15"/>
  <c r="M15" i="15"/>
  <c r="M13" i="15"/>
  <c r="M16" i="15"/>
  <c r="M12" i="15"/>
  <c r="M11" i="15"/>
  <c r="C24" i="1" l="1"/>
  <c r="R110" i="28" s="1"/>
  <c r="R5" i="28"/>
  <c r="R84" i="28"/>
  <c r="R44" i="28"/>
  <c r="R52" i="28"/>
  <c r="R26" i="28"/>
  <c r="R115" i="28"/>
  <c r="R31" i="28"/>
  <c r="R103" i="28"/>
  <c r="R77" i="28"/>
  <c r="R51" i="28"/>
  <c r="R54" i="28"/>
  <c r="R19" i="28"/>
  <c r="R18" i="28"/>
  <c r="R47" i="28"/>
  <c r="R65" i="28"/>
  <c r="R13" i="28"/>
  <c r="R6" i="28"/>
  <c r="R40" i="28"/>
  <c r="R41" i="28"/>
  <c r="R34" i="28"/>
  <c r="R8" i="28"/>
  <c r="R94" i="28"/>
  <c r="R30" i="28"/>
  <c r="R113" i="28"/>
  <c r="R81" i="28"/>
  <c r="R17" i="28"/>
  <c r="R68" i="28"/>
  <c r="R87" i="28"/>
  <c r="R55" i="28"/>
  <c r="R23" i="28"/>
  <c r="R106" i="28"/>
  <c r="R42" i="28"/>
  <c r="R10" i="28"/>
  <c r="R61" i="28"/>
  <c r="R29" i="28"/>
  <c r="R112" i="28"/>
  <c r="R80" i="28"/>
  <c r="R16" i="28"/>
  <c r="R99" i="28"/>
  <c r="R35" i="28"/>
  <c r="R3" i="28"/>
  <c r="R102" i="28"/>
  <c r="R38" i="28"/>
  <c r="R25" i="28"/>
  <c r="R76" i="28"/>
  <c r="R63" i="28"/>
  <c r="R114" i="28"/>
  <c r="R50" i="28"/>
  <c r="R101" i="28"/>
  <c r="R88" i="28"/>
  <c r="R24" i="28"/>
  <c r="R11" i="28"/>
  <c r="R22" i="28"/>
  <c r="R9" i="28"/>
  <c r="R111" i="28"/>
  <c r="R85" i="28"/>
  <c r="R72" i="28"/>
  <c r="R105" i="28"/>
  <c r="R79" i="28"/>
  <c r="R53" i="28"/>
  <c r="R27" i="28"/>
  <c r="R28" i="28"/>
  <c r="R117" i="28"/>
  <c r="H3" i="30"/>
  <c r="N31" i="32"/>
  <c r="F307" i="11"/>
  <c r="X63" i="10"/>
  <c r="G63" i="10" s="1"/>
  <c r="V63" i="10" s="1"/>
  <c r="X203" i="10"/>
  <c r="G203" i="10" s="1"/>
  <c r="V203" i="10" s="1"/>
  <c r="N28" i="32"/>
  <c r="N27" i="32"/>
  <c r="X202" i="10"/>
  <c r="G202" i="10" s="1"/>
  <c r="V202" i="10" s="1"/>
  <c r="X186" i="10"/>
  <c r="G186" i="10" s="1"/>
  <c r="V186" i="10" s="1"/>
  <c r="X177" i="10"/>
  <c r="G177" i="10" s="1"/>
  <c r="V177" i="10" s="1"/>
  <c r="X181" i="10"/>
  <c r="G181" i="10" s="1"/>
  <c r="V181" i="10" s="1"/>
  <c r="X185" i="10"/>
  <c r="G185" i="10" s="1"/>
  <c r="V185" i="10" s="1"/>
  <c r="X189" i="10"/>
  <c r="G189" i="10" s="1"/>
  <c r="V189" i="10" s="1"/>
  <c r="X193" i="10"/>
  <c r="G193" i="10" s="1"/>
  <c r="V193" i="10" s="1"/>
  <c r="X197" i="10"/>
  <c r="G197" i="10" s="1"/>
  <c r="V197" i="10" s="1"/>
  <c r="X201" i="10"/>
  <c r="G201" i="10" s="1"/>
  <c r="V201" i="10" s="1"/>
  <c r="X175" i="10"/>
  <c r="G175" i="10" s="1"/>
  <c r="V175" i="10" s="1"/>
  <c r="X179" i="10"/>
  <c r="G179" i="10" s="1"/>
  <c r="V179" i="10" s="1"/>
  <c r="X183" i="10"/>
  <c r="G183" i="10" s="1"/>
  <c r="V183" i="10" s="1"/>
  <c r="X188" i="10"/>
  <c r="G188" i="10" s="1"/>
  <c r="V188" i="10" s="1"/>
  <c r="X192" i="10"/>
  <c r="G192" i="10" s="1"/>
  <c r="V192" i="10" s="1"/>
  <c r="X196" i="10"/>
  <c r="G196" i="10" s="1"/>
  <c r="V196" i="10" s="1"/>
  <c r="X200" i="10"/>
  <c r="G200" i="10" s="1"/>
  <c r="V200" i="10" s="1"/>
  <c r="X178" i="10"/>
  <c r="G178" i="10" s="1"/>
  <c r="V178" i="10" s="1"/>
  <c r="X182" i="10"/>
  <c r="G182" i="10" s="1"/>
  <c r="V182" i="10" s="1"/>
  <c r="X187" i="10"/>
  <c r="G187" i="10" s="1"/>
  <c r="V187" i="10" s="1"/>
  <c r="X191" i="10"/>
  <c r="G191" i="10" s="1"/>
  <c r="V191" i="10" s="1"/>
  <c r="X199" i="10"/>
  <c r="G199" i="10" s="1"/>
  <c r="V199" i="10" s="1"/>
  <c r="X204" i="10"/>
  <c r="G204" i="10" s="1"/>
  <c r="V204" i="10" s="1"/>
  <c r="X176" i="10"/>
  <c r="G176" i="10" s="1"/>
  <c r="V176" i="10" s="1"/>
  <c r="X180" i="10"/>
  <c r="G180" i="10" s="1"/>
  <c r="V180" i="10" s="1"/>
  <c r="X184" i="10"/>
  <c r="G184" i="10" s="1"/>
  <c r="V184" i="10" s="1"/>
  <c r="X190" i="10"/>
  <c r="G190" i="10" s="1"/>
  <c r="V190" i="10" s="1"/>
  <c r="X194" i="10"/>
  <c r="G194" i="10" s="1"/>
  <c r="V194" i="10" s="1"/>
  <c r="X198" i="10"/>
  <c r="G198" i="10" s="1"/>
  <c r="V198" i="10" s="1"/>
  <c r="N33" i="32"/>
  <c r="O33" i="32"/>
  <c r="N30" i="32"/>
  <c r="O30" i="32"/>
  <c r="X48" i="10"/>
  <c r="G48" i="10" s="1"/>
  <c r="V48" i="10" s="1"/>
  <c r="N32" i="32"/>
  <c r="O29" i="32"/>
  <c r="N35" i="32"/>
  <c r="O35" i="32"/>
  <c r="R96" i="28" l="1"/>
  <c r="R90" i="28"/>
  <c r="R36" i="28"/>
  <c r="R104" i="28"/>
  <c r="R20" i="28"/>
  <c r="R95" i="28"/>
  <c r="R57" i="28"/>
  <c r="R59" i="28"/>
  <c r="R75" i="28"/>
  <c r="R12" i="28"/>
  <c r="R67" i="28"/>
  <c r="R93" i="28"/>
  <c r="R4" i="28"/>
  <c r="R62" i="28"/>
  <c r="R66" i="28"/>
  <c r="R70" i="28"/>
  <c r="R14" i="28"/>
  <c r="R86" i="28"/>
  <c r="R64" i="28"/>
  <c r="R45" i="28"/>
  <c r="R46" i="28"/>
  <c r="R32" i="28"/>
  <c r="R116" i="28"/>
  <c r="R15" i="28"/>
  <c r="R98" i="28"/>
  <c r="R37" i="28"/>
  <c r="R89" i="28"/>
  <c r="R48" i="28"/>
  <c r="R74" i="28"/>
  <c r="R100" i="28"/>
  <c r="R21" i="28"/>
  <c r="R39" i="28"/>
  <c r="R71" i="28"/>
  <c r="R43" i="28"/>
  <c r="R58" i="28"/>
  <c r="R33" i="28"/>
  <c r="R118" i="28"/>
  <c r="R60" i="28"/>
  <c r="R83" i="28"/>
  <c r="R97" i="28"/>
  <c r="R109" i="28"/>
  <c r="R78" i="28"/>
  <c r="R108" i="28"/>
  <c r="R7" i="28"/>
  <c r="R49" i="28"/>
  <c r="R91" i="28"/>
  <c r="R69" i="28"/>
  <c r="R92" i="28"/>
  <c r="R82" i="28"/>
  <c r="R73" i="28"/>
  <c r="R107" i="28"/>
  <c r="R56" i="28"/>
  <c r="G229" i="11"/>
  <c r="G231" i="11"/>
  <c r="G235" i="11"/>
  <c r="G239" i="11"/>
  <c r="G243" i="11"/>
  <c r="G247" i="11"/>
  <c r="G250" i="11"/>
  <c r="G252" i="11"/>
  <c r="G254" i="11"/>
  <c r="G256" i="11"/>
  <c r="G258" i="11"/>
  <c r="G226" i="11"/>
  <c r="G230" i="11"/>
  <c r="G234" i="11"/>
  <c r="G238" i="11"/>
  <c r="G242" i="11"/>
  <c r="G246" i="11"/>
  <c r="G253" i="11"/>
  <c r="G259" i="11"/>
  <c r="G227" i="11"/>
  <c r="G233" i="11"/>
  <c r="G237" i="11"/>
  <c r="G241" i="11"/>
  <c r="G245" i="11"/>
  <c r="G228" i="11"/>
  <c r="G232" i="11"/>
  <c r="G236" i="11"/>
  <c r="G240" i="11"/>
  <c r="G244" i="11"/>
  <c r="G248" i="11"/>
  <c r="G249" i="11"/>
  <c r="G255" i="11"/>
  <c r="G261" i="11"/>
  <c r="G265" i="11"/>
  <c r="G269" i="11"/>
  <c r="G273" i="11"/>
  <c r="G275" i="11"/>
  <c r="G260" i="11"/>
  <c r="G264" i="11"/>
  <c r="G268" i="11"/>
  <c r="G272" i="11"/>
  <c r="G274" i="11"/>
  <c r="G251" i="11"/>
  <c r="G257" i="11"/>
  <c r="G263" i="11"/>
  <c r="G267" i="11"/>
  <c r="G271" i="11"/>
  <c r="G276" i="11"/>
  <c r="G262" i="11"/>
  <c r="G266" i="11"/>
  <c r="G270" i="11"/>
  <c r="G277" i="11"/>
  <c r="G279" i="11"/>
  <c r="G281" i="11"/>
  <c r="G283" i="11"/>
  <c r="G278" i="11"/>
  <c r="G282" i="11"/>
  <c r="G280" i="11"/>
  <c r="G286" i="11"/>
  <c r="G289" i="11"/>
  <c r="G291" i="11"/>
  <c r="G293" i="11"/>
  <c r="G295" i="11"/>
  <c r="G285" i="11"/>
  <c r="G292" i="11"/>
  <c r="G296" i="11"/>
  <c r="G298" i="11"/>
  <c r="G300" i="11"/>
  <c r="G302" i="11"/>
  <c r="G284" i="11"/>
  <c r="G288" i="11"/>
  <c r="G287" i="11"/>
  <c r="G297" i="11"/>
  <c r="G299" i="11"/>
  <c r="G301" i="11"/>
  <c r="G303" i="11"/>
  <c r="G290" i="11"/>
  <c r="G294" i="11"/>
  <c r="G305" i="11"/>
  <c r="G304" i="11"/>
  <c r="G188" i="11"/>
  <c r="G187" i="11"/>
  <c r="G189" i="11"/>
  <c r="G191" i="11"/>
  <c r="G195" i="11"/>
  <c r="G199" i="11"/>
  <c r="G203" i="11"/>
  <c r="G207" i="11"/>
  <c r="G211" i="11"/>
  <c r="G215" i="11"/>
  <c r="G219" i="11"/>
  <c r="G223" i="11"/>
  <c r="G184" i="11"/>
  <c r="G192" i="11"/>
  <c r="G194" i="11"/>
  <c r="G196" i="11"/>
  <c r="G198" i="11"/>
  <c r="G200" i="11"/>
  <c r="G202" i="11"/>
  <c r="G204" i="11"/>
  <c r="G208" i="11"/>
  <c r="G212" i="11"/>
  <c r="G216" i="11"/>
  <c r="G193" i="11"/>
  <c r="G201" i="11"/>
  <c r="G209" i="11"/>
  <c r="G217" i="11"/>
  <c r="G220" i="11"/>
  <c r="G190" i="11"/>
  <c r="G197" i="11"/>
  <c r="G205" i="11"/>
  <c r="G213" i="11"/>
  <c r="G221" i="11"/>
  <c r="G225" i="11"/>
  <c r="G224" i="11"/>
  <c r="G185" i="11"/>
  <c r="G186" i="11"/>
  <c r="G222" i="11"/>
  <c r="G214" i="11"/>
  <c r="G206" i="11"/>
  <c r="G210" i="11"/>
  <c r="G218" i="11"/>
  <c r="G182" i="11"/>
  <c r="G180" i="11"/>
  <c r="G178" i="11"/>
  <c r="G176" i="11"/>
  <c r="G183" i="11"/>
  <c r="G181" i="11"/>
  <c r="G179" i="11"/>
  <c r="G177" i="11"/>
  <c r="G173" i="11"/>
  <c r="G174" i="11"/>
  <c r="G175" i="11"/>
  <c r="G171" i="11"/>
  <c r="G172" i="11"/>
  <c r="G169" i="11"/>
  <c r="G22" i="11"/>
  <c r="G159" i="11"/>
  <c r="G163" i="11"/>
  <c r="G29" i="11"/>
  <c r="G27" i="11"/>
  <c r="G32" i="11"/>
  <c r="G34" i="11"/>
  <c r="G36" i="11"/>
  <c r="G38" i="11"/>
  <c r="G40" i="11"/>
  <c r="G42" i="11"/>
  <c r="G44" i="11"/>
  <c r="G46" i="11"/>
  <c r="G48" i="11"/>
  <c r="G50" i="11"/>
  <c r="G52" i="11"/>
  <c r="G54" i="11"/>
  <c r="G56" i="11"/>
  <c r="G58" i="11"/>
  <c r="G60" i="11"/>
  <c r="G62" i="11"/>
  <c r="G64" i="11"/>
  <c r="G66" i="11"/>
  <c r="G68" i="11"/>
  <c r="G70" i="11"/>
  <c r="G72" i="11"/>
  <c r="G74" i="11"/>
  <c r="G76" i="11"/>
  <c r="G78" i="11"/>
  <c r="G80" i="11"/>
  <c r="G82" i="11"/>
  <c r="G158" i="11"/>
  <c r="G162" i="11"/>
  <c r="G157" i="11"/>
  <c r="G161" i="11"/>
  <c r="G15" i="11"/>
  <c r="G79" i="11"/>
  <c r="G75" i="11"/>
  <c r="G71" i="11"/>
  <c r="G67" i="11"/>
  <c r="G63" i="11"/>
  <c r="G59" i="11"/>
  <c r="G55" i="11"/>
  <c r="G51" i="11"/>
  <c r="G47" i="11"/>
  <c r="G43" i="11"/>
  <c r="G39" i="11"/>
  <c r="G35" i="11"/>
  <c r="G31" i="11"/>
  <c r="G17" i="11"/>
  <c r="G16" i="11"/>
  <c r="G30" i="11"/>
  <c r="G28" i="11"/>
  <c r="G25" i="11"/>
  <c r="G23" i="11"/>
  <c r="G170" i="11"/>
  <c r="G19" i="11"/>
  <c r="G81" i="11"/>
  <c r="G77" i="11"/>
  <c r="G73" i="11"/>
  <c r="G69" i="11"/>
  <c r="G65" i="11"/>
  <c r="G61" i="11"/>
  <c r="G57" i="11"/>
  <c r="G53" i="11"/>
  <c r="G49" i="11"/>
  <c r="G45" i="11"/>
  <c r="G41" i="11"/>
  <c r="G37" i="11"/>
  <c r="G33" i="11"/>
  <c r="G11" i="11"/>
  <c r="G18" i="11"/>
  <c r="G13" i="11"/>
  <c r="G24" i="11"/>
  <c r="G21" i="11"/>
  <c r="G6" i="11"/>
  <c r="G8" i="11"/>
  <c r="G86" i="11"/>
  <c r="G90" i="11"/>
  <c r="G94" i="11"/>
  <c r="G98" i="11"/>
  <c r="G102" i="11"/>
  <c r="G106" i="11"/>
  <c r="G110" i="11"/>
  <c r="G114" i="11"/>
  <c r="G118" i="11"/>
  <c r="G122" i="11"/>
  <c r="G126" i="11"/>
  <c r="G130" i="11"/>
  <c r="G134" i="11"/>
  <c r="G138" i="11"/>
  <c r="G142" i="11"/>
  <c r="G146" i="11"/>
  <c r="G150" i="11"/>
  <c r="G154" i="11"/>
  <c r="G83" i="11"/>
  <c r="G87" i="11"/>
  <c r="G91" i="11"/>
  <c r="G95" i="11"/>
  <c r="G99" i="11"/>
  <c r="G103" i="11"/>
  <c r="G107" i="11"/>
  <c r="G111" i="11"/>
  <c r="G115" i="11"/>
  <c r="G119" i="11"/>
  <c r="G123" i="11"/>
  <c r="G127" i="11"/>
  <c r="G131" i="11"/>
  <c r="G135" i="11"/>
  <c r="G139" i="11"/>
  <c r="G143" i="11"/>
  <c r="G147" i="11"/>
  <c r="G151" i="11"/>
  <c r="G155" i="11"/>
  <c r="G165" i="11"/>
  <c r="G167" i="11"/>
  <c r="G26" i="11"/>
  <c r="G12" i="11"/>
  <c r="G9" i="11"/>
  <c r="G84" i="11"/>
  <c r="G88" i="11"/>
  <c r="G92" i="11"/>
  <c r="G96" i="11"/>
  <c r="G100" i="11"/>
  <c r="G104" i="11"/>
  <c r="G108" i="11"/>
  <c r="G112" i="11"/>
  <c r="G116" i="11"/>
  <c r="G120" i="11"/>
  <c r="G124" i="11"/>
  <c r="G128" i="11"/>
  <c r="G132" i="11"/>
  <c r="G136" i="11"/>
  <c r="G140" i="11"/>
  <c r="G144" i="11"/>
  <c r="G148" i="11"/>
  <c r="G152" i="11"/>
  <c r="G156" i="11"/>
  <c r="G85" i="11"/>
  <c r="G89" i="11"/>
  <c r="G93" i="11"/>
  <c r="G97" i="11"/>
  <c r="G101" i="11"/>
  <c r="G105" i="11"/>
  <c r="G109" i="11"/>
  <c r="G113" i="11"/>
  <c r="G117" i="11"/>
  <c r="G121" i="11"/>
  <c r="G125" i="11"/>
  <c r="G129" i="11"/>
  <c r="G133" i="11"/>
  <c r="G137" i="11"/>
  <c r="G141" i="11"/>
  <c r="G145" i="11"/>
  <c r="G149" i="11"/>
  <c r="G153" i="11"/>
  <c r="G164" i="11"/>
  <c r="G166" i="11"/>
  <c r="G168" i="11"/>
  <c r="G14" i="11"/>
  <c r="G160" i="11"/>
  <c r="G10" i="11"/>
  <c r="G20" i="11"/>
  <c r="G7" i="11"/>
  <c r="H304" i="11" l="1"/>
  <c r="L304" i="11"/>
  <c r="P304" i="11"/>
  <c r="T304" i="11"/>
  <c r="X304" i="11"/>
  <c r="AB304" i="11"/>
  <c r="K304" i="11"/>
  <c r="O304" i="11"/>
  <c r="S304" i="11"/>
  <c r="W304" i="11"/>
  <c r="AA304" i="11"/>
  <c r="J304" i="11"/>
  <c r="N304" i="11"/>
  <c r="R304" i="11"/>
  <c r="V304" i="11"/>
  <c r="Z304" i="11"/>
  <c r="I304" i="11"/>
  <c r="M304" i="11"/>
  <c r="Q304" i="11"/>
  <c r="U304" i="11"/>
  <c r="Y304" i="11"/>
  <c r="R294" i="11"/>
  <c r="J294" i="11"/>
  <c r="Z294" i="11"/>
  <c r="N294" i="11"/>
  <c r="V294" i="11"/>
  <c r="L294" i="11"/>
  <c r="T294" i="11"/>
  <c r="AB294" i="11"/>
  <c r="H294" i="11"/>
  <c r="P294" i="11"/>
  <c r="X294" i="11"/>
  <c r="I294" i="11"/>
  <c r="M294" i="11"/>
  <c r="Q294" i="11"/>
  <c r="U294" i="11"/>
  <c r="Y294" i="11"/>
  <c r="K294" i="11"/>
  <c r="O294" i="11"/>
  <c r="S294" i="11"/>
  <c r="W294" i="11"/>
  <c r="AA294" i="11"/>
  <c r="I303" i="11"/>
  <c r="M303" i="11"/>
  <c r="Q303" i="11"/>
  <c r="U303" i="11"/>
  <c r="Y303" i="11"/>
  <c r="H303" i="11"/>
  <c r="L303" i="11"/>
  <c r="P303" i="11"/>
  <c r="T303" i="11"/>
  <c r="X303" i="11"/>
  <c r="AB303" i="11"/>
  <c r="K303" i="11"/>
  <c r="O303" i="11"/>
  <c r="S303" i="11"/>
  <c r="W303" i="11"/>
  <c r="AA303" i="11"/>
  <c r="J303" i="11"/>
  <c r="N303" i="11"/>
  <c r="R303" i="11"/>
  <c r="V303" i="11"/>
  <c r="Z303" i="11"/>
  <c r="I299" i="11"/>
  <c r="M299" i="11"/>
  <c r="Q299" i="11"/>
  <c r="U299" i="11"/>
  <c r="Y299" i="11"/>
  <c r="H299" i="11"/>
  <c r="L299" i="11"/>
  <c r="P299" i="11"/>
  <c r="T299" i="11"/>
  <c r="X299" i="11"/>
  <c r="AB299" i="11"/>
  <c r="K299" i="11"/>
  <c r="O299" i="11"/>
  <c r="S299" i="11"/>
  <c r="W299" i="11"/>
  <c r="AA299" i="11"/>
  <c r="J299" i="11"/>
  <c r="N299" i="11"/>
  <c r="R299" i="11"/>
  <c r="V299" i="11"/>
  <c r="Z299" i="11"/>
  <c r="H287" i="11"/>
  <c r="L287" i="11"/>
  <c r="P287" i="11"/>
  <c r="T287" i="11"/>
  <c r="X287" i="11"/>
  <c r="AB287" i="11"/>
  <c r="I287" i="11"/>
  <c r="M287" i="11"/>
  <c r="Q287" i="11"/>
  <c r="U287" i="11"/>
  <c r="Y287" i="11"/>
  <c r="J287" i="11"/>
  <c r="N287" i="11"/>
  <c r="R287" i="11"/>
  <c r="V287" i="11"/>
  <c r="Z287" i="11"/>
  <c r="K287" i="11"/>
  <c r="O287" i="11"/>
  <c r="S287" i="11"/>
  <c r="W287" i="11"/>
  <c r="AA287" i="11"/>
  <c r="H284" i="11"/>
  <c r="P284" i="11"/>
  <c r="X284" i="11"/>
  <c r="L284" i="11"/>
  <c r="AB284" i="11"/>
  <c r="N284" i="11"/>
  <c r="V284" i="11"/>
  <c r="T284" i="11"/>
  <c r="J284" i="11"/>
  <c r="R284" i="11"/>
  <c r="Z284" i="11"/>
  <c r="I284" i="11"/>
  <c r="M284" i="11"/>
  <c r="Q284" i="11"/>
  <c r="U284" i="11"/>
  <c r="Y284" i="11"/>
  <c r="K284" i="11"/>
  <c r="O284" i="11"/>
  <c r="S284" i="11"/>
  <c r="W284" i="11"/>
  <c r="AA284" i="11"/>
  <c r="R300" i="11"/>
  <c r="J300" i="11"/>
  <c r="Z300" i="11"/>
  <c r="N300" i="11"/>
  <c r="V300" i="11"/>
  <c r="L300" i="11"/>
  <c r="T300" i="11"/>
  <c r="AB300" i="11"/>
  <c r="H300" i="11"/>
  <c r="P300" i="11"/>
  <c r="X300" i="11"/>
  <c r="K300" i="11"/>
  <c r="O300" i="11"/>
  <c r="S300" i="11"/>
  <c r="W300" i="11"/>
  <c r="AA300" i="11"/>
  <c r="I300" i="11"/>
  <c r="M300" i="11"/>
  <c r="Q300" i="11"/>
  <c r="U300" i="11"/>
  <c r="Y300" i="11"/>
  <c r="R296" i="11"/>
  <c r="J296" i="11"/>
  <c r="Z296" i="11"/>
  <c r="N296" i="11"/>
  <c r="V296" i="11"/>
  <c r="L296" i="11"/>
  <c r="T296" i="11"/>
  <c r="AB296" i="11"/>
  <c r="H296" i="11"/>
  <c r="P296" i="11"/>
  <c r="X296" i="11"/>
  <c r="K296" i="11"/>
  <c r="O296" i="11"/>
  <c r="S296" i="11"/>
  <c r="W296" i="11"/>
  <c r="AA296" i="11"/>
  <c r="I296" i="11"/>
  <c r="M296" i="11"/>
  <c r="Q296" i="11"/>
  <c r="U296" i="11"/>
  <c r="Y296" i="11"/>
  <c r="J285" i="11"/>
  <c r="N285" i="11"/>
  <c r="R285" i="11"/>
  <c r="V285" i="11"/>
  <c r="Z285" i="11"/>
  <c r="K285" i="11"/>
  <c r="O285" i="11"/>
  <c r="S285" i="11"/>
  <c r="W285" i="11"/>
  <c r="AA285" i="11"/>
  <c r="H285" i="11"/>
  <c r="L285" i="11"/>
  <c r="P285" i="11"/>
  <c r="T285" i="11"/>
  <c r="X285" i="11"/>
  <c r="AB285" i="11"/>
  <c r="I285" i="11"/>
  <c r="M285" i="11"/>
  <c r="Q285" i="11"/>
  <c r="U285" i="11"/>
  <c r="Y285" i="11"/>
  <c r="M293" i="11"/>
  <c r="U293" i="11"/>
  <c r="I293" i="11"/>
  <c r="Y293" i="11"/>
  <c r="Q293" i="11"/>
  <c r="Z293" i="11"/>
  <c r="V293" i="11"/>
  <c r="R293" i="11"/>
  <c r="N293" i="11"/>
  <c r="J293" i="11"/>
  <c r="AB293" i="11"/>
  <c r="X293" i="11"/>
  <c r="T293" i="11"/>
  <c r="P293" i="11"/>
  <c r="L293" i="11"/>
  <c r="H293" i="11"/>
  <c r="O293" i="11"/>
  <c r="W293" i="11"/>
  <c r="K293" i="11"/>
  <c r="S293" i="11"/>
  <c r="AA293" i="11"/>
  <c r="U289" i="11"/>
  <c r="M289" i="11"/>
  <c r="I289" i="11"/>
  <c r="Y289" i="11"/>
  <c r="Q289" i="11"/>
  <c r="Z289" i="11"/>
  <c r="V289" i="11"/>
  <c r="R289" i="11"/>
  <c r="N289" i="11"/>
  <c r="J289" i="11"/>
  <c r="AB289" i="11"/>
  <c r="X289" i="11"/>
  <c r="T289" i="11"/>
  <c r="P289" i="11"/>
  <c r="L289" i="11"/>
  <c r="H289" i="11"/>
  <c r="O289" i="11"/>
  <c r="W289" i="11"/>
  <c r="K289" i="11"/>
  <c r="S289" i="11"/>
  <c r="AA289" i="11"/>
  <c r="H280" i="11"/>
  <c r="P280" i="11"/>
  <c r="X280" i="11"/>
  <c r="L280" i="11"/>
  <c r="AB280" i="11"/>
  <c r="N280" i="11"/>
  <c r="V280" i="11"/>
  <c r="T280" i="11"/>
  <c r="J280" i="11"/>
  <c r="R280" i="11"/>
  <c r="Z280" i="11"/>
  <c r="I280" i="11"/>
  <c r="M280" i="11"/>
  <c r="Q280" i="11"/>
  <c r="U280" i="11"/>
  <c r="Y280" i="11"/>
  <c r="O280" i="11"/>
  <c r="W280" i="11"/>
  <c r="K280" i="11"/>
  <c r="S280" i="11"/>
  <c r="AA280" i="11"/>
  <c r="H278" i="11"/>
  <c r="P278" i="11"/>
  <c r="X278" i="11"/>
  <c r="L278" i="11"/>
  <c r="AB278" i="11"/>
  <c r="N278" i="11"/>
  <c r="V278" i="11"/>
  <c r="T278" i="11"/>
  <c r="J278" i="11"/>
  <c r="R278" i="11"/>
  <c r="Z278" i="11"/>
  <c r="K278" i="11"/>
  <c r="O278" i="11"/>
  <c r="S278" i="11"/>
  <c r="W278" i="11"/>
  <c r="AA278" i="11"/>
  <c r="M278" i="11"/>
  <c r="U278" i="11"/>
  <c r="I278" i="11"/>
  <c r="Q278" i="11"/>
  <c r="Y278" i="11"/>
  <c r="I281" i="11"/>
  <c r="Q281" i="11"/>
  <c r="Y281" i="11"/>
  <c r="AB281" i="11"/>
  <c r="X281" i="11"/>
  <c r="T281" i="11"/>
  <c r="P281" i="11"/>
  <c r="L281" i="11"/>
  <c r="H281" i="11"/>
  <c r="K281" i="11"/>
  <c r="S281" i="11"/>
  <c r="AA281" i="11"/>
  <c r="M281" i="11"/>
  <c r="U281" i="11"/>
  <c r="Z281" i="11"/>
  <c r="V281" i="11"/>
  <c r="R281" i="11"/>
  <c r="N281" i="11"/>
  <c r="J281" i="11"/>
  <c r="O281" i="11"/>
  <c r="W281" i="11"/>
  <c r="I277" i="11"/>
  <c r="Q277" i="11"/>
  <c r="Y277" i="11"/>
  <c r="AB277" i="11"/>
  <c r="X277" i="11"/>
  <c r="T277" i="11"/>
  <c r="P277" i="11"/>
  <c r="L277" i="11"/>
  <c r="H277" i="11"/>
  <c r="K277" i="11"/>
  <c r="S277" i="11"/>
  <c r="AA277" i="11"/>
  <c r="M277" i="11"/>
  <c r="U277" i="11"/>
  <c r="Z277" i="11"/>
  <c r="V277" i="11"/>
  <c r="R277" i="11"/>
  <c r="N277" i="11"/>
  <c r="J277" i="11"/>
  <c r="O277" i="11"/>
  <c r="W277" i="11"/>
  <c r="H266" i="11"/>
  <c r="L266" i="11"/>
  <c r="P266" i="11"/>
  <c r="T266" i="11"/>
  <c r="X266" i="11"/>
  <c r="AB266" i="11"/>
  <c r="I266" i="11"/>
  <c r="M266" i="11"/>
  <c r="Q266" i="11"/>
  <c r="U266" i="11"/>
  <c r="Y266" i="11"/>
  <c r="J266" i="11"/>
  <c r="N266" i="11"/>
  <c r="R266" i="11"/>
  <c r="V266" i="11"/>
  <c r="Z266" i="11"/>
  <c r="K266" i="11"/>
  <c r="O266" i="11"/>
  <c r="S266" i="11"/>
  <c r="W266" i="11"/>
  <c r="AA266" i="11"/>
  <c r="L276" i="11"/>
  <c r="T276" i="11"/>
  <c r="AB276" i="11"/>
  <c r="Y276" i="11"/>
  <c r="U276" i="11"/>
  <c r="Q276" i="11"/>
  <c r="M276" i="11"/>
  <c r="I276" i="11"/>
  <c r="J276" i="11"/>
  <c r="R276" i="11"/>
  <c r="Z276" i="11"/>
  <c r="H276" i="11"/>
  <c r="P276" i="11"/>
  <c r="X276" i="11"/>
  <c r="AA276" i="11"/>
  <c r="W276" i="11"/>
  <c r="S276" i="11"/>
  <c r="O276" i="11"/>
  <c r="K276" i="11"/>
  <c r="N276" i="11"/>
  <c r="V276" i="11"/>
  <c r="V267" i="11"/>
  <c r="N267" i="11"/>
  <c r="J267" i="11"/>
  <c r="Z267" i="11"/>
  <c r="R267" i="11"/>
  <c r="H267" i="11"/>
  <c r="P267" i="11"/>
  <c r="X267" i="11"/>
  <c r="L267" i="11"/>
  <c r="T267" i="11"/>
  <c r="AB267" i="11"/>
  <c r="I267" i="11"/>
  <c r="M267" i="11"/>
  <c r="Q267" i="11"/>
  <c r="U267" i="11"/>
  <c r="Y267" i="11"/>
  <c r="K267" i="11"/>
  <c r="O267" i="11"/>
  <c r="S267" i="11"/>
  <c r="W267" i="11"/>
  <c r="AA267" i="11"/>
  <c r="V257" i="11"/>
  <c r="N257" i="11"/>
  <c r="T257" i="11"/>
  <c r="H257" i="11"/>
  <c r="X257" i="11"/>
  <c r="Z257" i="11"/>
  <c r="R257" i="11"/>
  <c r="J257" i="11"/>
  <c r="L257" i="11"/>
  <c r="AB257" i="11"/>
  <c r="P257" i="11"/>
  <c r="I257" i="11"/>
  <c r="M257" i="11"/>
  <c r="Q257" i="11"/>
  <c r="U257" i="11"/>
  <c r="Y257" i="11"/>
  <c r="K257" i="11"/>
  <c r="S257" i="11"/>
  <c r="AA257" i="11"/>
  <c r="O257" i="11"/>
  <c r="W257" i="11"/>
  <c r="J274" i="11"/>
  <c r="N274" i="11"/>
  <c r="R274" i="11"/>
  <c r="V274" i="11"/>
  <c r="Z274" i="11"/>
  <c r="K274" i="11"/>
  <c r="O274" i="11"/>
  <c r="S274" i="11"/>
  <c r="W274" i="11"/>
  <c r="AA274" i="11"/>
  <c r="H274" i="11"/>
  <c r="L274" i="11"/>
  <c r="P274" i="11"/>
  <c r="T274" i="11"/>
  <c r="X274" i="11"/>
  <c r="AB274" i="11"/>
  <c r="I274" i="11"/>
  <c r="M274" i="11"/>
  <c r="Q274" i="11"/>
  <c r="U274" i="11"/>
  <c r="Y274" i="11"/>
  <c r="J268" i="11"/>
  <c r="N268" i="11"/>
  <c r="R268" i="11"/>
  <c r="V268" i="11"/>
  <c r="Z268" i="11"/>
  <c r="K268" i="11"/>
  <c r="O268" i="11"/>
  <c r="S268" i="11"/>
  <c r="W268" i="11"/>
  <c r="AA268" i="11"/>
  <c r="H268" i="11"/>
  <c r="L268" i="11"/>
  <c r="P268" i="11"/>
  <c r="T268" i="11"/>
  <c r="X268" i="11"/>
  <c r="AB268" i="11"/>
  <c r="I268" i="11"/>
  <c r="M268" i="11"/>
  <c r="Q268" i="11"/>
  <c r="U268" i="11"/>
  <c r="Y268" i="11"/>
  <c r="H260" i="11"/>
  <c r="L260" i="11"/>
  <c r="P260" i="11"/>
  <c r="T260" i="11"/>
  <c r="X260" i="11"/>
  <c r="AB260" i="11"/>
  <c r="N260" i="11"/>
  <c r="V260" i="11"/>
  <c r="K260" i="11"/>
  <c r="O260" i="11"/>
  <c r="S260" i="11"/>
  <c r="W260" i="11"/>
  <c r="AA260" i="11"/>
  <c r="J260" i="11"/>
  <c r="R260" i="11"/>
  <c r="Z260" i="11"/>
  <c r="I260" i="11"/>
  <c r="M260" i="11"/>
  <c r="Q260" i="11"/>
  <c r="U260" i="11"/>
  <c r="Y260" i="11"/>
  <c r="V273" i="11"/>
  <c r="N273" i="11"/>
  <c r="R273" i="11"/>
  <c r="J273" i="11"/>
  <c r="Z273" i="11"/>
  <c r="H273" i="11"/>
  <c r="P273" i="11"/>
  <c r="X273" i="11"/>
  <c r="L273" i="11"/>
  <c r="T273" i="11"/>
  <c r="AB273" i="11"/>
  <c r="K273" i="11"/>
  <c r="O273" i="11"/>
  <c r="S273" i="11"/>
  <c r="W273" i="11"/>
  <c r="AA273" i="11"/>
  <c r="I273" i="11"/>
  <c r="M273" i="11"/>
  <c r="Q273" i="11"/>
  <c r="U273" i="11"/>
  <c r="Y273" i="11"/>
  <c r="V265" i="11"/>
  <c r="N265" i="11"/>
  <c r="J265" i="11"/>
  <c r="Z265" i="11"/>
  <c r="L265" i="11"/>
  <c r="T265" i="11"/>
  <c r="AB265" i="11"/>
  <c r="R265" i="11"/>
  <c r="P265" i="11"/>
  <c r="H265" i="11"/>
  <c r="X265" i="11"/>
  <c r="K265" i="11"/>
  <c r="O265" i="11"/>
  <c r="S265" i="11"/>
  <c r="W265" i="11"/>
  <c r="AA265" i="11"/>
  <c r="I265" i="11"/>
  <c r="M265" i="11"/>
  <c r="Q265" i="11"/>
  <c r="U265" i="11"/>
  <c r="Y265" i="11"/>
  <c r="R255" i="11"/>
  <c r="V255" i="11"/>
  <c r="J255" i="11"/>
  <c r="Z255" i="11"/>
  <c r="N255" i="11"/>
  <c r="H255" i="11"/>
  <c r="P255" i="11"/>
  <c r="X255" i="11"/>
  <c r="L255" i="11"/>
  <c r="AB255" i="11"/>
  <c r="T255" i="11"/>
  <c r="I255" i="11"/>
  <c r="M255" i="11"/>
  <c r="Q255" i="11"/>
  <c r="U255" i="11"/>
  <c r="Y255" i="11"/>
  <c r="O255" i="11"/>
  <c r="W255" i="11"/>
  <c r="K255" i="11"/>
  <c r="S255" i="11"/>
  <c r="AA255" i="11"/>
  <c r="H248" i="11"/>
  <c r="L248" i="11"/>
  <c r="P248" i="11"/>
  <c r="T248" i="11"/>
  <c r="AA248" i="11"/>
  <c r="AB248" i="11"/>
  <c r="X248" i="11"/>
  <c r="I248" i="11"/>
  <c r="M248" i="11"/>
  <c r="Q248" i="11"/>
  <c r="U248" i="11"/>
  <c r="J248" i="11"/>
  <c r="N248" i="11"/>
  <c r="R248" i="11"/>
  <c r="W248" i="11"/>
  <c r="Z248" i="11"/>
  <c r="V248" i="11"/>
  <c r="O248" i="11"/>
  <c r="Y248" i="11"/>
  <c r="K248" i="11"/>
  <c r="S248" i="11"/>
  <c r="H240" i="11"/>
  <c r="L240" i="11"/>
  <c r="P240" i="11"/>
  <c r="T240" i="11"/>
  <c r="X240" i="11"/>
  <c r="AB240" i="11"/>
  <c r="I240" i="11"/>
  <c r="M240" i="11"/>
  <c r="Q240" i="11"/>
  <c r="U240" i="11"/>
  <c r="Y240" i="11"/>
  <c r="J240" i="11"/>
  <c r="N240" i="11"/>
  <c r="R240" i="11"/>
  <c r="V240" i="11"/>
  <c r="Z240" i="11"/>
  <c r="K240" i="11"/>
  <c r="O240" i="11"/>
  <c r="S240" i="11"/>
  <c r="W240" i="11"/>
  <c r="AA240" i="11"/>
  <c r="H232" i="11"/>
  <c r="L232" i="11"/>
  <c r="P232" i="11"/>
  <c r="T232" i="11"/>
  <c r="X232" i="11"/>
  <c r="AB232" i="11"/>
  <c r="I232" i="11"/>
  <c r="M232" i="11"/>
  <c r="Q232" i="11"/>
  <c r="U232" i="11"/>
  <c r="Y232" i="11"/>
  <c r="J232" i="11"/>
  <c r="N232" i="11"/>
  <c r="R232" i="11"/>
  <c r="V232" i="11"/>
  <c r="Z232" i="11"/>
  <c r="K232" i="11"/>
  <c r="O232" i="11"/>
  <c r="S232" i="11"/>
  <c r="W232" i="11"/>
  <c r="AA232" i="11"/>
  <c r="V245" i="11"/>
  <c r="N245" i="11"/>
  <c r="R245" i="11"/>
  <c r="Z245" i="11"/>
  <c r="H245" i="11"/>
  <c r="P245" i="11"/>
  <c r="X245" i="11"/>
  <c r="J245" i="11"/>
  <c r="L245" i="11"/>
  <c r="T245" i="11"/>
  <c r="AB245" i="11"/>
  <c r="I245" i="11"/>
  <c r="M245" i="11"/>
  <c r="Q245" i="11"/>
  <c r="U245" i="11"/>
  <c r="Y245" i="11"/>
  <c r="K245" i="11"/>
  <c r="O245" i="11"/>
  <c r="S245" i="11"/>
  <c r="W245" i="11"/>
  <c r="AA245" i="11"/>
  <c r="N237" i="11"/>
  <c r="R237" i="11"/>
  <c r="V237" i="11"/>
  <c r="Z237" i="11"/>
  <c r="H237" i="11"/>
  <c r="P237" i="11"/>
  <c r="X237" i="11"/>
  <c r="J237" i="11"/>
  <c r="L237" i="11"/>
  <c r="T237" i="11"/>
  <c r="AB237" i="11"/>
  <c r="I237" i="11"/>
  <c r="M237" i="11"/>
  <c r="Q237" i="11"/>
  <c r="U237" i="11"/>
  <c r="Y237" i="11"/>
  <c r="K237" i="11"/>
  <c r="O237" i="11"/>
  <c r="S237" i="11"/>
  <c r="W237" i="11"/>
  <c r="AA237" i="11"/>
  <c r="N227" i="11"/>
  <c r="R227" i="11"/>
  <c r="V227" i="11"/>
  <c r="J227" i="11"/>
  <c r="Z227" i="11"/>
  <c r="H227" i="11"/>
  <c r="P227" i="11"/>
  <c r="X227" i="11"/>
  <c r="L227" i="11"/>
  <c r="T227" i="11"/>
  <c r="AB227" i="11"/>
  <c r="I227" i="11"/>
  <c r="M227" i="11"/>
  <c r="Q227" i="11"/>
  <c r="U227" i="11"/>
  <c r="Y227" i="11"/>
  <c r="K227" i="11"/>
  <c r="S227" i="11"/>
  <c r="AA227" i="11"/>
  <c r="O227" i="11"/>
  <c r="W227" i="11"/>
  <c r="X253" i="11"/>
  <c r="H253" i="11"/>
  <c r="Z253" i="11"/>
  <c r="R253" i="11"/>
  <c r="J253" i="11"/>
  <c r="L253" i="11"/>
  <c r="AB253" i="11"/>
  <c r="P253" i="11"/>
  <c r="V253" i="11"/>
  <c r="N253" i="11"/>
  <c r="T253" i="11"/>
  <c r="K253" i="11"/>
  <c r="O253" i="11"/>
  <c r="S253" i="11"/>
  <c r="W253" i="11"/>
  <c r="AA253" i="11"/>
  <c r="M253" i="11"/>
  <c r="U253" i="11"/>
  <c r="I253" i="11"/>
  <c r="Q253" i="11"/>
  <c r="Y253" i="11"/>
  <c r="J242" i="11"/>
  <c r="N242" i="11"/>
  <c r="R242" i="11"/>
  <c r="V242" i="11"/>
  <c r="Z242" i="11"/>
  <c r="K242" i="11"/>
  <c r="O242" i="11"/>
  <c r="S242" i="11"/>
  <c r="W242" i="11"/>
  <c r="AA242" i="11"/>
  <c r="H242" i="11"/>
  <c r="L242" i="11"/>
  <c r="P242" i="11"/>
  <c r="T242" i="11"/>
  <c r="X242" i="11"/>
  <c r="AB242" i="11"/>
  <c r="I242" i="11"/>
  <c r="M242" i="11"/>
  <c r="Q242" i="11"/>
  <c r="U242" i="11"/>
  <c r="Y242" i="11"/>
  <c r="J234" i="11"/>
  <c r="N234" i="11"/>
  <c r="R234" i="11"/>
  <c r="V234" i="11"/>
  <c r="Z234" i="11"/>
  <c r="K234" i="11"/>
  <c r="O234" i="11"/>
  <c r="S234" i="11"/>
  <c r="W234" i="11"/>
  <c r="AA234" i="11"/>
  <c r="H234" i="11"/>
  <c r="L234" i="11"/>
  <c r="P234" i="11"/>
  <c r="T234" i="11"/>
  <c r="X234" i="11"/>
  <c r="AB234" i="11"/>
  <c r="I234" i="11"/>
  <c r="M234" i="11"/>
  <c r="Q234" i="11"/>
  <c r="U234" i="11"/>
  <c r="Y234" i="11"/>
  <c r="H226" i="11"/>
  <c r="L226" i="11"/>
  <c r="P226" i="11"/>
  <c r="T226" i="11"/>
  <c r="X226" i="11"/>
  <c r="AB226" i="11"/>
  <c r="J226" i="11"/>
  <c r="R226" i="11"/>
  <c r="Z226" i="11"/>
  <c r="K226" i="11"/>
  <c r="O226" i="11"/>
  <c r="S226" i="11"/>
  <c r="W226" i="11"/>
  <c r="AA226" i="11"/>
  <c r="N226" i="11"/>
  <c r="V226" i="11"/>
  <c r="I226" i="11"/>
  <c r="M226" i="11"/>
  <c r="Q226" i="11"/>
  <c r="U226" i="11"/>
  <c r="Y226" i="11"/>
  <c r="Y256" i="11"/>
  <c r="I256" i="11"/>
  <c r="U256" i="11"/>
  <c r="Q256" i="11"/>
  <c r="M256" i="11"/>
  <c r="AB256" i="11"/>
  <c r="X256" i="11"/>
  <c r="T256" i="11"/>
  <c r="P256" i="11"/>
  <c r="L256" i="11"/>
  <c r="H256" i="11"/>
  <c r="Z256" i="11"/>
  <c r="R256" i="11"/>
  <c r="J256" i="11"/>
  <c r="O256" i="11"/>
  <c r="W256" i="11"/>
  <c r="V256" i="11"/>
  <c r="N256" i="11"/>
  <c r="K256" i="11"/>
  <c r="S256" i="11"/>
  <c r="AA256" i="11"/>
  <c r="M252" i="11"/>
  <c r="I252" i="11"/>
  <c r="U252" i="11"/>
  <c r="Q252" i="11"/>
  <c r="Y252" i="11"/>
  <c r="AB252" i="11"/>
  <c r="X252" i="11"/>
  <c r="T252" i="11"/>
  <c r="P252" i="11"/>
  <c r="L252" i="11"/>
  <c r="H252" i="11"/>
  <c r="Z252" i="11"/>
  <c r="R252" i="11"/>
  <c r="J252" i="11"/>
  <c r="O252" i="11"/>
  <c r="W252" i="11"/>
  <c r="V252" i="11"/>
  <c r="N252" i="11"/>
  <c r="K252" i="11"/>
  <c r="S252" i="11"/>
  <c r="AA252" i="11"/>
  <c r="V247" i="11"/>
  <c r="N247" i="11"/>
  <c r="R247" i="11"/>
  <c r="Z247" i="11"/>
  <c r="H247" i="11"/>
  <c r="P247" i="11"/>
  <c r="X247" i="11"/>
  <c r="J247" i="11"/>
  <c r="L247" i="11"/>
  <c r="T247" i="11"/>
  <c r="AB247" i="11"/>
  <c r="K247" i="11"/>
  <c r="O247" i="11"/>
  <c r="S247" i="11"/>
  <c r="W247" i="11"/>
  <c r="AA247" i="11"/>
  <c r="I247" i="11"/>
  <c r="M247" i="11"/>
  <c r="Q247" i="11"/>
  <c r="U247" i="11"/>
  <c r="Y247" i="11"/>
  <c r="N239" i="11"/>
  <c r="R239" i="11"/>
  <c r="V239" i="11"/>
  <c r="Z239" i="11"/>
  <c r="H239" i="11"/>
  <c r="P239" i="11"/>
  <c r="X239" i="11"/>
  <c r="J239" i="11"/>
  <c r="L239" i="11"/>
  <c r="T239" i="11"/>
  <c r="AB239" i="11"/>
  <c r="K239" i="11"/>
  <c r="O239" i="11"/>
  <c r="S239" i="11"/>
  <c r="W239" i="11"/>
  <c r="AA239" i="11"/>
  <c r="I239" i="11"/>
  <c r="M239" i="11"/>
  <c r="Q239" i="11"/>
  <c r="U239" i="11"/>
  <c r="Y239" i="11"/>
  <c r="N231" i="11"/>
  <c r="R231" i="11"/>
  <c r="V231" i="11"/>
  <c r="J231" i="11"/>
  <c r="Z231" i="11"/>
  <c r="H231" i="11"/>
  <c r="P231" i="11"/>
  <c r="X231" i="11"/>
  <c r="L231" i="11"/>
  <c r="T231" i="11"/>
  <c r="AB231" i="11"/>
  <c r="K231" i="11"/>
  <c r="O231" i="11"/>
  <c r="S231" i="11"/>
  <c r="W231" i="11"/>
  <c r="AA231" i="11"/>
  <c r="I231" i="11"/>
  <c r="M231" i="11"/>
  <c r="Q231" i="11"/>
  <c r="U231" i="11"/>
  <c r="Y231" i="11"/>
  <c r="AA305" i="11"/>
  <c r="W305" i="11"/>
  <c r="S305" i="11"/>
  <c r="O305" i="11"/>
  <c r="K305" i="11"/>
  <c r="Z305" i="11"/>
  <c r="V305" i="11"/>
  <c r="R305" i="11"/>
  <c r="N305" i="11"/>
  <c r="J305" i="11"/>
  <c r="Y305" i="11"/>
  <c r="U305" i="11"/>
  <c r="Q305" i="11"/>
  <c r="M305" i="11"/>
  <c r="I305" i="11"/>
  <c r="AB305" i="11"/>
  <c r="X305" i="11"/>
  <c r="T305" i="11"/>
  <c r="P305" i="11"/>
  <c r="L305" i="11"/>
  <c r="H305" i="11"/>
  <c r="N290" i="11"/>
  <c r="V290" i="11"/>
  <c r="R290" i="11"/>
  <c r="J290" i="11"/>
  <c r="Z290" i="11"/>
  <c r="L290" i="11"/>
  <c r="T290" i="11"/>
  <c r="AB290" i="11"/>
  <c r="H290" i="11"/>
  <c r="P290" i="11"/>
  <c r="X290" i="11"/>
  <c r="I290" i="11"/>
  <c r="M290" i="11"/>
  <c r="Q290" i="11"/>
  <c r="U290" i="11"/>
  <c r="Y290" i="11"/>
  <c r="K290" i="11"/>
  <c r="O290" i="11"/>
  <c r="S290" i="11"/>
  <c r="W290" i="11"/>
  <c r="AA290" i="11"/>
  <c r="I301" i="11"/>
  <c r="M301" i="11"/>
  <c r="Q301" i="11"/>
  <c r="U301" i="11"/>
  <c r="Y301" i="11"/>
  <c r="H301" i="11"/>
  <c r="L301" i="11"/>
  <c r="P301" i="11"/>
  <c r="T301" i="11"/>
  <c r="X301" i="11"/>
  <c r="AB301" i="11"/>
  <c r="K301" i="11"/>
  <c r="O301" i="11"/>
  <c r="S301" i="11"/>
  <c r="W301" i="11"/>
  <c r="AA301" i="11"/>
  <c r="J301" i="11"/>
  <c r="N301" i="11"/>
  <c r="R301" i="11"/>
  <c r="V301" i="11"/>
  <c r="Z301" i="11"/>
  <c r="I297" i="11"/>
  <c r="M297" i="11"/>
  <c r="Q297" i="11"/>
  <c r="U297" i="11"/>
  <c r="Y297" i="11"/>
  <c r="H297" i="11"/>
  <c r="L297" i="11"/>
  <c r="P297" i="11"/>
  <c r="T297" i="11"/>
  <c r="X297" i="11"/>
  <c r="AB297" i="11"/>
  <c r="K297" i="11"/>
  <c r="O297" i="11"/>
  <c r="S297" i="11"/>
  <c r="W297" i="11"/>
  <c r="AA297" i="11"/>
  <c r="J297" i="11"/>
  <c r="N297" i="11"/>
  <c r="R297" i="11"/>
  <c r="V297" i="11"/>
  <c r="Z297" i="11"/>
  <c r="H288" i="11"/>
  <c r="P288" i="11"/>
  <c r="X288" i="11"/>
  <c r="L288" i="11"/>
  <c r="AB288" i="11"/>
  <c r="N288" i="11"/>
  <c r="V288" i="11"/>
  <c r="T288" i="11"/>
  <c r="J288" i="11"/>
  <c r="R288" i="11"/>
  <c r="Z288" i="11"/>
  <c r="I288" i="11"/>
  <c r="M288" i="11"/>
  <c r="Q288" i="11"/>
  <c r="U288" i="11"/>
  <c r="Y288" i="11"/>
  <c r="K288" i="11"/>
  <c r="O288" i="11"/>
  <c r="S288" i="11"/>
  <c r="W288" i="11"/>
  <c r="AA288" i="11"/>
  <c r="R302" i="11"/>
  <c r="J302" i="11"/>
  <c r="Z302" i="11"/>
  <c r="N302" i="11"/>
  <c r="V302" i="11"/>
  <c r="L302" i="11"/>
  <c r="T302" i="11"/>
  <c r="AB302" i="11"/>
  <c r="H302" i="11"/>
  <c r="P302" i="11"/>
  <c r="X302" i="11"/>
  <c r="K302" i="11"/>
  <c r="O302" i="11"/>
  <c r="S302" i="11"/>
  <c r="W302" i="11"/>
  <c r="AA302" i="11"/>
  <c r="I302" i="11"/>
  <c r="M302" i="11"/>
  <c r="Q302" i="11"/>
  <c r="U302" i="11"/>
  <c r="Y302" i="11"/>
  <c r="R298" i="11"/>
  <c r="J298" i="11"/>
  <c r="Z298" i="11"/>
  <c r="N298" i="11"/>
  <c r="V298" i="11"/>
  <c r="L298" i="11"/>
  <c r="T298" i="11"/>
  <c r="AB298" i="11"/>
  <c r="H298" i="11"/>
  <c r="P298" i="11"/>
  <c r="X298" i="11"/>
  <c r="K298" i="11"/>
  <c r="O298" i="11"/>
  <c r="S298" i="11"/>
  <c r="W298" i="11"/>
  <c r="AA298" i="11"/>
  <c r="I298" i="11"/>
  <c r="M298" i="11"/>
  <c r="Q298" i="11"/>
  <c r="U298" i="11"/>
  <c r="Y298" i="11"/>
  <c r="H292" i="11"/>
  <c r="P292" i="11"/>
  <c r="X292" i="11"/>
  <c r="L292" i="11"/>
  <c r="AB292" i="11"/>
  <c r="N292" i="11"/>
  <c r="V292" i="11"/>
  <c r="T292" i="11"/>
  <c r="J292" i="11"/>
  <c r="R292" i="11"/>
  <c r="Z292" i="11"/>
  <c r="K292" i="11"/>
  <c r="O292" i="11"/>
  <c r="S292" i="11"/>
  <c r="W292" i="11"/>
  <c r="AA292" i="11"/>
  <c r="I292" i="11"/>
  <c r="M292" i="11"/>
  <c r="Q292" i="11"/>
  <c r="U292" i="11"/>
  <c r="Y292" i="11"/>
  <c r="I295" i="11"/>
  <c r="Y295" i="11"/>
  <c r="Q295" i="11"/>
  <c r="U295" i="11"/>
  <c r="M295" i="11"/>
  <c r="Z295" i="11"/>
  <c r="V295" i="11"/>
  <c r="R295" i="11"/>
  <c r="N295" i="11"/>
  <c r="AB295" i="11"/>
  <c r="X295" i="11"/>
  <c r="T295" i="11"/>
  <c r="P295" i="11"/>
  <c r="L295" i="11"/>
  <c r="H295" i="11"/>
  <c r="O295" i="11"/>
  <c r="W295" i="11"/>
  <c r="J295" i="11"/>
  <c r="K295" i="11"/>
  <c r="S295" i="11"/>
  <c r="AA295" i="11"/>
  <c r="I291" i="11"/>
  <c r="Y291" i="11"/>
  <c r="Q291" i="11"/>
  <c r="U291" i="11"/>
  <c r="M291" i="11"/>
  <c r="Z291" i="11"/>
  <c r="V291" i="11"/>
  <c r="R291" i="11"/>
  <c r="N291" i="11"/>
  <c r="J291" i="11"/>
  <c r="AB291" i="11"/>
  <c r="X291" i="11"/>
  <c r="T291" i="11"/>
  <c r="P291" i="11"/>
  <c r="L291" i="11"/>
  <c r="H291" i="11"/>
  <c r="O291" i="11"/>
  <c r="W291" i="11"/>
  <c r="K291" i="11"/>
  <c r="S291" i="11"/>
  <c r="AA291" i="11"/>
  <c r="H286" i="11"/>
  <c r="P286" i="11"/>
  <c r="X286" i="11"/>
  <c r="L286" i="11"/>
  <c r="AB286" i="11"/>
  <c r="N286" i="11"/>
  <c r="V286" i="11"/>
  <c r="T286" i="11"/>
  <c r="J286" i="11"/>
  <c r="R286" i="11"/>
  <c r="Z286" i="11"/>
  <c r="K286" i="11"/>
  <c r="O286" i="11"/>
  <c r="S286" i="11"/>
  <c r="W286" i="11"/>
  <c r="AA286" i="11"/>
  <c r="I286" i="11"/>
  <c r="M286" i="11"/>
  <c r="Q286" i="11"/>
  <c r="U286" i="11"/>
  <c r="Y286" i="11"/>
  <c r="H282" i="11"/>
  <c r="P282" i="11"/>
  <c r="X282" i="11"/>
  <c r="L282" i="11"/>
  <c r="AB282" i="11"/>
  <c r="N282" i="11"/>
  <c r="V282" i="11"/>
  <c r="T282" i="11"/>
  <c r="J282" i="11"/>
  <c r="R282" i="11"/>
  <c r="Z282" i="11"/>
  <c r="K282" i="11"/>
  <c r="O282" i="11"/>
  <c r="S282" i="11"/>
  <c r="W282" i="11"/>
  <c r="AA282" i="11"/>
  <c r="I282" i="11"/>
  <c r="Q282" i="11"/>
  <c r="Y282" i="11"/>
  <c r="M282" i="11"/>
  <c r="U282" i="11"/>
  <c r="M283" i="11"/>
  <c r="U283" i="11"/>
  <c r="AB283" i="11"/>
  <c r="X283" i="11"/>
  <c r="T283" i="11"/>
  <c r="P283" i="11"/>
  <c r="L283" i="11"/>
  <c r="H283" i="11"/>
  <c r="K283" i="11"/>
  <c r="S283" i="11"/>
  <c r="AA283" i="11"/>
  <c r="I283" i="11"/>
  <c r="Q283" i="11"/>
  <c r="Y283" i="11"/>
  <c r="Z283" i="11"/>
  <c r="V283" i="11"/>
  <c r="R283" i="11"/>
  <c r="N283" i="11"/>
  <c r="J283" i="11"/>
  <c r="O283" i="11"/>
  <c r="W283" i="11"/>
  <c r="M279" i="11"/>
  <c r="U279" i="11"/>
  <c r="AB279" i="11"/>
  <c r="X279" i="11"/>
  <c r="T279" i="11"/>
  <c r="P279" i="11"/>
  <c r="L279" i="11"/>
  <c r="H279" i="11"/>
  <c r="K279" i="11"/>
  <c r="S279" i="11"/>
  <c r="AA279" i="11"/>
  <c r="I279" i="11"/>
  <c r="Q279" i="11"/>
  <c r="Y279" i="11"/>
  <c r="Z279" i="11"/>
  <c r="V279" i="11"/>
  <c r="R279" i="11"/>
  <c r="N279" i="11"/>
  <c r="J279" i="11"/>
  <c r="O279" i="11"/>
  <c r="W279" i="11"/>
  <c r="H270" i="11"/>
  <c r="L270" i="11"/>
  <c r="P270" i="11"/>
  <c r="T270" i="11"/>
  <c r="X270" i="11"/>
  <c r="AB270" i="11"/>
  <c r="I270" i="11"/>
  <c r="M270" i="11"/>
  <c r="Q270" i="11"/>
  <c r="U270" i="11"/>
  <c r="Y270" i="11"/>
  <c r="J270" i="11"/>
  <c r="N270" i="11"/>
  <c r="R270" i="11"/>
  <c r="V270" i="11"/>
  <c r="Z270" i="11"/>
  <c r="K270" i="11"/>
  <c r="O270" i="11"/>
  <c r="S270" i="11"/>
  <c r="W270" i="11"/>
  <c r="AA270" i="11"/>
  <c r="H262" i="11"/>
  <c r="L262" i="11"/>
  <c r="P262" i="11"/>
  <c r="T262" i="11"/>
  <c r="X262" i="11"/>
  <c r="AB262" i="11"/>
  <c r="I262" i="11"/>
  <c r="M262" i="11"/>
  <c r="Q262" i="11"/>
  <c r="U262" i="11"/>
  <c r="Y262" i="11"/>
  <c r="J262" i="11"/>
  <c r="N262" i="11"/>
  <c r="R262" i="11"/>
  <c r="V262" i="11"/>
  <c r="Z262" i="11"/>
  <c r="K262" i="11"/>
  <c r="O262" i="11"/>
  <c r="S262" i="11"/>
  <c r="W262" i="11"/>
  <c r="AA262" i="11"/>
  <c r="V271" i="11"/>
  <c r="N271" i="11"/>
  <c r="J271" i="11"/>
  <c r="Z271" i="11"/>
  <c r="R271" i="11"/>
  <c r="H271" i="11"/>
  <c r="P271" i="11"/>
  <c r="X271" i="11"/>
  <c r="L271" i="11"/>
  <c r="T271" i="11"/>
  <c r="AB271" i="11"/>
  <c r="I271" i="11"/>
  <c r="M271" i="11"/>
  <c r="Q271" i="11"/>
  <c r="U271" i="11"/>
  <c r="Y271" i="11"/>
  <c r="K271" i="11"/>
  <c r="O271" i="11"/>
  <c r="S271" i="11"/>
  <c r="W271" i="11"/>
  <c r="AA271" i="11"/>
  <c r="V263" i="11"/>
  <c r="N263" i="11"/>
  <c r="J263" i="11"/>
  <c r="Z263" i="11"/>
  <c r="L263" i="11"/>
  <c r="T263" i="11"/>
  <c r="AB263" i="11"/>
  <c r="R263" i="11"/>
  <c r="P263" i="11"/>
  <c r="H263" i="11"/>
  <c r="X263" i="11"/>
  <c r="I263" i="11"/>
  <c r="M263" i="11"/>
  <c r="Q263" i="11"/>
  <c r="U263" i="11"/>
  <c r="Y263" i="11"/>
  <c r="K263" i="11"/>
  <c r="O263" i="11"/>
  <c r="S263" i="11"/>
  <c r="W263" i="11"/>
  <c r="AA263" i="11"/>
  <c r="AB251" i="11"/>
  <c r="T251" i="11"/>
  <c r="L251" i="11"/>
  <c r="N251" i="11"/>
  <c r="J251" i="11"/>
  <c r="Z251" i="11"/>
  <c r="X251" i="11"/>
  <c r="P251" i="11"/>
  <c r="H251" i="11"/>
  <c r="V251" i="11"/>
  <c r="R251" i="11"/>
  <c r="I251" i="11"/>
  <c r="M251" i="11"/>
  <c r="Q251" i="11"/>
  <c r="U251" i="11"/>
  <c r="Y251" i="11"/>
  <c r="K251" i="11"/>
  <c r="S251" i="11"/>
  <c r="AA251" i="11"/>
  <c r="O251" i="11"/>
  <c r="W251" i="11"/>
  <c r="J272" i="11"/>
  <c r="N272" i="11"/>
  <c r="R272" i="11"/>
  <c r="V272" i="11"/>
  <c r="Z272" i="11"/>
  <c r="K272" i="11"/>
  <c r="O272" i="11"/>
  <c r="S272" i="11"/>
  <c r="W272" i="11"/>
  <c r="AA272" i="11"/>
  <c r="H272" i="11"/>
  <c r="L272" i="11"/>
  <c r="P272" i="11"/>
  <c r="T272" i="11"/>
  <c r="X272" i="11"/>
  <c r="AB272" i="11"/>
  <c r="I272" i="11"/>
  <c r="M272" i="11"/>
  <c r="Q272" i="11"/>
  <c r="U272" i="11"/>
  <c r="Y272" i="11"/>
  <c r="J264" i="11"/>
  <c r="N264" i="11"/>
  <c r="R264" i="11"/>
  <c r="V264" i="11"/>
  <c r="Z264" i="11"/>
  <c r="K264" i="11"/>
  <c r="O264" i="11"/>
  <c r="S264" i="11"/>
  <c r="W264" i="11"/>
  <c r="AA264" i="11"/>
  <c r="H264" i="11"/>
  <c r="L264" i="11"/>
  <c r="P264" i="11"/>
  <c r="T264" i="11"/>
  <c r="X264" i="11"/>
  <c r="AB264" i="11"/>
  <c r="I264" i="11"/>
  <c r="M264" i="11"/>
  <c r="Q264" i="11"/>
  <c r="U264" i="11"/>
  <c r="Y264" i="11"/>
  <c r="J275" i="11"/>
  <c r="H275" i="11"/>
  <c r="L275" i="11"/>
  <c r="K275" i="11"/>
  <c r="O275" i="11"/>
  <c r="S275" i="11"/>
  <c r="W275" i="11"/>
  <c r="AA275" i="11"/>
  <c r="P275" i="11"/>
  <c r="T275" i="11"/>
  <c r="X275" i="11"/>
  <c r="AB275" i="11"/>
  <c r="I275" i="11"/>
  <c r="M275" i="11"/>
  <c r="Q275" i="11"/>
  <c r="U275" i="11"/>
  <c r="Y275" i="11"/>
  <c r="N275" i="11"/>
  <c r="R275" i="11"/>
  <c r="V275" i="11"/>
  <c r="Z275" i="11"/>
  <c r="V269" i="11"/>
  <c r="N269" i="11"/>
  <c r="J269" i="11"/>
  <c r="Z269" i="11"/>
  <c r="R269" i="11"/>
  <c r="H269" i="11"/>
  <c r="P269" i="11"/>
  <c r="X269" i="11"/>
  <c r="L269" i="11"/>
  <c r="T269" i="11"/>
  <c r="AB269" i="11"/>
  <c r="K269" i="11"/>
  <c r="O269" i="11"/>
  <c r="S269" i="11"/>
  <c r="W269" i="11"/>
  <c r="AA269" i="11"/>
  <c r="I269" i="11"/>
  <c r="M269" i="11"/>
  <c r="Q269" i="11"/>
  <c r="U269" i="11"/>
  <c r="Y269" i="11"/>
  <c r="V261" i="11"/>
  <c r="N261" i="11"/>
  <c r="J261" i="11"/>
  <c r="Z261" i="11"/>
  <c r="L261" i="11"/>
  <c r="T261" i="11"/>
  <c r="AB261" i="11"/>
  <c r="R261" i="11"/>
  <c r="P261" i="11"/>
  <c r="H261" i="11"/>
  <c r="X261" i="11"/>
  <c r="I261" i="11"/>
  <c r="M261" i="11"/>
  <c r="O261" i="11"/>
  <c r="S261" i="11"/>
  <c r="W261" i="11"/>
  <c r="AA261" i="11"/>
  <c r="K261" i="11"/>
  <c r="Q261" i="11"/>
  <c r="U261" i="11"/>
  <c r="Y261" i="11"/>
  <c r="V249" i="11"/>
  <c r="N249" i="11"/>
  <c r="R249" i="11"/>
  <c r="Z249" i="11"/>
  <c r="H249" i="11"/>
  <c r="P249" i="11"/>
  <c r="X249" i="11"/>
  <c r="J249" i="11"/>
  <c r="L249" i="11"/>
  <c r="T249" i="11"/>
  <c r="AB249" i="11"/>
  <c r="I249" i="11"/>
  <c r="M249" i="11"/>
  <c r="Q249" i="11"/>
  <c r="U249" i="11"/>
  <c r="Y249" i="11"/>
  <c r="O249" i="11"/>
  <c r="W249" i="11"/>
  <c r="K249" i="11"/>
  <c r="S249" i="11"/>
  <c r="AA249" i="11"/>
  <c r="H244" i="11"/>
  <c r="L244" i="11"/>
  <c r="P244" i="11"/>
  <c r="T244" i="11"/>
  <c r="X244" i="11"/>
  <c r="AB244" i="11"/>
  <c r="I244" i="11"/>
  <c r="M244" i="11"/>
  <c r="Q244" i="11"/>
  <c r="U244" i="11"/>
  <c r="Y244" i="11"/>
  <c r="J244" i="11"/>
  <c r="N244" i="11"/>
  <c r="R244" i="11"/>
  <c r="V244" i="11"/>
  <c r="Z244" i="11"/>
  <c r="K244" i="11"/>
  <c r="O244" i="11"/>
  <c r="S244" i="11"/>
  <c r="W244" i="11"/>
  <c r="AA244" i="11"/>
  <c r="H236" i="11"/>
  <c r="L236" i="11"/>
  <c r="P236" i="11"/>
  <c r="T236" i="11"/>
  <c r="X236" i="11"/>
  <c r="AB236" i="11"/>
  <c r="I236" i="11"/>
  <c r="M236" i="11"/>
  <c r="Q236" i="11"/>
  <c r="U236" i="11"/>
  <c r="Y236" i="11"/>
  <c r="J236" i="11"/>
  <c r="N236" i="11"/>
  <c r="R236" i="11"/>
  <c r="V236" i="11"/>
  <c r="Z236" i="11"/>
  <c r="K236" i="11"/>
  <c r="O236" i="11"/>
  <c r="S236" i="11"/>
  <c r="W236" i="11"/>
  <c r="AA236" i="11"/>
  <c r="J228" i="11"/>
  <c r="N228" i="11"/>
  <c r="R228" i="11"/>
  <c r="V228" i="11"/>
  <c r="Z228" i="11"/>
  <c r="H228" i="11"/>
  <c r="P228" i="11"/>
  <c r="X228" i="11"/>
  <c r="I228" i="11"/>
  <c r="M228" i="11"/>
  <c r="Q228" i="11"/>
  <c r="U228" i="11"/>
  <c r="Y228" i="11"/>
  <c r="L228" i="11"/>
  <c r="T228" i="11"/>
  <c r="AB228" i="11"/>
  <c r="K228" i="11"/>
  <c r="O228" i="11"/>
  <c r="S228" i="11"/>
  <c r="W228" i="11"/>
  <c r="AA228" i="11"/>
  <c r="V241" i="11"/>
  <c r="N241" i="11"/>
  <c r="R241" i="11"/>
  <c r="Z241" i="11"/>
  <c r="H241" i="11"/>
  <c r="P241" i="11"/>
  <c r="X241" i="11"/>
  <c r="J241" i="11"/>
  <c r="L241" i="11"/>
  <c r="T241" i="11"/>
  <c r="AB241" i="11"/>
  <c r="I241" i="11"/>
  <c r="M241" i="11"/>
  <c r="Q241" i="11"/>
  <c r="U241" i="11"/>
  <c r="Y241" i="11"/>
  <c r="K241" i="11"/>
  <c r="O241" i="11"/>
  <c r="S241" i="11"/>
  <c r="W241" i="11"/>
  <c r="AA241" i="11"/>
  <c r="N233" i="11"/>
  <c r="R233" i="11"/>
  <c r="V233" i="11"/>
  <c r="J233" i="11"/>
  <c r="Z233" i="11"/>
  <c r="H233" i="11"/>
  <c r="P233" i="11"/>
  <c r="X233" i="11"/>
  <c r="L233" i="11"/>
  <c r="T233" i="11"/>
  <c r="AB233" i="11"/>
  <c r="I233" i="11"/>
  <c r="M233" i="11"/>
  <c r="Q233" i="11"/>
  <c r="U233" i="11"/>
  <c r="Y233" i="11"/>
  <c r="K233" i="11"/>
  <c r="O233" i="11"/>
  <c r="S233" i="11"/>
  <c r="W233" i="11"/>
  <c r="AA233" i="11"/>
  <c r="V259" i="11"/>
  <c r="N259" i="11"/>
  <c r="J259" i="11"/>
  <c r="Z259" i="11"/>
  <c r="L259" i="11"/>
  <c r="T259" i="11"/>
  <c r="AB259" i="11"/>
  <c r="R259" i="11"/>
  <c r="P259" i="11"/>
  <c r="H259" i="11"/>
  <c r="X259" i="11"/>
  <c r="K259" i="11"/>
  <c r="O259" i="11"/>
  <c r="S259" i="11"/>
  <c r="W259" i="11"/>
  <c r="AA259" i="11"/>
  <c r="M259" i="11"/>
  <c r="U259" i="11"/>
  <c r="I259" i="11"/>
  <c r="Q259" i="11"/>
  <c r="Y259" i="11"/>
  <c r="J246" i="11"/>
  <c r="N246" i="11"/>
  <c r="R246" i="11"/>
  <c r="V246" i="11"/>
  <c r="Z246" i="11"/>
  <c r="K246" i="11"/>
  <c r="O246" i="11"/>
  <c r="S246" i="11"/>
  <c r="W246" i="11"/>
  <c r="AA246" i="11"/>
  <c r="H246" i="11"/>
  <c r="L246" i="11"/>
  <c r="P246" i="11"/>
  <c r="T246" i="11"/>
  <c r="X246" i="11"/>
  <c r="AB246" i="11"/>
  <c r="I246" i="11"/>
  <c r="M246" i="11"/>
  <c r="Q246" i="11"/>
  <c r="U246" i="11"/>
  <c r="Y246" i="11"/>
  <c r="J238" i="11"/>
  <c r="N238" i="11"/>
  <c r="R238" i="11"/>
  <c r="V238" i="11"/>
  <c r="Z238" i="11"/>
  <c r="K238" i="11"/>
  <c r="O238" i="11"/>
  <c r="S238" i="11"/>
  <c r="W238" i="11"/>
  <c r="AA238" i="11"/>
  <c r="H238" i="11"/>
  <c r="L238" i="11"/>
  <c r="P238" i="11"/>
  <c r="T238" i="11"/>
  <c r="X238" i="11"/>
  <c r="AB238" i="11"/>
  <c r="I238" i="11"/>
  <c r="M238" i="11"/>
  <c r="Q238" i="11"/>
  <c r="U238" i="11"/>
  <c r="Y238" i="11"/>
  <c r="J230" i="11"/>
  <c r="N230" i="11"/>
  <c r="R230" i="11"/>
  <c r="V230" i="11"/>
  <c r="Z230" i="11"/>
  <c r="K230" i="11"/>
  <c r="O230" i="11"/>
  <c r="S230" i="11"/>
  <c r="W230" i="11"/>
  <c r="AA230" i="11"/>
  <c r="H230" i="11"/>
  <c r="L230" i="11"/>
  <c r="P230" i="11"/>
  <c r="T230" i="11"/>
  <c r="X230" i="11"/>
  <c r="AB230" i="11"/>
  <c r="I230" i="11"/>
  <c r="M230" i="11"/>
  <c r="Q230" i="11"/>
  <c r="U230" i="11"/>
  <c r="Y230" i="11"/>
  <c r="M258" i="11"/>
  <c r="U258" i="11"/>
  <c r="I258" i="11"/>
  <c r="Y258" i="11"/>
  <c r="Q258" i="11"/>
  <c r="AB258" i="11"/>
  <c r="X258" i="11"/>
  <c r="T258" i="11"/>
  <c r="P258" i="11"/>
  <c r="L258" i="11"/>
  <c r="H258" i="11"/>
  <c r="Z258" i="11"/>
  <c r="R258" i="11"/>
  <c r="J258" i="11"/>
  <c r="O258" i="11"/>
  <c r="W258" i="11"/>
  <c r="V258" i="11"/>
  <c r="N258" i="11"/>
  <c r="K258" i="11"/>
  <c r="S258" i="11"/>
  <c r="AA258" i="11"/>
  <c r="U254" i="11"/>
  <c r="M254" i="11"/>
  <c r="Q254" i="11"/>
  <c r="I254" i="11"/>
  <c r="Y254" i="11"/>
  <c r="AB254" i="11"/>
  <c r="X254" i="11"/>
  <c r="T254" i="11"/>
  <c r="P254" i="11"/>
  <c r="L254" i="11"/>
  <c r="H254" i="11"/>
  <c r="Z254" i="11"/>
  <c r="R254" i="11"/>
  <c r="J254" i="11"/>
  <c r="O254" i="11"/>
  <c r="W254" i="11"/>
  <c r="V254" i="11"/>
  <c r="N254" i="11"/>
  <c r="K254" i="11"/>
  <c r="S254" i="11"/>
  <c r="AA254" i="11"/>
  <c r="Q250" i="11"/>
  <c r="M250" i="11"/>
  <c r="I250" i="11"/>
  <c r="Y250" i="11"/>
  <c r="U250" i="11"/>
  <c r="Z250" i="11"/>
  <c r="V250" i="11"/>
  <c r="R250" i="11"/>
  <c r="N250" i="11"/>
  <c r="J250" i="11"/>
  <c r="AB250" i="11"/>
  <c r="X250" i="11"/>
  <c r="T250" i="11"/>
  <c r="P250" i="11"/>
  <c r="L250" i="11"/>
  <c r="H250" i="11"/>
  <c r="O250" i="11"/>
  <c r="W250" i="11"/>
  <c r="K250" i="11"/>
  <c r="S250" i="11"/>
  <c r="AA250" i="11"/>
  <c r="V243" i="11"/>
  <c r="N243" i="11"/>
  <c r="R243" i="11"/>
  <c r="Z243" i="11"/>
  <c r="H243" i="11"/>
  <c r="P243" i="11"/>
  <c r="X243" i="11"/>
  <c r="J243" i="11"/>
  <c r="L243" i="11"/>
  <c r="T243" i="11"/>
  <c r="AB243" i="11"/>
  <c r="K243" i="11"/>
  <c r="O243" i="11"/>
  <c r="S243" i="11"/>
  <c r="W243" i="11"/>
  <c r="AA243" i="11"/>
  <c r="I243" i="11"/>
  <c r="M243" i="11"/>
  <c r="Q243" i="11"/>
  <c r="U243" i="11"/>
  <c r="Y243" i="11"/>
  <c r="N235" i="11"/>
  <c r="R235" i="11"/>
  <c r="V235" i="11"/>
  <c r="J235" i="11"/>
  <c r="Z235" i="11"/>
  <c r="H235" i="11"/>
  <c r="P235" i="11"/>
  <c r="X235" i="11"/>
  <c r="L235" i="11"/>
  <c r="T235" i="11"/>
  <c r="AB235" i="11"/>
  <c r="K235" i="11"/>
  <c r="O235" i="11"/>
  <c r="S235" i="11"/>
  <c r="W235" i="11"/>
  <c r="AA235" i="11"/>
  <c r="I235" i="11"/>
  <c r="M235" i="11"/>
  <c r="Q235" i="11"/>
  <c r="U235" i="11"/>
  <c r="Y235" i="11"/>
  <c r="N229" i="11"/>
  <c r="R229" i="11"/>
  <c r="V229" i="11"/>
  <c r="J229" i="11"/>
  <c r="Z229" i="11"/>
  <c r="H229" i="11"/>
  <c r="P229" i="11"/>
  <c r="X229" i="11"/>
  <c r="L229" i="11"/>
  <c r="T229" i="11"/>
  <c r="AB229" i="11"/>
  <c r="K229" i="11"/>
  <c r="O229" i="11"/>
  <c r="I229" i="11"/>
  <c r="Q229" i="11"/>
  <c r="U229" i="11"/>
  <c r="Y229" i="11"/>
  <c r="M229" i="11"/>
  <c r="S229" i="11"/>
  <c r="W229" i="11"/>
  <c r="AA229" i="11"/>
  <c r="G307" i="11"/>
  <c r="AD235" i="11" l="1"/>
  <c r="AF235" i="11"/>
  <c r="AE235" i="11"/>
  <c r="AC235" i="11"/>
  <c r="AM235" i="11"/>
  <c r="AJ235" i="11"/>
  <c r="AI235" i="11"/>
  <c r="AH235" i="11"/>
  <c r="AG235" i="11"/>
  <c r="AD243" i="11"/>
  <c r="AF243" i="11"/>
  <c r="AE243" i="11"/>
  <c r="AC243" i="11"/>
  <c r="AM243" i="11"/>
  <c r="AH243" i="11"/>
  <c r="AG243" i="11"/>
  <c r="AC250" i="11"/>
  <c r="AD250" i="11"/>
  <c r="AF250" i="11"/>
  <c r="AE250" i="11"/>
  <c r="AM250" i="11"/>
  <c r="AJ250" i="11"/>
  <c r="AI250" i="11"/>
  <c r="AG250" i="11"/>
  <c r="AH250" i="11"/>
  <c r="AG254" i="11"/>
  <c r="AH254" i="11"/>
  <c r="AC254" i="11"/>
  <c r="AF254" i="11"/>
  <c r="AE254" i="11"/>
  <c r="AD254" i="11"/>
  <c r="AM254" i="11"/>
  <c r="AJ258" i="11"/>
  <c r="AI258" i="11"/>
  <c r="AD230" i="11"/>
  <c r="AE230" i="11"/>
  <c r="AF230" i="11"/>
  <c r="AC230" i="11"/>
  <c r="AM230" i="11"/>
  <c r="AH230" i="11"/>
  <c r="AG230" i="11"/>
  <c r="AI230" i="11"/>
  <c r="AJ230" i="11"/>
  <c r="AD246" i="11"/>
  <c r="AE246" i="11"/>
  <c r="AF246" i="11"/>
  <c r="AC246" i="11"/>
  <c r="AM246" i="11"/>
  <c r="AH246" i="11"/>
  <c r="AG246" i="11"/>
  <c r="AI246" i="11"/>
  <c r="AJ246" i="11"/>
  <c r="AD259" i="11"/>
  <c r="AF259" i="11"/>
  <c r="AE259" i="11"/>
  <c r="AC259" i="11"/>
  <c r="AM259" i="11"/>
  <c r="AH259" i="11"/>
  <c r="AG259" i="11"/>
  <c r="AJ241" i="11"/>
  <c r="AI241" i="11"/>
  <c r="AH228" i="11"/>
  <c r="AG228" i="11"/>
  <c r="AJ228" i="11"/>
  <c r="AI228" i="11"/>
  <c r="AG236" i="11"/>
  <c r="AH236" i="11"/>
  <c r="AJ236" i="11"/>
  <c r="AI236" i="11"/>
  <c r="AF244" i="11"/>
  <c r="AC244" i="11"/>
  <c r="E243" i="21" s="1"/>
  <c r="AD244" i="11"/>
  <c r="AE244" i="11"/>
  <c r="AM244" i="11"/>
  <c r="AJ249" i="11"/>
  <c r="AI249" i="11"/>
  <c r="AJ261" i="11"/>
  <c r="AI261" i="11"/>
  <c r="AD269" i="11"/>
  <c r="AF269" i="11"/>
  <c r="AE269" i="11"/>
  <c r="AC269" i="11"/>
  <c r="AM269" i="11"/>
  <c r="AG275" i="11"/>
  <c r="AH275" i="11"/>
  <c r="AJ275" i="11"/>
  <c r="AI275" i="11"/>
  <c r="AD272" i="11"/>
  <c r="AE272" i="11"/>
  <c r="AF272" i="11"/>
  <c r="AC272" i="11"/>
  <c r="E271" i="21" s="1"/>
  <c r="AM272" i="11"/>
  <c r="AH272" i="11"/>
  <c r="AG272" i="11"/>
  <c r="AI272" i="11"/>
  <c r="AJ272" i="11"/>
  <c r="AJ263" i="11"/>
  <c r="AI263" i="11"/>
  <c r="AD271" i="11"/>
  <c r="AF271" i="11"/>
  <c r="AC271" i="11"/>
  <c r="AE271" i="11"/>
  <c r="AM271" i="11"/>
  <c r="AF262" i="11"/>
  <c r="AC262" i="11"/>
  <c r="AD262" i="11"/>
  <c r="AE262" i="11"/>
  <c r="AM262" i="11"/>
  <c r="AG270" i="11"/>
  <c r="AH270" i="11"/>
  <c r="AJ270" i="11"/>
  <c r="AI270" i="11"/>
  <c r="AJ279" i="11"/>
  <c r="AI279" i="11"/>
  <c r="AG279" i="11"/>
  <c r="AH279" i="11"/>
  <c r="AC283" i="11"/>
  <c r="AF283" i="11"/>
  <c r="AD283" i="11"/>
  <c r="AE283" i="11"/>
  <c r="AM283" i="11"/>
  <c r="AJ282" i="11"/>
  <c r="AI282" i="11"/>
  <c r="AF282" i="11"/>
  <c r="AD282" i="11"/>
  <c r="AE282" i="11"/>
  <c r="AC282" i="11"/>
  <c r="AM282" i="11"/>
  <c r="AH286" i="11"/>
  <c r="AG286" i="11"/>
  <c r="AJ295" i="11"/>
  <c r="AI295" i="11"/>
  <c r="AG295" i="11"/>
  <c r="AH295" i="11"/>
  <c r="AJ292" i="11"/>
  <c r="AI292" i="11"/>
  <c r="AF292" i="11"/>
  <c r="AD292" i="11"/>
  <c r="AE292" i="11"/>
  <c r="AC292" i="11"/>
  <c r="AM292" i="11"/>
  <c r="AJ298" i="11"/>
  <c r="AI298" i="11"/>
  <c r="AD302" i="11"/>
  <c r="AF302" i="11"/>
  <c r="AE302" i="11"/>
  <c r="AC302" i="11"/>
  <c r="AM302" i="11"/>
  <c r="AH302" i="11"/>
  <c r="AG302" i="11"/>
  <c r="AH288" i="11"/>
  <c r="AG288" i="11"/>
  <c r="AG297" i="11"/>
  <c r="AH297" i="11"/>
  <c r="AJ297" i="11"/>
  <c r="AI297" i="11"/>
  <c r="AC301" i="11"/>
  <c r="AF301" i="11"/>
  <c r="AE301" i="11"/>
  <c r="AD301" i="11"/>
  <c r="AM301" i="11"/>
  <c r="AD290" i="11"/>
  <c r="AF290" i="11"/>
  <c r="AC290" i="11"/>
  <c r="AE290" i="11"/>
  <c r="AM290" i="11"/>
  <c r="AH290" i="11"/>
  <c r="AG290" i="11"/>
  <c r="AI305" i="11"/>
  <c r="AJ305" i="11"/>
  <c r="AH305" i="11"/>
  <c r="AG305" i="11"/>
  <c r="AJ239" i="11"/>
  <c r="AI239" i="11"/>
  <c r="AH239" i="11"/>
  <c r="AG239" i="11"/>
  <c r="AD247" i="11"/>
  <c r="AF247" i="11"/>
  <c r="AE247" i="11"/>
  <c r="AC247" i="11"/>
  <c r="AM247" i="11"/>
  <c r="AH247" i="11"/>
  <c r="AG247" i="11"/>
  <c r="AJ252" i="11"/>
  <c r="AI252" i="11"/>
  <c r="AG256" i="11"/>
  <c r="AH256" i="11"/>
  <c r="AC256" i="11"/>
  <c r="E255" i="21" s="1"/>
  <c r="AF256" i="11"/>
  <c r="AE256" i="11"/>
  <c r="AD256" i="11"/>
  <c r="AM256" i="11"/>
  <c r="AH226" i="11"/>
  <c r="AG226" i="11"/>
  <c r="AD234" i="11"/>
  <c r="AE234" i="11"/>
  <c r="AF234" i="11"/>
  <c r="AC234" i="11"/>
  <c r="AM234" i="11"/>
  <c r="AH234" i="11"/>
  <c r="AG234" i="11"/>
  <c r="AI234" i="11"/>
  <c r="AJ234" i="11"/>
  <c r="AJ253" i="11"/>
  <c r="AI253" i="11"/>
  <c r="AD227" i="11"/>
  <c r="AF227" i="11"/>
  <c r="AC227" i="11"/>
  <c r="AE227" i="11"/>
  <c r="AM227" i="11"/>
  <c r="AJ227" i="11"/>
  <c r="AI227" i="11"/>
  <c r="AH227" i="11"/>
  <c r="AG227" i="11"/>
  <c r="AD237" i="11"/>
  <c r="AF237" i="11"/>
  <c r="AC237" i="11"/>
  <c r="AE237" i="11"/>
  <c r="AM237" i="11"/>
  <c r="AJ245" i="11"/>
  <c r="AI245" i="11"/>
  <c r="AF232" i="11"/>
  <c r="AC232" i="11"/>
  <c r="E231" i="21" s="1"/>
  <c r="AD232" i="11"/>
  <c r="AE232" i="11"/>
  <c r="AM232" i="11"/>
  <c r="AG240" i="11"/>
  <c r="AH240" i="11"/>
  <c r="AJ240" i="11"/>
  <c r="AI240" i="11"/>
  <c r="AF248" i="11"/>
  <c r="AC248" i="11"/>
  <c r="E247" i="21" s="1"/>
  <c r="AE248" i="11"/>
  <c r="AD248" i="11"/>
  <c r="AM248" i="11"/>
  <c r="AF255" i="11"/>
  <c r="AD255" i="11"/>
  <c r="AC255" i="11"/>
  <c r="AE255" i="11"/>
  <c r="AM255" i="11"/>
  <c r="AJ265" i="11"/>
  <c r="AI265" i="11"/>
  <c r="AE273" i="11"/>
  <c r="AF273" i="11"/>
  <c r="AC273" i="11"/>
  <c r="AD273" i="11"/>
  <c r="AM273" i="11"/>
  <c r="AJ273" i="11"/>
  <c r="AI273" i="11"/>
  <c r="AH260" i="11"/>
  <c r="AG260" i="11"/>
  <c r="AF260" i="11"/>
  <c r="AD260" i="11"/>
  <c r="AE260" i="11"/>
  <c r="AC260" i="11"/>
  <c r="E259" i="21" s="1"/>
  <c r="AM260" i="11"/>
  <c r="AD274" i="11"/>
  <c r="AE274" i="11"/>
  <c r="AF274" i="11"/>
  <c r="AC274" i="11"/>
  <c r="AM274" i="11"/>
  <c r="AH274" i="11"/>
  <c r="AG274" i="11"/>
  <c r="AI274" i="11"/>
  <c r="AJ274" i="11"/>
  <c r="AJ257" i="11"/>
  <c r="AI257" i="11"/>
  <c r="AD257" i="11"/>
  <c r="AF257" i="11"/>
  <c r="AC257" i="11"/>
  <c r="AE257" i="11"/>
  <c r="AM257" i="11"/>
  <c r="AH267" i="11"/>
  <c r="AG267" i="11"/>
  <c r="AJ267" i="11"/>
  <c r="AI267" i="11"/>
  <c r="AC276" i="11"/>
  <c r="AF276" i="11"/>
  <c r="AE276" i="11"/>
  <c r="AD276" i="11"/>
  <c r="AM276" i="11"/>
  <c r="AG276" i="11"/>
  <c r="AH276" i="11"/>
  <c r="AF266" i="11"/>
  <c r="AC266" i="11"/>
  <c r="AD266" i="11"/>
  <c r="AE266" i="11"/>
  <c r="AM266" i="11"/>
  <c r="AJ281" i="11"/>
  <c r="AI281" i="11"/>
  <c r="AG281" i="11"/>
  <c r="AH281" i="11"/>
  <c r="AF281" i="11"/>
  <c r="AC281" i="11"/>
  <c r="AD281" i="11"/>
  <c r="AE281" i="11"/>
  <c r="AM281" i="11"/>
  <c r="AH278" i="11"/>
  <c r="AG278" i="11"/>
  <c r="AJ280" i="11"/>
  <c r="AI280" i="11"/>
  <c r="AF280" i="11"/>
  <c r="AD280" i="11"/>
  <c r="AC280" i="11"/>
  <c r="AE280" i="11"/>
  <c r="AM280" i="11"/>
  <c r="AC289" i="11"/>
  <c r="AD289" i="11"/>
  <c r="AF289" i="11"/>
  <c r="AE289" i="11"/>
  <c r="AM289" i="11"/>
  <c r="AJ289" i="11"/>
  <c r="AI289" i="11"/>
  <c r="AG289" i="11"/>
  <c r="AH289" i="11"/>
  <c r="AD296" i="11"/>
  <c r="AF296" i="11"/>
  <c r="AE296" i="11"/>
  <c r="AC296" i="11"/>
  <c r="AM296" i="11"/>
  <c r="AH296" i="11"/>
  <c r="AG296" i="11"/>
  <c r="AJ300" i="11"/>
  <c r="AI300" i="11"/>
  <c r="AJ284" i="11"/>
  <c r="AI284" i="11"/>
  <c r="AF284" i="11"/>
  <c r="AD284" i="11"/>
  <c r="AC284" i="11"/>
  <c r="E283" i="21" s="1"/>
  <c r="AE284" i="11"/>
  <c r="AM284" i="11"/>
  <c r="AG287" i="11"/>
  <c r="AH287" i="11"/>
  <c r="AJ287" i="11"/>
  <c r="AI287" i="11"/>
  <c r="AG299" i="11"/>
  <c r="AH299" i="11"/>
  <c r="AJ299" i="11"/>
  <c r="AI299" i="11"/>
  <c r="AC303" i="11"/>
  <c r="AF303" i="11"/>
  <c r="AE303" i="11"/>
  <c r="AD303" i="11"/>
  <c r="AM303" i="11"/>
  <c r="AD294" i="11"/>
  <c r="AF294" i="11"/>
  <c r="AC294" i="11"/>
  <c r="AE294" i="11"/>
  <c r="AM294" i="11"/>
  <c r="AH294" i="11"/>
  <c r="AG294" i="11"/>
  <c r="AH304" i="11"/>
  <c r="AG304" i="11"/>
  <c r="AJ304" i="11"/>
  <c r="AI304" i="11"/>
  <c r="AD229" i="11"/>
  <c r="AF229" i="11"/>
  <c r="AC229" i="11"/>
  <c r="AE229" i="11"/>
  <c r="AM229" i="11"/>
  <c r="AJ229" i="11"/>
  <c r="AI229" i="11"/>
  <c r="AH229" i="11"/>
  <c r="AG229" i="11"/>
  <c r="AJ243" i="11"/>
  <c r="AI243" i="11"/>
  <c r="AJ254" i="11"/>
  <c r="AI254" i="11"/>
  <c r="AG258" i="11"/>
  <c r="AH258" i="11"/>
  <c r="AC258" i="11"/>
  <c r="E257" i="21" s="1"/>
  <c r="AF258" i="11"/>
  <c r="AE258" i="11"/>
  <c r="AD258" i="11"/>
  <c r="AM258" i="11"/>
  <c r="AD238" i="11"/>
  <c r="AE238" i="11"/>
  <c r="AF238" i="11"/>
  <c r="AC238" i="11"/>
  <c r="AM238" i="11"/>
  <c r="AH238" i="11"/>
  <c r="AG238" i="11"/>
  <c r="AI238" i="11"/>
  <c r="AJ238" i="11"/>
  <c r="AJ259" i="11"/>
  <c r="AI259" i="11"/>
  <c r="AD233" i="11"/>
  <c r="AF233" i="11"/>
  <c r="AC233" i="11"/>
  <c r="AE233" i="11"/>
  <c r="AM233" i="11"/>
  <c r="AJ233" i="11"/>
  <c r="AI233" i="11"/>
  <c r="AH233" i="11"/>
  <c r="AG233" i="11"/>
  <c r="AD241" i="11"/>
  <c r="AF241" i="11"/>
  <c r="AC241" i="11"/>
  <c r="AE241" i="11"/>
  <c r="AM241" i="11"/>
  <c r="AH241" i="11"/>
  <c r="AG241" i="11"/>
  <c r="AD228" i="11"/>
  <c r="AF228" i="11"/>
  <c r="AC228" i="11"/>
  <c r="AE228" i="11"/>
  <c r="AM228" i="11"/>
  <c r="AF236" i="11"/>
  <c r="AC236" i="11"/>
  <c r="E235" i="21" s="1"/>
  <c r="AD236" i="11"/>
  <c r="AE236" i="11"/>
  <c r="AM236" i="11"/>
  <c r="AG244" i="11"/>
  <c r="AH244" i="11"/>
  <c r="AJ244" i="11"/>
  <c r="AI244" i="11"/>
  <c r="AD249" i="11"/>
  <c r="AF249" i="11"/>
  <c r="AC249" i="11"/>
  <c r="AE249" i="11"/>
  <c r="AM249" i="11"/>
  <c r="AH249" i="11"/>
  <c r="AG249" i="11"/>
  <c r="AD261" i="11"/>
  <c r="AF261" i="11"/>
  <c r="AE261" i="11"/>
  <c r="AC261" i="11"/>
  <c r="AM261" i="11"/>
  <c r="AH261" i="11"/>
  <c r="AG261" i="11"/>
  <c r="AH269" i="11"/>
  <c r="AG269" i="11"/>
  <c r="AJ269" i="11"/>
  <c r="AI269" i="11"/>
  <c r="AE275" i="11"/>
  <c r="AF275" i="11"/>
  <c r="AC275" i="11"/>
  <c r="AD275" i="11"/>
  <c r="AM275" i="11"/>
  <c r="AD264" i="11"/>
  <c r="AE264" i="11"/>
  <c r="AF264" i="11"/>
  <c r="AC264" i="11"/>
  <c r="E263" i="21" s="1"/>
  <c r="AM264" i="11"/>
  <c r="AH264" i="11"/>
  <c r="AG264" i="11"/>
  <c r="AI264" i="11"/>
  <c r="AJ264" i="11"/>
  <c r="AH251" i="11"/>
  <c r="AG251" i="11"/>
  <c r="AD251" i="11"/>
  <c r="AF251" i="11"/>
  <c r="AC251" i="11"/>
  <c r="AE251" i="11"/>
  <c r="AM251" i="11"/>
  <c r="AJ251" i="11"/>
  <c r="AI251" i="11"/>
  <c r="AD263" i="11"/>
  <c r="AF263" i="11"/>
  <c r="AC263" i="11"/>
  <c r="AE263" i="11"/>
  <c r="AM263" i="11"/>
  <c r="AH263" i="11"/>
  <c r="AG263" i="11"/>
  <c r="AH271" i="11"/>
  <c r="AG271" i="11"/>
  <c r="AJ271" i="11"/>
  <c r="AI271" i="11"/>
  <c r="AG262" i="11"/>
  <c r="AH262" i="11"/>
  <c r="AJ262" i="11"/>
  <c r="AI262" i="11"/>
  <c r="AF270" i="11"/>
  <c r="AC270" i="11"/>
  <c r="E269" i="21" s="1"/>
  <c r="AD270" i="11"/>
  <c r="AE270" i="11"/>
  <c r="AM270" i="11"/>
  <c r="AC279" i="11"/>
  <c r="AF279" i="11"/>
  <c r="AD279" i="11"/>
  <c r="AE279" i="11"/>
  <c r="AM279" i="11"/>
  <c r="AJ283" i="11"/>
  <c r="AI283" i="11"/>
  <c r="AG283" i="11"/>
  <c r="AH283" i="11"/>
  <c r="AH282" i="11"/>
  <c r="AG282" i="11"/>
  <c r="AJ286" i="11"/>
  <c r="AI286" i="11"/>
  <c r="AF286" i="11"/>
  <c r="AD286" i="11"/>
  <c r="AE286" i="11"/>
  <c r="AC286" i="11"/>
  <c r="AM286" i="11"/>
  <c r="AC291" i="11"/>
  <c r="AD291" i="11"/>
  <c r="AF291" i="11"/>
  <c r="AE291" i="11"/>
  <c r="AM291" i="11"/>
  <c r="AJ291" i="11"/>
  <c r="AI291" i="11"/>
  <c r="AG291" i="11"/>
  <c r="AH291" i="11"/>
  <c r="AC295" i="11"/>
  <c r="AD295" i="11"/>
  <c r="AF295" i="11"/>
  <c r="AE295" i="11"/>
  <c r="AM295" i="11"/>
  <c r="AH292" i="11"/>
  <c r="AG292" i="11"/>
  <c r="AD298" i="11"/>
  <c r="AF298" i="11"/>
  <c r="AE298" i="11"/>
  <c r="AC298" i="11"/>
  <c r="AM298" i="11"/>
  <c r="AH298" i="11"/>
  <c r="AG298" i="11"/>
  <c r="AJ302" i="11"/>
  <c r="AI302" i="11"/>
  <c r="AJ288" i="11"/>
  <c r="AI288" i="11"/>
  <c r="AF288" i="11"/>
  <c r="AD288" i="11"/>
  <c r="AC288" i="11"/>
  <c r="AE288" i="11"/>
  <c r="AM288" i="11"/>
  <c r="AC297" i="11"/>
  <c r="AF297" i="11"/>
  <c r="AE297" i="11"/>
  <c r="AD297" i="11"/>
  <c r="AM297" i="11"/>
  <c r="AG301" i="11"/>
  <c r="AH301" i="11"/>
  <c r="AJ301" i="11"/>
  <c r="AI301" i="11"/>
  <c r="AJ290" i="11"/>
  <c r="AI290" i="11"/>
  <c r="AE305" i="11"/>
  <c r="AM305" i="11"/>
  <c r="AD305" i="11"/>
  <c r="AC305" i="11"/>
  <c r="E304" i="21" s="1"/>
  <c r="AF305" i="11"/>
  <c r="AD231" i="11"/>
  <c r="AF231" i="11"/>
  <c r="AE231" i="11"/>
  <c r="AC231" i="11"/>
  <c r="AM231" i="11"/>
  <c r="AJ231" i="11"/>
  <c r="AI231" i="11"/>
  <c r="AH231" i="11"/>
  <c r="AG231" i="11"/>
  <c r="AD239" i="11"/>
  <c r="AF239" i="11"/>
  <c r="AE239" i="11"/>
  <c r="AC239" i="11"/>
  <c r="AM239" i="11"/>
  <c r="AJ247" i="11"/>
  <c r="AI247" i="11"/>
  <c r="AG252" i="11"/>
  <c r="AH252" i="11"/>
  <c r="AC252" i="11"/>
  <c r="E251" i="21" s="1"/>
  <c r="AF252" i="11"/>
  <c r="AE252" i="11"/>
  <c r="AD252" i="11"/>
  <c r="AM252" i="11"/>
  <c r="AJ256" i="11"/>
  <c r="AI256" i="11"/>
  <c r="AJ226" i="11"/>
  <c r="AI226" i="11"/>
  <c r="AF226" i="11"/>
  <c r="AE226" i="11"/>
  <c r="AD226" i="11"/>
  <c r="AC226" i="11"/>
  <c r="AM226" i="11"/>
  <c r="AD242" i="11"/>
  <c r="AE242" i="11"/>
  <c r="AF242" i="11"/>
  <c r="AC242" i="11"/>
  <c r="AM242" i="11"/>
  <c r="AH242" i="11"/>
  <c r="AG242" i="11"/>
  <c r="AI242" i="11"/>
  <c r="AJ242" i="11"/>
  <c r="AH253" i="11"/>
  <c r="AG253" i="11"/>
  <c r="AF253" i="11"/>
  <c r="AD253" i="11"/>
  <c r="AE253" i="11"/>
  <c r="AC253" i="11"/>
  <c r="AM253" i="11"/>
  <c r="AJ237" i="11"/>
  <c r="AI237" i="11"/>
  <c r="AH237" i="11"/>
  <c r="AG237" i="11"/>
  <c r="AD245" i="11"/>
  <c r="AF245" i="11"/>
  <c r="AC245" i="11"/>
  <c r="AE245" i="11"/>
  <c r="AM245" i="11"/>
  <c r="AH245" i="11"/>
  <c r="AG245" i="11"/>
  <c r="AG232" i="11"/>
  <c r="AH232" i="11"/>
  <c r="AJ232" i="11"/>
  <c r="AI232" i="11"/>
  <c r="AF240" i="11"/>
  <c r="AC240" i="11"/>
  <c r="E239" i="21" s="1"/>
  <c r="AD240" i="11"/>
  <c r="AE240" i="11"/>
  <c r="AM240" i="11"/>
  <c r="AH248" i="11"/>
  <c r="AG248" i="11"/>
  <c r="AI248" i="11"/>
  <c r="AJ248" i="11"/>
  <c r="AJ255" i="11"/>
  <c r="AI255" i="11"/>
  <c r="AH255" i="11"/>
  <c r="AG255" i="11"/>
  <c r="AD265" i="11"/>
  <c r="AF265" i="11"/>
  <c r="AE265" i="11"/>
  <c r="AC265" i="11"/>
  <c r="AM265" i="11"/>
  <c r="AH265" i="11"/>
  <c r="AG265" i="11"/>
  <c r="AG273" i="11"/>
  <c r="AH273" i="11"/>
  <c r="AJ260" i="11"/>
  <c r="AI260" i="11"/>
  <c r="AD268" i="11"/>
  <c r="AE268" i="11"/>
  <c r="AF268" i="11"/>
  <c r="AC268" i="11"/>
  <c r="E267" i="21" s="1"/>
  <c r="AM268" i="11"/>
  <c r="AH268" i="11"/>
  <c r="AG268" i="11"/>
  <c r="AI268" i="11"/>
  <c r="AJ268" i="11"/>
  <c r="AH257" i="11"/>
  <c r="AG257" i="11"/>
  <c r="AD267" i="11"/>
  <c r="AF267" i="11"/>
  <c r="AC267" i="11"/>
  <c r="AE267" i="11"/>
  <c r="AM267" i="11"/>
  <c r="AJ276" i="11"/>
  <c r="AI276" i="11"/>
  <c r="AG266" i="11"/>
  <c r="AH266" i="11"/>
  <c r="AJ266" i="11"/>
  <c r="AI266" i="11"/>
  <c r="AJ277" i="11"/>
  <c r="AI277" i="11"/>
  <c r="AG277" i="11"/>
  <c r="AH277" i="11"/>
  <c r="AF277" i="11"/>
  <c r="AC277" i="11"/>
  <c r="AD277" i="11"/>
  <c r="AE277" i="11"/>
  <c r="AM277" i="11"/>
  <c r="AJ278" i="11"/>
  <c r="AI278" i="11"/>
  <c r="AF278" i="11"/>
  <c r="AD278" i="11"/>
  <c r="AE278" i="11"/>
  <c r="AC278" i="11"/>
  <c r="AM278" i="11"/>
  <c r="AH280" i="11"/>
  <c r="AG280" i="11"/>
  <c r="AC293" i="11"/>
  <c r="AD293" i="11"/>
  <c r="AF293" i="11"/>
  <c r="AE293" i="11"/>
  <c r="AM293" i="11"/>
  <c r="AJ293" i="11"/>
  <c r="AI293" i="11"/>
  <c r="AG293" i="11"/>
  <c r="AH293" i="11"/>
  <c r="AD285" i="11"/>
  <c r="AE285" i="11"/>
  <c r="AF285" i="11"/>
  <c r="AC285" i="11"/>
  <c r="AM285" i="11"/>
  <c r="AH285" i="11"/>
  <c r="AG285" i="11"/>
  <c r="AI285" i="11"/>
  <c r="AJ285" i="11"/>
  <c r="AJ296" i="11"/>
  <c r="AI296" i="11"/>
  <c r="AD300" i="11"/>
  <c r="AF300" i="11"/>
  <c r="AE300" i="11"/>
  <c r="AC300" i="11"/>
  <c r="AM300" i="11"/>
  <c r="AH300" i="11"/>
  <c r="AG300" i="11"/>
  <c r="AH284" i="11"/>
  <c r="AG284" i="11"/>
  <c r="AF287" i="11"/>
  <c r="AC287" i="11"/>
  <c r="AD287" i="11"/>
  <c r="AE287" i="11"/>
  <c r="AM287" i="11"/>
  <c r="AC299" i="11"/>
  <c r="AF299" i="11"/>
  <c r="AE299" i="11"/>
  <c r="AD299" i="11"/>
  <c r="AM299" i="11"/>
  <c r="AG303" i="11"/>
  <c r="AH303" i="11"/>
  <c r="AJ303" i="11"/>
  <c r="AI303" i="11"/>
  <c r="AJ294" i="11"/>
  <c r="AI294" i="11"/>
  <c r="AF304" i="11"/>
  <c r="AE304" i="11"/>
  <c r="AC304" i="11"/>
  <c r="AD304" i="11"/>
  <c r="AM304" i="11"/>
  <c r="M18" i="15"/>
  <c r="M22" i="15"/>
  <c r="M23" i="15"/>
  <c r="M24" i="15"/>
  <c r="M25" i="15"/>
  <c r="L19" i="27"/>
  <c r="L20" i="27" s="1"/>
  <c r="F4" i="29"/>
  <c r="D4" i="29" s="1"/>
  <c r="D103" i="10"/>
  <c r="E103" i="10" s="1"/>
  <c r="D154" i="10"/>
  <c r="E154" i="10" s="1"/>
  <c r="W154" i="10" s="1"/>
  <c r="D144" i="10"/>
  <c r="E144" i="10" s="1"/>
  <c r="W144" i="10" s="1"/>
  <c r="D169" i="10"/>
  <c r="E169" i="10" s="1"/>
  <c r="M4" i="29" l="1"/>
  <c r="K4" i="29"/>
  <c r="S267" i="21"/>
  <c r="D267" i="21"/>
  <c r="D304" i="21"/>
  <c r="S304" i="21"/>
  <c r="S269" i="21"/>
  <c r="D269" i="21"/>
  <c r="S247" i="21"/>
  <c r="D247" i="21"/>
  <c r="S255" i="21"/>
  <c r="D255" i="21"/>
  <c r="S239" i="21"/>
  <c r="D239" i="21"/>
  <c r="S251" i="21"/>
  <c r="D251" i="21"/>
  <c r="S263" i="21"/>
  <c r="D263" i="21"/>
  <c r="S235" i="21"/>
  <c r="D235" i="21"/>
  <c r="S257" i="21"/>
  <c r="D257" i="21"/>
  <c r="S283" i="21"/>
  <c r="D283" i="21"/>
  <c r="S259" i="21"/>
  <c r="D259" i="21"/>
  <c r="S231" i="21"/>
  <c r="D231" i="21"/>
  <c r="S271" i="21"/>
  <c r="D271" i="21"/>
  <c r="S243" i="21"/>
  <c r="D243" i="21"/>
  <c r="L21" i="27"/>
  <c r="L22" i="27" s="1"/>
  <c r="L23" i="27" s="1"/>
  <c r="K25" i="27" s="1"/>
  <c r="G2" i="27" s="1"/>
  <c r="E4" i="29"/>
  <c r="G4" i="29" s="1"/>
  <c r="L36" i="32"/>
  <c r="M36" i="32" s="1"/>
  <c r="H4" i="29"/>
  <c r="I4" i="29" s="1"/>
  <c r="L34" i="32"/>
  <c r="M34" i="32" s="1"/>
  <c r="X154" i="10"/>
  <c r="G154" i="10" s="1"/>
  <c r="V154" i="10" s="1"/>
  <c r="W169" i="10"/>
  <c r="E241" i="17" l="1"/>
  <c r="F241" i="17" s="1"/>
  <c r="F243" i="21"/>
  <c r="H243" i="21" s="1"/>
  <c r="J243" i="21" s="1"/>
  <c r="E269" i="17"/>
  <c r="F269" i="17" s="1"/>
  <c r="F271" i="21"/>
  <c r="H271" i="21" s="1"/>
  <c r="J271" i="21" s="1"/>
  <c r="E229" i="17"/>
  <c r="F229" i="17" s="1"/>
  <c r="F231" i="21"/>
  <c r="H231" i="21" s="1"/>
  <c r="J231" i="21" s="1"/>
  <c r="E257" i="17"/>
  <c r="F257" i="17" s="1"/>
  <c r="F259" i="21"/>
  <c r="H259" i="21" s="1"/>
  <c r="J259" i="21" s="1"/>
  <c r="E281" i="17"/>
  <c r="F281" i="17" s="1"/>
  <c r="F283" i="21"/>
  <c r="H283" i="21" s="1"/>
  <c r="J283" i="21" s="1"/>
  <c r="E255" i="17"/>
  <c r="F255" i="17" s="1"/>
  <c r="F257" i="21"/>
  <c r="H257" i="21" s="1"/>
  <c r="J257" i="21" s="1"/>
  <c r="E233" i="17"/>
  <c r="F233" i="17" s="1"/>
  <c r="F235" i="21"/>
  <c r="H235" i="21" s="1"/>
  <c r="J235" i="21" s="1"/>
  <c r="E261" i="17"/>
  <c r="F261" i="17" s="1"/>
  <c r="F263" i="21"/>
  <c r="H263" i="21" s="1"/>
  <c r="J263" i="21" s="1"/>
  <c r="E249" i="17"/>
  <c r="F249" i="17" s="1"/>
  <c r="F251" i="21"/>
  <c r="H251" i="21" s="1"/>
  <c r="J251" i="21" s="1"/>
  <c r="E237" i="17"/>
  <c r="F237" i="17" s="1"/>
  <c r="F239" i="21"/>
  <c r="H239" i="21" s="1"/>
  <c r="J239" i="21" s="1"/>
  <c r="E253" i="17"/>
  <c r="F253" i="17" s="1"/>
  <c r="F255" i="21"/>
  <c r="H255" i="21" s="1"/>
  <c r="J255" i="21" s="1"/>
  <c r="E245" i="17"/>
  <c r="F245" i="17" s="1"/>
  <c r="F247" i="21"/>
  <c r="H247" i="21" s="1"/>
  <c r="J247" i="21" s="1"/>
  <c r="E267" i="17"/>
  <c r="F267" i="17" s="1"/>
  <c r="F269" i="21"/>
  <c r="H269" i="21" s="1"/>
  <c r="J269" i="21" s="1"/>
  <c r="E265" i="17"/>
  <c r="F265" i="17" s="1"/>
  <c r="F267" i="21"/>
  <c r="H267" i="21" s="1"/>
  <c r="J267" i="21" s="1"/>
  <c r="E302" i="17"/>
  <c r="F302" i="17" s="1"/>
  <c r="F304" i="21"/>
  <c r="H304" i="21" s="1"/>
  <c r="J304" i="21" s="1"/>
  <c r="E195" i="10"/>
  <c r="W195" i="10" s="1"/>
  <c r="E29" i="10"/>
  <c r="E26" i="10"/>
  <c r="E28" i="10"/>
  <c r="E27" i="10"/>
  <c r="O4" i="29"/>
  <c r="E53" i="10"/>
  <c r="L4" i="29"/>
  <c r="N4" i="29"/>
  <c r="E24" i="10"/>
  <c r="E25" i="10"/>
  <c r="E22" i="10"/>
  <c r="E23" i="10"/>
  <c r="E21" i="10"/>
  <c r="E20" i="10"/>
  <c r="E19" i="10"/>
  <c r="E18" i="10"/>
  <c r="E17" i="10"/>
  <c r="E16" i="10"/>
  <c r="E15" i="10"/>
  <c r="E14" i="10"/>
  <c r="E13" i="10"/>
  <c r="E12" i="10"/>
  <c r="E11" i="10"/>
  <c r="E10" i="10"/>
  <c r="E9" i="10"/>
  <c r="E8" i="10"/>
  <c r="E7" i="10"/>
  <c r="E6" i="10"/>
  <c r="E5" i="10"/>
  <c r="N34" i="32"/>
  <c r="O34" i="32"/>
  <c r="O36" i="32"/>
  <c r="N36" i="32"/>
  <c r="AJ6" i="2" l="1"/>
  <c r="P32" i="36"/>
  <c r="AJ25" i="2"/>
  <c r="AJ24" i="2"/>
  <c r="AJ23" i="2"/>
  <c r="AJ22" i="2"/>
  <c r="AJ21" i="2"/>
  <c r="AJ20" i="2"/>
  <c r="AJ19" i="2"/>
  <c r="AJ18" i="2"/>
  <c r="AJ17" i="2"/>
  <c r="AJ16" i="2"/>
  <c r="AJ15" i="2"/>
  <c r="AJ14" i="2"/>
  <c r="AJ13" i="2"/>
  <c r="AJ12" i="2"/>
  <c r="AJ11" i="2"/>
  <c r="AJ10" i="2"/>
  <c r="AJ9" i="2"/>
  <c r="AJ8" i="2"/>
  <c r="AJ7" i="2"/>
  <c r="AN27" i="2"/>
  <c r="AN23" i="2"/>
  <c r="AN19" i="2"/>
  <c r="AN15" i="2"/>
  <c r="AN11" i="2"/>
  <c r="AN28" i="2"/>
  <c r="AN20" i="2"/>
  <c r="AN12" i="2"/>
  <c r="AN6" i="2"/>
  <c r="AN26" i="2"/>
  <c r="AN18" i="2"/>
  <c r="AN10" i="2"/>
  <c r="AN29" i="2"/>
  <c r="AN25" i="2"/>
  <c r="AN21" i="2"/>
  <c r="AN17" i="2"/>
  <c r="AN13" i="2"/>
  <c r="AN9" i="2"/>
  <c r="AN24" i="2"/>
  <c r="AN16" i="2"/>
  <c r="AN8" i="2"/>
  <c r="AN30" i="2"/>
  <c r="AN22" i="2"/>
  <c r="AN14" i="2"/>
  <c r="AN7" i="2"/>
  <c r="X195" i="10"/>
  <c r="G195" i="10" s="1"/>
  <c r="V195" i="10" s="1"/>
  <c r="W28" i="10"/>
  <c r="X28" i="10"/>
  <c r="W29" i="10"/>
  <c r="X29" i="10"/>
  <c r="W27" i="10"/>
  <c r="X27" i="10"/>
  <c r="W26" i="10"/>
  <c r="X26" i="10"/>
  <c r="E26" i="32"/>
  <c r="H26" i="32" s="1"/>
  <c r="J4" i="29"/>
  <c r="X53" i="10"/>
  <c r="W53" i="10"/>
  <c r="B59" i="27"/>
  <c r="K58" i="27" s="1"/>
  <c r="X5" i="10"/>
  <c r="X7" i="10"/>
  <c r="X9" i="10"/>
  <c r="X11" i="10"/>
  <c r="X13" i="10"/>
  <c r="X15" i="10"/>
  <c r="X17" i="10"/>
  <c r="X19" i="10"/>
  <c r="X21" i="10"/>
  <c r="X22" i="10"/>
  <c r="X24" i="10"/>
  <c r="X6" i="10"/>
  <c r="X8" i="10"/>
  <c r="X10" i="10"/>
  <c r="X12" i="10"/>
  <c r="X14" i="10"/>
  <c r="X16" i="10"/>
  <c r="X18" i="10"/>
  <c r="X20" i="10"/>
  <c r="X23" i="10"/>
  <c r="X25" i="10"/>
  <c r="M8" i="36" l="1"/>
  <c r="B60" i="27"/>
  <c r="G26" i="10"/>
  <c r="V26" i="10" s="1"/>
  <c r="G27" i="10"/>
  <c r="V27" i="10" s="1"/>
  <c r="G29" i="10"/>
  <c r="V29" i="10" s="1"/>
  <c r="G28" i="10"/>
  <c r="V28" i="10" s="1"/>
  <c r="M20" i="36"/>
  <c r="M11" i="36"/>
  <c r="P11" i="36" s="1"/>
  <c r="M14" i="36"/>
  <c r="P14" i="36" s="1"/>
  <c r="K26" i="32"/>
  <c r="L26" i="32" s="1"/>
  <c r="M26" i="32" s="1"/>
  <c r="N26" i="32" s="1"/>
  <c r="G53" i="10"/>
  <c r="V53" i="10" s="1"/>
  <c r="P8" i="36" l="1"/>
  <c r="V8" i="36"/>
  <c r="S20" i="36"/>
  <c r="P20" i="36"/>
  <c r="K59" i="27"/>
  <c r="B61" i="27"/>
  <c r="B62" i="27" s="1"/>
  <c r="B63" i="27" s="1"/>
  <c r="B64" i="27" s="1"/>
  <c r="V20" i="36"/>
  <c r="T3" i="28"/>
  <c r="F3" i="28" s="1"/>
  <c r="S117" i="28"/>
  <c r="T117" i="28" s="1"/>
  <c r="F2169" i="28" s="1"/>
  <c r="S115" i="28"/>
  <c r="T115" i="28" s="1"/>
  <c r="F2131" i="28" s="1"/>
  <c r="S113" i="28"/>
  <c r="T113" i="28" s="1"/>
  <c r="F2093" i="28" s="1"/>
  <c r="S111" i="28"/>
  <c r="T111" i="28" s="1"/>
  <c r="F2055" i="28" s="1"/>
  <c r="S109" i="28"/>
  <c r="T109" i="28" s="1"/>
  <c r="F2017" i="28" s="1"/>
  <c r="S107" i="28"/>
  <c r="T107" i="28" s="1"/>
  <c r="F1979" i="28" s="1"/>
  <c r="S105" i="28"/>
  <c r="T105" i="28" s="1"/>
  <c r="F1941" i="28" s="1"/>
  <c r="S103" i="28"/>
  <c r="T103" i="28" s="1"/>
  <c r="F1903" i="28" s="1"/>
  <c r="S101" i="28"/>
  <c r="T101" i="28" s="1"/>
  <c r="F1865" i="28" s="1"/>
  <c r="S99" i="28"/>
  <c r="T99" i="28" s="1"/>
  <c r="F1827" i="28" s="1"/>
  <c r="S97" i="28"/>
  <c r="T97" i="28" s="1"/>
  <c r="F1789" i="28" s="1"/>
  <c r="S95" i="28"/>
  <c r="T95" i="28" s="1"/>
  <c r="F1751" i="28" s="1"/>
  <c r="S93" i="28"/>
  <c r="T93" i="28" s="1"/>
  <c r="F1713" i="28" s="1"/>
  <c r="S91" i="28"/>
  <c r="T91" i="28" s="1"/>
  <c r="F1675" i="28" s="1"/>
  <c r="S89" i="28"/>
  <c r="T89" i="28" s="1"/>
  <c r="F1637" i="28" s="1"/>
  <c r="S87" i="28"/>
  <c r="T87" i="28" s="1"/>
  <c r="F1599" i="28" s="1"/>
  <c r="S85" i="28"/>
  <c r="T85" i="28" s="1"/>
  <c r="F1561" i="28" s="1"/>
  <c r="S83" i="28"/>
  <c r="T83" i="28" s="1"/>
  <c r="F1523" i="28" s="1"/>
  <c r="S81" i="28"/>
  <c r="T81" i="28" s="1"/>
  <c r="F1485" i="28" s="1"/>
  <c r="S79" i="28"/>
  <c r="T79" i="28" s="1"/>
  <c r="F1447" i="28" s="1"/>
  <c r="S77" i="28"/>
  <c r="T77" i="28" s="1"/>
  <c r="F1409" i="28" s="1"/>
  <c r="S75" i="28"/>
  <c r="T75" i="28" s="1"/>
  <c r="F1371" i="28" s="1"/>
  <c r="S73" i="28"/>
  <c r="T73" i="28" s="1"/>
  <c r="F1333" i="28" s="1"/>
  <c r="S71" i="28"/>
  <c r="T71" i="28" s="1"/>
  <c r="F1295" i="28" s="1"/>
  <c r="S69" i="28"/>
  <c r="T69" i="28" s="1"/>
  <c r="F1257" i="28" s="1"/>
  <c r="S67" i="28"/>
  <c r="T67" i="28" s="1"/>
  <c r="F1219" i="28" s="1"/>
  <c r="S65" i="28"/>
  <c r="T65" i="28" s="1"/>
  <c r="F1181" i="28" s="1"/>
  <c r="S63" i="28"/>
  <c r="T63" i="28" s="1"/>
  <c r="F1143" i="28" s="1"/>
  <c r="S61" i="28"/>
  <c r="T61" i="28" s="1"/>
  <c r="F1105" i="28" s="1"/>
  <c r="S59" i="28"/>
  <c r="T59" i="28" s="1"/>
  <c r="F1067" i="28" s="1"/>
  <c r="S57" i="28"/>
  <c r="S55" i="28"/>
  <c r="T55" i="28" s="1"/>
  <c r="F991" i="28" s="1"/>
  <c r="S53" i="28"/>
  <c r="T53" i="28" s="1"/>
  <c r="F953" i="28" s="1"/>
  <c r="S51" i="28"/>
  <c r="T51" i="28" s="1"/>
  <c r="F915" i="28" s="1"/>
  <c r="S49" i="28"/>
  <c r="T49" i="28" s="1"/>
  <c r="F877" i="28" s="1"/>
  <c r="S47" i="28"/>
  <c r="T47" i="28" s="1"/>
  <c r="F839" i="28" s="1"/>
  <c r="S45" i="28"/>
  <c r="T45" i="28" s="1"/>
  <c r="F801" i="28" s="1"/>
  <c r="S43" i="28"/>
  <c r="T43" i="28" s="1"/>
  <c r="F763" i="28" s="1"/>
  <c r="S41" i="28"/>
  <c r="T41" i="28" s="1"/>
  <c r="F725" i="28" s="1"/>
  <c r="S39" i="28"/>
  <c r="T39" i="28" s="1"/>
  <c r="F687" i="28" s="1"/>
  <c r="S37" i="28"/>
  <c r="T37" i="28" s="1"/>
  <c r="F649" i="28" s="1"/>
  <c r="S35" i="28"/>
  <c r="T35" i="28" s="1"/>
  <c r="F611" i="28" s="1"/>
  <c r="S33" i="28"/>
  <c r="T33" i="28" s="1"/>
  <c r="F573" i="28" s="1"/>
  <c r="S31" i="28"/>
  <c r="T31" i="28" s="1"/>
  <c r="F535" i="28" s="1"/>
  <c r="S29" i="28"/>
  <c r="T29" i="28" s="1"/>
  <c r="F497" i="28" s="1"/>
  <c r="S27" i="28"/>
  <c r="T27" i="28" s="1"/>
  <c r="F459" i="28" s="1"/>
  <c r="S25" i="28"/>
  <c r="T25" i="28" s="1"/>
  <c r="F421" i="28" s="1"/>
  <c r="S23" i="28"/>
  <c r="S21" i="28"/>
  <c r="T21" i="28" s="1"/>
  <c r="F345" i="28" s="1"/>
  <c r="S19" i="28"/>
  <c r="T19" i="28" s="1"/>
  <c r="F307" i="28" s="1"/>
  <c r="S17" i="28"/>
  <c r="T17" i="28" s="1"/>
  <c r="F269" i="28" s="1"/>
  <c r="S15" i="28"/>
  <c r="T15" i="28" s="1"/>
  <c r="F231" i="28" s="1"/>
  <c r="S13" i="28"/>
  <c r="T13" i="28" s="1"/>
  <c r="F193" i="28" s="1"/>
  <c r="S11" i="28"/>
  <c r="T11" i="28" s="1"/>
  <c r="F155" i="28" s="1"/>
  <c r="S9" i="28"/>
  <c r="T9" i="28" s="1"/>
  <c r="F117" i="28" s="1"/>
  <c r="S7" i="28"/>
  <c r="T7" i="28" s="1"/>
  <c r="F79" i="28" s="1"/>
  <c r="S5" i="28"/>
  <c r="T5" i="28" s="1"/>
  <c r="F41" i="28" s="1"/>
  <c r="S118" i="28"/>
  <c r="T118" i="28" s="1"/>
  <c r="F2188" i="28" s="1"/>
  <c r="S116" i="28"/>
  <c r="T116" i="28" s="1"/>
  <c r="F2150" i="28" s="1"/>
  <c r="S114" i="28"/>
  <c r="T114" i="28" s="1"/>
  <c r="F2112" i="28" s="1"/>
  <c r="S112" i="28"/>
  <c r="T112" i="28" s="1"/>
  <c r="F2074" i="28" s="1"/>
  <c r="S110" i="28"/>
  <c r="T110" i="28" s="1"/>
  <c r="F2036" i="28" s="1"/>
  <c r="S108" i="28"/>
  <c r="T108" i="28" s="1"/>
  <c r="F1998" i="28" s="1"/>
  <c r="S106" i="28"/>
  <c r="T106" i="28" s="1"/>
  <c r="F1960" i="28" s="1"/>
  <c r="S104" i="28"/>
  <c r="T104" i="28" s="1"/>
  <c r="F1922" i="28" s="1"/>
  <c r="S102" i="28"/>
  <c r="T102" i="28" s="1"/>
  <c r="F1884" i="28" s="1"/>
  <c r="S100" i="28"/>
  <c r="T100" i="28" s="1"/>
  <c r="F1846" i="28" s="1"/>
  <c r="S98" i="28"/>
  <c r="T98" i="28" s="1"/>
  <c r="F1808" i="28" s="1"/>
  <c r="S96" i="28"/>
  <c r="T96" i="28" s="1"/>
  <c r="F1770" i="28" s="1"/>
  <c r="S94" i="28"/>
  <c r="T94" i="28" s="1"/>
  <c r="F1732" i="28" s="1"/>
  <c r="S92" i="28"/>
  <c r="T92" i="28" s="1"/>
  <c r="F1694" i="28" s="1"/>
  <c r="S90" i="28"/>
  <c r="T90" i="28" s="1"/>
  <c r="F1656" i="28" s="1"/>
  <c r="S88" i="28"/>
  <c r="T88" i="28" s="1"/>
  <c r="F1618" i="28" s="1"/>
  <c r="S86" i="28"/>
  <c r="T86" i="28" s="1"/>
  <c r="F1580" i="28" s="1"/>
  <c r="S84" i="28"/>
  <c r="T84" i="28" s="1"/>
  <c r="F1542" i="28" s="1"/>
  <c r="S82" i="28"/>
  <c r="T82" i="28" s="1"/>
  <c r="F1504" i="28" s="1"/>
  <c r="S80" i="28"/>
  <c r="T80" i="28" s="1"/>
  <c r="F1466" i="28" s="1"/>
  <c r="S78" i="28"/>
  <c r="T78" i="28" s="1"/>
  <c r="F1428" i="28" s="1"/>
  <c r="S76" i="28"/>
  <c r="T76" i="28" s="1"/>
  <c r="F1390" i="28" s="1"/>
  <c r="S74" i="28"/>
  <c r="T74" i="28" s="1"/>
  <c r="F1352" i="28" s="1"/>
  <c r="S72" i="28"/>
  <c r="T72" i="28" s="1"/>
  <c r="F1314" i="28" s="1"/>
  <c r="S70" i="28"/>
  <c r="T70" i="28" s="1"/>
  <c r="F1276" i="28" s="1"/>
  <c r="S68" i="28"/>
  <c r="T68" i="28" s="1"/>
  <c r="F1238" i="28" s="1"/>
  <c r="S66" i="28"/>
  <c r="T66" i="28" s="1"/>
  <c r="F1200" i="28" s="1"/>
  <c r="S64" i="28"/>
  <c r="T64" i="28" s="1"/>
  <c r="F1162" i="28" s="1"/>
  <c r="S62" i="28"/>
  <c r="T62" i="28" s="1"/>
  <c r="F1124" i="28" s="1"/>
  <c r="S60" i="28"/>
  <c r="T60" i="28" s="1"/>
  <c r="F1086" i="28" s="1"/>
  <c r="S58" i="28"/>
  <c r="T58" i="28" s="1"/>
  <c r="F1048" i="28" s="1"/>
  <c r="S56" i="28"/>
  <c r="T56" i="28" s="1"/>
  <c r="F1010" i="28" s="1"/>
  <c r="S54" i="28"/>
  <c r="T54" i="28" s="1"/>
  <c r="F972" i="28" s="1"/>
  <c r="S52" i="28"/>
  <c r="T52" i="28" s="1"/>
  <c r="F934" i="28" s="1"/>
  <c r="S50" i="28"/>
  <c r="T50" i="28" s="1"/>
  <c r="F896" i="28" s="1"/>
  <c r="S48" i="28"/>
  <c r="T48" i="28" s="1"/>
  <c r="F858" i="28" s="1"/>
  <c r="S46" i="28"/>
  <c r="T46" i="28" s="1"/>
  <c r="F820" i="28" s="1"/>
  <c r="S44" i="28"/>
  <c r="T44" i="28" s="1"/>
  <c r="F782" i="28" s="1"/>
  <c r="S42" i="28"/>
  <c r="T42" i="28" s="1"/>
  <c r="F744" i="28" s="1"/>
  <c r="S40" i="28"/>
  <c r="T40" i="28" s="1"/>
  <c r="F706" i="28" s="1"/>
  <c r="S38" i="28"/>
  <c r="T38" i="28" s="1"/>
  <c r="F668" i="28" s="1"/>
  <c r="S36" i="28"/>
  <c r="T36" i="28" s="1"/>
  <c r="F630" i="28" s="1"/>
  <c r="S34" i="28"/>
  <c r="T34" i="28" s="1"/>
  <c r="F592" i="28" s="1"/>
  <c r="S32" i="28"/>
  <c r="T32" i="28" s="1"/>
  <c r="F554" i="28" s="1"/>
  <c r="S30" i="28"/>
  <c r="T30" i="28" s="1"/>
  <c r="F516" i="28" s="1"/>
  <c r="S28" i="28"/>
  <c r="T28" i="28" s="1"/>
  <c r="F478" i="28" s="1"/>
  <c r="S26" i="28"/>
  <c r="T26" i="28" s="1"/>
  <c r="F440" i="28" s="1"/>
  <c r="S24" i="28"/>
  <c r="T24" i="28" s="1"/>
  <c r="F402" i="28" s="1"/>
  <c r="S22" i="28"/>
  <c r="T22" i="28" s="1"/>
  <c r="F364" i="28" s="1"/>
  <c r="S20" i="28"/>
  <c r="T20" i="28" s="1"/>
  <c r="F326" i="28" s="1"/>
  <c r="S18" i="28"/>
  <c r="T18" i="28" s="1"/>
  <c r="F288" i="28" s="1"/>
  <c r="S16" i="28"/>
  <c r="T16" i="28" s="1"/>
  <c r="F250" i="28" s="1"/>
  <c r="S14" i="28"/>
  <c r="T14" i="28" s="1"/>
  <c r="F212" i="28" s="1"/>
  <c r="S12" i="28"/>
  <c r="T12" i="28" s="1"/>
  <c r="F174" i="28" s="1"/>
  <c r="S10" i="28"/>
  <c r="T10" i="28" s="1"/>
  <c r="F136" i="28" s="1"/>
  <c r="S8" i="28"/>
  <c r="T8" i="28" s="1"/>
  <c r="F98" i="28" s="1"/>
  <c r="S6" i="28"/>
  <c r="T6" i="28" s="1"/>
  <c r="F60" i="28" s="1"/>
  <c r="S4" i="28"/>
  <c r="T4" i="28" s="1"/>
  <c r="F22" i="28" s="1"/>
  <c r="V11" i="36"/>
  <c r="S11" i="36"/>
  <c r="S8" i="36"/>
  <c r="S14" i="36"/>
  <c r="V14" i="36"/>
  <c r="O26" i="32"/>
  <c r="Y20" i="36" l="1"/>
  <c r="K3" i="1"/>
  <c r="P30" i="36"/>
  <c r="T23" i="28"/>
  <c r="F383" i="28" s="1"/>
  <c r="T57" i="28"/>
  <c r="F1029" i="28" s="1"/>
  <c r="K91" i="27"/>
  <c r="G8" i="27"/>
  <c r="G6" i="27"/>
  <c r="V29" i="36"/>
  <c r="Y11" i="36"/>
  <c r="Y14" i="36"/>
  <c r="Y8" i="36"/>
  <c r="S29" i="36"/>
  <c r="E10" i="15" l="1"/>
  <c r="D9" i="15" s="1"/>
  <c r="G7" i="27"/>
  <c r="G3" i="27"/>
  <c r="H4" i="33"/>
  <c r="C3" i="33" s="1"/>
  <c r="H3" i="33" s="1"/>
  <c r="Y29" i="36"/>
  <c r="J7" i="15" s="1"/>
  <c r="X11" i="1" l="1"/>
  <c r="Y11" i="1" s="1"/>
  <c r="X17" i="1"/>
  <c r="Y17" i="1" s="1"/>
  <c r="X7" i="1"/>
  <c r="Y7" i="1" s="1"/>
  <c r="X5" i="1"/>
  <c r="Y5" i="1" s="1"/>
  <c r="X14" i="1"/>
  <c r="Y14" i="1" s="1"/>
  <c r="X10" i="1"/>
  <c r="Y10" i="1" s="1"/>
  <c r="AH2" i="23"/>
  <c r="X307" i="23" s="1"/>
  <c r="X15" i="1"/>
  <c r="Y15" i="1" s="1"/>
  <c r="F9" i="15"/>
  <c r="X9" i="1"/>
  <c r="Y9" i="1" s="1"/>
  <c r="AH2" i="24"/>
  <c r="U307" i="24" s="1"/>
  <c r="X6" i="1"/>
  <c r="Y6" i="1" s="1"/>
  <c r="X18" i="1"/>
  <c r="Y18" i="1" s="1"/>
  <c r="X16" i="1"/>
  <c r="Y16" i="1" s="1"/>
  <c r="X20" i="1"/>
  <c r="Y20" i="1" s="1"/>
  <c r="X8" i="1"/>
  <c r="Y8" i="1" s="1"/>
  <c r="G9" i="15"/>
  <c r="X19" i="1"/>
  <c r="Y19" i="1" s="1"/>
  <c r="X13" i="1"/>
  <c r="Y13" i="1" s="1"/>
  <c r="X12" i="1"/>
  <c r="Y12" i="1" s="1"/>
  <c r="AH2" i="11"/>
  <c r="H307" i="11" s="1"/>
  <c r="H6" i="11" s="1"/>
  <c r="F5" i="33"/>
  <c r="T4" i="33" s="1"/>
  <c r="I4" i="33"/>
  <c r="H214" i="11"/>
  <c r="H186" i="11"/>
  <c r="H224" i="11"/>
  <c r="H221" i="11"/>
  <c r="H205" i="11"/>
  <c r="H190" i="11"/>
  <c r="H210" i="11"/>
  <c r="H217" i="11"/>
  <c r="H201" i="11"/>
  <c r="H208" i="11"/>
  <c r="H198" i="11"/>
  <c r="H219" i="11"/>
  <c r="H211" i="11"/>
  <c r="H195" i="11"/>
  <c r="H188" i="11"/>
  <c r="H218" i="11"/>
  <c r="H206" i="11"/>
  <c r="H185" i="11"/>
  <c r="H225" i="11"/>
  <c r="H197" i="11"/>
  <c r="H220" i="11"/>
  <c r="H212" i="11"/>
  <c r="H204" i="11"/>
  <c r="H196" i="11"/>
  <c r="H187" i="11"/>
  <c r="H216" i="11"/>
  <c r="H202" i="11"/>
  <c r="H194" i="11"/>
  <c r="H184" i="11"/>
  <c r="H193" i="11"/>
  <c r="H192" i="11"/>
  <c r="H223" i="11"/>
  <c r="H207" i="11"/>
  <c r="H199" i="11"/>
  <c r="H191" i="11"/>
  <c r="H203" i="11"/>
  <c r="H189" i="11"/>
  <c r="H222" i="11"/>
  <c r="H213" i="11"/>
  <c r="H209" i="11"/>
  <c r="H200" i="11"/>
  <c r="H215" i="11"/>
  <c r="T307" i="24" l="1"/>
  <c r="T126" i="24" s="1"/>
  <c r="AA307" i="24"/>
  <c r="I307" i="24"/>
  <c r="S307" i="24"/>
  <c r="N307" i="24"/>
  <c r="Z307" i="24"/>
  <c r="Z71" i="24" s="1"/>
  <c r="O307" i="24"/>
  <c r="P307" i="24"/>
  <c r="P38" i="24" s="1"/>
  <c r="X307" i="24"/>
  <c r="K307" i="24"/>
  <c r="V307" i="24"/>
  <c r="J307" i="24"/>
  <c r="H307" i="24"/>
  <c r="R307" i="24"/>
  <c r="R77" i="24" s="1"/>
  <c r="P3" i="1"/>
  <c r="P5" i="1" s="1"/>
  <c r="M307" i="24"/>
  <c r="M36" i="24" s="1"/>
  <c r="L307" i="24"/>
  <c r="Q307" i="24"/>
  <c r="W307" i="24"/>
  <c r="AB307" i="24"/>
  <c r="Y307" i="24"/>
  <c r="Y307" i="11"/>
  <c r="Y88" i="11" s="1"/>
  <c r="R307" i="11"/>
  <c r="V307" i="11"/>
  <c r="V17" i="11" s="1"/>
  <c r="N307" i="11"/>
  <c r="K307" i="11"/>
  <c r="S307" i="23"/>
  <c r="O3" i="1"/>
  <c r="O7" i="1" s="1"/>
  <c r="N13" i="15" s="1"/>
  <c r="Q3" i="1"/>
  <c r="Q20" i="1" s="1"/>
  <c r="P26" i="15" s="1"/>
  <c r="M307" i="23"/>
  <c r="M62" i="23" s="1"/>
  <c r="R307" i="23"/>
  <c r="O307" i="23"/>
  <c r="O40" i="23" s="1"/>
  <c r="AB307" i="23"/>
  <c r="J307" i="23"/>
  <c r="I307" i="23"/>
  <c r="T307" i="23"/>
  <c r="Y307" i="23"/>
  <c r="V307" i="23"/>
  <c r="V121" i="23" s="1"/>
  <c r="P307" i="23"/>
  <c r="U307" i="23"/>
  <c r="U142" i="23" s="1"/>
  <c r="W307" i="23"/>
  <c r="L307" i="23"/>
  <c r="Q307" i="23"/>
  <c r="N307" i="23"/>
  <c r="K307" i="23"/>
  <c r="Z307" i="23"/>
  <c r="Z116" i="23" s="1"/>
  <c r="AA307" i="23"/>
  <c r="H307" i="23"/>
  <c r="H40" i="23" s="1"/>
  <c r="Q307" i="11"/>
  <c r="J307" i="11"/>
  <c r="O307" i="11"/>
  <c r="S307" i="11"/>
  <c r="AA307" i="11"/>
  <c r="AB307" i="11"/>
  <c r="AB88" i="11" s="1"/>
  <c r="U307" i="11"/>
  <c r="X307" i="11"/>
  <c r="X84" i="11" s="1"/>
  <c r="T307" i="11"/>
  <c r="P307" i="11"/>
  <c r="L307" i="11"/>
  <c r="M307" i="11"/>
  <c r="W307" i="11"/>
  <c r="I307" i="11"/>
  <c r="I57" i="11" s="1"/>
  <c r="Z307" i="11"/>
  <c r="T6" i="33"/>
  <c r="T5" i="33"/>
  <c r="G5" i="33"/>
  <c r="T3" i="33"/>
  <c r="U214" i="11"/>
  <c r="U186" i="11"/>
  <c r="U190" i="11"/>
  <c r="U210" i="11"/>
  <c r="U224" i="11"/>
  <c r="U221" i="11"/>
  <c r="U205" i="11"/>
  <c r="U217" i="11"/>
  <c r="U208" i="11"/>
  <c r="U202" i="11"/>
  <c r="U194" i="11"/>
  <c r="U211" i="11"/>
  <c r="U195" i="11"/>
  <c r="U189" i="11"/>
  <c r="U206" i="11"/>
  <c r="U185" i="11"/>
  <c r="U209" i="11"/>
  <c r="U212" i="11"/>
  <c r="U204" i="11"/>
  <c r="U196" i="11"/>
  <c r="U223" i="11"/>
  <c r="U215" i="11"/>
  <c r="U199" i="11"/>
  <c r="U201" i="11"/>
  <c r="U216" i="11"/>
  <c r="U198" i="11"/>
  <c r="U219" i="11"/>
  <c r="U218" i="11"/>
  <c r="U222" i="11"/>
  <c r="U225" i="11"/>
  <c r="U213" i="11"/>
  <c r="U197" i="11"/>
  <c r="U193" i="11"/>
  <c r="U192" i="11"/>
  <c r="U207" i="11"/>
  <c r="U191" i="11"/>
  <c r="U184" i="11"/>
  <c r="U203" i="11"/>
  <c r="U188" i="11"/>
  <c r="U220" i="11"/>
  <c r="U200" i="11"/>
  <c r="U187" i="11"/>
  <c r="Q210" i="11"/>
  <c r="Q186" i="11"/>
  <c r="Q224" i="11"/>
  <c r="Q221" i="11"/>
  <c r="Q205" i="11"/>
  <c r="Q190" i="11"/>
  <c r="Q214" i="11"/>
  <c r="Q201" i="11"/>
  <c r="Q216" i="11"/>
  <c r="Q198" i="11"/>
  <c r="Q184" i="11"/>
  <c r="Q219" i="11"/>
  <c r="Q203" i="11"/>
  <c r="Q189" i="11"/>
  <c r="Q188" i="11"/>
  <c r="Q218" i="11"/>
  <c r="Q222" i="11"/>
  <c r="Q185" i="11"/>
  <c r="Q225" i="11"/>
  <c r="Q213" i="11"/>
  <c r="Q197" i="11"/>
  <c r="Q220" i="11"/>
  <c r="Q193" i="11"/>
  <c r="Q212" i="11"/>
  <c r="Q200" i="11"/>
  <c r="Q192" i="11"/>
  <c r="Q215" i="11"/>
  <c r="Q199" i="11"/>
  <c r="Q191" i="11"/>
  <c r="Q187" i="11"/>
  <c r="Q217" i="11"/>
  <c r="Q208" i="11"/>
  <c r="Q202" i="11"/>
  <c r="Q194" i="11"/>
  <c r="Q195" i="11"/>
  <c r="Q206" i="11"/>
  <c r="Q196" i="11"/>
  <c r="Q211" i="11"/>
  <c r="Q209" i="11"/>
  <c r="Q204" i="11"/>
  <c r="Q223" i="11"/>
  <c r="Q207" i="11"/>
  <c r="K210" i="11"/>
  <c r="K224" i="11"/>
  <c r="K205" i="11"/>
  <c r="K214" i="11"/>
  <c r="K186" i="11"/>
  <c r="K221" i="11"/>
  <c r="K190" i="11"/>
  <c r="K201" i="11"/>
  <c r="K216" i="11"/>
  <c r="K198" i="11"/>
  <c r="K194" i="11"/>
  <c r="K184" i="11"/>
  <c r="K219" i="11"/>
  <c r="K211" i="11"/>
  <c r="K203" i="11"/>
  <c r="K195" i="11"/>
  <c r="K189" i="11"/>
  <c r="K188" i="11"/>
  <c r="K218" i="11"/>
  <c r="K185" i="11"/>
  <c r="K213" i="11"/>
  <c r="K220" i="11"/>
  <c r="K193" i="11"/>
  <c r="K200" i="11"/>
  <c r="K192" i="11"/>
  <c r="K215" i="11"/>
  <c r="K199" i="11"/>
  <c r="K217" i="11"/>
  <c r="K208" i="11"/>
  <c r="K202" i="11"/>
  <c r="K206" i="11"/>
  <c r="K197" i="11"/>
  <c r="K209" i="11"/>
  <c r="K212" i="11"/>
  <c r="K204" i="11"/>
  <c r="K223" i="11"/>
  <c r="K207" i="11"/>
  <c r="K187" i="11"/>
  <c r="K222" i="11"/>
  <c r="K225" i="11"/>
  <c r="K196" i="11"/>
  <c r="K191" i="11"/>
  <c r="Z210" i="11"/>
  <c r="Z214" i="11"/>
  <c r="Z186" i="11"/>
  <c r="Z224" i="11"/>
  <c r="Z221" i="11"/>
  <c r="Z205" i="11"/>
  <c r="Z190" i="11"/>
  <c r="Z208" i="11"/>
  <c r="Z202" i="11"/>
  <c r="Z198" i="11"/>
  <c r="Z194" i="11"/>
  <c r="Z184" i="11"/>
  <c r="Z203" i="11"/>
  <c r="Z189" i="11"/>
  <c r="Z188" i="11"/>
  <c r="Z218" i="11"/>
  <c r="Z206" i="11"/>
  <c r="Z213" i="11"/>
  <c r="Z197" i="11"/>
  <c r="Z193" i="11"/>
  <c r="Z223" i="11"/>
  <c r="Z215" i="11"/>
  <c r="Z199" i="11"/>
  <c r="Z187" i="11"/>
  <c r="Z217" i="11"/>
  <c r="Z201" i="11"/>
  <c r="Z216" i="11"/>
  <c r="Z195" i="11"/>
  <c r="Z222" i="11"/>
  <c r="Z225" i="11"/>
  <c r="Z209" i="11"/>
  <c r="Z212" i="11"/>
  <c r="Z204" i="11"/>
  <c r="Z192" i="11"/>
  <c r="Z191" i="11"/>
  <c r="Z219" i="11"/>
  <c r="Z211" i="11"/>
  <c r="Z185" i="11"/>
  <c r="Z220" i="11"/>
  <c r="Z200" i="11"/>
  <c r="Z196" i="11"/>
  <c r="Z207" i="11"/>
  <c r="P219" i="24"/>
  <c r="P213" i="24"/>
  <c r="P225" i="24"/>
  <c r="P205" i="24"/>
  <c r="P199" i="24"/>
  <c r="P197" i="24"/>
  <c r="P214" i="24"/>
  <c r="P196" i="24"/>
  <c r="P218" i="24"/>
  <c r="P203" i="24"/>
  <c r="P220" i="24"/>
  <c r="P201" i="24"/>
  <c r="P208" i="24"/>
  <c r="P217" i="24"/>
  <c r="P222" i="24"/>
  <c r="P211" i="24"/>
  <c r="P212" i="24"/>
  <c r="P215" i="24"/>
  <c r="P207" i="24"/>
  <c r="P202" i="24"/>
  <c r="P200" i="24"/>
  <c r="P221" i="24"/>
  <c r="P206" i="24"/>
  <c r="P210" i="24"/>
  <c r="P224" i="24"/>
  <c r="P198" i="24"/>
  <c r="P216" i="24"/>
  <c r="P223" i="24"/>
  <c r="P204" i="24"/>
  <c r="P209" i="24"/>
  <c r="W219" i="24"/>
  <c r="W213" i="24"/>
  <c r="W225" i="24"/>
  <c r="W196" i="24"/>
  <c r="W205" i="24"/>
  <c r="W218" i="24"/>
  <c r="W199" i="24"/>
  <c r="W197" i="24"/>
  <c r="W208" i="24"/>
  <c r="W222" i="24"/>
  <c r="W214" i="24"/>
  <c r="W203" i="24"/>
  <c r="W220" i="24"/>
  <c r="W201" i="24"/>
  <c r="W217" i="24"/>
  <c r="W211" i="24"/>
  <c r="W212" i="24"/>
  <c r="W207" i="24"/>
  <c r="W202" i="24"/>
  <c r="W204" i="24"/>
  <c r="W221" i="24"/>
  <c r="W206" i="24"/>
  <c r="W210" i="24"/>
  <c r="W224" i="24"/>
  <c r="W215" i="24"/>
  <c r="W198" i="24"/>
  <c r="W216" i="24"/>
  <c r="W223" i="24"/>
  <c r="W200" i="24"/>
  <c r="W209" i="24"/>
  <c r="J219" i="24"/>
  <c r="J225" i="24"/>
  <c r="J196" i="24"/>
  <c r="J205" i="24"/>
  <c r="J218" i="24"/>
  <c r="J199" i="24"/>
  <c r="J220" i="24"/>
  <c r="J197" i="24"/>
  <c r="J208" i="24"/>
  <c r="J222" i="24"/>
  <c r="J214" i="24"/>
  <c r="J213" i="24"/>
  <c r="J203" i="24"/>
  <c r="J201" i="24"/>
  <c r="J217" i="24"/>
  <c r="J211" i="24"/>
  <c r="J224" i="24"/>
  <c r="J207" i="24"/>
  <c r="J198" i="24"/>
  <c r="J216" i="24"/>
  <c r="J204" i="24"/>
  <c r="J221" i="24"/>
  <c r="J206" i="24"/>
  <c r="J210" i="24"/>
  <c r="J212" i="24"/>
  <c r="J215" i="24"/>
  <c r="J202" i="24"/>
  <c r="J223" i="24"/>
  <c r="J200" i="24"/>
  <c r="J209" i="24"/>
  <c r="AB214" i="24"/>
  <c r="AB196" i="24"/>
  <c r="AB205" i="24"/>
  <c r="AB218" i="24"/>
  <c r="AB203" i="24"/>
  <c r="AB220" i="24"/>
  <c r="AB201" i="24"/>
  <c r="AB208" i="24"/>
  <c r="AB217" i="24"/>
  <c r="AB222" i="24"/>
  <c r="AB219" i="24"/>
  <c r="AB213" i="24"/>
  <c r="AB225" i="24"/>
  <c r="AB199" i="24"/>
  <c r="AB197" i="24"/>
  <c r="AB206" i="24"/>
  <c r="AB210" i="24"/>
  <c r="AB224" i="24"/>
  <c r="AB207" i="24"/>
  <c r="AB198" i="24"/>
  <c r="AB216" i="24"/>
  <c r="AB223" i="24"/>
  <c r="AB204" i="24"/>
  <c r="AB209" i="24"/>
  <c r="AB211" i="24"/>
  <c r="AB212" i="24"/>
  <c r="AB215" i="24"/>
  <c r="AB202" i="24"/>
  <c r="AB200" i="24"/>
  <c r="AB221" i="24"/>
  <c r="Q219" i="24"/>
  <c r="Q213" i="24"/>
  <c r="Q225" i="24"/>
  <c r="Q199" i="24"/>
  <c r="Q201" i="24"/>
  <c r="Q217" i="24"/>
  <c r="Q214" i="24"/>
  <c r="Q196" i="24"/>
  <c r="Q205" i="24"/>
  <c r="Q218" i="24"/>
  <c r="Q203" i="24"/>
  <c r="Q220" i="24"/>
  <c r="Q197" i="24"/>
  <c r="Q208" i="24"/>
  <c r="Q222" i="24"/>
  <c r="Q212" i="24"/>
  <c r="Q215" i="24"/>
  <c r="Q202" i="24"/>
  <c r="Q200" i="24"/>
  <c r="Q209" i="24"/>
  <c r="Q211" i="24"/>
  <c r="Q206" i="24"/>
  <c r="Q210" i="24"/>
  <c r="Q224" i="24"/>
  <c r="Q207" i="24"/>
  <c r="Q198" i="24"/>
  <c r="Q216" i="24"/>
  <c r="Q223" i="24"/>
  <c r="Q204" i="24"/>
  <c r="Q221" i="24"/>
  <c r="U197" i="23"/>
  <c r="U200" i="23"/>
  <c r="U204" i="23"/>
  <c r="U211" i="23"/>
  <c r="U202" i="23"/>
  <c r="U214" i="23"/>
  <c r="U201" i="23"/>
  <c r="U221" i="23"/>
  <c r="U216" i="23"/>
  <c r="U222" i="23"/>
  <c r="U207" i="23"/>
  <c r="U208" i="23"/>
  <c r="U212" i="23"/>
  <c r="U209" i="23"/>
  <c r="U220" i="23"/>
  <c r="U223" i="23"/>
  <c r="U217" i="23"/>
  <c r="U215" i="23"/>
  <c r="U206" i="23"/>
  <c r="U219" i="23"/>
  <c r="U224" i="23"/>
  <c r="U205" i="23"/>
  <c r="U213" i="23"/>
  <c r="U198" i="23"/>
  <c r="U199" i="23"/>
  <c r="U203" i="23"/>
  <c r="U196" i="23"/>
  <c r="U210" i="23"/>
  <c r="U225" i="23"/>
  <c r="U218" i="23"/>
  <c r="AB197" i="23"/>
  <c r="AB200" i="23"/>
  <c r="AB204" i="23"/>
  <c r="AB211" i="23"/>
  <c r="AB202" i="23"/>
  <c r="AB214" i="23"/>
  <c r="AB201" i="23"/>
  <c r="AB221" i="23"/>
  <c r="AB216" i="23"/>
  <c r="AB222" i="23"/>
  <c r="AB205" i="23"/>
  <c r="AB213" i="23"/>
  <c r="AB208" i="23"/>
  <c r="AB212" i="23"/>
  <c r="AB203" i="23"/>
  <c r="AB209" i="23"/>
  <c r="AB220" i="23"/>
  <c r="AB206" i="23"/>
  <c r="AB219" i="23"/>
  <c r="AB224" i="23"/>
  <c r="AB207" i="23"/>
  <c r="AB198" i="23"/>
  <c r="AB199" i="23"/>
  <c r="AB223" i="23"/>
  <c r="AB196" i="23"/>
  <c r="AB217" i="23"/>
  <c r="AB215" i="23"/>
  <c r="AB210" i="23"/>
  <c r="AB225" i="23"/>
  <c r="AB218" i="23"/>
  <c r="L197" i="23"/>
  <c r="L200" i="23"/>
  <c r="L204" i="23"/>
  <c r="L211" i="23"/>
  <c r="L202" i="23"/>
  <c r="L201" i="23"/>
  <c r="L221" i="23"/>
  <c r="L216" i="23"/>
  <c r="L222" i="23"/>
  <c r="L214" i="23"/>
  <c r="L205" i="23"/>
  <c r="L213" i="23"/>
  <c r="L208" i="23"/>
  <c r="L212" i="23"/>
  <c r="L203" i="23"/>
  <c r="L220" i="23"/>
  <c r="L206" i="23"/>
  <c r="L219" i="23"/>
  <c r="L224" i="23"/>
  <c r="L207" i="23"/>
  <c r="L198" i="23"/>
  <c r="L199" i="23"/>
  <c r="L209" i="23"/>
  <c r="L223" i="23"/>
  <c r="L196" i="23"/>
  <c r="L217" i="23"/>
  <c r="L215" i="23"/>
  <c r="L210" i="23"/>
  <c r="L225" i="23"/>
  <c r="L218" i="23"/>
  <c r="S197" i="23"/>
  <c r="S200" i="23"/>
  <c r="S204" i="23"/>
  <c r="S211" i="23"/>
  <c r="S201" i="23"/>
  <c r="S221" i="23"/>
  <c r="S216" i="23"/>
  <c r="S222" i="23"/>
  <c r="S202" i="23"/>
  <c r="S205" i="23"/>
  <c r="S213" i="23"/>
  <c r="S208" i="23"/>
  <c r="S212" i="23"/>
  <c r="S203" i="23"/>
  <c r="S209" i="23"/>
  <c r="S220" i="23"/>
  <c r="S196" i="23"/>
  <c r="S218" i="23"/>
  <c r="S214" i="23"/>
  <c r="S219" i="23"/>
  <c r="S224" i="23"/>
  <c r="S207" i="23"/>
  <c r="S198" i="23"/>
  <c r="S199" i="23"/>
  <c r="S223" i="23"/>
  <c r="S217" i="23"/>
  <c r="S215" i="23"/>
  <c r="S210" i="23"/>
  <c r="S225" i="23"/>
  <c r="S206" i="23"/>
  <c r="Z197" i="23"/>
  <c r="Z222" i="23"/>
  <c r="Z211" i="23"/>
  <c r="Z202" i="23"/>
  <c r="Z201" i="23"/>
  <c r="Z221" i="23"/>
  <c r="Z200" i="23"/>
  <c r="Z204" i="23"/>
  <c r="Z216" i="23"/>
  <c r="Z219" i="23"/>
  <c r="Z207" i="23"/>
  <c r="Z208" i="23"/>
  <c r="Z212" i="23"/>
  <c r="Z199" i="23"/>
  <c r="Z220" i="23"/>
  <c r="Z223" i="23"/>
  <c r="Z196" i="23"/>
  <c r="Z217" i="23"/>
  <c r="Z215" i="23"/>
  <c r="Z225" i="23"/>
  <c r="Z206" i="23"/>
  <c r="Z214" i="23"/>
  <c r="Z224" i="23"/>
  <c r="Z205" i="23"/>
  <c r="Z213" i="23"/>
  <c r="Z198" i="23"/>
  <c r="Z203" i="23"/>
  <c r="Z209" i="23"/>
  <c r="Z210" i="23"/>
  <c r="Z218" i="23"/>
  <c r="J197" i="23"/>
  <c r="J222" i="23"/>
  <c r="J211" i="23"/>
  <c r="J202" i="23"/>
  <c r="J201" i="23"/>
  <c r="J221" i="23"/>
  <c r="J200" i="23"/>
  <c r="J204" i="23"/>
  <c r="J216" i="23"/>
  <c r="J219" i="23"/>
  <c r="J207" i="23"/>
  <c r="J208" i="23"/>
  <c r="J212" i="23"/>
  <c r="J199" i="23"/>
  <c r="J220" i="23"/>
  <c r="J223" i="23"/>
  <c r="J196" i="23"/>
  <c r="J217" i="23"/>
  <c r="J215" i="23"/>
  <c r="J225" i="23"/>
  <c r="J206" i="23"/>
  <c r="J214" i="23"/>
  <c r="J224" i="23"/>
  <c r="J205" i="23"/>
  <c r="J213" i="23"/>
  <c r="J198" i="23"/>
  <c r="J203" i="23"/>
  <c r="J209" i="23"/>
  <c r="J210" i="23"/>
  <c r="J218" i="23"/>
  <c r="Q201" i="23"/>
  <c r="Q221" i="23"/>
  <c r="Q200" i="23"/>
  <c r="Q216" i="23"/>
  <c r="Q222" i="23"/>
  <c r="Q197" i="23"/>
  <c r="Q204" i="23"/>
  <c r="Q211" i="23"/>
  <c r="Q202" i="23"/>
  <c r="Q214" i="23"/>
  <c r="Q219" i="23"/>
  <c r="Q224" i="23"/>
  <c r="Q205" i="23"/>
  <c r="Q213" i="23"/>
  <c r="Q198" i="23"/>
  <c r="Q199" i="23"/>
  <c r="Q203" i="23"/>
  <c r="Q196" i="23"/>
  <c r="Q210" i="23"/>
  <c r="Q225" i="23"/>
  <c r="Q218" i="23"/>
  <c r="Q207" i="23"/>
  <c r="Q208" i="23"/>
  <c r="Q212" i="23"/>
  <c r="Q209" i="23"/>
  <c r="Q220" i="23"/>
  <c r="Q223" i="23"/>
  <c r="Q217" i="23"/>
  <c r="Q215" i="23"/>
  <c r="Q206" i="23"/>
  <c r="X201" i="23"/>
  <c r="X221" i="23"/>
  <c r="X216" i="23"/>
  <c r="X222" i="23"/>
  <c r="X197" i="23"/>
  <c r="X200" i="23"/>
  <c r="X204" i="23"/>
  <c r="X211" i="23"/>
  <c r="X202" i="23"/>
  <c r="X214" i="23"/>
  <c r="X219" i="23"/>
  <c r="X224" i="23"/>
  <c r="X207" i="23"/>
  <c r="X198" i="23"/>
  <c r="X199" i="23"/>
  <c r="X209" i="23"/>
  <c r="X223" i="23"/>
  <c r="X196" i="23"/>
  <c r="X217" i="23"/>
  <c r="X215" i="23"/>
  <c r="X210" i="23"/>
  <c r="X225" i="23"/>
  <c r="X218" i="23"/>
  <c r="X205" i="23"/>
  <c r="X213" i="23"/>
  <c r="X208" i="23"/>
  <c r="X212" i="23"/>
  <c r="X203" i="23"/>
  <c r="X220" i="23"/>
  <c r="X206" i="23"/>
  <c r="O201" i="23"/>
  <c r="O216" i="23"/>
  <c r="O222" i="23"/>
  <c r="O211" i="23"/>
  <c r="O221" i="23"/>
  <c r="O197" i="23"/>
  <c r="O200" i="23"/>
  <c r="O204" i="23"/>
  <c r="O202" i="23"/>
  <c r="O219" i="23"/>
  <c r="O224" i="23"/>
  <c r="O207" i="23"/>
  <c r="O198" i="23"/>
  <c r="O199" i="23"/>
  <c r="O223" i="23"/>
  <c r="O217" i="23"/>
  <c r="O215" i="23"/>
  <c r="O210" i="23"/>
  <c r="O225" i="23"/>
  <c r="O206" i="23"/>
  <c r="O214" i="23"/>
  <c r="O205" i="23"/>
  <c r="O213" i="23"/>
  <c r="O208" i="23"/>
  <c r="O212" i="23"/>
  <c r="O203" i="23"/>
  <c r="O209" i="23"/>
  <c r="O220" i="23"/>
  <c r="O196" i="23"/>
  <c r="O218" i="23"/>
  <c r="V201" i="23"/>
  <c r="V221" i="23"/>
  <c r="V204" i="23"/>
  <c r="V216" i="23"/>
  <c r="V197" i="23"/>
  <c r="V200" i="23"/>
  <c r="V222" i="23"/>
  <c r="V211" i="23"/>
  <c r="V202" i="23"/>
  <c r="V214" i="23"/>
  <c r="V224" i="23"/>
  <c r="V205" i="23"/>
  <c r="V213" i="23"/>
  <c r="V208" i="23"/>
  <c r="V203" i="23"/>
  <c r="V209" i="23"/>
  <c r="V210" i="23"/>
  <c r="V218" i="23"/>
  <c r="V219" i="23"/>
  <c r="V207" i="23"/>
  <c r="V198" i="23"/>
  <c r="V212" i="23"/>
  <c r="V199" i="23"/>
  <c r="V220" i="23"/>
  <c r="V223" i="23"/>
  <c r="V196" i="23"/>
  <c r="V217" i="23"/>
  <c r="V215" i="23"/>
  <c r="V225" i="23"/>
  <c r="V206" i="23"/>
  <c r="W210" i="11"/>
  <c r="W186" i="11"/>
  <c r="W224" i="11"/>
  <c r="W205" i="11"/>
  <c r="W190" i="11"/>
  <c r="W214" i="11"/>
  <c r="W221" i="11"/>
  <c r="W217" i="11"/>
  <c r="W202" i="11"/>
  <c r="W194" i="11"/>
  <c r="W188" i="11"/>
  <c r="W213" i="11"/>
  <c r="W209" i="11"/>
  <c r="W212" i="11"/>
  <c r="W200" i="11"/>
  <c r="W192" i="11"/>
  <c r="W223" i="11"/>
  <c r="W207" i="11"/>
  <c r="W187" i="11"/>
  <c r="W201" i="11"/>
  <c r="W216" i="11"/>
  <c r="W208" i="11"/>
  <c r="W198" i="11"/>
  <c r="W184" i="11"/>
  <c r="W195" i="11"/>
  <c r="W189" i="11"/>
  <c r="W218" i="11"/>
  <c r="W185" i="11"/>
  <c r="W197" i="11"/>
  <c r="W220" i="11"/>
  <c r="W193" i="11"/>
  <c r="W204" i="11"/>
  <c r="W199" i="11"/>
  <c r="W191" i="11"/>
  <c r="W219" i="11"/>
  <c r="W211" i="11"/>
  <c r="W203" i="11"/>
  <c r="W206" i="11"/>
  <c r="W222" i="11"/>
  <c r="W225" i="11"/>
  <c r="W196" i="11"/>
  <c r="W215" i="11"/>
  <c r="T210" i="11"/>
  <c r="T214" i="11"/>
  <c r="T186" i="11"/>
  <c r="T224" i="11"/>
  <c r="T221" i="11"/>
  <c r="T205" i="11"/>
  <c r="T190" i="11"/>
  <c r="T201" i="11"/>
  <c r="T216" i="11"/>
  <c r="T198" i="11"/>
  <c r="T194" i="11"/>
  <c r="T184" i="11"/>
  <c r="T211" i="11"/>
  <c r="T203" i="11"/>
  <c r="T218" i="11"/>
  <c r="T213" i="11"/>
  <c r="T212" i="11"/>
  <c r="T200" i="11"/>
  <c r="T192" i="11"/>
  <c r="T223" i="11"/>
  <c r="T191" i="11"/>
  <c r="T187" i="11"/>
  <c r="T217" i="11"/>
  <c r="T208" i="11"/>
  <c r="T202" i="11"/>
  <c r="T195" i="11"/>
  <c r="T188" i="11"/>
  <c r="T222" i="11"/>
  <c r="T225" i="11"/>
  <c r="T197" i="11"/>
  <c r="T220" i="11"/>
  <c r="T196" i="11"/>
  <c r="T215" i="11"/>
  <c r="T207" i="11"/>
  <c r="T219" i="11"/>
  <c r="T189" i="11"/>
  <c r="T206" i="11"/>
  <c r="T185" i="11"/>
  <c r="T209" i="11"/>
  <c r="T193" i="11"/>
  <c r="T204" i="11"/>
  <c r="T199" i="11"/>
  <c r="I214" i="11"/>
  <c r="I224" i="11"/>
  <c r="I221" i="11"/>
  <c r="I205" i="11"/>
  <c r="I210" i="11"/>
  <c r="I186" i="11"/>
  <c r="I190" i="11"/>
  <c r="I201" i="11"/>
  <c r="I208" i="11"/>
  <c r="I211" i="11"/>
  <c r="I195" i="11"/>
  <c r="I188" i="11"/>
  <c r="I206" i="11"/>
  <c r="I222" i="11"/>
  <c r="I225" i="11"/>
  <c r="I213" i="11"/>
  <c r="I197" i="11"/>
  <c r="I220" i="11"/>
  <c r="I193" i="11"/>
  <c r="I204" i="11"/>
  <c r="I200" i="11"/>
  <c r="I196" i="11"/>
  <c r="I192" i="11"/>
  <c r="I223" i="11"/>
  <c r="I207" i="11"/>
  <c r="I191" i="11"/>
  <c r="I217" i="11"/>
  <c r="I216" i="11"/>
  <c r="I202" i="11"/>
  <c r="I198" i="11"/>
  <c r="I194" i="11"/>
  <c r="I219" i="11"/>
  <c r="I185" i="11"/>
  <c r="I209" i="11"/>
  <c r="I215" i="11"/>
  <c r="I187" i="11"/>
  <c r="I184" i="11"/>
  <c r="I203" i="11"/>
  <c r="I189" i="11"/>
  <c r="I218" i="11"/>
  <c r="I212" i="11"/>
  <c r="I199" i="11"/>
  <c r="AA210" i="11"/>
  <c r="AA224" i="11"/>
  <c r="AA205" i="11"/>
  <c r="AA214" i="11"/>
  <c r="AA186" i="11"/>
  <c r="AA221" i="11"/>
  <c r="AA190" i="11"/>
  <c r="AA201" i="11"/>
  <c r="AA216" i="11"/>
  <c r="AA198" i="11"/>
  <c r="AA194" i="11"/>
  <c r="AA219" i="11"/>
  <c r="AA211" i="11"/>
  <c r="AA203" i="11"/>
  <c r="AA195" i="11"/>
  <c r="AA189" i="11"/>
  <c r="AA218" i="11"/>
  <c r="AA185" i="11"/>
  <c r="AA213" i="11"/>
  <c r="AA220" i="11"/>
  <c r="AA193" i="11"/>
  <c r="AA200" i="11"/>
  <c r="AA192" i="11"/>
  <c r="AA215" i="11"/>
  <c r="AA199" i="11"/>
  <c r="AA191" i="11"/>
  <c r="AA217" i="11"/>
  <c r="AA208" i="11"/>
  <c r="AA202" i="11"/>
  <c r="AA188" i="11"/>
  <c r="AA222" i="11"/>
  <c r="AA225" i="11"/>
  <c r="AA196" i="11"/>
  <c r="AA223" i="11"/>
  <c r="AA207" i="11"/>
  <c r="AA187" i="11"/>
  <c r="AA184" i="11"/>
  <c r="AA206" i="11"/>
  <c r="AA197" i="11"/>
  <c r="AA209" i="11"/>
  <c r="AA212" i="11"/>
  <c r="AA204" i="11"/>
  <c r="X214" i="11"/>
  <c r="X186" i="11"/>
  <c r="X224" i="11"/>
  <c r="X221" i="11"/>
  <c r="X205" i="11"/>
  <c r="X190" i="11"/>
  <c r="X210" i="11"/>
  <c r="X201" i="11"/>
  <c r="X208" i="11"/>
  <c r="X198" i="11"/>
  <c r="X219" i="11"/>
  <c r="X211" i="11"/>
  <c r="X195" i="11"/>
  <c r="X188" i="11"/>
  <c r="X206" i="11"/>
  <c r="X225" i="11"/>
  <c r="X213" i="11"/>
  <c r="X197" i="11"/>
  <c r="X220" i="11"/>
  <c r="X209" i="11"/>
  <c r="X212" i="11"/>
  <c r="X204" i="11"/>
  <c r="X196" i="11"/>
  <c r="X207" i="11"/>
  <c r="X199" i="11"/>
  <c r="X191" i="11"/>
  <c r="X217" i="11"/>
  <c r="X216" i="11"/>
  <c r="X202" i="11"/>
  <c r="X203" i="11"/>
  <c r="X222" i="11"/>
  <c r="X200" i="11"/>
  <c r="X215" i="11"/>
  <c r="X194" i="11"/>
  <c r="X184" i="11"/>
  <c r="X189" i="11"/>
  <c r="X218" i="11"/>
  <c r="X185" i="11"/>
  <c r="X193" i="11"/>
  <c r="X192" i="11"/>
  <c r="X223" i="11"/>
  <c r="X187" i="11"/>
  <c r="N214" i="11"/>
  <c r="N186" i="11"/>
  <c r="N221" i="11"/>
  <c r="N210" i="11"/>
  <c r="N224" i="11"/>
  <c r="N205" i="11"/>
  <c r="N190" i="11"/>
  <c r="N217" i="11"/>
  <c r="N216" i="11"/>
  <c r="N203" i="11"/>
  <c r="N189" i="11"/>
  <c r="N222" i="11"/>
  <c r="N225" i="11"/>
  <c r="N213" i="11"/>
  <c r="N220" i="11"/>
  <c r="N212" i="11"/>
  <c r="N204" i="11"/>
  <c r="N200" i="11"/>
  <c r="N196" i="11"/>
  <c r="N192" i="11"/>
  <c r="N223" i="11"/>
  <c r="N215" i="11"/>
  <c r="N199" i="11"/>
  <c r="N191" i="11"/>
  <c r="N187" i="11"/>
  <c r="N201" i="11"/>
  <c r="N208" i="11"/>
  <c r="N202" i="11"/>
  <c r="N198" i="11"/>
  <c r="N194" i="11"/>
  <c r="N211" i="11"/>
  <c r="N188" i="11"/>
  <c r="N185" i="11"/>
  <c r="N209" i="11"/>
  <c r="N193" i="11"/>
  <c r="N184" i="11"/>
  <c r="N219" i="11"/>
  <c r="N195" i="11"/>
  <c r="N218" i="11"/>
  <c r="N206" i="11"/>
  <c r="N197" i="11"/>
  <c r="N207" i="11"/>
  <c r="M214" i="24"/>
  <c r="M196" i="24"/>
  <c r="M205" i="24"/>
  <c r="M218" i="24"/>
  <c r="M203" i="24"/>
  <c r="M220" i="24"/>
  <c r="M197" i="24"/>
  <c r="M208" i="24"/>
  <c r="M222" i="24"/>
  <c r="M219" i="24"/>
  <c r="M213" i="24"/>
  <c r="M225" i="24"/>
  <c r="M199" i="24"/>
  <c r="M201" i="24"/>
  <c r="M217" i="24"/>
  <c r="M210" i="24"/>
  <c r="M224" i="24"/>
  <c r="M207" i="24"/>
  <c r="M198" i="24"/>
  <c r="M216" i="24"/>
  <c r="M223" i="24"/>
  <c r="M204" i="24"/>
  <c r="M221" i="24"/>
  <c r="M211" i="24"/>
  <c r="M206" i="24"/>
  <c r="M212" i="24"/>
  <c r="M215" i="24"/>
  <c r="M202" i="24"/>
  <c r="M200" i="24"/>
  <c r="M209" i="24"/>
  <c r="V214" i="24"/>
  <c r="V213" i="24"/>
  <c r="V196" i="24"/>
  <c r="V203" i="24"/>
  <c r="V201" i="24"/>
  <c r="V217" i="24"/>
  <c r="V219" i="24"/>
  <c r="V225" i="24"/>
  <c r="V205" i="24"/>
  <c r="V218" i="24"/>
  <c r="V199" i="24"/>
  <c r="V220" i="24"/>
  <c r="V197" i="24"/>
  <c r="V208" i="24"/>
  <c r="V222" i="24"/>
  <c r="V206" i="24"/>
  <c r="V210" i="24"/>
  <c r="V212" i="24"/>
  <c r="V215" i="24"/>
  <c r="V202" i="24"/>
  <c r="V223" i="24"/>
  <c r="V200" i="24"/>
  <c r="V209" i="24"/>
  <c r="V211" i="24"/>
  <c r="V224" i="24"/>
  <c r="V207" i="24"/>
  <c r="V198" i="24"/>
  <c r="V216" i="24"/>
  <c r="V204" i="24"/>
  <c r="V221" i="24"/>
  <c r="L214" i="24"/>
  <c r="L196" i="24"/>
  <c r="L218" i="24"/>
  <c r="L203" i="24"/>
  <c r="L220" i="24"/>
  <c r="L201" i="24"/>
  <c r="L208" i="24"/>
  <c r="L217" i="24"/>
  <c r="L222" i="24"/>
  <c r="L219" i="24"/>
  <c r="L213" i="24"/>
  <c r="L225" i="24"/>
  <c r="L205" i="24"/>
  <c r="L199" i="24"/>
  <c r="L197" i="24"/>
  <c r="L211" i="24"/>
  <c r="L206" i="24"/>
  <c r="L210" i="24"/>
  <c r="L224" i="24"/>
  <c r="L207" i="24"/>
  <c r="L198" i="24"/>
  <c r="L216" i="24"/>
  <c r="L223" i="24"/>
  <c r="L204" i="24"/>
  <c r="L209" i="24"/>
  <c r="L212" i="24"/>
  <c r="L215" i="24"/>
  <c r="L202" i="24"/>
  <c r="L200" i="24"/>
  <c r="L221" i="24"/>
  <c r="AA214" i="24"/>
  <c r="AA205" i="24"/>
  <c r="AA203" i="24"/>
  <c r="AA220" i="24"/>
  <c r="AA201" i="24"/>
  <c r="AA217" i="24"/>
  <c r="AA219" i="24"/>
  <c r="AA213" i="24"/>
  <c r="AA225" i="24"/>
  <c r="AA196" i="24"/>
  <c r="AA218" i="24"/>
  <c r="AA199" i="24"/>
  <c r="AA197" i="24"/>
  <c r="AA208" i="24"/>
  <c r="AA222" i="24"/>
  <c r="AA206" i="24"/>
  <c r="AA210" i="24"/>
  <c r="AA224" i="24"/>
  <c r="AA212" i="24"/>
  <c r="AA215" i="24"/>
  <c r="AA198" i="24"/>
  <c r="AA216" i="24"/>
  <c r="AA223" i="24"/>
  <c r="AA200" i="24"/>
  <c r="AA209" i="24"/>
  <c r="AA211" i="24"/>
  <c r="AA207" i="24"/>
  <c r="AA202" i="24"/>
  <c r="AA204" i="24"/>
  <c r="AA221" i="24"/>
  <c r="I219" i="24"/>
  <c r="I213" i="24"/>
  <c r="I225" i="24"/>
  <c r="I199" i="24"/>
  <c r="I201" i="24"/>
  <c r="I217" i="24"/>
  <c r="I214" i="24"/>
  <c r="I196" i="24"/>
  <c r="I205" i="24"/>
  <c r="I218" i="24"/>
  <c r="I203" i="24"/>
  <c r="I220" i="24"/>
  <c r="I197" i="24"/>
  <c r="I208" i="24"/>
  <c r="I222" i="24"/>
  <c r="I211" i="24"/>
  <c r="I206" i="24"/>
  <c r="I212" i="24"/>
  <c r="I215" i="24"/>
  <c r="I202" i="24"/>
  <c r="I200" i="24"/>
  <c r="I209" i="24"/>
  <c r="I210" i="24"/>
  <c r="I224" i="24"/>
  <c r="I207" i="24"/>
  <c r="I198" i="24"/>
  <c r="I216" i="24"/>
  <c r="I223" i="24"/>
  <c r="I204" i="24"/>
  <c r="I221" i="24"/>
  <c r="O219" i="24"/>
  <c r="O213" i="24"/>
  <c r="O225" i="24"/>
  <c r="O218" i="24"/>
  <c r="O199" i="24"/>
  <c r="O197" i="24"/>
  <c r="O208" i="24"/>
  <c r="O222" i="24"/>
  <c r="O214" i="24"/>
  <c r="O196" i="24"/>
  <c r="O205" i="24"/>
  <c r="O203" i="24"/>
  <c r="O220" i="24"/>
  <c r="O201" i="24"/>
  <c r="O217" i="24"/>
  <c r="O211" i="24"/>
  <c r="O202" i="24"/>
  <c r="O204" i="24"/>
  <c r="O221" i="24"/>
  <c r="O206" i="24"/>
  <c r="O210" i="24"/>
  <c r="O224" i="24"/>
  <c r="O212" i="24"/>
  <c r="O215" i="24"/>
  <c r="O207" i="24"/>
  <c r="O198" i="24"/>
  <c r="O216" i="24"/>
  <c r="O223" i="24"/>
  <c r="O200" i="24"/>
  <c r="O209" i="24"/>
  <c r="O214" i="11"/>
  <c r="O186" i="11"/>
  <c r="O221" i="11"/>
  <c r="O190" i="11"/>
  <c r="O210" i="11"/>
  <c r="O224" i="11"/>
  <c r="O205" i="11"/>
  <c r="O201" i="11"/>
  <c r="O208" i="11"/>
  <c r="O198" i="11"/>
  <c r="O184" i="11"/>
  <c r="O206" i="11"/>
  <c r="O222" i="11"/>
  <c r="O225" i="11"/>
  <c r="O197" i="11"/>
  <c r="O220" i="11"/>
  <c r="O193" i="11"/>
  <c r="O204" i="11"/>
  <c r="O196" i="11"/>
  <c r="O223" i="11"/>
  <c r="O207" i="11"/>
  <c r="O191" i="11"/>
  <c r="O187" i="11"/>
  <c r="O217" i="11"/>
  <c r="O216" i="11"/>
  <c r="O202" i="11"/>
  <c r="O219" i="11"/>
  <c r="O211" i="11"/>
  <c r="O203" i="11"/>
  <c r="O188" i="11"/>
  <c r="O212" i="11"/>
  <c r="O192" i="11"/>
  <c r="O215" i="11"/>
  <c r="O194" i="11"/>
  <c r="O195" i="11"/>
  <c r="O189" i="11"/>
  <c r="O218" i="11"/>
  <c r="O185" i="11"/>
  <c r="O213" i="11"/>
  <c r="O209" i="11"/>
  <c r="O200" i="11"/>
  <c r="O199" i="11"/>
  <c r="AB214" i="11"/>
  <c r="AB205" i="11"/>
  <c r="AB210" i="11"/>
  <c r="AB186" i="11"/>
  <c r="AB224" i="11"/>
  <c r="AB221" i="11"/>
  <c r="AB190" i="11"/>
  <c r="AB217" i="11"/>
  <c r="AB208" i="11"/>
  <c r="AB202" i="11"/>
  <c r="AB184" i="11"/>
  <c r="AB219" i="11"/>
  <c r="AB211" i="11"/>
  <c r="AB189" i="11"/>
  <c r="AB206" i="11"/>
  <c r="AB222" i="11"/>
  <c r="AB185" i="11"/>
  <c r="AB197" i="11"/>
  <c r="AB209" i="11"/>
  <c r="AB204" i="11"/>
  <c r="AB196" i="11"/>
  <c r="AB207" i="11"/>
  <c r="AB191" i="11"/>
  <c r="AB201" i="11"/>
  <c r="AB216" i="11"/>
  <c r="AB198" i="11"/>
  <c r="AB194" i="11"/>
  <c r="AB203" i="11"/>
  <c r="AB218" i="11"/>
  <c r="AB213" i="11"/>
  <c r="AB193" i="11"/>
  <c r="AB212" i="11"/>
  <c r="AB192" i="11"/>
  <c r="AB215" i="11"/>
  <c r="AB187" i="11"/>
  <c r="AB195" i="11"/>
  <c r="AB188" i="11"/>
  <c r="AB225" i="11"/>
  <c r="AB220" i="11"/>
  <c r="AB200" i="11"/>
  <c r="AB223" i="11"/>
  <c r="AB199" i="11"/>
  <c r="L214" i="11"/>
  <c r="L221" i="11"/>
  <c r="L210" i="11"/>
  <c r="L186" i="11"/>
  <c r="L224" i="11"/>
  <c r="L205" i="11"/>
  <c r="L190" i="11"/>
  <c r="L217" i="11"/>
  <c r="L216" i="11"/>
  <c r="L208" i="11"/>
  <c r="L202" i="11"/>
  <c r="L203" i="11"/>
  <c r="L195" i="11"/>
  <c r="L189" i="11"/>
  <c r="L206" i="11"/>
  <c r="L222" i="11"/>
  <c r="L185" i="11"/>
  <c r="L225" i="11"/>
  <c r="L209" i="11"/>
  <c r="L204" i="11"/>
  <c r="L196" i="11"/>
  <c r="L223" i="11"/>
  <c r="L215" i="11"/>
  <c r="L207" i="11"/>
  <c r="L191" i="11"/>
  <c r="L201" i="11"/>
  <c r="L198" i="11"/>
  <c r="L194" i="11"/>
  <c r="L184" i="11"/>
  <c r="L219" i="11"/>
  <c r="L200" i="11"/>
  <c r="L211" i="11"/>
  <c r="L188" i="11"/>
  <c r="L218" i="11"/>
  <c r="L213" i="11"/>
  <c r="L197" i="11"/>
  <c r="L220" i="11"/>
  <c r="L193" i="11"/>
  <c r="L212" i="11"/>
  <c r="L192" i="11"/>
  <c r="L199" i="11"/>
  <c r="L187" i="11"/>
  <c r="R210" i="11"/>
  <c r="R186" i="11"/>
  <c r="R224" i="11"/>
  <c r="R205" i="11"/>
  <c r="R214" i="11"/>
  <c r="R221" i="11"/>
  <c r="R208" i="11"/>
  <c r="R202" i="11"/>
  <c r="R198" i="11"/>
  <c r="R194" i="11"/>
  <c r="R184" i="11"/>
  <c r="R219" i="11"/>
  <c r="R195" i="11"/>
  <c r="R218" i="11"/>
  <c r="R206" i="11"/>
  <c r="R185" i="11"/>
  <c r="R220" i="11"/>
  <c r="R209" i="11"/>
  <c r="R193" i="11"/>
  <c r="R215" i="11"/>
  <c r="R191" i="11"/>
  <c r="R190" i="11"/>
  <c r="R217" i="11"/>
  <c r="R201" i="11"/>
  <c r="R216" i="11"/>
  <c r="R211" i="11"/>
  <c r="R189" i="11"/>
  <c r="R225" i="11"/>
  <c r="R200" i="11"/>
  <c r="R196" i="11"/>
  <c r="R223" i="11"/>
  <c r="R199" i="11"/>
  <c r="R203" i="11"/>
  <c r="R188" i="11"/>
  <c r="R222" i="11"/>
  <c r="R213" i="11"/>
  <c r="R197" i="11"/>
  <c r="R212" i="11"/>
  <c r="R204" i="11"/>
  <c r="R192" i="11"/>
  <c r="R207" i="11"/>
  <c r="R187" i="11"/>
  <c r="V214" i="11"/>
  <c r="V224" i="11"/>
  <c r="V210" i="11"/>
  <c r="V186" i="11"/>
  <c r="V221" i="11"/>
  <c r="V205" i="11"/>
  <c r="V201" i="11"/>
  <c r="V216" i="11"/>
  <c r="V211" i="11"/>
  <c r="V195" i="11"/>
  <c r="V188" i="11"/>
  <c r="V222" i="11"/>
  <c r="V185" i="11"/>
  <c r="V213" i="11"/>
  <c r="V197" i="11"/>
  <c r="V193" i="11"/>
  <c r="V212" i="11"/>
  <c r="V204" i="11"/>
  <c r="V200" i="11"/>
  <c r="V196" i="11"/>
  <c r="V192" i="11"/>
  <c r="V223" i="11"/>
  <c r="V207" i="11"/>
  <c r="V199" i="11"/>
  <c r="V187" i="11"/>
  <c r="V190" i="11"/>
  <c r="V217" i="11"/>
  <c r="V208" i="11"/>
  <c r="V202" i="11"/>
  <c r="V198" i="11"/>
  <c r="V194" i="11"/>
  <c r="V184" i="11"/>
  <c r="V219" i="11"/>
  <c r="V189" i="11"/>
  <c r="V218" i="11"/>
  <c r="V206" i="11"/>
  <c r="V191" i="11"/>
  <c r="V203" i="11"/>
  <c r="V225" i="11"/>
  <c r="V220" i="11"/>
  <c r="V209" i="11"/>
  <c r="V215" i="11"/>
  <c r="S214" i="11"/>
  <c r="S186" i="11"/>
  <c r="S221" i="11"/>
  <c r="S190" i="11"/>
  <c r="S210" i="11"/>
  <c r="S224" i="11"/>
  <c r="S205" i="11"/>
  <c r="S217" i="11"/>
  <c r="S208" i="11"/>
  <c r="S202" i="11"/>
  <c r="S184" i="11"/>
  <c r="S219" i="11"/>
  <c r="S211" i="11"/>
  <c r="S203" i="11"/>
  <c r="S195" i="11"/>
  <c r="S189" i="11"/>
  <c r="S206" i="11"/>
  <c r="S222" i="11"/>
  <c r="S185" i="11"/>
  <c r="S225" i="11"/>
  <c r="S197" i="11"/>
  <c r="S209" i="11"/>
  <c r="S212" i="11"/>
  <c r="S204" i="11"/>
  <c r="S196" i="11"/>
  <c r="S215" i="11"/>
  <c r="S199" i="11"/>
  <c r="S201" i="11"/>
  <c r="S216" i="11"/>
  <c r="S198" i="11"/>
  <c r="S188" i="11"/>
  <c r="S218" i="11"/>
  <c r="S213" i="11"/>
  <c r="S220" i="11"/>
  <c r="S200" i="11"/>
  <c r="S194" i="11"/>
  <c r="S193" i="11"/>
  <c r="S192" i="11"/>
  <c r="S223" i="11"/>
  <c r="S207" i="11"/>
  <c r="S191" i="11"/>
  <c r="S187" i="11"/>
  <c r="M214" i="11"/>
  <c r="M210" i="11"/>
  <c r="M186" i="11"/>
  <c r="M224" i="11"/>
  <c r="M221" i="11"/>
  <c r="M205" i="11"/>
  <c r="M190" i="11"/>
  <c r="M217" i="11"/>
  <c r="M216" i="11"/>
  <c r="M194" i="11"/>
  <c r="M184" i="11"/>
  <c r="M219" i="11"/>
  <c r="M203" i="11"/>
  <c r="M188" i="11"/>
  <c r="M209" i="11"/>
  <c r="M204" i="11"/>
  <c r="M196" i="11"/>
  <c r="M207" i="11"/>
  <c r="M187" i="11"/>
  <c r="M201" i="11"/>
  <c r="M208" i="11"/>
  <c r="M202" i="11"/>
  <c r="M198" i="11"/>
  <c r="M211" i="11"/>
  <c r="M189" i="11"/>
  <c r="M185" i="11"/>
  <c r="M220" i="11"/>
  <c r="M212" i="11"/>
  <c r="M200" i="11"/>
  <c r="M223" i="11"/>
  <c r="M199" i="11"/>
  <c r="M195" i="11"/>
  <c r="M218" i="11"/>
  <c r="M206" i="11"/>
  <c r="M222" i="11"/>
  <c r="M225" i="11"/>
  <c r="M213" i="11"/>
  <c r="M197" i="11"/>
  <c r="M193" i="11"/>
  <c r="M192" i="11"/>
  <c r="M215" i="11"/>
  <c r="M191" i="11"/>
  <c r="P210" i="11"/>
  <c r="P186" i="11"/>
  <c r="P224" i="11"/>
  <c r="P190" i="11"/>
  <c r="P214" i="11"/>
  <c r="P221" i="11"/>
  <c r="P205" i="11"/>
  <c r="P217" i="11"/>
  <c r="P216" i="11"/>
  <c r="P202" i="11"/>
  <c r="P194" i="11"/>
  <c r="P184" i="11"/>
  <c r="P188" i="11"/>
  <c r="P218" i="11"/>
  <c r="P222" i="11"/>
  <c r="P185" i="11"/>
  <c r="P220" i="11"/>
  <c r="P209" i="11"/>
  <c r="P193" i="11"/>
  <c r="P200" i="11"/>
  <c r="P192" i="11"/>
  <c r="P223" i="11"/>
  <c r="P215" i="11"/>
  <c r="P207" i="11"/>
  <c r="P201" i="11"/>
  <c r="P208" i="11"/>
  <c r="P198" i="11"/>
  <c r="P219" i="11"/>
  <c r="P203" i="11"/>
  <c r="P195" i="11"/>
  <c r="P189" i="11"/>
  <c r="P206" i="11"/>
  <c r="P213" i="11"/>
  <c r="P197" i="11"/>
  <c r="P196" i="11"/>
  <c r="P199" i="11"/>
  <c r="P187" i="11"/>
  <c r="P211" i="11"/>
  <c r="P225" i="11"/>
  <c r="P212" i="11"/>
  <c r="P204" i="11"/>
  <c r="P191" i="11"/>
  <c r="J210" i="11"/>
  <c r="J221" i="11"/>
  <c r="J205" i="11"/>
  <c r="AE205" i="11" s="1"/>
  <c r="J214" i="11"/>
  <c r="J186" i="11"/>
  <c r="J224" i="11"/>
  <c r="J190" i="11"/>
  <c r="J217" i="11"/>
  <c r="J201" i="11"/>
  <c r="AF201" i="11" s="1"/>
  <c r="J208" i="11"/>
  <c r="J202" i="11"/>
  <c r="J198" i="11"/>
  <c r="J194" i="11"/>
  <c r="J184" i="11"/>
  <c r="J219" i="11"/>
  <c r="J203" i="11"/>
  <c r="J189" i="11"/>
  <c r="J188" i="11"/>
  <c r="J218" i="11"/>
  <c r="J206" i="11"/>
  <c r="J225" i="11"/>
  <c r="J209" i="11"/>
  <c r="J193" i="11"/>
  <c r="J207" i="11"/>
  <c r="J199" i="11"/>
  <c r="J187" i="11"/>
  <c r="J216" i="11"/>
  <c r="J211" i="11"/>
  <c r="J222" i="11"/>
  <c r="J185" i="11"/>
  <c r="J213" i="11"/>
  <c r="AF213" i="11" s="1"/>
  <c r="J197" i="11"/>
  <c r="J220" i="11"/>
  <c r="J212" i="11"/>
  <c r="J204" i="11"/>
  <c r="AE204" i="11" s="1"/>
  <c r="J192" i="11"/>
  <c r="J195" i="11"/>
  <c r="J200" i="11"/>
  <c r="J196" i="11"/>
  <c r="J223" i="11"/>
  <c r="J215" i="11"/>
  <c r="J191" i="11"/>
  <c r="Y210" i="11"/>
  <c r="Y224" i="11"/>
  <c r="Y221" i="11"/>
  <c r="Y205" i="11"/>
  <c r="Y214" i="11"/>
  <c r="Y186" i="11"/>
  <c r="Y190" i="11"/>
  <c r="Y201" i="11"/>
  <c r="Y216" i="11"/>
  <c r="Y202" i="11"/>
  <c r="Y198" i="11"/>
  <c r="Y211" i="11"/>
  <c r="Y195" i="11"/>
  <c r="Y218" i="11"/>
  <c r="Y222" i="11"/>
  <c r="Y225" i="11"/>
  <c r="Y213" i="11"/>
  <c r="Y197" i="11"/>
  <c r="Y220" i="11"/>
  <c r="Y193" i="11"/>
  <c r="Y212" i="11"/>
  <c r="Y200" i="11"/>
  <c r="Y192" i="11"/>
  <c r="Y223" i="11"/>
  <c r="Y207" i="11"/>
  <c r="Y191" i="11"/>
  <c r="Y217" i="11"/>
  <c r="Y208" i="11"/>
  <c r="Y194" i="11"/>
  <c r="Y184" i="11"/>
  <c r="Y203" i="11"/>
  <c r="Y189" i="11"/>
  <c r="Y206" i="11"/>
  <c r="Y209" i="11"/>
  <c r="Y204" i="11"/>
  <c r="Y199" i="11"/>
  <c r="Y187" i="11"/>
  <c r="Y219" i="11"/>
  <c r="Y188" i="11"/>
  <c r="Y185" i="11"/>
  <c r="Y196" i="11"/>
  <c r="Y215" i="11"/>
  <c r="H219" i="24"/>
  <c r="H213" i="24"/>
  <c r="H225" i="24"/>
  <c r="H199" i="24"/>
  <c r="H197" i="24"/>
  <c r="H214" i="24"/>
  <c r="H196" i="24"/>
  <c r="H205" i="24"/>
  <c r="H218" i="24"/>
  <c r="H203" i="24"/>
  <c r="H220" i="24"/>
  <c r="H201" i="24"/>
  <c r="H208" i="24"/>
  <c r="H217" i="24"/>
  <c r="H222" i="24"/>
  <c r="H215" i="24"/>
  <c r="H202" i="24"/>
  <c r="H200" i="24"/>
  <c r="H221" i="24"/>
  <c r="H211" i="24"/>
  <c r="H206" i="24"/>
  <c r="H210" i="24"/>
  <c r="H224" i="24"/>
  <c r="H212" i="24"/>
  <c r="H207" i="24"/>
  <c r="H198" i="24"/>
  <c r="H216" i="24"/>
  <c r="H223" i="24"/>
  <c r="H204" i="24"/>
  <c r="H209" i="24"/>
  <c r="X219" i="24"/>
  <c r="X213" i="24"/>
  <c r="X225" i="24"/>
  <c r="X199" i="24"/>
  <c r="X197" i="24"/>
  <c r="X214" i="24"/>
  <c r="X196" i="24"/>
  <c r="X205" i="24"/>
  <c r="X218" i="24"/>
  <c r="X203" i="24"/>
  <c r="X220" i="24"/>
  <c r="X201" i="24"/>
  <c r="X208" i="24"/>
  <c r="X217" i="24"/>
  <c r="X222" i="24"/>
  <c r="X211" i="24"/>
  <c r="X215" i="24"/>
  <c r="X202" i="24"/>
  <c r="X200" i="24"/>
  <c r="X221" i="24"/>
  <c r="X206" i="24"/>
  <c r="X210" i="24"/>
  <c r="X224" i="24"/>
  <c r="X212" i="24"/>
  <c r="X207" i="24"/>
  <c r="X198" i="24"/>
  <c r="X216" i="24"/>
  <c r="X223" i="24"/>
  <c r="X204" i="24"/>
  <c r="X209" i="24"/>
  <c r="K214" i="24"/>
  <c r="K205" i="24"/>
  <c r="K203" i="24"/>
  <c r="K220" i="24"/>
  <c r="K201" i="24"/>
  <c r="K217" i="24"/>
  <c r="K219" i="24"/>
  <c r="K213" i="24"/>
  <c r="K225" i="24"/>
  <c r="K196" i="24"/>
  <c r="K218" i="24"/>
  <c r="K199" i="24"/>
  <c r="K197" i="24"/>
  <c r="K208" i="24"/>
  <c r="K222" i="24"/>
  <c r="K206" i="24"/>
  <c r="K210" i="24"/>
  <c r="K224" i="24"/>
  <c r="K212" i="24"/>
  <c r="K215" i="24"/>
  <c r="K198" i="24"/>
  <c r="K216" i="24"/>
  <c r="K223" i="24"/>
  <c r="K200" i="24"/>
  <c r="K209" i="24"/>
  <c r="K211" i="24"/>
  <c r="K207" i="24"/>
  <c r="K202" i="24"/>
  <c r="K204" i="24"/>
  <c r="K221" i="24"/>
  <c r="Y219" i="24"/>
  <c r="Y213" i="24"/>
  <c r="Y225" i="24"/>
  <c r="Y199" i="24"/>
  <c r="Y201" i="24"/>
  <c r="Y217" i="24"/>
  <c r="Y214" i="24"/>
  <c r="Y196" i="24"/>
  <c r="Y205" i="24"/>
  <c r="Y218" i="24"/>
  <c r="Y203" i="24"/>
  <c r="Y220" i="24"/>
  <c r="Y197" i="24"/>
  <c r="Y208" i="24"/>
  <c r="Y222" i="24"/>
  <c r="Y206" i="24"/>
  <c r="Y212" i="24"/>
  <c r="Y215" i="24"/>
  <c r="Y202" i="24"/>
  <c r="Y200" i="24"/>
  <c r="Y209" i="24"/>
  <c r="Y211" i="24"/>
  <c r="Y210" i="24"/>
  <c r="Y224" i="24"/>
  <c r="Y207" i="24"/>
  <c r="Y198" i="24"/>
  <c r="Y216" i="24"/>
  <c r="Y223" i="24"/>
  <c r="Y204" i="24"/>
  <c r="Y221" i="24"/>
  <c r="R219" i="24"/>
  <c r="R225" i="24"/>
  <c r="R205" i="24"/>
  <c r="R218" i="24"/>
  <c r="R199" i="24"/>
  <c r="R220" i="24"/>
  <c r="R197" i="24"/>
  <c r="R208" i="24"/>
  <c r="R222" i="24"/>
  <c r="R214" i="24"/>
  <c r="R213" i="24"/>
  <c r="R196" i="24"/>
  <c r="R203" i="24"/>
  <c r="R201" i="24"/>
  <c r="R217" i="24"/>
  <c r="R211" i="24"/>
  <c r="R206" i="24"/>
  <c r="R224" i="24"/>
  <c r="R207" i="24"/>
  <c r="R198" i="24"/>
  <c r="R216" i="24"/>
  <c r="R204" i="24"/>
  <c r="R221" i="24"/>
  <c r="R210" i="24"/>
  <c r="R212" i="24"/>
  <c r="R215" i="24"/>
  <c r="R202" i="24"/>
  <c r="R223" i="24"/>
  <c r="R200" i="24"/>
  <c r="R209" i="24"/>
  <c r="S214" i="24"/>
  <c r="S196" i="24"/>
  <c r="S203" i="24"/>
  <c r="S220" i="24"/>
  <c r="S201" i="24"/>
  <c r="S217" i="24"/>
  <c r="S219" i="24"/>
  <c r="S213" i="24"/>
  <c r="S225" i="24"/>
  <c r="S205" i="24"/>
  <c r="S218" i="24"/>
  <c r="S199" i="24"/>
  <c r="S197" i="24"/>
  <c r="S208" i="24"/>
  <c r="S222" i="24"/>
  <c r="S206" i="24"/>
  <c r="S210" i="24"/>
  <c r="S224" i="24"/>
  <c r="S215" i="24"/>
  <c r="S207" i="24"/>
  <c r="S198" i="24"/>
  <c r="S216" i="24"/>
  <c r="S223" i="24"/>
  <c r="S200" i="24"/>
  <c r="S209" i="24"/>
  <c r="S211" i="24"/>
  <c r="S212" i="24"/>
  <c r="S202" i="24"/>
  <c r="S204" i="24"/>
  <c r="S221" i="24"/>
  <c r="T214" i="24"/>
  <c r="T196" i="24"/>
  <c r="T205" i="24"/>
  <c r="T218" i="24"/>
  <c r="T203" i="24"/>
  <c r="T220" i="24"/>
  <c r="T201" i="24"/>
  <c r="T208" i="24"/>
  <c r="T217" i="24"/>
  <c r="T222" i="24"/>
  <c r="T219" i="24"/>
  <c r="T213" i="24"/>
  <c r="T225" i="24"/>
  <c r="T199" i="24"/>
  <c r="T197" i="24"/>
  <c r="T206" i="24"/>
  <c r="T210" i="24"/>
  <c r="T224" i="24"/>
  <c r="T212" i="24"/>
  <c r="T198" i="24"/>
  <c r="T216" i="24"/>
  <c r="T223" i="24"/>
  <c r="T204" i="24"/>
  <c r="T209" i="24"/>
  <c r="T211" i="24"/>
  <c r="T215" i="24"/>
  <c r="T207" i="24"/>
  <c r="T202" i="24"/>
  <c r="T200" i="24"/>
  <c r="T221" i="24"/>
  <c r="U214" i="24"/>
  <c r="U196" i="24"/>
  <c r="U205" i="24"/>
  <c r="U218" i="24"/>
  <c r="U203" i="24"/>
  <c r="U220" i="24"/>
  <c r="U197" i="24"/>
  <c r="U208" i="24"/>
  <c r="U222" i="24"/>
  <c r="U219" i="24"/>
  <c r="U213" i="24"/>
  <c r="U225" i="24"/>
  <c r="U199" i="24"/>
  <c r="U201" i="24"/>
  <c r="U217" i="24"/>
  <c r="U211" i="24"/>
  <c r="U206" i="24"/>
  <c r="U210" i="24"/>
  <c r="U224" i="24"/>
  <c r="U207" i="24"/>
  <c r="U198" i="24"/>
  <c r="U216" i="24"/>
  <c r="U223" i="24"/>
  <c r="U204" i="24"/>
  <c r="U221" i="24"/>
  <c r="U212" i="24"/>
  <c r="U215" i="24"/>
  <c r="U202" i="24"/>
  <c r="U200" i="24"/>
  <c r="U209" i="24"/>
  <c r="N214" i="24"/>
  <c r="N213" i="24"/>
  <c r="N203" i="24"/>
  <c r="N201" i="24"/>
  <c r="N217" i="24"/>
  <c r="N219" i="24"/>
  <c r="N225" i="24"/>
  <c r="N196" i="24"/>
  <c r="N205" i="24"/>
  <c r="N218" i="24"/>
  <c r="N199" i="24"/>
  <c r="N220" i="24"/>
  <c r="N197" i="24"/>
  <c r="N208" i="24"/>
  <c r="N222" i="24"/>
  <c r="N210" i="24"/>
  <c r="N212" i="24"/>
  <c r="N215" i="24"/>
  <c r="N202" i="24"/>
  <c r="N223" i="24"/>
  <c r="N200" i="24"/>
  <c r="N209" i="24"/>
  <c r="N211" i="24"/>
  <c r="N206" i="24"/>
  <c r="N224" i="24"/>
  <c r="N207" i="24"/>
  <c r="N198" i="24"/>
  <c r="N216" i="24"/>
  <c r="N204" i="24"/>
  <c r="N221" i="24"/>
  <c r="Z219" i="24"/>
  <c r="Z225" i="24"/>
  <c r="Z196" i="24"/>
  <c r="Z205" i="24"/>
  <c r="Z218" i="24"/>
  <c r="Z199" i="24"/>
  <c r="Z220" i="24"/>
  <c r="Z197" i="24"/>
  <c r="Z208" i="24"/>
  <c r="Z222" i="24"/>
  <c r="Z214" i="24"/>
  <c r="Z213" i="24"/>
  <c r="Z203" i="24"/>
  <c r="Z201" i="24"/>
  <c r="Z217" i="24"/>
  <c r="Z211" i="24"/>
  <c r="Z224" i="24"/>
  <c r="Z207" i="24"/>
  <c r="Z198" i="24"/>
  <c r="Z216" i="24"/>
  <c r="Z204" i="24"/>
  <c r="Z221" i="24"/>
  <c r="Z206" i="24"/>
  <c r="Z210" i="24"/>
  <c r="Z212" i="24"/>
  <c r="Z215" i="24"/>
  <c r="Z202" i="24"/>
  <c r="Z223" i="24"/>
  <c r="Z200" i="24"/>
  <c r="Z209" i="24"/>
  <c r="M197" i="23"/>
  <c r="M211" i="23"/>
  <c r="M202" i="23"/>
  <c r="M214" i="23"/>
  <c r="M201" i="23"/>
  <c r="M221" i="23"/>
  <c r="M200" i="23"/>
  <c r="M204" i="23"/>
  <c r="M216" i="23"/>
  <c r="M222" i="23"/>
  <c r="M207" i="23"/>
  <c r="M208" i="23"/>
  <c r="M212" i="23"/>
  <c r="M199" i="23"/>
  <c r="M209" i="23"/>
  <c r="M220" i="23"/>
  <c r="M223" i="23"/>
  <c r="M217" i="23"/>
  <c r="M215" i="23"/>
  <c r="M206" i="23"/>
  <c r="M219" i="23"/>
  <c r="M224" i="23"/>
  <c r="M205" i="23"/>
  <c r="M213" i="23"/>
  <c r="M198" i="23"/>
  <c r="M203" i="23"/>
  <c r="M196" i="23"/>
  <c r="M210" i="23"/>
  <c r="M225" i="23"/>
  <c r="M218" i="23"/>
  <c r="T201" i="23"/>
  <c r="T197" i="23"/>
  <c r="T200" i="23"/>
  <c r="T204" i="23"/>
  <c r="T211" i="23"/>
  <c r="T202" i="23"/>
  <c r="T214" i="23"/>
  <c r="T221" i="23"/>
  <c r="T216" i="23"/>
  <c r="T222" i="23"/>
  <c r="T205" i="23"/>
  <c r="T213" i="23"/>
  <c r="T208" i="23"/>
  <c r="T212" i="23"/>
  <c r="T199" i="23"/>
  <c r="T220" i="23"/>
  <c r="T215" i="23"/>
  <c r="T206" i="23"/>
  <c r="T219" i="23"/>
  <c r="T224" i="23"/>
  <c r="T207" i="23"/>
  <c r="T198" i="23"/>
  <c r="T203" i="23"/>
  <c r="T209" i="23"/>
  <c r="T223" i="23"/>
  <c r="T196" i="23"/>
  <c r="T217" i="23"/>
  <c r="T210" i="23"/>
  <c r="T225" i="23"/>
  <c r="T218" i="23"/>
  <c r="AA201" i="23"/>
  <c r="AA197" i="23"/>
  <c r="AA200" i="23"/>
  <c r="AA204" i="23"/>
  <c r="AA202" i="23"/>
  <c r="AA221" i="23"/>
  <c r="AA216" i="23"/>
  <c r="AA222" i="23"/>
  <c r="AA211" i="23"/>
  <c r="AA214" i="23"/>
  <c r="AA205" i="23"/>
  <c r="AA213" i="23"/>
  <c r="AA198" i="23"/>
  <c r="AA212" i="23"/>
  <c r="AA203" i="23"/>
  <c r="AA209" i="23"/>
  <c r="AA220" i="23"/>
  <c r="AA196" i="23"/>
  <c r="AA215" i="23"/>
  <c r="AA218" i="23"/>
  <c r="AA219" i="23"/>
  <c r="AA224" i="23"/>
  <c r="AA207" i="23"/>
  <c r="AA208" i="23"/>
  <c r="AA199" i="23"/>
  <c r="AA223" i="23"/>
  <c r="AA217" i="23"/>
  <c r="AA210" i="23"/>
  <c r="AA225" i="23"/>
  <c r="AA206" i="23"/>
  <c r="K201" i="23"/>
  <c r="K221" i="23"/>
  <c r="K197" i="23"/>
  <c r="K200" i="23"/>
  <c r="K204" i="23"/>
  <c r="K202" i="23"/>
  <c r="K216" i="23"/>
  <c r="K222" i="23"/>
  <c r="K211" i="23"/>
  <c r="K214" i="23"/>
  <c r="K205" i="23"/>
  <c r="K213" i="23"/>
  <c r="K198" i="23"/>
  <c r="K212" i="23"/>
  <c r="K203" i="23"/>
  <c r="K209" i="23"/>
  <c r="K220" i="23"/>
  <c r="K215" i="23"/>
  <c r="K218" i="23"/>
  <c r="K219" i="23"/>
  <c r="K224" i="23"/>
  <c r="K207" i="23"/>
  <c r="K208" i="23"/>
  <c r="K199" i="23"/>
  <c r="K223" i="23"/>
  <c r="K196" i="23"/>
  <c r="K217" i="23"/>
  <c r="K210" i="23"/>
  <c r="K225" i="23"/>
  <c r="K206" i="23"/>
  <c r="R221" i="23"/>
  <c r="R197" i="23"/>
  <c r="R200" i="23"/>
  <c r="R204" i="23"/>
  <c r="R222" i="23"/>
  <c r="R201" i="23"/>
  <c r="R216" i="23"/>
  <c r="R211" i="23"/>
  <c r="R202" i="23"/>
  <c r="R214" i="23"/>
  <c r="R219" i="23"/>
  <c r="R207" i="23"/>
  <c r="R198" i="23"/>
  <c r="R212" i="23"/>
  <c r="R199" i="23"/>
  <c r="R220" i="23"/>
  <c r="R223" i="23"/>
  <c r="R196" i="23"/>
  <c r="R217" i="23"/>
  <c r="R215" i="23"/>
  <c r="R225" i="23"/>
  <c r="R206" i="23"/>
  <c r="R224" i="23"/>
  <c r="R205" i="23"/>
  <c r="R213" i="23"/>
  <c r="R208" i="23"/>
  <c r="R203" i="23"/>
  <c r="R209" i="23"/>
  <c r="R210" i="23"/>
  <c r="R218" i="23"/>
  <c r="Y201" i="23"/>
  <c r="Y221" i="23"/>
  <c r="Y204" i="23"/>
  <c r="Y216" i="23"/>
  <c r="Y222" i="23"/>
  <c r="Y197" i="23"/>
  <c r="Y200" i="23"/>
  <c r="Y211" i="23"/>
  <c r="Y202" i="23"/>
  <c r="Y214" i="23"/>
  <c r="Y219" i="23"/>
  <c r="Y224" i="23"/>
  <c r="Y205" i="23"/>
  <c r="Y213" i="23"/>
  <c r="Y198" i="23"/>
  <c r="Y203" i="23"/>
  <c r="Y196" i="23"/>
  <c r="Y210" i="23"/>
  <c r="Y225" i="23"/>
  <c r="Y218" i="23"/>
  <c r="Y207" i="23"/>
  <c r="Y208" i="23"/>
  <c r="Y212" i="23"/>
  <c r="Y199" i="23"/>
  <c r="Y209" i="23"/>
  <c r="Y220" i="23"/>
  <c r="Y223" i="23"/>
  <c r="Y217" i="23"/>
  <c r="Y215" i="23"/>
  <c r="Y206" i="23"/>
  <c r="H201" i="23"/>
  <c r="H221" i="23"/>
  <c r="H216" i="23"/>
  <c r="H222" i="23"/>
  <c r="H197" i="23"/>
  <c r="H200" i="23"/>
  <c r="H204" i="23"/>
  <c r="H211" i="23"/>
  <c r="H202" i="23"/>
  <c r="H219" i="23"/>
  <c r="H224" i="23"/>
  <c r="H207" i="23"/>
  <c r="H198" i="23"/>
  <c r="H199" i="23"/>
  <c r="H223" i="23"/>
  <c r="H196" i="23"/>
  <c r="H217" i="23"/>
  <c r="H215" i="23"/>
  <c r="H210" i="23"/>
  <c r="H225" i="23"/>
  <c r="H218" i="23"/>
  <c r="H214" i="23"/>
  <c r="H205" i="23"/>
  <c r="H213" i="23"/>
  <c r="H208" i="23"/>
  <c r="H212" i="23"/>
  <c r="H203" i="23"/>
  <c r="H209" i="23"/>
  <c r="H220" i="23"/>
  <c r="H206" i="23"/>
  <c r="P221" i="23"/>
  <c r="P216" i="23"/>
  <c r="P222" i="23"/>
  <c r="P201" i="23"/>
  <c r="P197" i="23"/>
  <c r="P200" i="23"/>
  <c r="P204" i="23"/>
  <c r="P211" i="23"/>
  <c r="P202" i="23"/>
  <c r="P219" i="23"/>
  <c r="P224" i="23"/>
  <c r="P207" i="23"/>
  <c r="P198" i="23"/>
  <c r="P203" i="23"/>
  <c r="P209" i="23"/>
  <c r="P223" i="23"/>
  <c r="P196" i="23"/>
  <c r="P217" i="23"/>
  <c r="P210" i="23"/>
  <c r="P225" i="23"/>
  <c r="P218" i="23"/>
  <c r="P214" i="23"/>
  <c r="P205" i="23"/>
  <c r="P213" i="23"/>
  <c r="P208" i="23"/>
  <c r="P212" i="23"/>
  <c r="P199" i="23"/>
  <c r="P220" i="23"/>
  <c r="P215" i="23"/>
  <c r="P206" i="23"/>
  <c r="W221" i="23"/>
  <c r="W216" i="23"/>
  <c r="W222" i="23"/>
  <c r="W202" i="23"/>
  <c r="W201" i="23"/>
  <c r="W197" i="23"/>
  <c r="W200" i="23"/>
  <c r="W204" i="23"/>
  <c r="W211" i="23"/>
  <c r="W214" i="23"/>
  <c r="W219" i="23"/>
  <c r="W224" i="23"/>
  <c r="W207" i="23"/>
  <c r="W208" i="23"/>
  <c r="W199" i="23"/>
  <c r="W223" i="23"/>
  <c r="W217" i="23"/>
  <c r="W210" i="23"/>
  <c r="W225" i="23"/>
  <c r="W206" i="23"/>
  <c r="W205" i="23"/>
  <c r="W213" i="23"/>
  <c r="W198" i="23"/>
  <c r="W212" i="23"/>
  <c r="W203" i="23"/>
  <c r="W209" i="23"/>
  <c r="W220" i="23"/>
  <c r="W196" i="23"/>
  <c r="W215" i="23"/>
  <c r="W218" i="23"/>
  <c r="I201" i="23"/>
  <c r="I221" i="23"/>
  <c r="I204" i="23"/>
  <c r="I216" i="23"/>
  <c r="I222" i="23"/>
  <c r="I197" i="23"/>
  <c r="I200" i="23"/>
  <c r="I211" i="23"/>
  <c r="I202" i="23"/>
  <c r="I214" i="23"/>
  <c r="I219" i="23"/>
  <c r="I224" i="23"/>
  <c r="I205" i="23"/>
  <c r="I213" i="23"/>
  <c r="I198" i="23"/>
  <c r="I203" i="23"/>
  <c r="I196" i="23"/>
  <c r="I210" i="23"/>
  <c r="I225" i="23"/>
  <c r="I218" i="23"/>
  <c r="I207" i="23"/>
  <c r="I208" i="23"/>
  <c r="I212" i="23"/>
  <c r="I199" i="23"/>
  <c r="I209" i="23"/>
  <c r="I220" i="23"/>
  <c r="I223" i="23"/>
  <c r="I217" i="23"/>
  <c r="I215" i="23"/>
  <c r="I206" i="23"/>
  <c r="N201" i="23"/>
  <c r="N200" i="23"/>
  <c r="N216" i="23"/>
  <c r="N211" i="23"/>
  <c r="N202" i="23"/>
  <c r="N221" i="23"/>
  <c r="N197" i="23"/>
  <c r="N204" i="23"/>
  <c r="N222" i="23"/>
  <c r="N224" i="23"/>
  <c r="N205" i="23"/>
  <c r="N213" i="23"/>
  <c r="N198" i="23"/>
  <c r="N203" i="23"/>
  <c r="N209" i="23"/>
  <c r="N210" i="23"/>
  <c r="N218" i="23"/>
  <c r="N214" i="23"/>
  <c r="N219" i="23"/>
  <c r="N207" i="23"/>
  <c r="N208" i="23"/>
  <c r="N212" i="23"/>
  <c r="N199" i="23"/>
  <c r="N220" i="23"/>
  <c r="N223" i="23"/>
  <c r="N196" i="23"/>
  <c r="N217" i="23"/>
  <c r="N215" i="23"/>
  <c r="N225" i="23"/>
  <c r="N206" i="23"/>
  <c r="AC200" i="11"/>
  <c r="E199" i="21" s="1"/>
  <c r="AC213" i="11"/>
  <c r="AC191" i="11"/>
  <c r="AF192" i="11"/>
  <c r="AE202" i="11"/>
  <c r="AF204" i="11"/>
  <c r="AE220" i="11"/>
  <c r="AF206" i="11"/>
  <c r="AF211" i="11"/>
  <c r="AD198" i="11"/>
  <c r="AE210" i="11"/>
  <c r="AM205" i="11"/>
  <c r="AM214" i="11"/>
  <c r="W176" i="11"/>
  <c r="W177" i="11"/>
  <c r="W178" i="11"/>
  <c r="W179" i="11"/>
  <c r="W180" i="11"/>
  <c r="W181" i="11"/>
  <c r="W182" i="11"/>
  <c r="W183" i="11"/>
  <c r="W168" i="11"/>
  <c r="W149" i="11"/>
  <c r="W133" i="11"/>
  <c r="W117" i="11"/>
  <c r="W144" i="11"/>
  <c r="W128" i="11"/>
  <c r="W112" i="11"/>
  <c r="W104" i="11"/>
  <c r="W151" i="11"/>
  <c r="W135" i="11"/>
  <c r="W119" i="11"/>
  <c r="W146" i="11"/>
  <c r="W130" i="11"/>
  <c r="W114" i="11"/>
  <c r="W106" i="11"/>
  <c r="W163" i="11"/>
  <c r="W173" i="11"/>
  <c r="W153" i="11"/>
  <c r="W137" i="11"/>
  <c r="W160" i="11"/>
  <c r="W164" i="11"/>
  <c r="W141" i="11"/>
  <c r="W125" i="11"/>
  <c r="W109" i="11"/>
  <c r="W101" i="11"/>
  <c r="W152" i="11"/>
  <c r="W136" i="11"/>
  <c r="W120" i="11"/>
  <c r="W96" i="11"/>
  <c r="W165" i="11"/>
  <c r="W143" i="11"/>
  <c r="W127" i="11"/>
  <c r="W111" i="11"/>
  <c r="W103" i="11"/>
  <c r="W154" i="11"/>
  <c r="W138" i="11"/>
  <c r="W122" i="11"/>
  <c r="W98" i="11"/>
  <c r="W161" i="11"/>
  <c r="W162" i="11"/>
  <c r="W172" i="11"/>
  <c r="W175" i="11"/>
  <c r="W166" i="11"/>
  <c r="W145" i="11"/>
  <c r="W121" i="11"/>
  <c r="W97" i="11"/>
  <c r="W156" i="11"/>
  <c r="W140" i="11"/>
  <c r="W108" i="11"/>
  <c r="W100" i="11"/>
  <c r="W167" i="11"/>
  <c r="W147" i="11"/>
  <c r="W131" i="11"/>
  <c r="W115" i="11"/>
  <c r="W142" i="11"/>
  <c r="W126" i="11"/>
  <c r="W110" i="11"/>
  <c r="W102" i="11"/>
  <c r="W157" i="11"/>
  <c r="W158" i="11"/>
  <c r="W174" i="11"/>
  <c r="W159" i="11"/>
  <c r="W171" i="11"/>
  <c r="W129" i="11"/>
  <c r="W113" i="11"/>
  <c r="W105" i="11"/>
  <c r="W148" i="11"/>
  <c r="W132" i="11"/>
  <c r="W124" i="11"/>
  <c r="W116" i="11"/>
  <c r="W155" i="11"/>
  <c r="W139" i="11"/>
  <c r="W123" i="11"/>
  <c r="W107" i="11"/>
  <c r="W99" i="11"/>
  <c r="W150" i="11"/>
  <c r="W134" i="11"/>
  <c r="W118" i="11"/>
  <c r="W170" i="11"/>
  <c r="W169" i="11"/>
  <c r="U176" i="11"/>
  <c r="U177" i="11"/>
  <c r="U178" i="11"/>
  <c r="U179" i="11"/>
  <c r="U180" i="11"/>
  <c r="U181" i="11"/>
  <c r="U182" i="11"/>
  <c r="U183" i="11"/>
  <c r="U160" i="11"/>
  <c r="U164" i="11"/>
  <c r="U141" i="11"/>
  <c r="U125" i="11"/>
  <c r="U109" i="11"/>
  <c r="U101" i="11"/>
  <c r="U152" i="11"/>
  <c r="U136" i="11"/>
  <c r="U120" i="11"/>
  <c r="U96" i="11"/>
  <c r="U165" i="11"/>
  <c r="U143" i="11"/>
  <c r="U127" i="11"/>
  <c r="U111" i="11"/>
  <c r="U103" i="11"/>
  <c r="U154" i="11"/>
  <c r="U138" i="11"/>
  <c r="U122" i="11"/>
  <c r="U98" i="11"/>
  <c r="U161" i="11"/>
  <c r="U162" i="11"/>
  <c r="U175" i="11"/>
  <c r="U166" i="11"/>
  <c r="U145" i="11"/>
  <c r="U168" i="11"/>
  <c r="U149" i="11"/>
  <c r="U133" i="11"/>
  <c r="U117" i="11"/>
  <c r="U144" i="11"/>
  <c r="U128" i="11"/>
  <c r="U112" i="11"/>
  <c r="U104" i="11"/>
  <c r="U151" i="11"/>
  <c r="U135" i="11"/>
  <c r="U119" i="11"/>
  <c r="U146" i="11"/>
  <c r="U130" i="11"/>
  <c r="U114" i="11"/>
  <c r="U106" i="11"/>
  <c r="U163" i="11"/>
  <c r="U172" i="11"/>
  <c r="U173" i="11"/>
  <c r="U153" i="11"/>
  <c r="U137" i="11"/>
  <c r="U129" i="11"/>
  <c r="U113" i="11"/>
  <c r="U105" i="11"/>
  <c r="U148" i="11"/>
  <c r="U132" i="11"/>
  <c r="U116" i="11"/>
  <c r="U155" i="11"/>
  <c r="U139" i="11"/>
  <c r="U123" i="11"/>
  <c r="U107" i="11"/>
  <c r="U99" i="11"/>
  <c r="U150" i="11"/>
  <c r="U134" i="11"/>
  <c r="U118" i="11"/>
  <c r="U170" i="11"/>
  <c r="U159" i="11"/>
  <c r="U174" i="11"/>
  <c r="U171" i="11"/>
  <c r="U121" i="11"/>
  <c r="U97" i="11"/>
  <c r="U156" i="11"/>
  <c r="U140" i="11"/>
  <c r="U124" i="11"/>
  <c r="U108" i="11"/>
  <c r="U100" i="11"/>
  <c r="U167" i="11"/>
  <c r="U147" i="11"/>
  <c r="U131" i="11"/>
  <c r="U115" i="11"/>
  <c r="U142" i="11"/>
  <c r="U126" i="11"/>
  <c r="U110" i="11"/>
  <c r="U102" i="11"/>
  <c r="U157" i="11"/>
  <c r="U158" i="11"/>
  <c r="U169" i="11"/>
  <c r="T176" i="11"/>
  <c r="T177" i="11"/>
  <c r="T178" i="11"/>
  <c r="T179" i="11"/>
  <c r="T180" i="11"/>
  <c r="T181" i="11"/>
  <c r="T182" i="11"/>
  <c r="T183" i="11"/>
  <c r="T160" i="11"/>
  <c r="T168" i="11"/>
  <c r="T149" i="11"/>
  <c r="T117" i="11"/>
  <c r="T165" i="11"/>
  <c r="T135" i="11"/>
  <c r="T98" i="11"/>
  <c r="T163" i="11"/>
  <c r="T175" i="11"/>
  <c r="T173" i="11"/>
  <c r="T164" i="11"/>
  <c r="T125" i="11"/>
  <c r="T152" i="11"/>
  <c r="T111" i="11"/>
  <c r="T138" i="11"/>
  <c r="T161" i="11"/>
  <c r="T162" i="11"/>
  <c r="T172" i="11"/>
  <c r="T166" i="11"/>
  <c r="T121" i="11"/>
  <c r="T156" i="11"/>
  <c r="T167" i="11"/>
  <c r="T131" i="11"/>
  <c r="T170" i="11"/>
  <c r="T157" i="11"/>
  <c r="T158" i="11"/>
  <c r="T159" i="11"/>
  <c r="T169" i="11"/>
  <c r="T171" i="11"/>
  <c r="T97" i="11"/>
  <c r="T132" i="11"/>
  <c r="T107" i="11"/>
  <c r="T134" i="11"/>
  <c r="T174" i="11"/>
  <c r="Q176" i="11"/>
  <c r="Q177" i="11"/>
  <c r="Q178" i="11"/>
  <c r="Q179" i="11"/>
  <c r="Q180" i="11"/>
  <c r="Q181" i="11"/>
  <c r="Q182" i="11"/>
  <c r="Q183" i="11"/>
  <c r="Q168" i="11"/>
  <c r="Q133" i="11"/>
  <c r="Q144" i="11"/>
  <c r="Q111" i="11"/>
  <c r="Q130" i="11"/>
  <c r="Q163" i="11"/>
  <c r="Q172" i="11"/>
  <c r="Q173" i="11"/>
  <c r="Q153" i="11"/>
  <c r="Q160" i="11"/>
  <c r="Q164" i="11"/>
  <c r="Q152" i="11"/>
  <c r="Q112" i="11"/>
  <c r="Q165" i="11"/>
  <c r="Q103" i="11"/>
  <c r="Q138" i="11"/>
  <c r="Q161" i="11"/>
  <c r="Q162" i="11"/>
  <c r="Q175" i="11"/>
  <c r="Q166" i="11"/>
  <c r="Q113" i="11"/>
  <c r="Q156" i="11"/>
  <c r="Q100" i="11"/>
  <c r="Q167" i="11"/>
  <c r="Q147" i="11"/>
  <c r="Q118" i="11"/>
  <c r="Q170" i="11"/>
  <c r="Q157" i="11"/>
  <c r="Q158" i="11"/>
  <c r="Q171" i="11"/>
  <c r="Q174" i="11"/>
  <c r="Q169" i="11"/>
  <c r="Q129" i="11"/>
  <c r="Q105" i="11"/>
  <c r="Q115" i="11"/>
  <c r="Q150" i="11"/>
  <c r="Q159" i="11"/>
  <c r="I176" i="11"/>
  <c r="I177" i="11"/>
  <c r="I178" i="11"/>
  <c r="I179" i="11"/>
  <c r="I180" i="11"/>
  <c r="I181" i="11"/>
  <c r="I182" i="11"/>
  <c r="I183" i="11"/>
  <c r="I168" i="11"/>
  <c r="I163" i="11"/>
  <c r="I172" i="11"/>
  <c r="I173" i="11"/>
  <c r="I160" i="11"/>
  <c r="I164" i="11"/>
  <c r="I165" i="11"/>
  <c r="I161" i="11"/>
  <c r="I162" i="11"/>
  <c r="I175" i="11"/>
  <c r="I166" i="11"/>
  <c r="I156" i="11"/>
  <c r="I167" i="11"/>
  <c r="I157" i="11"/>
  <c r="I158" i="11"/>
  <c r="I169" i="11"/>
  <c r="I170" i="11"/>
  <c r="I159" i="11"/>
  <c r="I171" i="11"/>
  <c r="I174" i="11"/>
  <c r="K176" i="11"/>
  <c r="K177" i="11"/>
  <c r="K178" i="11"/>
  <c r="K179" i="11"/>
  <c r="K180" i="11"/>
  <c r="K181" i="11"/>
  <c r="K182" i="11"/>
  <c r="K183" i="11"/>
  <c r="K160" i="11"/>
  <c r="K164" i="11"/>
  <c r="K141" i="11"/>
  <c r="K125" i="11"/>
  <c r="K109" i="11"/>
  <c r="K101" i="11"/>
  <c r="K152" i="11"/>
  <c r="K136" i="11"/>
  <c r="K120" i="11"/>
  <c r="K96" i="11"/>
  <c r="K165" i="11"/>
  <c r="K143" i="11"/>
  <c r="K127" i="11"/>
  <c r="K111" i="11"/>
  <c r="K103" i="11"/>
  <c r="K154" i="11"/>
  <c r="K138" i="11"/>
  <c r="K122" i="11"/>
  <c r="K98" i="11"/>
  <c r="K161" i="11"/>
  <c r="K162" i="11"/>
  <c r="K175" i="11"/>
  <c r="K166" i="11"/>
  <c r="K145" i="11"/>
  <c r="K168" i="11"/>
  <c r="K149" i="11"/>
  <c r="K133" i="11"/>
  <c r="K117" i="11"/>
  <c r="K144" i="11"/>
  <c r="K128" i="11"/>
  <c r="K112" i="11"/>
  <c r="K104" i="11"/>
  <c r="K151" i="11"/>
  <c r="K135" i="11"/>
  <c r="K119" i="11"/>
  <c r="K146" i="11"/>
  <c r="K130" i="11"/>
  <c r="K114" i="11"/>
  <c r="K106" i="11"/>
  <c r="K163" i="11"/>
  <c r="K172" i="11"/>
  <c r="K173" i="11"/>
  <c r="K153" i="11"/>
  <c r="K137" i="11"/>
  <c r="K129" i="11"/>
  <c r="K113" i="11"/>
  <c r="K105" i="11"/>
  <c r="K148" i="11"/>
  <c r="K132" i="11"/>
  <c r="K116" i="11"/>
  <c r="K155" i="11"/>
  <c r="K139" i="11"/>
  <c r="K123" i="11"/>
  <c r="K107" i="11"/>
  <c r="K99" i="11"/>
  <c r="K150" i="11"/>
  <c r="K134" i="11"/>
  <c r="K118" i="11"/>
  <c r="K159" i="11"/>
  <c r="K169" i="11"/>
  <c r="K171" i="11"/>
  <c r="K174" i="11"/>
  <c r="K121" i="11"/>
  <c r="K97" i="11"/>
  <c r="K156" i="11"/>
  <c r="K140" i="11"/>
  <c r="K124" i="11"/>
  <c r="K108" i="11"/>
  <c r="K100" i="11"/>
  <c r="K167" i="11"/>
  <c r="K147" i="11"/>
  <c r="K131" i="11"/>
  <c r="K115" i="11"/>
  <c r="K142" i="11"/>
  <c r="K126" i="11"/>
  <c r="K110" i="11"/>
  <c r="K102" i="11"/>
  <c r="K170" i="11"/>
  <c r="K157" i="11"/>
  <c r="K158" i="11"/>
  <c r="AA176" i="11"/>
  <c r="AA177" i="11"/>
  <c r="AA178" i="11"/>
  <c r="AA179" i="11"/>
  <c r="AA180" i="11"/>
  <c r="AA181" i="11"/>
  <c r="AA182" i="11"/>
  <c r="AA183" i="11"/>
  <c r="AA160" i="11"/>
  <c r="AA164" i="11"/>
  <c r="AA141" i="11"/>
  <c r="AA125" i="11"/>
  <c r="AA109" i="11"/>
  <c r="AA101" i="11"/>
  <c r="AA152" i="11"/>
  <c r="AA136" i="11"/>
  <c r="AA120" i="11"/>
  <c r="AA96" i="11"/>
  <c r="AA165" i="11"/>
  <c r="AA143" i="11"/>
  <c r="AA127" i="11"/>
  <c r="AA111" i="11"/>
  <c r="AA103" i="11"/>
  <c r="AA154" i="11"/>
  <c r="AA138" i="11"/>
  <c r="AA122" i="11"/>
  <c r="AA98" i="11"/>
  <c r="AA161" i="11"/>
  <c r="AA162" i="11"/>
  <c r="AA175" i="11"/>
  <c r="AA166" i="11"/>
  <c r="AA145" i="11"/>
  <c r="AA168" i="11"/>
  <c r="AA149" i="11"/>
  <c r="AA133" i="11"/>
  <c r="AA117" i="11"/>
  <c r="AA144" i="11"/>
  <c r="AA128" i="11"/>
  <c r="AA112" i="11"/>
  <c r="AA104" i="11"/>
  <c r="AA151" i="11"/>
  <c r="AA135" i="11"/>
  <c r="AA119" i="11"/>
  <c r="AA146" i="11"/>
  <c r="AA130" i="11"/>
  <c r="AA114" i="11"/>
  <c r="AA106" i="11"/>
  <c r="AA163" i="11"/>
  <c r="AA172" i="11"/>
  <c r="AA173" i="11"/>
  <c r="AA153" i="11"/>
  <c r="AA137" i="11"/>
  <c r="AA129" i="11"/>
  <c r="AA113" i="11"/>
  <c r="AA105" i="11"/>
  <c r="AA148" i="11"/>
  <c r="AA132" i="11"/>
  <c r="AA124" i="11"/>
  <c r="AA116" i="11"/>
  <c r="AA155" i="11"/>
  <c r="AA139" i="11"/>
  <c r="AA123" i="11"/>
  <c r="AA107" i="11"/>
  <c r="AA99" i="11"/>
  <c r="AA150" i="11"/>
  <c r="AA134" i="11"/>
  <c r="AA118" i="11"/>
  <c r="AA170" i="11"/>
  <c r="AA159" i="11"/>
  <c r="AA171" i="11"/>
  <c r="AA169" i="11"/>
  <c r="AA121" i="11"/>
  <c r="AA97" i="11"/>
  <c r="AA156" i="11"/>
  <c r="AA140" i="11"/>
  <c r="AA108" i="11"/>
  <c r="AA100" i="11"/>
  <c r="AA167" i="11"/>
  <c r="AA147" i="11"/>
  <c r="AA131" i="11"/>
  <c r="AA115" i="11"/>
  <c r="AA142" i="11"/>
  <c r="AA126" i="11"/>
  <c r="AA110" i="11"/>
  <c r="AA102" i="11"/>
  <c r="AA157" i="11"/>
  <c r="AA158" i="11"/>
  <c r="AA174" i="11"/>
  <c r="X176" i="11"/>
  <c r="X177" i="11"/>
  <c r="X178" i="11"/>
  <c r="X179" i="11"/>
  <c r="X180" i="11"/>
  <c r="X181" i="11"/>
  <c r="X182" i="11"/>
  <c r="X183" i="11"/>
  <c r="X164" i="11"/>
  <c r="X161" i="11"/>
  <c r="X162" i="11"/>
  <c r="X175" i="11"/>
  <c r="X173" i="11"/>
  <c r="X166" i="11"/>
  <c r="X160" i="11"/>
  <c r="X168" i="11"/>
  <c r="X165" i="11"/>
  <c r="X163" i="11"/>
  <c r="X172" i="11"/>
  <c r="X171" i="11"/>
  <c r="X174" i="11"/>
  <c r="X169" i="11"/>
  <c r="X156" i="11"/>
  <c r="X167" i="11"/>
  <c r="X170" i="11"/>
  <c r="X157" i="11"/>
  <c r="X158" i="11"/>
  <c r="X159" i="11"/>
  <c r="H176" i="11"/>
  <c r="H177" i="11"/>
  <c r="H178" i="11"/>
  <c r="H179" i="11"/>
  <c r="H180" i="11"/>
  <c r="H181" i="11"/>
  <c r="H182" i="11"/>
  <c r="H183" i="11"/>
  <c r="H164" i="11"/>
  <c r="H141" i="11"/>
  <c r="H125" i="11"/>
  <c r="H109" i="11"/>
  <c r="H152" i="11"/>
  <c r="H136" i="11"/>
  <c r="H120" i="11"/>
  <c r="H104" i="11"/>
  <c r="H143" i="11"/>
  <c r="H127" i="11"/>
  <c r="H111" i="11"/>
  <c r="H154" i="11"/>
  <c r="H138" i="11"/>
  <c r="H122" i="11"/>
  <c r="H106" i="11"/>
  <c r="H161" i="11"/>
  <c r="H162" i="11"/>
  <c r="H175" i="11"/>
  <c r="H173" i="11"/>
  <c r="H166" i="11"/>
  <c r="H145" i="11"/>
  <c r="H160" i="11"/>
  <c r="H168" i="11"/>
  <c r="H149" i="11"/>
  <c r="H133" i="11"/>
  <c r="H117" i="11"/>
  <c r="H101" i="11"/>
  <c r="H144" i="11"/>
  <c r="H128" i="11"/>
  <c r="H112" i="11"/>
  <c r="H96" i="11"/>
  <c r="H165" i="11"/>
  <c r="H151" i="11"/>
  <c r="H135" i="11"/>
  <c r="H119" i="11"/>
  <c r="H103" i="11"/>
  <c r="H146" i="11"/>
  <c r="H130" i="11"/>
  <c r="H114" i="11"/>
  <c r="H98" i="11"/>
  <c r="H163" i="11"/>
  <c r="H172" i="11"/>
  <c r="H153" i="11"/>
  <c r="H137" i="11"/>
  <c r="H129" i="11"/>
  <c r="H113" i="11"/>
  <c r="H97" i="11"/>
  <c r="H148" i="11"/>
  <c r="H132" i="11"/>
  <c r="H116" i="11"/>
  <c r="H100" i="11"/>
  <c r="H155" i="11"/>
  <c r="H139" i="11"/>
  <c r="H123" i="11"/>
  <c r="H107" i="11"/>
  <c r="H150" i="11"/>
  <c r="H134" i="11"/>
  <c r="H118" i="11"/>
  <c r="H102" i="11"/>
  <c r="H159" i="11"/>
  <c r="H171" i="11"/>
  <c r="H174" i="11"/>
  <c r="H169" i="11"/>
  <c r="H121" i="11"/>
  <c r="H105" i="11"/>
  <c r="H156" i="11"/>
  <c r="H140" i="11"/>
  <c r="H124" i="11"/>
  <c r="H108" i="11"/>
  <c r="H167" i="11"/>
  <c r="H147" i="11"/>
  <c r="H131" i="11"/>
  <c r="H115" i="11"/>
  <c r="H99" i="11"/>
  <c r="H142" i="11"/>
  <c r="H126" i="11"/>
  <c r="H110" i="11"/>
  <c r="H170" i="11"/>
  <c r="H157" i="11"/>
  <c r="H158" i="11"/>
  <c r="J176" i="11"/>
  <c r="J177" i="11"/>
  <c r="J178" i="11"/>
  <c r="J179" i="11"/>
  <c r="J180" i="11"/>
  <c r="J181" i="11"/>
  <c r="J182" i="11"/>
  <c r="J183" i="11"/>
  <c r="J160" i="11"/>
  <c r="J164" i="11"/>
  <c r="J141" i="11"/>
  <c r="J125" i="11"/>
  <c r="J109" i="11"/>
  <c r="J152" i="11"/>
  <c r="J136" i="11"/>
  <c r="J120" i="11"/>
  <c r="J104" i="11"/>
  <c r="J165" i="11"/>
  <c r="J143" i="11"/>
  <c r="J127" i="11"/>
  <c r="J111" i="11"/>
  <c r="J154" i="11"/>
  <c r="J138" i="11"/>
  <c r="J122" i="11"/>
  <c r="J106" i="11"/>
  <c r="J161" i="11"/>
  <c r="J163" i="11"/>
  <c r="J172" i="11"/>
  <c r="J175" i="11"/>
  <c r="J166" i="11"/>
  <c r="J145" i="11"/>
  <c r="J168" i="11"/>
  <c r="J149" i="11"/>
  <c r="J133" i="11"/>
  <c r="J117" i="11"/>
  <c r="J101" i="11"/>
  <c r="J144" i="11"/>
  <c r="J128" i="11"/>
  <c r="J112" i="11"/>
  <c r="J96" i="11"/>
  <c r="J151" i="11"/>
  <c r="J135" i="11"/>
  <c r="J119" i="11"/>
  <c r="J103" i="11"/>
  <c r="J146" i="11"/>
  <c r="J130" i="11"/>
  <c r="J114" i="11"/>
  <c r="J98" i="11"/>
  <c r="J162" i="11"/>
  <c r="J173" i="11"/>
  <c r="J153" i="11"/>
  <c r="J129" i="11"/>
  <c r="J113" i="11"/>
  <c r="J97" i="11"/>
  <c r="J148" i="11"/>
  <c r="J132" i="11"/>
  <c r="J116" i="11"/>
  <c r="J100" i="11"/>
  <c r="J139" i="11"/>
  <c r="J123" i="11"/>
  <c r="J107" i="11"/>
  <c r="J150" i="11"/>
  <c r="J134" i="11"/>
  <c r="J118" i="11"/>
  <c r="J102" i="11"/>
  <c r="J170" i="11"/>
  <c r="J158" i="11"/>
  <c r="J169" i="11"/>
  <c r="J174" i="11"/>
  <c r="J171" i="11"/>
  <c r="J137" i="11"/>
  <c r="J121" i="11"/>
  <c r="J105" i="11"/>
  <c r="J156" i="11"/>
  <c r="J140" i="11"/>
  <c r="J124" i="11"/>
  <c r="J108" i="11"/>
  <c r="J167" i="11"/>
  <c r="J155" i="11"/>
  <c r="J147" i="11"/>
  <c r="J131" i="11"/>
  <c r="J115" i="11"/>
  <c r="J99" i="11"/>
  <c r="J142" i="11"/>
  <c r="J126" i="11"/>
  <c r="J110" i="11"/>
  <c r="J157" i="11"/>
  <c r="J159" i="11"/>
  <c r="Y176" i="11"/>
  <c r="Y177" i="11"/>
  <c r="Y178" i="11"/>
  <c r="Y179" i="11"/>
  <c r="Y180" i="11"/>
  <c r="Y181" i="11"/>
  <c r="Y182" i="11"/>
  <c r="Y183" i="11"/>
  <c r="Y168" i="11"/>
  <c r="Y163" i="11"/>
  <c r="Y172" i="11"/>
  <c r="Y173" i="11"/>
  <c r="Y160" i="11"/>
  <c r="Y164" i="11"/>
  <c r="Y165" i="11"/>
  <c r="Y161" i="11"/>
  <c r="Y162" i="11"/>
  <c r="Y175" i="11"/>
  <c r="Y166" i="11"/>
  <c r="Y156" i="11"/>
  <c r="Y167" i="11"/>
  <c r="Y157" i="11"/>
  <c r="Y158" i="11"/>
  <c r="Y169" i="11"/>
  <c r="Y171" i="11"/>
  <c r="Y159" i="11"/>
  <c r="Y174" i="11"/>
  <c r="Y170" i="11"/>
  <c r="H195" i="24"/>
  <c r="H194" i="24"/>
  <c r="H193" i="24"/>
  <c r="H191" i="24"/>
  <c r="H187" i="24"/>
  <c r="H183" i="24"/>
  <c r="H179" i="24"/>
  <c r="H189" i="24"/>
  <c r="H185" i="24"/>
  <c r="H181" i="24"/>
  <c r="H192" i="24"/>
  <c r="H177" i="24"/>
  <c r="H190" i="24"/>
  <c r="H188" i="24"/>
  <c r="H186" i="24"/>
  <c r="H184" i="24"/>
  <c r="H182" i="24"/>
  <c r="H180" i="24"/>
  <c r="H178" i="24"/>
  <c r="H176" i="24"/>
  <c r="H170" i="24"/>
  <c r="H169" i="24"/>
  <c r="H168" i="24"/>
  <c r="H174" i="24"/>
  <c r="H173" i="24"/>
  <c r="H175" i="24"/>
  <c r="H171" i="24"/>
  <c r="H172" i="24"/>
  <c r="H110" i="24"/>
  <c r="H139" i="24"/>
  <c r="H103" i="24"/>
  <c r="H132" i="24"/>
  <c r="H102" i="24"/>
  <c r="H135" i="24"/>
  <c r="H99" i="24"/>
  <c r="H136" i="24"/>
  <c r="H108" i="24"/>
  <c r="H137" i="24"/>
  <c r="H159" i="24"/>
  <c r="H101" i="24"/>
  <c r="H138" i="24"/>
  <c r="H97" i="24"/>
  <c r="H128" i="24"/>
  <c r="H157" i="24"/>
  <c r="H105" i="24"/>
  <c r="H134" i="24"/>
  <c r="H114" i="24"/>
  <c r="H96" i="24"/>
  <c r="H156" i="24"/>
  <c r="H161" i="24"/>
  <c r="H144" i="24"/>
  <c r="H124" i="24"/>
  <c r="H109" i="24"/>
  <c r="H120" i="24"/>
  <c r="H129" i="24"/>
  <c r="H126" i="24"/>
  <c r="H143" i="24"/>
  <c r="H158" i="24"/>
  <c r="H166" i="24"/>
  <c r="H131" i="24"/>
  <c r="H111" i="24"/>
  <c r="H164" i="24"/>
  <c r="H125" i="24"/>
  <c r="H113" i="24"/>
  <c r="H163" i="24"/>
  <c r="H118" i="24"/>
  <c r="H155" i="24"/>
  <c r="H119" i="24"/>
  <c r="H148" i="24"/>
  <c r="H122" i="24"/>
  <c r="H151" i="24"/>
  <c r="H115" i="24"/>
  <c r="H152" i="24"/>
  <c r="H116" i="24"/>
  <c r="H153" i="24"/>
  <c r="H162" i="24"/>
  <c r="H117" i="24"/>
  <c r="H154" i="24"/>
  <c r="H100" i="24"/>
  <c r="H141" i="24"/>
  <c r="H98" i="24"/>
  <c r="H121" i="24"/>
  <c r="H150" i="24"/>
  <c r="H147" i="24"/>
  <c r="H127" i="24"/>
  <c r="H130" i="24"/>
  <c r="H107" i="24"/>
  <c r="H104" i="24"/>
  <c r="H165" i="24"/>
  <c r="H146" i="24"/>
  <c r="H149" i="24"/>
  <c r="H160" i="24"/>
  <c r="H140" i="24"/>
  <c r="H123" i="24"/>
  <c r="H145" i="24"/>
  <c r="H142" i="24"/>
  <c r="H167" i="24"/>
  <c r="H106" i="24"/>
  <c r="H112" i="24"/>
  <c r="H133" i="24"/>
  <c r="X195" i="24"/>
  <c r="X194" i="24"/>
  <c r="X193" i="24"/>
  <c r="X191" i="24"/>
  <c r="X187" i="24"/>
  <c r="X183" i="24"/>
  <c r="X179" i="24"/>
  <c r="X189" i="24"/>
  <c r="X185" i="24"/>
  <c r="X181" i="24"/>
  <c r="X192" i="24"/>
  <c r="X177" i="24"/>
  <c r="X190" i="24"/>
  <c r="X188" i="24"/>
  <c r="X186" i="24"/>
  <c r="X184" i="24"/>
  <c r="X182" i="24"/>
  <c r="X180" i="24"/>
  <c r="X178" i="24"/>
  <c r="X176" i="24"/>
  <c r="X121" i="24"/>
  <c r="X170" i="24"/>
  <c r="X166" i="24"/>
  <c r="X159" i="24"/>
  <c r="X133" i="24"/>
  <c r="X156" i="24"/>
  <c r="X134" i="24"/>
  <c r="X157" i="24"/>
  <c r="X173" i="24"/>
  <c r="X115" i="24"/>
  <c r="X119" i="24"/>
  <c r="X123" i="24"/>
  <c r="X142" i="24"/>
  <c r="X169" i="24"/>
  <c r="X168" i="24"/>
  <c r="X138" i="24"/>
  <c r="X164" i="24"/>
  <c r="X172" i="24"/>
  <c r="X105" i="24"/>
  <c r="X154" i="24"/>
  <c r="X162" i="24"/>
  <c r="X139" i="24"/>
  <c r="X175" i="24"/>
  <c r="X158" i="24"/>
  <c r="X174" i="24"/>
  <c r="X163" i="24"/>
  <c r="X171" i="24"/>
  <c r="X167" i="24"/>
  <c r="X140" i="24"/>
  <c r="X124" i="24"/>
  <c r="X165" i="24"/>
  <c r="X126" i="24"/>
  <c r="X160" i="24"/>
  <c r="X144" i="24"/>
  <c r="X161" i="24"/>
  <c r="K194" i="24"/>
  <c r="K187" i="24"/>
  <c r="K183" i="24"/>
  <c r="K179" i="24"/>
  <c r="K195" i="24"/>
  <c r="K193" i="24"/>
  <c r="K191" i="24"/>
  <c r="K189" i="24"/>
  <c r="K185" i="24"/>
  <c r="K181" i="24"/>
  <c r="K192" i="24"/>
  <c r="K190" i="24"/>
  <c r="K188" i="24"/>
  <c r="K186" i="24"/>
  <c r="K184" i="24"/>
  <c r="K182" i="24"/>
  <c r="K180" i="24"/>
  <c r="K176" i="24"/>
  <c r="K177" i="24"/>
  <c r="K178" i="24"/>
  <c r="K170" i="24"/>
  <c r="K173" i="24"/>
  <c r="K171" i="24"/>
  <c r="K169" i="24"/>
  <c r="K174" i="24"/>
  <c r="K172" i="24"/>
  <c r="K168" i="24"/>
  <c r="K175" i="24"/>
  <c r="K106" i="24"/>
  <c r="K143" i="24"/>
  <c r="K107" i="24"/>
  <c r="K144" i="24"/>
  <c r="K110" i="24"/>
  <c r="K139" i="24"/>
  <c r="K103" i="24"/>
  <c r="K132" i="24"/>
  <c r="K97" i="24"/>
  <c r="K128" i="24"/>
  <c r="K157" i="24"/>
  <c r="K113" i="24"/>
  <c r="K142" i="24"/>
  <c r="K108" i="24"/>
  <c r="K137" i="24"/>
  <c r="K159" i="24"/>
  <c r="K109" i="24"/>
  <c r="K146" i="24"/>
  <c r="K163" i="24"/>
  <c r="K151" i="24"/>
  <c r="K152" i="24"/>
  <c r="K167" i="24"/>
  <c r="K127" i="24"/>
  <c r="K133" i="24"/>
  <c r="K134" i="24"/>
  <c r="K124" i="24"/>
  <c r="K117" i="24"/>
  <c r="K102" i="24"/>
  <c r="K99" i="24"/>
  <c r="K114" i="24"/>
  <c r="K111" i="24"/>
  <c r="K120" i="24"/>
  <c r="K121" i="24"/>
  <c r="K158" i="24"/>
  <c r="K145" i="24"/>
  <c r="K138" i="24"/>
  <c r="K131" i="24"/>
  <c r="K130" i="24"/>
  <c r="K161" i="24"/>
  <c r="K123" i="24"/>
  <c r="K164" i="24"/>
  <c r="K118" i="24"/>
  <c r="K155" i="24"/>
  <c r="K119" i="24"/>
  <c r="K148" i="24"/>
  <c r="K100" i="24"/>
  <c r="K141" i="24"/>
  <c r="K98" i="24"/>
  <c r="K129" i="24"/>
  <c r="K160" i="24"/>
  <c r="K116" i="24"/>
  <c r="K153" i="24"/>
  <c r="K162" i="24"/>
  <c r="K125" i="24"/>
  <c r="K166" i="24"/>
  <c r="K122" i="24"/>
  <c r="K115" i="24"/>
  <c r="K126" i="24"/>
  <c r="K96" i="24"/>
  <c r="K156" i="24"/>
  <c r="K105" i="24"/>
  <c r="K104" i="24"/>
  <c r="K165" i="24"/>
  <c r="K154" i="24"/>
  <c r="K135" i="24"/>
  <c r="K136" i="24"/>
  <c r="K147" i="24"/>
  <c r="K140" i="24"/>
  <c r="K149" i="24"/>
  <c r="K150" i="24"/>
  <c r="K112" i="24"/>
  <c r="K101" i="24"/>
  <c r="Y195" i="24"/>
  <c r="Y193" i="24"/>
  <c r="Y191" i="24"/>
  <c r="Y189" i="24"/>
  <c r="Y185" i="24"/>
  <c r="Y181" i="24"/>
  <c r="Y194" i="24"/>
  <c r="Y187" i="24"/>
  <c r="Y183" i="24"/>
  <c r="Y179" i="24"/>
  <c r="Y177" i="24"/>
  <c r="Y192" i="24"/>
  <c r="Y190" i="24"/>
  <c r="Y188" i="24"/>
  <c r="Y186" i="24"/>
  <c r="Y184" i="24"/>
  <c r="Y182" i="24"/>
  <c r="Y180" i="24"/>
  <c r="Y178" i="24"/>
  <c r="Y176" i="24"/>
  <c r="Y131" i="24"/>
  <c r="Y153" i="24"/>
  <c r="Y123" i="24"/>
  <c r="Y110" i="24"/>
  <c r="Y151" i="24"/>
  <c r="Y106" i="24"/>
  <c r="Y132" i="24"/>
  <c r="Y152" i="24"/>
  <c r="Y161" i="24"/>
  <c r="Y97" i="24"/>
  <c r="Y125" i="24"/>
  <c r="Y128" i="24"/>
  <c r="Y100" i="24"/>
  <c r="Y96" i="24"/>
  <c r="Y126" i="24"/>
  <c r="Y135" i="24"/>
  <c r="Y140" i="24"/>
  <c r="Y147" i="24"/>
  <c r="Y136" i="24"/>
  <c r="Y141" i="24"/>
  <c r="Y150" i="24"/>
  <c r="Y137" i="24"/>
  <c r="Y154" i="24"/>
  <c r="Y116" i="24"/>
  <c r="Y122" i="24"/>
  <c r="Y143" i="24"/>
  <c r="Y148" i="24"/>
  <c r="Y111" i="24"/>
  <c r="Y120" i="24"/>
  <c r="Y105" i="24"/>
  <c r="Y158" i="24"/>
  <c r="Y167" i="24"/>
  <c r="Y118" i="24"/>
  <c r="Y165" i="24"/>
  <c r="Y168" i="24"/>
  <c r="Y173" i="24"/>
  <c r="Y175" i="24"/>
  <c r="Y169" i="24"/>
  <c r="Y139" i="24"/>
  <c r="Y129" i="24"/>
  <c r="Y172" i="24"/>
  <c r="Y134" i="24"/>
  <c r="Y113" i="24"/>
  <c r="Y149" i="24"/>
  <c r="Y159" i="24"/>
  <c r="Y130" i="24"/>
  <c r="Y124" i="24"/>
  <c r="Y164" i="24"/>
  <c r="Y145" i="24"/>
  <c r="Y109" i="24"/>
  <c r="Y146" i="24"/>
  <c r="Y127" i="24"/>
  <c r="Y99" i="24"/>
  <c r="Y102" i="24"/>
  <c r="Y107" i="24"/>
  <c r="Y114" i="24"/>
  <c r="Y103" i="24"/>
  <c r="Y108" i="24"/>
  <c r="Y162" i="24"/>
  <c r="Y117" i="24"/>
  <c r="Y104" i="24"/>
  <c r="Y121" i="24"/>
  <c r="Y144" i="24"/>
  <c r="Y115" i="24"/>
  <c r="Y155" i="24"/>
  <c r="Y138" i="24"/>
  <c r="Y101" i="24"/>
  <c r="Y157" i="24"/>
  <c r="Y119" i="24"/>
  <c r="Y156" i="24"/>
  <c r="Y163" i="24"/>
  <c r="Y142" i="24"/>
  <c r="Y166" i="24"/>
  <c r="Y174" i="24"/>
  <c r="Y98" i="24"/>
  <c r="Y112" i="24"/>
  <c r="Y171" i="24"/>
  <c r="Y170" i="24"/>
  <c r="Y160" i="24"/>
  <c r="R189" i="24"/>
  <c r="R185" i="24"/>
  <c r="R181" i="24"/>
  <c r="R195" i="24"/>
  <c r="R194" i="24"/>
  <c r="R193" i="24"/>
  <c r="R191" i="24"/>
  <c r="R187" i="24"/>
  <c r="R183" i="24"/>
  <c r="R179" i="24"/>
  <c r="R177" i="24"/>
  <c r="R190" i="24"/>
  <c r="R188" i="24"/>
  <c r="R186" i="24"/>
  <c r="R184" i="24"/>
  <c r="R182" i="24"/>
  <c r="R180" i="24"/>
  <c r="R178" i="24"/>
  <c r="R176" i="24"/>
  <c r="R192" i="24"/>
  <c r="R164" i="24"/>
  <c r="R163" i="24"/>
  <c r="R167" i="24"/>
  <c r="R160" i="24"/>
  <c r="R157" i="24"/>
  <c r="R165" i="24"/>
  <c r="R158" i="24"/>
  <c r="R161" i="24"/>
  <c r="R168" i="24"/>
  <c r="R171" i="24"/>
  <c r="R173" i="24"/>
  <c r="R174" i="24"/>
  <c r="R172" i="24"/>
  <c r="R162" i="24"/>
  <c r="R156" i="24"/>
  <c r="R159" i="24"/>
  <c r="R166" i="24"/>
  <c r="R175" i="24"/>
  <c r="R170" i="24"/>
  <c r="R169" i="24"/>
  <c r="S194" i="24"/>
  <c r="S187" i="24"/>
  <c r="S183" i="24"/>
  <c r="S179" i="24"/>
  <c r="S195" i="24"/>
  <c r="S193" i="24"/>
  <c r="S191" i="24"/>
  <c r="S189" i="24"/>
  <c r="S185" i="24"/>
  <c r="S181" i="24"/>
  <c r="S192" i="24"/>
  <c r="S190" i="24"/>
  <c r="S188" i="24"/>
  <c r="S186" i="24"/>
  <c r="S184" i="24"/>
  <c r="S182" i="24"/>
  <c r="S180" i="24"/>
  <c r="S176" i="24"/>
  <c r="S177" i="24"/>
  <c r="S178" i="24"/>
  <c r="S153" i="24"/>
  <c r="S172" i="24"/>
  <c r="S168" i="24"/>
  <c r="S126" i="24"/>
  <c r="S171" i="24"/>
  <c r="S138" i="24"/>
  <c r="S116" i="24"/>
  <c r="S169" i="24"/>
  <c r="S133" i="24"/>
  <c r="S140" i="24"/>
  <c r="S174" i="24"/>
  <c r="S107" i="24"/>
  <c r="S117" i="24"/>
  <c r="S137" i="24"/>
  <c r="S160" i="24"/>
  <c r="S149" i="24"/>
  <c r="S156" i="24"/>
  <c r="S147" i="24"/>
  <c r="S164" i="24"/>
  <c r="S143" i="24"/>
  <c r="S163" i="24"/>
  <c r="S166" i="24"/>
  <c r="S125" i="24"/>
  <c r="S159" i="24"/>
  <c r="S145" i="24"/>
  <c r="S112" i="24"/>
  <c r="S97" i="24"/>
  <c r="S134" i="24"/>
  <c r="S105" i="24"/>
  <c r="S141" i="24"/>
  <c r="S100" i="24"/>
  <c r="S132" i="24"/>
  <c r="S103" i="24"/>
  <c r="S139" i="24"/>
  <c r="S110" i="24"/>
  <c r="S136" i="24"/>
  <c r="S99" i="24"/>
  <c r="S151" i="24"/>
  <c r="S122" i="24"/>
  <c r="S131" i="24"/>
  <c r="S101" i="24"/>
  <c r="S158" i="24"/>
  <c r="S142" i="24"/>
  <c r="S111" i="24"/>
  <c r="S144" i="24"/>
  <c r="S130" i="24"/>
  <c r="S98" i="24"/>
  <c r="S175" i="24"/>
  <c r="S113" i="24"/>
  <c r="S173" i="24"/>
  <c r="S167" i="24"/>
  <c r="S170" i="24"/>
  <c r="S161" i="24"/>
  <c r="S154" i="24"/>
  <c r="S162" i="24"/>
  <c r="S108" i="24"/>
  <c r="S129" i="24"/>
  <c r="S120" i="24"/>
  <c r="S127" i="24"/>
  <c r="S114" i="24"/>
  <c r="S123" i="24"/>
  <c r="S106" i="24"/>
  <c r="S146" i="24"/>
  <c r="S109" i="24"/>
  <c r="S165" i="24"/>
  <c r="S124" i="24"/>
  <c r="S104" i="24"/>
  <c r="S150" i="24"/>
  <c r="S121" i="24"/>
  <c r="S157" i="24"/>
  <c r="S128" i="24"/>
  <c r="S148" i="24"/>
  <c r="S119" i="24"/>
  <c r="S155" i="24"/>
  <c r="S118" i="24"/>
  <c r="S152" i="24"/>
  <c r="S115" i="24"/>
  <c r="S96" i="24"/>
  <c r="S135" i="24"/>
  <c r="S102" i="24"/>
  <c r="T195" i="24"/>
  <c r="T194" i="24"/>
  <c r="T193" i="24"/>
  <c r="T191" i="24"/>
  <c r="T187" i="24"/>
  <c r="T183" i="24"/>
  <c r="T179" i="24"/>
  <c r="T189" i="24"/>
  <c r="T185" i="24"/>
  <c r="T181" i="24"/>
  <c r="T192" i="24"/>
  <c r="T177" i="24"/>
  <c r="T190" i="24"/>
  <c r="T188" i="24"/>
  <c r="T186" i="24"/>
  <c r="T184" i="24"/>
  <c r="T182" i="24"/>
  <c r="T180" i="24"/>
  <c r="T178" i="24"/>
  <c r="T176" i="24"/>
  <c r="T121" i="24"/>
  <c r="T156" i="24"/>
  <c r="T163" i="24"/>
  <c r="T174" i="24"/>
  <c r="T143" i="24"/>
  <c r="T125" i="24"/>
  <c r="T113" i="24"/>
  <c r="T167" i="24"/>
  <c r="T166" i="24"/>
  <c r="T161" i="24"/>
  <c r="T136" i="24"/>
  <c r="T170" i="24"/>
  <c r="T158" i="24"/>
  <c r="T145" i="24"/>
  <c r="T117" i="24"/>
  <c r="T168" i="24"/>
  <c r="T131" i="24"/>
  <c r="T123" i="24"/>
  <c r="T124" i="24"/>
  <c r="T175" i="24"/>
  <c r="T165" i="24"/>
  <c r="T150" i="24"/>
  <c r="T110" i="24"/>
  <c r="T159" i="24"/>
  <c r="T173" i="24"/>
  <c r="T119" i="24"/>
  <c r="T157" i="24"/>
  <c r="T171" i="24"/>
  <c r="T140" i="24"/>
  <c r="T120" i="24"/>
  <c r="T105" i="24"/>
  <c r="T172" i="24"/>
  <c r="T162" i="24"/>
  <c r="T169" i="24"/>
  <c r="T122" i="24"/>
  <c r="T164" i="24"/>
  <c r="T103" i="24"/>
  <c r="T160" i="24"/>
  <c r="T132" i="24"/>
  <c r="T100" i="24"/>
  <c r="U195" i="24"/>
  <c r="U193" i="24"/>
  <c r="U191" i="24"/>
  <c r="U189" i="24"/>
  <c r="U185" i="24"/>
  <c r="U181" i="24"/>
  <c r="U194" i="24"/>
  <c r="U187" i="24"/>
  <c r="U183" i="24"/>
  <c r="U177" i="24"/>
  <c r="U179" i="24"/>
  <c r="U192" i="24"/>
  <c r="U190" i="24"/>
  <c r="U188" i="24"/>
  <c r="U186" i="24"/>
  <c r="U184" i="24"/>
  <c r="U182" i="24"/>
  <c r="U180" i="24"/>
  <c r="U178" i="24"/>
  <c r="U176" i="24"/>
  <c r="U170" i="24"/>
  <c r="U174" i="24"/>
  <c r="U173" i="24"/>
  <c r="U169" i="24"/>
  <c r="U168" i="24"/>
  <c r="U172" i="24"/>
  <c r="U171" i="24"/>
  <c r="U175" i="24"/>
  <c r="U114" i="24"/>
  <c r="U147" i="24"/>
  <c r="U103" i="24"/>
  <c r="U136" i="24"/>
  <c r="U102" i="24"/>
  <c r="U135" i="24"/>
  <c r="U107" i="24"/>
  <c r="U140" i="24"/>
  <c r="U97" i="24"/>
  <c r="U120" i="24"/>
  <c r="U153" i="24"/>
  <c r="U117" i="24"/>
  <c r="U150" i="24"/>
  <c r="U108" i="24"/>
  <c r="U141" i="24"/>
  <c r="U159" i="24"/>
  <c r="U105" i="24"/>
  <c r="U138" i="24"/>
  <c r="U163" i="24"/>
  <c r="U155" i="24"/>
  <c r="U127" i="24"/>
  <c r="U110" i="24"/>
  <c r="U99" i="24"/>
  <c r="U128" i="24"/>
  <c r="U109" i="24"/>
  <c r="U100" i="24"/>
  <c r="U98" i="24"/>
  <c r="U146" i="24"/>
  <c r="U139" i="24"/>
  <c r="U144" i="24"/>
  <c r="U161" i="24"/>
  <c r="U148" i="24"/>
  <c r="U145" i="24"/>
  <c r="U160" i="24"/>
  <c r="U149" i="24"/>
  <c r="U166" i="24"/>
  <c r="U131" i="24"/>
  <c r="U130" i="24"/>
  <c r="U167" i="24"/>
  <c r="U119" i="24"/>
  <c r="U152" i="24"/>
  <c r="U118" i="24"/>
  <c r="U151" i="24"/>
  <c r="U123" i="24"/>
  <c r="U156" i="24"/>
  <c r="U104" i="24"/>
  <c r="U137" i="24"/>
  <c r="U101" i="24"/>
  <c r="U134" i="24"/>
  <c r="U158" i="24"/>
  <c r="U124" i="24"/>
  <c r="U157" i="24"/>
  <c r="U162" i="24"/>
  <c r="U121" i="24"/>
  <c r="U154" i="24"/>
  <c r="U122" i="24"/>
  <c r="U96" i="24"/>
  <c r="U164" i="24"/>
  <c r="U143" i="24"/>
  <c r="U132" i="24"/>
  <c r="U165" i="24"/>
  <c r="U142" i="24"/>
  <c r="U133" i="24"/>
  <c r="U113" i="24"/>
  <c r="U106" i="24"/>
  <c r="U111" i="24"/>
  <c r="U126" i="24"/>
  <c r="U115" i="24"/>
  <c r="U112" i="24"/>
  <c r="U125" i="24"/>
  <c r="U116" i="24"/>
  <c r="U129" i="24"/>
  <c r="N189" i="24"/>
  <c r="N185" i="24"/>
  <c r="N181" i="24"/>
  <c r="N195" i="24"/>
  <c r="N194" i="24"/>
  <c r="N193" i="24"/>
  <c r="N191" i="24"/>
  <c r="N187" i="24"/>
  <c r="N183" i="24"/>
  <c r="N177" i="24"/>
  <c r="N190" i="24"/>
  <c r="N188" i="24"/>
  <c r="N186" i="24"/>
  <c r="N184" i="24"/>
  <c r="N182" i="24"/>
  <c r="N180" i="24"/>
  <c r="N178" i="24"/>
  <c r="N176" i="24"/>
  <c r="N179" i="24"/>
  <c r="N192" i="24"/>
  <c r="N164" i="24"/>
  <c r="N154" i="24"/>
  <c r="N143" i="24"/>
  <c r="N162" i="24"/>
  <c r="N140" i="24"/>
  <c r="N131" i="24"/>
  <c r="N97" i="24"/>
  <c r="N163" i="24"/>
  <c r="N146" i="24"/>
  <c r="N109" i="24"/>
  <c r="N158" i="24"/>
  <c r="N115" i="24"/>
  <c r="N96" i="24"/>
  <c r="N100" i="24"/>
  <c r="N98" i="24"/>
  <c r="N150" i="24"/>
  <c r="N145" i="24"/>
  <c r="N101" i="24"/>
  <c r="N166" i="24"/>
  <c r="N113" i="24"/>
  <c r="N110" i="24"/>
  <c r="N102" i="24"/>
  <c r="N148" i="24"/>
  <c r="N147" i="24"/>
  <c r="N144" i="24"/>
  <c r="N106" i="24"/>
  <c r="N123" i="24"/>
  <c r="N132" i="24"/>
  <c r="N122" i="24"/>
  <c r="N111" i="24"/>
  <c r="N108" i="24"/>
  <c r="N117" i="24"/>
  <c r="N104" i="24"/>
  <c r="N155" i="24"/>
  <c r="N130" i="24"/>
  <c r="N174" i="24"/>
  <c r="N175" i="24"/>
  <c r="N136" i="24"/>
  <c r="N173" i="24"/>
  <c r="N116" i="24"/>
  <c r="N103" i="24"/>
  <c r="N151" i="24"/>
  <c r="N133" i="24"/>
  <c r="N167" i="24"/>
  <c r="N105" i="24"/>
  <c r="N157" i="24"/>
  <c r="N125" i="24"/>
  <c r="N124" i="24"/>
  <c r="N156" i="24"/>
  <c r="N128" i="24"/>
  <c r="N160" i="24"/>
  <c r="N153" i="24"/>
  <c r="N139" i="24"/>
  <c r="N118" i="24"/>
  <c r="N127" i="24"/>
  <c r="N149" i="24"/>
  <c r="N121" i="24"/>
  <c r="N112" i="24"/>
  <c r="N159" i="24"/>
  <c r="N138" i="24"/>
  <c r="N137" i="24"/>
  <c r="N141" i="24"/>
  <c r="N161" i="24"/>
  <c r="N135" i="24"/>
  <c r="N119" i="24"/>
  <c r="N114" i="24"/>
  <c r="N107" i="24"/>
  <c r="N126" i="24"/>
  <c r="N120" i="24"/>
  <c r="N99" i="24"/>
  <c r="N142" i="24"/>
  <c r="N165" i="24"/>
  <c r="N134" i="24"/>
  <c r="N152" i="24"/>
  <c r="N129" i="24"/>
  <c r="N170" i="24"/>
  <c r="N168" i="24"/>
  <c r="N169" i="24"/>
  <c r="N171" i="24"/>
  <c r="N172" i="24"/>
  <c r="Z189" i="24"/>
  <c r="Z185" i="24"/>
  <c r="Z181" i="24"/>
  <c r="Z195" i="24"/>
  <c r="Z194" i="24"/>
  <c r="Z193" i="24"/>
  <c r="Z191" i="24"/>
  <c r="Z187" i="24"/>
  <c r="Z183" i="24"/>
  <c r="Z179" i="24"/>
  <c r="Z177" i="24"/>
  <c r="Z190" i="24"/>
  <c r="Z188" i="24"/>
  <c r="Z186" i="24"/>
  <c r="Z184" i="24"/>
  <c r="Z182" i="24"/>
  <c r="Z180" i="24"/>
  <c r="Z178" i="24"/>
  <c r="Z176" i="24"/>
  <c r="Z192" i="24"/>
  <c r="Z167" i="24"/>
  <c r="Z170" i="24"/>
  <c r="Z156" i="24"/>
  <c r="Z160" i="24"/>
  <c r="Z157" i="24"/>
  <c r="Z166" i="24"/>
  <c r="Z164" i="24"/>
  <c r="Z163" i="24"/>
  <c r="Z172" i="24"/>
  <c r="Z175" i="24"/>
  <c r="Z165" i="24"/>
  <c r="Z174" i="24"/>
  <c r="Z159" i="24"/>
  <c r="Z162" i="24"/>
  <c r="Z161" i="24"/>
  <c r="Z158" i="24"/>
  <c r="Z171" i="24"/>
  <c r="Z173" i="24"/>
  <c r="Z168" i="24"/>
  <c r="M190" i="23"/>
  <c r="M186" i="23"/>
  <c r="M182" i="23"/>
  <c r="M178" i="23"/>
  <c r="M192" i="23"/>
  <c r="M188" i="23"/>
  <c r="M184" i="23"/>
  <c r="M180" i="23"/>
  <c r="M176" i="23"/>
  <c r="M195" i="23"/>
  <c r="M194" i="23"/>
  <c r="M193" i="23"/>
  <c r="M191" i="23"/>
  <c r="M189" i="23"/>
  <c r="M187" i="23"/>
  <c r="M185" i="23"/>
  <c r="M183" i="23"/>
  <c r="M181" i="23"/>
  <c r="M179" i="23"/>
  <c r="M177" i="23"/>
  <c r="M165" i="23"/>
  <c r="M167" i="23"/>
  <c r="M156" i="23"/>
  <c r="M173" i="23"/>
  <c r="M168" i="23"/>
  <c r="M158" i="23"/>
  <c r="M161" i="23"/>
  <c r="M170" i="23"/>
  <c r="M175" i="23"/>
  <c r="M162" i="23"/>
  <c r="M159" i="23"/>
  <c r="M160" i="23"/>
  <c r="M174" i="23"/>
  <c r="M169" i="23"/>
  <c r="M157" i="23"/>
  <c r="M164" i="23"/>
  <c r="M163" i="23"/>
  <c r="M166" i="23"/>
  <c r="M171" i="23"/>
  <c r="T192" i="23"/>
  <c r="T188" i="23"/>
  <c r="T184" i="23"/>
  <c r="T180" i="23"/>
  <c r="T190" i="23"/>
  <c r="T186" i="23"/>
  <c r="T182" i="23"/>
  <c r="T176" i="23"/>
  <c r="T194" i="23"/>
  <c r="T178" i="23"/>
  <c r="T195" i="23"/>
  <c r="T193" i="23"/>
  <c r="T191" i="23"/>
  <c r="T189" i="23"/>
  <c r="T187" i="23"/>
  <c r="T185" i="23"/>
  <c r="T183" i="23"/>
  <c r="T181" i="23"/>
  <c r="T179" i="23"/>
  <c r="T177" i="23"/>
  <c r="T162" i="23"/>
  <c r="T132" i="23"/>
  <c r="T116" i="23"/>
  <c r="T114" i="23"/>
  <c r="T125" i="23"/>
  <c r="T98" i="23"/>
  <c r="T109" i="23"/>
  <c r="T135" i="23"/>
  <c r="T151" i="23"/>
  <c r="T167" i="23"/>
  <c r="T120" i="23"/>
  <c r="T99" i="23"/>
  <c r="T115" i="23"/>
  <c r="T142" i="23"/>
  <c r="T152" i="23"/>
  <c r="T169" i="23"/>
  <c r="T104" i="23"/>
  <c r="T105" i="23"/>
  <c r="T131" i="23"/>
  <c r="T168" i="23"/>
  <c r="T158" i="23"/>
  <c r="T157" i="23"/>
  <c r="T140" i="23"/>
  <c r="T127" i="23"/>
  <c r="T164" i="23"/>
  <c r="T144" i="23"/>
  <c r="T123" i="23"/>
  <c r="T166" i="23"/>
  <c r="T175" i="23"/>
  <c r="T106" i="23"/>
  <c r="T117" i="23"/>
  <c r="T143" i="23"/>
  <c r="T153" i="23"/>
  <c r="T97" i="23"/>
  <c r="T161" i="23"/>
  <c r="T102" i="23"/>
  <c r="T112" i="23"/>
  <c r="T139" i="23"/>
  <c r="T149" i="23"/>
  <c r="T171" i="23"/>
  <c r="T101" i="23"/>
  <c r="T165" i="23"/>
  <c r="T150" i="23"/>
  <c r="T119" i="23"/>
  <c r="T146" i="23"/>
  <c r="T103" i="23"/>
  <c r="T130" i="23"/>
  <c r="T141" i="23"/>
  <c r="T156" i="23"/>
  <c r="T159" i="23"/>
  <c r="T154" i="23"/>
  <c r="T110" i="23"/>
  <c r="T121" i="23"/>
  <c r="T147" i="23"/>
  <c r="T160" i="23"/>
  <c r="T173" i="23"/>
  <c r="T136" i="23"/>
  <c r="T126" i="23"/>
  <c r="T137" i="23"/>
  <c r="T174" i="23"/>
  <c r="T124" i="23"/>
  <c r="T108" i="23"/>
  <c r="T122" i="23"/>
  <c r="T133" i="23"/>
  <c r="T113" i="23"/>
  <c r="T118" i="23"/>
  <c r="T129" i="23"/>
  <c r="T170" i="23"/>
  <c r="T100" i="23"/>
  <c r="T111" i="23"/>
  <c r="T138" i="23"/>
  <c r="T148" i="23"/>
  <c r="T163" i="23"/>
  <c r="T128" i="23"/>
  <c r="T96" i="23"/>
  <c r="T107" i="23"/>
  <c r="T134" i="23"/>
  <c r="T145" i="23"/>
  <c r="T155" i="23"/>
  <c r="AA192" i="23"/>
  <c r="AA188" i="23"/>
  <c r="AA184" i="23"/>
  <c r="AA180" i="23"/>
  <c r="AA190" i="23"/>
  <c r="AA186" i="23"/>
  <c r="AA182" i="23"/>
  <c r="AA178" i="23"/>
  <c r="AA176" i="23"/>
  <c r="AA195" i="23"/>
  <c r="AA194" i="23"/>
  <c r="AA193" i="23"/>
  <c r="AA191" i="23"/>
  <c r="AA189" i="23"/>
  <c r="AA187" i="23"/>
  <c r="AA185" i="23"/>
  <c r="AA183" i="23"/>
  <c r="AA181" i="23"/>
  <c r="AA179" i="23"/>
  <c r="AA177" i="23"/>
  <c r="AA116" i="23"/>
  <c r="AA162" i="23"/>
  <c r="AA132" i="23"/>
  <c r="AA114" i="23"/>
  <c r="AA125" i="23"/>
  <c r="AA98" i="23"/>
  <c r="AA109" i="23"/>
  <c r="AA135" i="23"/>
  <c r="AA151" i="23"/>
  <c r="AA167" i="23"/>
  <c r="AA104" i="23"/>
  <c r="AA154" i="23"/>
  <c r="AA110" i="23"/>
  <c r="AA121" i="23"/>
  <c r="AA147" i="23"/>
  <c r="AA160" i="23"/>
  <c r="AA136" i="23"/>
  <c r="AA126" i="23"/>
  <c r="AA137" i="23"/>
  <c r="AA169" i="23"/>
  <c r="AA108" i="23"/>
  <c r="AA158" i="23"/>
  <c r="AA157" i="23"/>
  <c r="AA127" i="23"/>
  <c r="AA164" i="23"/>
  <c r="AA113" i="23"/>
  <c r="AA161" i="23"/>
  <c r="AA118" i="23"/>
  <c r="AA129" i="23"/>
  <c r="AA175" i="23"/>
  <c r="AA106" i="23"/>
  <c r="AA117" i="23"/>
  <c r="AA143" i="23"/>
  <c r="AA153" i="23"/>
  <c r="AA128" i="23"/>
  <c r="AA102" i="23"/>
  <c r="AA134" i="23"/>
  <c r="AA145" i="23"/>
  <c r="AA155" i="23"/>
  <c r="AA171" i="23"/>
  <c r="AA150" i="23"/>
  <c r="AA101" i="23"/>
  <c r="AA165" i="23"/>
  <c r="AA119" i="23"/>
  <c r="AA146" i="23"/>
  <c r="AA103" i="23"/>
  <c r="AA130" i="23"/>
  <c r="AA141" i="23"/>
  <c r="AA156" i="23"/>
  <c r="AA159" i="23"/>
  <c r="AA120" i="23"/>
  <c r="AA99" i="23"/>
  <c r="AA115" i="23"/>
  <c r="AA142" i="23"/>
  <c r="AA152" i="23"/>
  <c r="AA174" i="23"/>
  <c r="AA105" i="23"/>
  <c r="AA131" i="23"/>
  <c r="AA168" i="23"/>
  <c r="AA173" i="23"/>
  <c r="AA140" i="23"/>
  <c r="AA124" i="23"/>
  <c r="AA122" i="23"/>
  <c r="AA133" i="23"/>
  <c r="AA97" i="23"/>
  <c r="AA144" i="23"/>
  <c r="AA112" i="23"/>
  <c r="AA123" i="23"/>
  <c r="AA166" i="23"/>
  <c r="AA100" i="23"/>
  <c r="AA111" i="23"/>
  <c r="AA138" i="23"/>
  <c r="AA148" i="23"/>
  <c r="AA163" i="23"/>
  <c r="AA96" i="23"/>
  <c r="AA107" i="23"/>
  <c r="AA139" i="23"/>
  <c r="AA149" i="23"/>
  <c r="AA170" i="23"/>
  <c r="K192" i="23"/>
  <c r="K188" i="23"/>
  <c r="K184" i="23"/>
  <c r="K180" i="23"/>
  <c r="K190" i="23"/>
  <c r="K186" i="23"/>
  <c r="K182" i="23"/>
  <c r="K178" i="23"/>
  <c r="K176" i="23"/>
  <c r="K195" i="23"/>
  <c r="K194" i="23"/>
  <c r="K193" i="23"/>
  <c r="K191" i="23"/>
  <c r="K189" i="23"/>
  <c r="K187" i="23"/>
  <c r="K185" i="23"/>
  <c r="K183" i="23"/>
  <c r="K179" i="23"/>
  <c r="K181" i="23"/>
  <c r="K177" i="23"/>
  <c r="K116" i="23"/>
  <c r="K162" i="23"/>
  <c r="K132" i="23"/>
  <c r="K114" i="23"/>
  <c r="K125" i="23"/>
  <c r="K98" i="23"/>
  <c r="K109" i="23"/>
  <c r="K135" i="23"/>
  <c r="K151" i="23"/>
  <c r="K167" i="23"/>
  <c r="K104" i="23"/>
  <c r="K154" i="23"/>
  <c r="K110" i="23"/>
  <c r="K121" i="23"/>
  <c r="K147" i="23"/>
  <c r="K160" i="23"/>
  <c r="K136" i="23"/>
  <c r="K126" i="23"/>
  <c r="K137" i="23"/>
  <c r="K169" i="23"/>
  <c r="K108" i="23"/>
  <c r="K158" i="23"/>
  <c r="K157" i="23"/>
  <c r="K127" i="23"/>
  <c r="K164" i="23"/>
  <c r="K113" i="23"/>
  <c r="K161" i="23"/>
  <c r="K118" i="23"/>
  <c r="K129" i="23"/>
  <c r="K175" i="23"/>
  <c r="K106" i="23"/>
  <c r="K117" i="23"/>
  <c r="K143" i="23"/>
  <c r="K153" i="23"/>
  <c r="K128" i="23"/>
  <c r="K102" i="23"/>
  <c r="K134" i="23"/>
  <c r="K145" i="23"/>
  <c r="K155" i="23"/>
  <c r="K171" i="23"/>
  <c r="K150" i="23"/>
  <c r="K101" i="23"/>
  <c r="K165" i="23"/>
  <c r="K119" i="23"/>
  <c r="K146" i="23"/>
  <c r="K103" i="23"/>
  <c r="K130" i="23"/>
  <c r="K141" i="23"/>
  <c r="K156" i="23"/>
  <c r="K159" i="23"/>
  <c r="K120" i="23"/>
  <c r="K99" i="23"/>
  <c r="K115" i="23"/>
  <c r="K142" i="23"/>
  <c r="K152" i="23"/>
  <c r="K174" i="23"/>
  <c r="K105" i="23"/>
  <c r="K131" i="23"/>
  <c r="K168" i="23"/>
  <c r="K173" i="23"/>
  <c r="K140" i="23"/>
  <c r="K124" i="23"/>
  <c r="K122" i="23"/>
  <c r="K133" i="23"/>
  <c r="K97" i="23"/>
  <c r="K144" i="23"/>
  <c r="K112" i="23"/>
  <c r="K123" i="23"/>
  <c r="K166" i="23"/>
  <c r="K100" i="23"/>
  <c r="K111" i="23"/>
  <c r="K138" i="23"/>
  <c r="K148" i="23"/>
  <c r="K163" i="23"/>
  <c r="K96" i="23"/>
  <c r="K107" i="23"/>
  <c r="K139" i="23"/>
  <c r="K149" i="23"/>
  <c r="K170" i="23"/>
  <c r="R190" i="23"/>
  <c r="R186" i="23"/>
  <c r="R182" i="23"/>
  <c r="R192" i="23"/>
  <c r="R188" i="23"/>
  <c r="R184" i="23"/>
  <c r="R180" i="23"/>
  <c r="R178" i="23"/>
  <c r="R195" i="23"/>
  <c r="R193" i="23"/>
  <c r="R191" i="23"/>
  <c r="R189" i="23"/>
  <c r="R187" i="23"/>
  <c r="R185" i="23"/>
  <c r="R183" i="23"/>
  <c r="R181" i="23"/>
  <c r="R177" i="23"/>
  <c r="R176" i="23"/>
  <c r="R194" i="23"/>
  <c r="R179" i="23"/>
  <c r="R162" i="23"/>
  <c r="R132" i="23"/>
  <c r="R116" i="23"/>
  <c r="R98" i="23"/>
  <c r="R114" i="23"/>
  <c r="R125" i="23"/>
  <c r="R167" i="23"/>
  <c r="R130" i="23"/>
  <c r="R141" i="23"/>
  <c r="R156" i="23"/>
  <c r="R120" i="23"/>
  <c r="R110" i="23"/>
  <c r="R121" i="23"/>
  <c r="R147" i="23"/>
  <c r="R168" i="23"/>
  <c r="R173" i="23"/>
  <c r="R104" i="23"/>
  <c r="R99" i="23"/>
  <c r="R126" i="23"/>
  <c r="R137" i="23"/>
  <c r="R158" i="23"/>
  <c r="R157" i="23"/>
  <c r="R140" i="23"/>
  <c r="R122" i="23"/>
  <c r="R133" i="23"/>
  <c r="R144" i="23"/>
  <c r="R102" i="23"/>
  <c r="R118" i="23"/>
  <c r="R129" i="23"/>
  <c r="R106" i="23"/>
  <c r="R117" i="23"/>
  <c r="R143" i="23"/>
  <c r="R153" i="23"/>
  <c r="R163" i="23"/>
  <c r="R128" i="23"/>
  <c r="R107" i="23"/>
  <c r="R139" i="23"/>
  <c r="R149" i="23"/>
  <c r="R166" i="23"/>
  <c r="R175" i="23"/>
  <c r="R101" i="23"/>
  <c r="R165" i="23"/>
  <c r="R150" i="23"/>
  <c r="R103" i="23"/>
  <c r="R119" i="23"/>
  <c r="R146" i="23"/>
  <c r="R109" i="23"/>
  <c r="R135" i="23"/>
  <c r="R151" i="23"/>
  <c r="R159" i="23"/>
  <c r="R154" i="23"/>
  <c r="R115" i="23"/>
  <c r="R142" i="23"/>
  <c r="R152" i="23"/>
  <c r="R169" i="23"/>
  <c r="R174" i="23"/>
  <c r="R136" i="23"/>
  <c r="R105" i="23"/>
  <c r="R131" i="23"/>
  <c r="R160" i="23"/>
  <c r="R124" i="23"/>
  <c r="R108" i="23"/>
  <c r="R100" i="23"/>
  <c r="R127" i="23"/>
  <c r="R113" i="23"/>
  <c r="R96" i="23"/>
  <c r="R112" i="23"/>
  <c r="R123" i="23"/>
  <c r="R170" i="23"/>
  <c r="R111" i="23"/>
  <c r="R138" i="23"/>
  <c r="R148" i="23"/>
  <c r="R164" i="23"/>
  <c r="R97" i="23"/>
  <c r="R161" i="23"/>
  <c r="R134" i="23"/>
  <c r="R145" i="23"/>
  <c r="R155" i="23"/>
  <c r="R171" i="23"/>
  <c r="Y190" i="23"/>
  <c r="Y186" i="23"/>
  <c r="Y182" i="23"/>
  <c r="Y178" i="23"/>
  <c r="Y192" i="23"/>
  <c r="Y188" i="23"/>
  <c r="Y184" i="23"/>
  <c r="Y180" i="23"/>
  <c r="Y176" i="23"/>
  <c r="Y195" i="23"/>
  <c r="Y194" i="23"/>
  <c r="Y193" i="23"/>
  <c r="Y191" i="23"/>
  <c r="Y189" i="23"/>
  <c r="Y187" i="23"/>
  <c r="Y185" i="23"/>
  <c r="Y183" i="23"/>
  <c r="Y181" i="23"/>
  <c r="Y179" i="23"/>
  <c r="Y177" i="23"/>
  <c r="Y162" i="23"/>
  <c r="Y150" i="23"/>
  <c r="Y132" i="23"/>
  <c r="Y103" i="23"/>
  <c r="Y125" i="23"/>
  <c r="Y146" i="23"/>
  <c r="Y159" i="23"/>
  <c r="Y109" i="23"/>
  <c r="Y130" i="23"/>
  <c r="Y151" i="23"/>
  <c r="Y104" i="23"/>
  <c r="Y99" i="23"/>
  <c r="Y121" i="23"/>
  <c r="Y142" i="23"/>
  <c r="Y168" i="23"/>
  <c r="Y120" i="23"/>
  <c r="Y105" i="23"/>
  <c r="Y126" i="23"/>
  <c r="Y147" i="23"/>
  <c r="Y173" i="23"/>
  <c r="Y158" i="23"/>
  <c r="Y140" i="23"/>
  <c r="Y157" i="23"/>
  <c r="Y111" i="23"/>
  <c r="Y133" i="23"/>
  <c r="Y153" i="23"/>
  <c r="Y97" i="23"/>
  <c r="Y161" i="23"/>
  <c r="Y107" i="23"/>
  <c r="Y129" i="23"/>
  <c r="Y149" i="23"/>
  <c r="Y170" i="23"/>
  <c r="Y175" i="23"/>
  <c r="Y117" i="23"/>
  <c r="Y138" i="23"/>
  <c r="Y164" i="23"/>
  <c r="Y144" i="23"/>
  <c r="Y112" i="23"/>
  <c r="Y134" i="23"/>
  <c r="Y155" i="23"/>
  <c r="Y116" i="23"/>
  <c r="Y101" i="23"/>
  <c r="Y165" i="23"/>
  <c r="Y114" i="23"/>
  <c r="Y135" i="23"/>
  <c r="Y156" i="23"/>
  <c r="Y98" i="23"/>
  <c r="Y119" i="23"/>
  <c r="Y141" i="23"/>
  <c r="Y167" i="23"/>
  <c r="Y136" i="23"/>
  <c r="Y110" i="23"/>
  <c r="Y131" i="23"/>
  <c r="Y152" i="23"/>
  <c r="Y169" i="23"/>
  <c r="Y154" i="23"/>
  <c r="Y115" i="23"/>
  <c r="Y137" i="23"/>
  <c r="Y160" i="23"/>
  <c r="Y174" i="23"/>
  <c r="Y108" i="23"/>
  <c r="Y124" i="23"/>
  <c r="Y100" i="23"/>
  <c r="Y122" i="23"/>
  <c r="Y143" i="23"/>
  <c r="Y163" i="23"/>
  <c r="Y128" i="23"/>
  <c r="Y96" i="23"/>
  <c r="Y118" i="23"/>
  <c r="Y139" i="23"/>
  <c r="Y166" i="23"/>
  <c r="Y171" i="23"/>
  <c r="Y106" i="23"/>
  <c r="Y127" i="23"/>
  <c r="Y148" i="23"/>
  <c r="Y113" i="23"/>
  <c r="Y102" i="23"/>
  <c r="Y123" i="23"/>
  <c r="Y145" i="23"/>
  <c r="H192" i="23"/>
  <c r="H188" i="23"/>
  <c r="H184" i="23"/>
  <c r="H180" i="23"/>
  <c r="H190" i="23"/>
  <c r="H186" i="23"/>
  <c r="H182" i="23"/>
  <c r="H176" i="23"/>
  <c r="H194" i="23"/>
  <c r="H178" i="23"/>
  <c r="H195" i="23"/>
  <c r="H193" i="23"/>
  <c r="H191" i="23"/>
  <c r="H189" i="23"/>
  <c r="H187" i="23"/>
  <c r="H185" i="23"/>
  <c r="H183" i="23"/>
  <c r="H181" i="23"/>
  <c r="H179" i="23"/>
  <c r="H177" i="23"/>
  <c r="H162" i="23"/>
  <c r="H165" i="23"/>
  <c r="H156" i="23"/>
  <c r="H159" i="23"/>
  <c r="H174" i="23"/>
  <c r="H160" i="23"/>
  <c r="H173" i="23"/>
  <c r="H157" i="23"/>
  <c r="H163" i="23"/>
  <c r="H170" i="23"/>
  <c r="H167" i="23"/>
  <c r="H168" i="23"/>
  <c r="H169" i="23"/>
  <c r="H158" i="23"/>
  <c r="H161" i="23"/>
  <c r="H171" i="23"/>
  <c r="H164" i="23"/>
  <c r="H166" i="23"/>
  <c r="H175" i="23"/>
  <c r="P192" i="23"/>
  <c r="P188" i="23"/>
  <c r="P184" i="23"/>
  <c r="P180" i="23"/>
  <c r="P190" i="23"/>
  <c r="P186" i="23"/>
  <c r="P182" i="23"/>
  <c r="P176" i="23"/>
  <c r="P194" i="23"/>
  <c r="P178" i="23"/>
  <c r="P195" i="23"/>
  <c r="P193" i="23"/>
  <c r="P191" i="23"/>
  <c r="P189" i="23"/>
  <c r="P187" i="23"/>
  <c r="P185" i="23"/>
  <c r="P183" i="23"/>
  <c r="P181" i="23"/>
  <c r="P179" i="23"/>
  <c r="P177" i="23"/>
  <c r="P150" i="23"/>
  <c r="P101" i="23"/>
  <c r="P165" i="23"/>
  <c r="P103" i="23"/>
  <c r="P130" i="23"/>
  <c r="P141" i="23"/>
  <c r="P156" i="23"/>
  <c r="P159" i="23"/>
  <c r="P119" i="23"/>
  <c r="P146" i="23"/>
  <c r="P120" i="23"/>
  <c r="P105" i="23"/>
  <c r="P131" i="23"/>
  <c r="P168" i="23"/>
  <c r="P136" i="23"/>
  <c r="P110" i="23"/>
  <c r="P121" i="23"/>
  <c r="P147" i="23"/>
  <c r="P160" i="23"/>
  <c r="P173" i="23"/>
  <c r="P140" i="23"/>
  <c r="P124" i="23"/>
  <c r="P100" i="23"/>
  <c r="P111" i="23"/>
  <c r="P138" i="23"/>
  <c r="P148" i="23"/>
  <c r="P163" i="23"/>
  <c r="P113" i="23"/>
  <c r="P161" i="23"/>
  <c r="P102" i="23"/>
  <c r="P112" i="23"/>
  <c r="P139" i="23"/>
  <c r="P149" i="23"/>
  <c r="P171" i="23"/>
  <c r="P127" i="23"/>
  <c r="P164" i="23"/>
  <c r="P118" i="23"/>
  <c r="P129" i="23"/>
  <c r="P170" i="23"/>
  <c r="P116" i="23"/>
  <c r="P162" i="23"/>
  <c r="P132" i="23"/>
  <c r="P98" i="23"/>
  <c r="P109" i="23"/>
  <c r="P135" i="23"/>
  <c r="P151" i="23"/>
  <c r="P167" i="23"/>
  <c r="P114" i="23"/>
  <c r="P125" i="23"/>
  <c r="P104" i="23"/>
  <c r="P154" i="23"/>
  <c r="P126" i="23"/>
  <c r="P137" i="23"/>
  <c r="P174" i="23"/>
  <c r="P99" i="23"/>
  <c r="P115" i="23"/>
  <c r="P142" i="23"/>
  <c r="P152" i="23"/>
  <c r="P169" i="23"/>
  <c r="P108" i="23"/>
  <c r="P158" i="23"/>
  <c r="P157" i="23"/>
  <c r="P106" i="23"/>
  <c r="P117" i="23"/>
  <c r="P143" i="23"/>
  <c r="P153" i="23"/>
  <c r="P97" i="23"/>
  <c r="P144" i="23"/>
  <c r="P96" i="23"/>
  <c r="P107" i="23"/>
  <c r="P134" i="23"/>
  <c r="P145" i="23"/>
  <c r="P155" i="23"/>
  <c r="P122" i="23"/>
  <c r="P133" i="23"/>
  <c r="P128" i="23"/>
  <c r="P123" i="23"/>
  <c r="P166" i="23"/>
  <c r="P175" i="23"/>
  <c r="W192" i="23"/>
  <c r="W188" i="23"/>
  <c r="W184" i="23"/>
  <c r="W180" i="23"/>
  <c r="W190" i="23"/>
  <c r="W186" i="23"/>
  <c r="W182" i="23"/>
  <c r="W176" i="23"/>
  <c r="W195" i="23"/>
  <c r="W194" i="23"/>
  <c r="W193" i="23"/>
  <c r="W191" i="23"/>
  <c r="W189" i="23"/>
  <c r="W187" i="23"/>
  <c r="W185" i="23"/>
  <c r="W183" i="23"/>
  <c r="W181" i="23"/>
  <c r="W179" i="23"/>
  <c r="W178" i="23"/>
  <c r="W177" i="23"/>
  <c r="W162" i="23"/>
  <c r="W165" i="23"/>
  <c r="W130" i="23"/>
  <c r="W151" i="23"/>
  <c r="W159" i="23"/>
  <c r="W168" i="23"/>
  <c r="W173" i="23"/>
  <c r="W120" i="23"/>
  <c r="W160" i="23"/>
  <c r="W158" i="23"/>
  <c r="W140" i="23"/>
  <c r="W157" i="23"/>
  <c r="W106" i="23"/>
  <c r="W145" i="23"/>
  <c r="W170" i="23"/>
  <c r="W111" i="23"/>
  <c r="W129" i="23"/>
  <c r="W149" i="23"/>
  <c r="W175" i="23"/>
  <c r="W141" i="23"/>
  <c r="W167" i="23"/>
  <c r="W114" i="23"/>
  <c r="W156" i="23"/>
  <c r="W169" i="23"/>
  <c r="W104" i="23"/>
  <c r="W154" i="23"/>
  <c r="W174" i="23"/>
  <c r="W124" i="23"/>
  <c r="W100" i="23"/>
  <c r="W117" i="23"/>
  <c r="W163" i="23"/>
  <c r="W155" i="23"/>
  <c r="W171" i="23"/>
  <c r="W122" i="23"/>
  <c r="W164" i="23"/>
  <c r="W161" i="23"/>
  <c r="W139" i="23"/>
  <c r="W166" i="23"/>
  <c r="I190" i="23"/>
  <c r="I186" i="23"/>
  <c r="I182" i="23"/>
  <c r="I178" i="23"/>
  <c r="I192" i="23"/>
  <c r="I188" i="23"/>
  <c r="I184" i="23"/>
  <c r="I180" i="23"/>
  <c r="I176" i="23"/>
  <c r="I195" i="23"/>
  <c r="I194" i="23"/>
  <c r="I193" i="23"/>
  <c r="I191" i="23"/>
  <c r="I189" i="23"/>
  <c r="I187" i="23"/>
  <c r="I185" i="23"/>
  <c r="I183" i="23"/>
  <c r="I181" i="23"/>
  <c r="I179" i="23"/>
  <c r="I177" i="23"/>
  <c r="I116" i="23"/>
  <c r="I101" i="23"/>
  <c r="I165" i="23"/>
  <c r="I114" i="23"/>
  <c r="I135" i="23"/>
  <c r="I156" i="23"/>
  <c r="I98" i="23"/>
  <c r="I119" i="23"/>
  <c r="I141" i="23"/>
  <c r="I167" i="23"/>
  <c r="I136" i="23"/>
  <c r="I110" i="23"/>
  <c r="I131" i="23"/>
  <c r="I152" i="23"/>
  <c r="I169" i="23"/>
  <c r="I154" i="23"/>
  <c r="I115" i="23"/>
  <c r="I137" i="23"/>
  <c r="I160" i="23"/>
  <c r="I174" i="23"/>
  <c r="I108" i="23"/>
  <c r="I124" i="23"/>
  <c r="I100" i="23"/>
  <c r="I122" i="23"/>
  <c r="I143" i="23"/>
  <c r="I163" i="23"/>
  <c r="I128" i="23"/>
  <c r="I96" i="23"/>
  <c r="I118" i="23"/>
  <c r="I139" i="23"/>
  <c r="I166" i="23"/>
  <c r="I171" i="23"/>
  <c r="I106" i="23"/>
  <c r="I127" i="23"/>
  <c r="I148" i="23"/>
  <c r="I113" i="23"/>
  <c r="I102" i="23"/>
  <c r="I123" i="23"/>
  <c r="I145" i="23"/>
  <c r="I162" i="23"/>
  <c r="I150" i="23"/>
  <c r="I132" i="23"/>
  <c r="I103" i="23"/>
  <c r="I125" i="23"/>
  <c r="I146" i="23"/>
  <c r="I159" i="23"/>
  <c r="I109" i="23"/>
  <c r="I130" i="23"/>
  <c r="I151" i="23"/>
  <c r="I104" i="23"/>
  <c r="I99" i="23"/>
  <c r="I121" i="23"/>
  <c r="I142" i="23"/>
  <c r="I168" i="23"/>
  <c r="I120" i="23"/>
  <c r="I105" i="23"/>
  <c r="I126" i="23"/>
  <c r="I147" i="23"/>
  <c r="I173" i="23"/>
  <c r="I158" i="23"/>
  <c r="I140" i="23"/>
  <c r="I157" i="23"/>
  <c r="I111" i="23"/>
  <c r="I133" i="23"/>
  <c r="I153" i="23"/>
  <c r="I97" i="23"/>
  <c r="I161" i="23"/>
  <c r="I107" i="23"/>
  <c r="I129" i="23"/>
  <c r="I149" i="23"/>
  <c r="I170" i="23"/>
  <c r="I175" i="23"/>
  <c r="I117" i="23"/>
  <c r="I138" i="23"/>
  <c r="I164" i="23"/>
  <c r="I144" i="23"/>
  <c r="I112" i="23"/>
  <c r="I134" i="23"/>
  <c r="I155" i="23"/>
  <c r="N190" i="23"/>
  <c r="N186" i="23"/>
  <c r="N182" i="23"/>
  <c r="N192" i="23"/>
  <c r="N188" i="23"/>
  <c r="N184" i="23"/>
  <c r="N180" i="23"/>
  <c r="N178" i="23"/>
  <c r="N195" i="23"/>
  <c r="N193" i="23"/>
  <c r="N191" i="23"/>
  <c r="N189" i="23"/>
  <c r="N187" i="23"/>
  <c r="N185" i="23"/>
  <c r="N183" i="23"/>
  <c r="N176" i="23"/>
  <c r="N194" i="23"/>
  <c r="N181" i="23"/>
  <c r="N179" i="23"/>
  <c r="N177" i="23"/>
  <c r="N116" i="23"/>
  <c r="N162" i="23"/>
  <c r="N132" i="23"/>
  <c r="N114" i="23"/>
  <c r="N135" i="23"/>
  <c r="N156" i="23"/>
  <c r="N98" i="23"/>
  <c r="N109" i="23"/>
  <c r="N130" i="23"/>
  <c r="N151" i="23"/>
  <c r="N104" i="23"/>
  <c r="N99" i="23"/>
  <c r="N121" i="23"/>
  <c r="N142" i="23"/>
  <c r="N160" i="23"/>
  <c r="N154" i="23"/>
  <c r="N115" i="23"/>
  <c r="N137" i="23"/>
  <c r="N168" i="23"/>
  <c r="N173" i="23"/>
  <c r="N108" i="23"/>
  <c r="N158" i="23"/>
  <c r="N157" i="23"/>
  <c r="N122" i="23"/>
  <c r="N143" i="23"/>
  <c r="N164" i="23"/>
  <c r="N97" i="23"/>
  <c r="N161" i="23"/>
  <c r="N118" i="23"/>
  <c r="N139" i="23"/>
  <c r="N166" i="23"/>
  <c r="N175" i="23"/>
  <c r="N106" i="23"/>
  <c r="N127" i="23"/>
  <c r="N148" i="23"/>
  <c r="N144" i="23"/>
  <c r="N102" i="23"/>
  <c r="N123" i="23"/>
  <c r="N145" i="23"/>
  <c r="N170" i="23"/>
  <c r="N150" i="23"/>
  <c r="N101" i="23"/>
  <c r="N165" i="23"/>
  <c r="N125" i="23"/>
  <c r="N146" i="23"/>
  <c r="N159" i="23"/>
  <c r="N103" i="23"/>
  <c r="N119" i="23"/>
  <c r="N141" i="23"/>
  <c r="N167" i="23"/>
  <c r="N136" i="23"/>
  <c r="N110" i="23"/>
  <c r="N131" i="23"/>
  <c r="N152" i="23"/>
  <c r="N120" i="23"/>
  <c r="N105" i="23"/>
  <c r="N126" i="23"/>
  <c r="N147" i="23"/>
  <c r="N169" i="23"/>
  <c r="N174" i="23"/>
  <c r="N140" i="23"/>
  <c r="N124" i="23"/>
  <c r="N111" i="23"/>
  <c r="N133" i="23"/>
  <c r="N153" i="23"/>
  <c r="N163" i="23"/>
  <c r="N128" i="23"/>
  <c r="N107" i="23"/>
  <c r="N129" i="23"/>
  <c r="N149" i="23"/>
  <c r="N171" i="23"/>
  <c r="N100" i="23"/>
  <c r="N117" i="23"/>
  <c r="N138" i="23"/>
  <c r="N113" i="23"/>
  <c r="N96" i="23"/>
  <c r="N112" i="23"/>
  <c r="N134" i="23"/>
  <c r="N155" i="23"/>
  <c r="O176" i="11"/>
  <c r="O177" i="11"/>
  <c r="O178" i="11"/>
  <c r="O179" i="11"/>
  <c r="O180" i="11"/>
  <c r="O181" i="11"/>
  <c r="O182" i="11"/>
  <c r="O183" i="11"/>
  <c r="O168" i="11"/>
  <c r="O149" i="11"/>
  <c r="O133" i="11"/>
  <c r="O117" i="11"/>
  <c r="O144" i="11"/>
  <c r="O128" i="11"/>
  <c r="O112" i="11"/>
  <c r="O104" i="11"/>
  <c r="O151" i="11"/>
  <c r="O135" i="11"/>
  <c r="O119" i="11"/>
  <c r="O146" i="11"/>
  <c r="O130" i="11"/>
  <c r="O114" i="11"/>
  <c r="O106" i="11"/>
  <c r="O163" i="11"/>
  <c r="O172" i="11"/>
  <c r="O173" i="11"/>
  <c r="O153" i="11"/>
  <c r="O137" i="11"/>
  <c r="O160" i="11"/>
  <c r="O164" i="11"/>
  <c r="O141" i="11"/>
  <c r="O125" i="11"/>
  <c r="O109" i="11"/>
  <c r="O101" i="11"/>
  <c r="O152" i="11"/>
  <c r="O136" i="11"/>
  <c r="O120" i="11"/>
  <c r="O96" i="11"/>
  <c r="O165" i="11"/>
  <c r="O143" i="11"/>
  <c r="O127" i="11"/>
  <c r="O111" i="11"/>
  <c r="O103" i="11"/>
  <c r="O154" i="11"/>
  <c r="O138" i="11"/>
  <c r="O122" i="11"/>
  <c r="O98" i="11"/>
  <c r="O161" i="11"/>
  <c r="O162" i="11"/>
  <c r="O175" i="11"/>
  <c r="O166" i="11"/>
  <c r="O145" i="11"/>
  <c r="O121" i="11"/>
  <c r="O97" i="11"/>
  <c r="O156" i="11"/>
  <c r="O140" i="11"/>
  <c r="O124" i="11"/>
  <c r="O108" i="11"/>
  <c r="O100" i="11"/>
  <c r="O167" i="11"/>
  <c r="O147" i="11"/>
  <c r="O131" i="11"/>
  <c r="O115" i="11"/>
  <c r="O142" i="11"/>
  <c r="O126" i="11"/>
  <c r="O110" i="11"/>
  <c r="O102" i="11"/>
  <c r="O170" i="11"/>
  <c r="O157" i="11"/>
  <c r="O158" i="11"/>
  <c r="O169" i="11"/>
  <c r="O174" i="11"/>
  <c r="O171" i="11"/>
  <c r="O129" i="11"/>
  <c r="O113" i="11"/>
  <c r="O105" i="11"/>
  <c r="O148" i="11"/>
  <c r="O132" i="11"/>
  <c r="O116" i="11"/>
  <c r="O155" i="11"/>
  <c r="O139" i="11"/>
  <c r="O123" i="11"/>
  <c r="O107" i="11"/>
  <c r="O99" i="11"/>
  <c r="O150" i="11"/>
  <c r="O134" i="11"/>
  <c r="O118" i="11"/>
  <c r="O159" i="11"/>
  <c r="AB176" i="11"/>
  <c r="AB177" i="11"/>
  <c r="AB178" i="11"/>
  <c r="AB179" i="11"/>
  <c r="AB180" i="11"/>
  <c r="AB181" i="11"/>
  <c r="AB182" i="11"/>
  <c r="AB183" i="11"/>
  <c r="AB160" i="11"/>
  <c r="AB168" i="11"/>
  <c r="AB165" i="11"/>
  <c r="AB163" i="11"/>
  <c r="AB164" i="11"/>
  <c r="AB161" i="11"/>
  <c r="AB162" i="11"/>
  <c r="AB172" i="11"/>
  <c r="AB175" i="11"/>
  <c r="AB173" i="11"/>
  <c r="AB166" i="11"/>
  <c r="AB156" i="11"/>
  <c r="AB167" i="11"/>
  <c r="AB170" i="11"/>
  <c r="AB157" i="11"/>
  <c r="AB158" i="11"/>
  <c r="AB169" i="11"/>
  <c r="AB159" i="11"/>
  <c r="AB174" i="11"/>
  <c r="AB171" i="11"/>
  <c r="L176" i="11"/>
  <c r="L177" i="11"/>
  <c r="L178" i="11"/>
  <c r="L179" i="11"/>
  <c r="L180" i="11"/>
  <c r="L181" i="11"/>
  <c r="L182" i="11"/>
  <c r="L183" i="11"/>
  <c r="L160" i="11"/>
  <c r="L168" i="11"/>
  <c r="L149" i="11"/>
  <c r="L133" i="11"/>
  <c r="L117" i="11"/>
  <c r="L101" i="11"/>
  <c r="L144" i="11"/>
  <c r="L128" i="11"/>
  <c r="L112" i="11"/>
  <c r="L96" i="11"/>
  <c r="L165" i="11"/>
  <c r="L151" i="11"/>
  <c r="L135" i="11"/>
  <c r="L119" i="11"/>
  <c r="L103" i="11"/>
  <c r="L146" i="11"/>
  <c r="L130" i="11"/>
  <c r="L114" i="11"/>
  <c r="L98" i="11"/>
  <c r="L163" i="11"/>
  <c r="L172" i="11"/>
  <c r="L153" i="11"/>
  <c r="L137" i="11"/>
  <c r="L164" i="11"/>
  <c r="L141" i="11"/>
  <c r="L125" i="11"/>
  <c r="L109" i="11"/>
  <c r="L152" i="11"/>
  <c r="L136" i="11"/>
  <c r="L120" i="11"/>
  <c r="L104" i="11"/>
  <c r="L143" i="11"/>
  <c r="L127" i="11"/>
  <c r="L111" i="11"/>
  <c r="L154" i="11"/>
  <c r="L138" i="11"/>
  <c r="L122" i="11"/>
  <c r="L106" i="11"/>
  <c r="L161" i="11"/>
  <c r="L162" i="11"/>
  <c r="L175" i="11"/>
  <c r="L173" i="11"/>
  <c r="L166" i="11"/>
  <c r="L145" i="11"/>
  <c r="L121" i="11"/>
  <c r="L105" i="11"/>
  <c r="L156" i="11"/>
  <c r="L140" i="11"/>
  <c r="L124" i="11"/>
  <c r="L108" i="11"/>
  <c r="L167" i="11"/>
  <c r="L147" i="11"/>
  <c r="L131" i="11"/>
  <c r="L115" i="11"/>
  <c r="L99" i="11"/>
  <c r="L142" i="11"/>
  <c r="L126" i="11"/>
  <c r="L110" i="11"/>
  <c r="L170" i="11"/>
  <c r="L157" i="11"/>
  <c r="L158" i="11"/>
  <c r="L169" i="11"/>
  <c r="L174" i="11"/>
  <c r="L129" i="11"/>
  <c r="L113" i="11"/>
  <c r="L97" i="11"/>
  <c r="L148" i="11"/>
  <c r="L132" i="11"/>
  <c r="L116" i="11"/>
  <c r="L100" i="11"/>
  <c r="L155" i="11"/>
  <c r="L139" i="11"/>
  <c r="L123" i="11"/>
  <c r="L107" i="11"/>
  <c r="L150" i="11"/>
  <c r="L134" i="11"/>
  <c r="L118" i="11"/>
  <c r="L102" i="11"/>
  <c r="L159" i="11"/>
  <c r="L171" i="11"/>
  <c r="R176" i="11"/>
  <c r="R177" i="11"/>
  <c r="R178" i="11"/>
  <c r="R179" i="11"/>
  <c r="R180" i="11"/>
  <c r="R181" i="11"/>
  <c r="R182" i="11"/>
  <c r="R183" i="11"/>
  <c r="R160" i="11"/>
  <c r="R164" i="11"/>
  <c r="R149" i="11"/>
  <c r="R133" i="11"/>
  <c r="R125" i="11"/>
  <c r="R109" i="11"/>
  <c r="R144" i="11"/>
  <c r="R120" i="11"/>
  <c r="R104" i="11"/>
  <c r="R165" i="11"/>
  <c r="R151" i="11"/>
  <c r="R135" i="11"/>
  <c r="R127" i="11"/>
  <c r="R111" i="11"/>
  <c r="R146" i="11"/>
  <c r="R130" i="11"/>
  <c r="R122" i="11"/>
  <c r="R106" i="11"/>
  <c r="R161" i="11"/>
  <c r="R163" i="11"/>
  <c r="R166" i="11"/>
  <c r="R153" i="11"/>
  <c r="R168" i="11"/>
  <c r="R141" i="11"/>
  <c r="R117" i="11"/>
  <c r="R101" i="11"/>
  <c r="R152" i="11"/>
  <c r="R136" i="11"/>
  <c r="R128" i="11"/>
  <c r="R112" i="11"/>
  <c r="R96" i="11"/>
  <c r="R143" i="11"/>
  <c r="R119" i="11"/>
  <c r="R103" i="11"/>
  <c r="R154" i="11"/>
  <c r="R138" i="11"/>
  <c r="R114" i="11"/>
  <c r="R98" i="11"/>
  <c r="R162" i="11"/>
  <c r="R172" i="11"/>
  <c r="R175" i="11"/>
  <c r="R173" i="11"/>
  <c r="R145" i="11"/>
  <c r="R137" i="11"/>
  <c r="R113" i="11"/>
  <c r="R97" i="11"/>
  <c r="R140" i="11"/>
  <c r="R116" i="11"/>
  <c r="R100" i="11"/>
  <c r="R155" i="11"/>
  <c r="R147" i="11"/>
  <c r="R131" i="11"/>
  <c r="R123" i="11"/>
  <c r="R107" i="11"/>
  <c r="R142" i="11"/>
  <c r="R118" i="11"/>
  <c r="R102" i="11"/>
  <c r="R170" i="11"/>
  <c r="R158" i="11"/>
  <c r="R169" i="11"/>
  <c r="R174" i="11"/>
  <c r="R159" i="11"/>
  <c r="R171" i="11"/>
  <c r="R129" i="11"/>
  <c r="R121" i="11"/>
  <c r="R105" i="11"/>
  <c r="R156" i="11"/>
  <c r="R148" i="11"/>
  <c r="R132" i="11"/>
  <c r="R124" i="11"/>
  <c r="R108" i="11"/>
  <c r="R167" i="11"/>
  <c r="R139" i="11"/>
  <c r="R115" i="11"/>
  <c r="R99" i="11"/>
  <c r="R150" i="11"/>
  <c r="R134" i="11"/>
  <c r="R126" i="11"/>
  <c r="R110" i="11"/>
  <c r="R157" i="11"/>
  <c r="V176" i="11"/>
  <c r="V177" i="11"/>
  <c r="V178" i="11"/>
  <c r="V179" i="11"/>
  <c r="V180" i="11"/>
  <c r="V181" i="11"/>
  <c r="V182" i="11"/>
  <c r="V183" i="11"/>
  <c r="V168" i="11"/>
  <c r="V162" i="11"/>
  <c r="V172" i="11"/>
  <c r="V160" i="11"/>
  <c r="V164" i="11"/>
  <c r="V165" i="11"/>
  <c r="V161" i="11"/>
  <c r="V163" i="11"/>
  <c r="V175" i="11"/>
  <c r="V173" i="11"/>
  <c r="V166" i="11"/>
  <c r="V156" i="11"/>
  <c r="V167" i="11"/>
  <c r="V157" i="11"/>
  <c r="V159" i="11"/>
  <c r="V171" i="11"/>
  <c r="V174" i="11"/>
  <c r="V170" i="11"/>
  <c r="V158" i="11"/>
  <c r="V169" i="11"/>
  <c r="S176" i="11"/>
  <c r="S177" i="11"/>
  <c r="S178" i="11"/>
  <c r="S179" i="11"/>
  <c r="S180" i="11"/>
  <c r="S181" i="11"/>
  <c r="S182" i="11"/>
  <c r="S183" i="11"/>
  <c r="S160" i="11"/>
  <c r="S164" i="11"/>
  <c r="S141" i="11"/>
  <c r="S125" i="11"/>
  <c r="S109" i="11"/>
  <c r="S101" i="11"/>
  <c r="S152" i="11"/>
  <c r="S136" i="11"/>
  <c r="S120" i="11"/>
  <c r="S96" i="11"/>
  <c r="S165" i="11"/>
  <c r="S143" i="11"/>
  <c r="S127" i="11"/>
  <c r="S111" i="11"/>
  <c r="S103" i="11"/>
  <c r="S154" i="11"/>
  <c r="S138" i="11"/>
  <c r="S122" i="11"/>
  <c r="S98" i="11"/>
  <c r="S161" i="11"/>
  <c r="S162" i="11"/>
  <c r="S172" i="11"/>
  <c r="S175" i="11"/>
  <c r="S166" i="11"/>
  <c r="S145" i="11"/>
  <c r="S168" i="11"/>
  <c r="S149" i="11"/>
  <c r="S133" i="11"/>
  <c r="S117" i="11"/>
  <c r="S144" i="11"/>
  <c r="S128" i="11"/>
  <c r="S112" i="11"/>
  <c r="S104" i="11"/>
  <c r="S151" i="11"/>
  <c r="S135" i="11"/>
  <c r="S119" i="11"/>
  <c r="S146" i="11"/>
  <c r="S130" i="11"/>
  <c r="S114" i="11"/>
  <c r="S106" i="11"/>
  <c r="S163" i="11"/>
  <c r="S173" i="11"/>
  <c r="S153" i="11"/>
  <c r="S137" i="11"/>
  <c r="S129" i="11"/>
  <c r="S113" i="11"/>
  <c r="S105" i="11"/>
  <c r="S148" i="11"/>
  <c r="S132" i="11"/>
  <c r="S124" i="11"/>
  <c r="S116" i="11"/>
  <c r="S155" i="11"/>
  <c r="S139" i="11"/>
  <c r="S123" i="11"/>
  <c r="S107" i="11"/>
  <c r="S99" i="11"/>
  <c r="S150" i="11"/>
  <c r="S134" i="11"/>
  <c r="S118" i="11"/>
  <c r="S170" i="11"/>
  <c r="S159" i="11"/>
  <c r="S171" i="11"/>
  <c r="S169" i="11"/>
  <c r="S121" i="11"/>
  <c r="S97" i="11"/>
  <c r="S156" i="11"/>
  <c r="S140" i="11"/>
  <c r="S108" i="11"/>
  <c r="S100" i="11"/>
  <c r="S167" i="11"/>
  <c r="S147" i="11"/>
  <c r="S131" i="11"/>
  <c r="S115" i="11"/>
  <c r="S142" i="11"/>
  <c r="S126" i="11"/>
  <c r="S110" i="11"/>
  <c r="S102" i="11"/>
  <c r="S157" i="11"/>
  <c r="S158" i="11"/>
  <c r="S174" i="11"/>
  <c r="M176" i="11"/>
  <c r="M177" i="11"/>
  <c r="M178" i="11"/>
  <c r="M179" i="11"/>
  <c r="M180" i="11"/>
  <c r="M181" i="11"/>
  <c r="M182" i="11"/>
  <c r="M183" i="11"/>
  <c r="M160" i="11"/>
  <c r="M164" i="11"/>
  <c r="M141" i="11"/>
  <c r="M125" i="11"/>
  <c r="M117" i="11"/>
  <c r="M101" i="11"/>
  <c r="M152" i="11"/>
  <c r="M136" i="11"/>
  <c r="M112" i="11"/>
  <c r="M96" i="11"/>
  <c r="M165" i="11"/>
  <c r="M143" i="11"/>
  <c r="M127" i="11"/>
  <c r="M119" i="11"/>
  <c r="M103" i="11"/>
  <c r="M154" i="11"/>
  <c r="M138" i="11"/>
  <c r="M114" i="11"/>
  <c r="M98" i="11"/>
  <c r="M161" i="11"/>
  <c r="M162" i="11"/>
  <c r="M175" i="11"/>
  <c r="M166" i="11"/>
  <c r="M145" i="11"/>
  <c r="M168" i="11"/>
  <c r="M149" i="11"/>
  <c r="M133" i="11"/>
  <c r="M109" i="11"/>
  <c r="M144" i="11"/>
  <c r="M128" i="11"/>
  <c r="M120" i="11"/>
  <c r="M104" i="11"/>
  <c r="M151" i="11"/>
  <c r="M135" i="11"/>
  <c r="M111" i="11"/>
  <c r="M146" i="11"/>
  <c r="M130" i="11"/>
  <c r="M122" i="11"/>
  <c r="M106" i="11"/>
  <c r="M163" i="11"/>
  <c r="M172" i="11"/>
  <c r="M173" i="11"/>
  <c r="M153" i="11"/>
  <c r="M137" i="11"/>
  <c r="M129" i="11"/>
  <c r="M121" i="11"/>
  <c r="M105" i="11"/>
  <c r="M148" i="11"/>
  <c r="M132" i="11"/>
  <c r="M108" i="11"/>
  <c r="M155" i="11"/>
  <c r="M139" i="11"/>
  <c r="M115" i="11"/>
  <c r="M99" i="11"/>
  <c r="M150" i="11"/>
  <c r="M134" i="11"/>
  <c r="M110" i="11"/>
  <c r="M159" i="11"/>
  <c r="M169" i="11"/>
  <c r="M174" i="11"/>
  <c r="M113" i="11"/>
  <c r="M97" i="11"/>
  <c r="M156" i="11"/>
  <c r="M140" i="11"/>
  <c r="M124" i="11"/>
  <c r="M116" i="11"/>
  <c r="M100" i="11"/>
  <c r="M167" i="11"/>
  <c r="M147" i="11"/>
  <c r="M131" i="11"/>
  <c r="M123" i="11"/>
  <c r="M107" i="11"/>
  <c r="M142" i="11"/>
  <c r="M126" i="11"/>
  <c r="M118" i="11"/>
  <c r="M102" i="11"/>
  <c r="M170" i="11"/>
  <c r="M157" i="11"/>
  <c r="M158" i="11"/>
  <c r="M171" i="11"/>
  <c r="P176" i="11"/>
  <c r="P177" i="11"/>
  <c r="P178" i="11"/>
  <c r="P179" i="11"/>
  <c r="P180" i="11"/>
  <c r="P181" i="11"/>
  <c r="P182" i="11"/>
  <c r="P183" i="11"/>
  <c r="P164" i="11"/>
  <c r="P141" i="11"/>
  <c r="P125" i="11"/>
  <c r="P109" i="11"/>
  <c r="P152" i="11"/>
  <c r="P136" i="11"/>
  <c r="P120" i="11"/>
  <c r="P104" i="11"/>
  <c r="P143" i="11"/>
  <c r="P127" i="11"/>
  <c r="P111" i="11"/>
  <c r="P154" i="11"/>
  <c r="P138" i="11"/>
  <c r="P122" i="11"/>
  <c r="P106" i="11"/>
  <c r="P161" i="11"/>
  <c r="P162" i="11"/>
  <c r="P172" i="11"/>
  <c r="P166" i="11"/>
  <c r="P145" i="11"/>
  <c r="P160" i="11"/>
  <c r="P168" i="11"/>
  <c r="P149" i="11"/>
  <c r="P133" i="11"/>
  <c r="P117" i="11"/>
  <c r="P101" i="11"/>
  <c r="P144" i="11"/>
  <c r="P128" i="11"/>
  <c r="P112" i="11"/>
  <c r="P96" i="11"/>
  <c r="P165" i="11"/>
  <c r="P151" i="11"/>
  <c r="P135" i="11"/>
  <c r="P119" i="11"/>
  <c r="P103" i="11"/>
  <c r="P146" i="11"/>
  <c r="P130" i="11"/>
  <c r="P114" i="11"/>
  <c r="P98" i="11"/>
  <c r="P163" i="11"/>
  <c r="P175" i="11"/>
  <c r="P173" i="11"/>
  <c r="P153" i="11"/>
  <c r="P137" i="11"/>
  <c r="P129" i="11"/>
  <c r="P113" i="11"/>
  <c r="P97" i="11"/>
  <c r="P148" i="11"/>
  <c r="P132" i="11"/>
  <c r="P116" i="11"/>
  <c r="P100" i="11"/>
  <c r="P155" i="11"/>
  <c r="P139" i="11"/>
  <c r="P123" i="11"/>
  <c r="P107" i="11"/>
  <c r="P150" i="11"/>
  <c r="P134" i="11"/>
  <c r="P118" i="11"/>
  <c r="P102" i="11"/>
  <c r="P159" i="11"/>
  <c r="P171" i="11"/>
  <c r="P174" i="11"/>
  <c r="P121" i="11"/>
  <c r="P105" i="11"/>
  <c r="P156" i="11"/>
  <c r="P140" i="11"/>
  <c r="P124" i="11"/>
  <c r="P108" i="11"/>
  <c r="P167" i="11"/>
  <c r="P147" i="11"/>
  <c r="P131" i="11"/>
  <c r="P115" i="11"/>
  <c r="P99" i="11"/>
  <c r="P142" i="11"/>
  <c r="P126" i="11"/>
  <c r="P110" i="11"/>
  <c r="P170" i="11"/>
  <c r="P157" i="11"/>
  <c r="P158" i="11"/>
  <c r="P169" i="11"/>
  <c r="Z176" i="11"/>
  <c r="Z177" i="11"/>
  <c r="Z178" i="11"/>
  <c r="Z179" i="11"/>
  <c r="Z180" i="11"/>
  <c r="Z181" i="11"/>
  <c r="Z182" i="11"/>
  <c r="Z183" i="11"/>
  <c r="Z160" i="11"/>
  <c r="Z164" i="11"/>
  <c r="Z141" i="11"/>
  <c r="Z125" i="11"/>
  <c r="Z109" i="11"/>
  <c r="Z152" i="11"/>
  <c r="Z136" i="11"/>
  <c r="Z120" i="11"/>
  <c r="Z104" i="11"/>
  <c r="Z165" i="11"/>
  <c r="Z143" i="11"/>
  <c r="Z127" i="11"/>
  <c r="Z111" i="11"/>
  <c r="Z154" i="11"/>
  <c r="Z138" i="11"/>
  <c r="Z122" i="11"/>
  <c r="Z106" i="11"/>
  <c r="Z161" i="11"/>
  <c r="Z163" i="11"/>
  <c r="Z172" i="11"/>
  <c r="Z175" i="11"/>
  <c r="Z173" i="11"/>
  <c r="Z166" i="11"/>
  <c r="Z145" i="11"/>
  <c r="Z168" i="11"/>
  <c r="Z149" i="11"/>
  <c r="Z133" i="11"/>
  <c r="Z117" i="11"/>
  <c r="Z101" i="11"/>
  <c r="Z144" i="11"/>
  <c r="Z128" i="11"/>
  <c r="Z112" i="11"/>
  <c r="Z96" i="11"/>
  <c r="Z151" i="11"/>
  <c r="Z135" i="11"/>
  <c r="Z119" i="11"/>
  <c r="Z103" i="11"/>
  <c r="Z146" i="11"/>
  <c r="Z130" i="11"/>
  <c r="Z114" i="11"/>
  <c r="Z98" i="11"/>
  <c r="Z162" i="11"/>
  <c r="Z153" i="11"/>
  <c r="Z129" i="11"/>
  <c r="Z113" i="11"/>
  <c r="Z97" i="11"/>
  <c r="Z148" i="11"/>
  <c r="Z132" i="11"/>
  <c r="Z116" i="11"/>
  <c r="Z100" i="11"/>
  <c r="Z139" i="11"/>
  <c r="Z123" i="11"/>
  <c r="Z107" i="11"/>
  <c r="Z150" i="11"/>
  <c r="Z134" i="11"/>
  <c r="Z118" i="11"/>
  <c r="Z102" i="11"/>
  <c r="Z170" i="11"/>
  <c r="Z158" i="11"/>
  <c r="Z169" i="11"/>
  <c r="Z174" i="11"/>
  <c r="Z137" i="11"/>
  <c r="Z121" i="11"/>
  <c r="Z105" i="11"/>
  <c r="Z156" i="11"/>
  <c r="Z140" i="11"/>
  <c r="Z124" i="11"/>
  <c r="Z108" i="11"/>
  <c r="Z167" i="11"/>
  <c r="Z155" i="11"/>
  <c r="Z147" i="11"/>
  <c r="Z131" i="11"/>
  <c r="Z115" i="11"/>
  <c r="Z99" i="11"/>
  <c r="Z142" i="11"/>
  <c r="Z126" i="11"/>
  <c r="Z110" i="11"/>
  <c r="Z157" i="11"/>
  <c r="Z159" i="11"/>
  <c r="Z171" i="11"/>
  <c r="N176" i="11"/>
  <c r="N177" i="11"/>
  <c r="N178" i="11"/>
  <c r="N179" i="11"/>
  <c r="N180" i="11"/>
  <c r="N181" i="11"/>
  <c r="N182" i="11"/>
  <c r="N183" i="11"/>
  <c r="N168" i="11"/>
  <c r="N149" i="11"/>
  <c r="N112" i="11"/>
  <c r="N96" i="11"/>
  <c r="N151" i="11"/>
  <c r="N114" i="11"/>
  <c r="N98" i="11"/>
  <c r="N162" i="11"/>
  <c r="N175" i="11"/>
  <c r="N173" i="11"/>
  <c r="N160" i="11"/>
  <c r="N164" i="11"/>
  <c r="N141" i="11"/>
  <c r="N125" i="11"/>
  <c r="N109" i="11"/>
  <c r="N165" i="11"/>
  <c r="N143" i="11"/>
  <c r="N127" i="11"/>
  <c r="N111" i="11"/>
  <c r="N161" i="11"/>
  <c r="N163" i="11"/>
  <c r="N172" i="11"/>
  <c r="N166" i="11"/>
  <c r="N156" i="11"/>
  <c r="N140" i="11"/>
  <c r="N124" i="11"/>
  <c r="N108" i="11"/>
  <c r="N167" i="11"/>
  <c r="N99" i="11"/>
  <c r="N142" i="11"/>
  <c r="N126" i="11"/>
  <c r="N157" i="11"/>
  <c r="N159" i="11"/>
  <c r="N171" i="11"/>
  <c r="N169" i="11"/>
  <c r="N129" i="11"/>
  <c r="N113" i="11"/>
  <c r="N97" i="11"/>
  <c r="N123" i="11"/>
  <c r="N107" i="11"/>
  <c r="N150" i="11"/>
  <c r="N170" i="11"/>
  <c r="N158" i="11"/>
  <c r="N174" i="11"/>
  <c r="P195" i="24"/>
  <c r="P194" i="24"/>
  <c r="P193" i="24"/>
  <c r="P191" i="24"/>
  <c r="P187" i="24"/>
  <c r="P183" i="24"/>
  <c r="P179" i="24"/>
  <c r="P189" i="24"/>
  <c r="P185" i="24"/>
  <c r="P181" i="24"/>
  <c r="P192" i="24"/>
  <c r="P177" i="24"/>
  <c r="P190" i="24"/>
  <c r="P188" i="24"/>
  <c r="P186" i="24"/>
  <c r="P184" i="24"/>
  <c r="P182" i="24"/>
  <c r="P180" i="24"/>
  <c r="P178" i="24"/>
  <c r="P176" i="24"/>
  <c r="P159" i="24"/>
  <c r="P171" i="24"/>
  <c r="P174" i="24"/>
  <c r="P173" i="24"/>
  <c r="P170" i="24"/>
  <c r="P167" i="24"/>
  <c r="P166" i="24"/>
  <c r="P161" i="24"/>
  <c r="P172" i="24"/>
  <c r="P168" i="24"/>
  <c r="P175" i="24"/>
  <c r="P169" i="24"/>
  <c r="P163" i="24"/>
  <c r="P158" i="24"/>
  <c r="P160" i="24"/>
  <c r="P164" i="24"/>
  <c r="P162" i="24"/>
  <c r="P157" i="24"/>
  <c r="P156" i="24"/>
  <c r="P165" i="24"/>
  <c r="M195" i="24"/>
  <c r="M193" i="24"/>
  <c r="M191" i="24"/>
  <c r="M189" i="24"/>
  <c r="M185" i="24"/>
  <c r="M181" i="24"/>
  <c r="M194" i="24"/>
  <c r="M187" i="24"/>
  <c r="M183" i="24"/>
  <c r="M177" i="24"/>
  <c r="M179" i="24"/>
  <c r="M192" i="24"/>
  <c r="M190" i="24"/>
  <c r="M188" i="24"/>
  <c r="M186" i="24"/>
  <c r="M184" i="24"/>
  <c r="M182" i="24"/>
  <c r="M180" i="24"/>
  <c r="M178" i="24"/>
  <c r="M176" i="24"/>
  <c r="M173" i="24"/>
  <c r="M174" i="24"/>
  <c r="M168" i="24"/>
  <c r="M169" i="24"/>
  <c r="M170" i="24"/>
  <c r="M172" i="24"/>
  <c r="M171" i="24"/>
  <c r="M175" i="24"/>
  <c r="M163" i="24"/>
  <c r="M167" i="24"/>
  <c r="M161" i="24"/>
  <c r="M159" i="24"/>
  <c r="M156" i="24"/>
  <c r="M160" i="24"/>
  <c r="M157" i="24"/>
  <c r="M165" i="24"/>
  <c r="M158" i="24"/>
  <c r="M162" i="24"/>
  <c r="M166" i="24"/>
  <c r="M164" i="24"/>
  <c r="W194" i="24"/>
  <c r="W187" i="24"/>
  <c r="W183" i="24"/>
  <c r="W179" i="24"/>
  <c r="W195" i="24"/>
  <c r="W193" i="24"/>
  <c r="W191" i="24"/>
  <c r="W189" i="24"/>
  <c r="W185" i="24"/>
  <c r="W181" i="24"/>
  <c r="W192" i="24"/>
  <c r="W190" i="24"/>
  <c r="W188" i="24"/>
  <c r="W186" i="24"/>
  <c r="W184" i="24"/>
  <c r="W182" i="24"/>
  <c r="W180" i="24"/>
  <c r="W176" i="24"/>
  <c r="W177" i="24"/>
  <c r="W178" i="24"/>
  <c r="W168" i="24"/>
  <c r="W174" i="24"/>
  <c r="W173" i="24"/>
  <c r="W172" i="24"/>
  <c r="W170" i="24"/>
  <c r="W175" i="24"/>
  <c r="W171" i="24"/>
  <c r="W169" i="24"/>
  <c r="W110" i="24"/>
  <c r="W139" i="24"/>
  <c r="W111" i="24"/>
  <c r="W140" i="24"/>
  <c r="W106" i="24"/>
  <c r="W143" i="24"/>
  <c r="W99" i="24"/>
  <c r="W136" i="24"/>
  <c r="W158" i="24"/>
  <c r="W116" i="24"/>
  <c r="W153" i="24"/>
  <c r="W162" i="24"/>
  <c r="W126" i="24"/>
  <c r="W103" i="24"/>
  <c r="W122" i="24"/>
  <c r="W96" i="24"/>
  <c r="W144" i="24"/>
  <c r="W124" i="24"/>
  <c r="W109" i="24"/>
  <c r="W146" i="24"/>
  <c r="W97" i="24"/>
  <c r="W133" i="24"/>
  <c r="W113" i="24"/>
  <c r="W142" i="24"/>
  <c r="W114" i="24"/>
  <c r="W119" i="24"/>
  <c r="W102" i="24"/>
  <c r="W123" i="24"/>
  <c r="W145" i="24"/>
  <c r="W138" i="24"/>
  <c r="W141" i="24"/>
  <c r="W121" i="24"/>
  <c r="W112" i="24"/>
  <c r="W154" i="24"/>
  <c r="W157" i="24"/>
  <c r="W134" i="24"/>
  <c r="W163" i="24"/>
  <c r="W118" i="24"/>
  <c r="W155" i="24"/>
  <c r="W127" i="24"/>
  <c r="W156" i="24"/>
  <c r="W130" i="24"/>
  <c r="W161" i="24"/>
  <c r="W115" i="24"/>
  <c r="W152" i="24"/>
  <c r="W108" i="24"/>
  <c r="W137" i="24"/>
  <c r="W98" i="24"/>
  <c r="W131" i="24"/>
  <c r="W167" i="24"/>
  <c r="W132" i="24"/>
  <c r="W151" i="24"/>
  <c r="W107" i="24"/>
  <c r="W104" i="24"/>
  <c r="W165" i="24"/>
  <c r="W125" i="24"/>
  <c r="W166" i="24"/>
  <c r="W120" i="24"/>
  <c r="W149" i="24"/>
  <c r="W129" i="24"/>
  <c r="W160" i="24"/>
  <c r="W147" i="24"/>
  <c r="W148" i="24"/>
  <c r="W135" i="24"/>
  <c r="W164" i="24"/>
  <c r="W101" i="24"/>
  <c r="W100" i="24"/>
  <c r="W159" i="24"/>
  <c r="W150" i="24"/>
  <c r="W117" i="24"/>
  <c r="W128" i="24"/>
  <c r="W105" i="24"/>
  <c r="V189" i="24"/>
  <c r="V185" i="24"/>
  <c r="V181" i="24"/>
  <c r="V195" i="24"/>
  <c r="V194" i="24"/>
  <c r="V193" i="24"/>
  <c r="V191" i="24"/>
  <c r="V187" i="24"/>
  <c r="V183" i="24"/>
  <c r="V177" i="24"/>
  <c r="V190" i="24"/>
  <c r="V188" i="24"/>
  <c r="V186" i="24"/>
  <c r="V184" i="24"/>
  <c r="V182" i="24"/>
  <c r="V180" i="24"/>
  <c r="V178" i="24"/>
  <c r="V176" i="24"/>
  <c r="V179" i="24"/>
  <c r="V192" i="24"/>
  <c r="V158" i="24"/>
  <c r="V165" i="24"/>
  <c r="V111" i="24"/>
  <c r="V137" i="24"/>
  <c r="V101" i="24"/>
  <c r="V109" i="24"/>
  <c r="V103" i="24"/>
  <c r="V104" i="24"/>
  <c r="V157" i="24"/>
  <c r="V148" i="24"/>
  <c r="V161" i="24"/>
  <c r="V118" i="24"/>
  <c r="V108" i="24"/>
  <c r="V102" i="24"/>
  <c r="V136" i="24"/>
  <c r="V167" i="24"/>
  <c r="V127" i="24"/>
  <c r="V100" i="24"/>
  <c r="V121" i="24"/>
  <c r="V112" i="24"/>
  <c r="V159" i="24"/>
  <c r="V166" i="24"/>
  <c r="V116" i="24"/>
  <c r="V98" i="24"/>
  <c r="V132" i="24"/>
  <c r="V107" i="24"/>
  <c r="V149" i="24"/>
  <c r="V146" i="24"/>
  <c r="V124" i="24"/>
  <c r="V105" i="24"/>
  <c r="V140" i="24"/>
  <c r="V115" i="24"/>
  <c r="V163" i="24"/>
  <c r="V119" i="24"/>
  <c r="V168" i="24"/>
  <c r="V154" i="24"/>
  <c r="V174" i="24"/>
  <c r="V175" i="24"/>
  <c r="V131" i="24"/>
  <c r="V152" i="24"/>
  <c r="V143" i="24"/>
  <c r="V151" i="24"/>
  <c r="V144" i="24"/>
  <c r="V153" i="24"/>
  <c r="V134" i="24"/>
  <c r="V114" i="24"/>
  <c r="V96" i="24"/>
  <c r="V117" i="24"/>
  <c r="V130" i="24"/>
  <c r="V123" i="24"/>
  <c r="V164" i="24"/>
  <c r="V142" i="24"/>
  <c r="V155" i="24"/>
  <c r="V135" i="24"/>
  <c r="V126" i="24"/>
  <c r="V99" i="24"/>
  <c r="V156" i="24"/>
  <c r="V141" i="24"/>
  <c r="V150" i="24"/>
  <c r="V145" i="24"/>
  <c r="V125" i="24"/>
  <c r="V138" i="24"/>
  <c r="V160" i="24"/>
  <c r="V120" i="24"/>
  <c r="V139" i="24"/>
  <c r="V106" i="24"/>
  <c r="V110" i="24"/>
  <c r="V129" i="24"/>
  <c r="V162" i="24"/>
  <c r="V97" i="24"/>
  <c r="V128" i="24"/>
  <c r="V147" i="24"/>
  <c r="V122" i="24"/>
  <c r="V113" i="24"/>
  <c r="V171" i="24"/>
  <c r="V172" i="24"/>
  <c r="V170" i="24"/>
  <c r="V173" i="24"/>
  <c r="V169" i="24"/>
  <c r="J189" i="24"/>
  <c r="J185" i="24"/>
  <c r="J181" i="24"/>
  <c r="J195" i="24"/>
  <c r="J194" i="24"/>
  <c r="J193" i="24"/>
  <c r="J191" i="24"/>
  <c r="J187" i="24"/>
  <c r="J183" i="24"/>
  <c r="J179" i="24"/>
  <c r="J177" i="24"/>
  <c r="J190" i="24"/>
  <c r="J188" i="24"/>
  <c r="J186" i="24"/>
  <c r="J184" i="24"/>
  <c r="J182" i="24"/>
  <c r="J180" i="24"/>
  <c r="J178" i="24"/>
  <c r="J176" i="24"/>
  <c r="J192" i="24"/>
  <c r="J171" i="24"/>
  <c r="J142" i="24"/>
  <c r="J159" i="24"/>
  <c r="J138" i="24"/>
  <c r="J132" i="24"/>
  <c r="J109" i="24"/>
  <c r="J126" i="24"/>
  <c r="J121" i="24"/>
  <c r="J149" i="24"/>
  <c r="J111" i="24"/>
  <c r="J98" i="24"/>
  <c r="J114" i="24"/>
  <c r="J119" i="24"/>
  <c r="J102" i="24"/>
  <c r="J123" i="24"/>
  <c r="J108" i="24"/>
  <c r="J125" i="24"/>
  <c r="J128" i="24"/>
  <c r="J129" i="24"/>
  <c r="J105" i="24"/>
  <c r="J101" i="24"/>
  <c r="J158" i="24"/>
  <c r="J106" i="24"/>
  <c r="J155" i="24"/>
  <c r="J127" i="24"/>
  <c r="J136" i="24"/>
  <c r="J134" i="24"/>
  <c r="J141" i="24"/>
  <c r="J116" i="24"/>
  <c r="J107" i="24"/>
  <c r="J103" i="24"/>
  <c r="J124" i="24"/>
  <c r="J168" i="24"/>
  <c r="J163" i="24"/>
  <c r="J140" i="24"/>
  <c r="J152" i="24"/>
  <c r="J154" i="24"/>
  <c r="J117" i="24"/>
  <c r="J172" i="24"/>
  <c r="J175" i="24"/>
  <c r="J151" i="24"/>
  <c r="J118" i="24"/>
  <c r="J144" i="24"/>
  <c r="J100" i="24"/>
  <c r="J153" i="24"/>
  <c r="J110" i="24"/>
  <c r="J104" i="24"/>
  <c r="J170" i="24"/>
  <c r="J165" i="24"/>
  <c r="J139" i="24"/>
  <c r="J147" i="24"/>
  <c r="J148" i="24"/>
  <c r="J135" i="24"/>
  <c r="J164" i="24"/>
  <c r="J137" i="24"/>
  <c r="J166" i="24"/>
  <c r="J157" i="24"/>
  <c r="J160" i="24"/>
  <c r="J133" i="24"/>
  <c r="J145" i="24"/>
  <c r="J99" i="24"/>
  <c r="J156" i="24"/>
  <c r="J131" i="24"/>
  <c r="J96" i="24"/>
  <c r="J143" i="24"/>
  <c r="J112" i="24"/>
  <c r="J113" i="24"/>
  <c r="J146" i="24"/>
  <c r="J97" i="24"/>
  <c r="J122" i="24"/>
  <c r="J167" i="24"/>
  <c r="J150" i="24"/>
  <c r="J161" i="24"/>
  <c r="J162" i="24"/>
  <c r="J120" i="24"/>
  <c r="J130" i="24"/>
  <c r="J174" i="24"/>
  <c r="J173" i="24"/>
  <c r="J169" i="24"/>
  <c r="L195" i="24"/>
  <c r="L194" i="24"/>
  <c r="L193" i="24"/>
  <c r="L191" i="24"/>
  <c r="L187" i="24"/>
  <c r="L183" i="24"/>
  <c r="L179" i="24"/>
  <c r="L189" i="24"/>
  <c r="L185" i="24"/>
  <c r="L181" i="24"/>
  <c r="L192" i="24"/>
  <c r="L177" i="24"/>
  <c r="L190" i="24"/>
  <c r="L188" i="24"/>
  <c r="L186" i="24"/>
  <c r="L184" i="24"/>
  <c r="L182" i="24"/>
  <c r="L180" i="24"/>
  <c r="L178" i="24"/>
  <c r="L176" i="24"/>
  <c r="L99" i="24"/>
  <c r="L163" i="24"/>
  <c r="L160" i="24"/>
  <c r="L173" i="24"/>
  <c r="L167" i="24"/>
  <c r="L140" i="24"/>
  <c r="L172" i="24"/>
  <c r="L175" i="24"/>
  <c r="L168" i="24"/>
  <c r="L164" i="24"/>
  <c r="L139" i="24"/>
  <c r="L148" i="24"/>
  <c r="L158" i="24"/>
  <c r="L162" i="24"/>
  <c r="L117" i="24"/>
  <c r="L154" i="24"/>
  <c r="L132" i="24"/>
  <c r="L145" i="24"/>
  <c r="L130" i="24"/>
  <c r="L170" i="24"/>
  <c r="L129" i="24"/>
  <c r="L156" i="24"/>
  <c r="L122" i="24"/>
  <c r="L152" i="24"/>
  <c r="L126" i="24"/>
  <c r="L111" i="24"/>
  <c r="L174" i="24"/>
  <c r="L171" i="24"/>
  <c r="L169" i="24"/>
  <c r="L106" i="24"/>
  <c r="L123" i="24"/>
  <c r="L110" i="24"/>
  <c r="L137" i="24"/>
  <c r="L159" i="24"/>
  <c r="L101" i="24"/>
  <c r="L161" i="24"/>
  <c r="L157" i="24"/>
  <c r="L165" i="24"/>
  <c r="L146" i="24"/>
  <c r="L97" i="24"/>
  <c r="L166" i="24"/>
  <c r="AB195" i="24"/>
  <c r="AB194" i="24"/>
  <c r="AB193" i="24"/>
  <c r="AB191" i="24"/>
  <c r="AB187" i="24"/>
  <c r="AB183" i="24"/>
  <c r="AB179" i="24"/>
  <c r="AB189" i="24"/>
  <c r="AB185" i="24"/>
  <c r="AB181" i="24"/>
  <c r="AB192" i="24"/>
  <c r="AB177" i="24"/>
  <c r="AB190" i="24"/>
  <c r="AB188" i="24"/>
  <c r="AB186" i="24"/>
  <c r="AB184" i="24"/>
  <c r="AB182" i="24"/>
  <c r="AB180" i="24"/>
  <c r="AB178" i="24"/>
  <c r="AB176" i="24"/>
  <c r="AB151" i="24"/>
  <c r="AB109" i="24"/>
  <c r="AB131" i="24"/>
  <c r="AB165" i="24"/>
  <c r="AB132" i="24"/>
  <c r="AB135" i="24"/>
  <c r="AB104" i="24"/>
  <c r="AB144" i="24"/>
  <c r="AB102" i="24"/>
  <c r="AB163" i="24"/>
  <c r="AB99" i="24"/>
  <c r="AB96" i="24"/>
  <c r="AB120" i="24"/>
  <c r="AB101" i="24"/>
  <c r="AB124" i="24"/>
  <c r="AB134" i="24"/>
  <c r="AB168" i="24"/>
  <c r="AB155" i="24"/>
  <c r="AB107" i="24"/>
  <c r="AB117" i="24"/>
  <c r="AB173" i="24"/>
  <c r="AB126" i="24"/>
  <c r="AB108" i="24"/>
  <c r="AB115" i="24"/>
  <c r="AB143" i="24"/>
  <c r="AB164" i="24"/>
  <c r="AB110" i="24"/>
  <c r="AB119" i="24"/>
  <c r="AB100" i="24"/>
  <c r="AB98" i="24"/>
  <c r="AB150" i="24"/>
  <c r="AB158" i="24"/>
  <c r="AB145" i="24"/>
  <c r="AB166" i="24"/>
  <c r="AB159" i="24"/>
  <c r="AB129" i="24"/>
  <c r="AB156" i="24"/>
  <c r="AB160" i="24"/>
  <c r="AB114" i="24"/>
  <c r="AB128" i="24"/>
  <c r="AB162" i="24"/>
  <c r="AB136" i="24"/>
  <c r="AB105" i="24"/>
  <c r="AB113" i="24"/>
  <c r="AB169" i="24"/>
  <c r="AB118" i="24"/>
  <c r="AB161" i="24"/>
  <c r="AB140" i="24"/>
  <c r="AB122" i="24"/>
  <c r="AB170" i="24"/>
  <c r="AB127" i="24"/>
  <c r="AB153" i="24"/>
  <c r="AB146" i="24"/>
  <c r="AB97" i="24"/>
  <c r="AB157" i="24"/>
  <c r="AB103" i="24"/>
  <c r="AB171" i="24"/>
  <c r="AB130" i="24"/>
  <c r="AB142" i="24"/>
  <c r="AB133" i="24"/>
  <c r="AB152" i="24"/>
  <c r="AB172" i="24"/>
  <c r="AB154" i="24"/>
  <c r="AB106" i="24"/>
  <c r="AB123" i="24"/>
  <c r="AB174" i="24"/>
  <c r="AB139" i="24"/>
  <c r="AB148" i="24"/>
  <c r="AB141" i="24"/>
  <c r="AB121" i="24"/>
  <c r="AB175" i="24"/>
  <c r="AB112" i="24"/>
  <c r="AB125" i="24"/>
  <c r="AB138" i="24"/>
  <c r="AB116" i="24"/>
  <c r="AB149" i="24"/>
  <c r="AB147" i="24"/>
  <c r="AB167" i="24"/>
  <c r="AB137" i="24"/>
  <c r="AB111" i="24"/>
  <c r="AA194" i="24"/>
  <c r="AA187" i="24"/>
  <c r="AA183" i="24"/>
  <c r="AA179" i="24"/>
  <c r="AA195" i="24"/>
  <c r="AA193" i="24"/>
  <c r="AA191" i="24"/>
  <c r="AA189" i="24"/>
  <c r="AA185" i="24"/>
  <c r="AA181" i="24"/>
  <c r="AA192" i="24"/>
  <c r="AA190" i="24"/>
  <c r="AA188" i="24"/>
  <c r="AA186" i="24"/>
  <c r="AA184" i="24"/>
  <c r="AA182" i="24"/>
  <c r="AA180" i="24"/>
  <c r="AA176" i="24"/>
  <c r="AA177" i="24"/>
  <c r="AA178" i="24"/>
  <c r="AA171" i="24"/>
  <c r="AA169" i="24"/>
  <c r="AA172" i="24"/>
  <c r="AA174" i="24"/>
  <c r="AA168" i="24"/>
  <c r="AA175" i="24"/>
  <c r="AA170" i="24"/>
  <c r="AA173" i="24"/>
  <c r="AA102" i="24"/>
  <c r="AA135" i="24"/>
  <c r="AA107" i="24"/>
  <c r="AA144" i="24"/>
  <c r="AA110" i="24"/>
  <c r="AA139" i="24"/>
  <c r="AA96" i="24"/>
  <c r="AA127" i="24"/>
  <c r="AA156" i="24"/>
  <c r="AA133" i="24"/>
  <c r="AA98" i="24"/>
  <c r="AA121" i="24"/>
  <c r="AA150" i="24"/>
  <c r="AA104" i="24"/>
  <c r="AA124" i="24"/>
  <c r="AA165" i="24"/>
  <c r="AA101" i="24"/>
  <c r="AA138" i="24"/>
  <c r="AA130" i="24"/>
  <c r="AA99" i="24"/>
  <c r="AA114" i="24"/>
  <c r="AA103" i="24"/>
  <c r="AA100" i="24"/>
  <c r="AA159" i="24"/>
  <c r="AA142" i="24"/>
  <c r="AA153" i="24"/>
  <c r="AA146" i="24"/>
  <c r="AA106" i="24"/>
  <c r="AA115" i="24"/>
  <c r="AA126" i="24"/>
  <c r="AA119" i="24"/>
  <c r="AA97" i="24"/>
  <c r="AA157" i="24"/>
  <c r="AA160" i="24"/>
  <c r="AA137" i="24"/>
  <c r="AA166" i="24"/>
  <c r="AA163" i="24"/>
  <c r="AA122" i="24"/>
  <c r="AA151" i="24"/>
  <c r="AA123" i="24"/>
  <c r="AA164" i="24"/>
  <c r="AA118" i="24"/>
  <c r="AA155" i="24"/>
  <c r="AA111" i="24"/>
  <c r="AA140" i="24"/>
  <c r="AA120" i="24"/>
  <c r="AA149" i="24"/>
  <c r="AA105" i="24"/>
  <c r="AA134" i="24"/>
  <c r="AA158" i="24"/>
  <c r="AA112" i="24"/>
  <c r="AA145" i="24"/>
  <c r="AA162" i="24"/>
  <c r="AA117" i="24"/>
  <c r="AA154" i="24"/>
  <c r="AA161" i="24"/>
  <c r="AA136" i="24"/>
  <c r="AA147" i="24"/>
  <c r="AA132" i="24"/>
  <c r="AA141" i="24"/>
  <c r="AA113" i="24"/>
  <c r="AA116" i="24"/>
  <c r="AA109" i="24"/>
  <c r="AA131" i="24"/>
  <c r="AA143" i="24"/>
  <c r="AA152" i="24"/>
  <c r="AA167" i="24"/>
  <c r="AA148" i="24"/>
  <c r="AA128" i="24"/>
  <c r="AA129" i="24"/>
  <c r="AA108" i="24"/>
  <c r="AA125" i="24"/>
  <c r="I195" i="24"/>
  <c r="I193" i="24"/>
  <c r="I191" i="24"/>
  <c r="I189" i="24"/>
  <c r="I185" i="24"/>
  <c r="I181" i="24"/>
  <c r="I194" i="24"/>
  <c r="I187" i="24"/>
  <c r="I183" i="24"/>
  <c r="I179" i="24"/>
  <c r="I177" i="24"/>
  <c r="I192" i="24"/>
  <c r="I190" i="24"/>
  <c r="I188" i="24"/>
  <c r="I186" i="24"/>
  <c r="I184" i="24"/>
  <c r="I182" i="24"/>
  <c r="I180" i="24"/>
  <c r="I178" i="24"/>
  <c r="I176" i="24"/>
  <c r="I106" i="24"/>
  <c r="I125" i="24"/>
  <c r="I118" i="24"/>
  <c r="I111" i="24"/>
  <c r="I136" i="24"/>
  <c r="I150" i="24"/>
  <c r="I147" i="24"/>
  <c r="I120" i="24"/>
  <c r="I98" i="24"/>
  <c r="I144" i="24"/>
  <c r="I114" i="24"/>
  <c r="I161" i="24"/>
  <c r="I101" i="24"/>
  <c r="I128" i="24"/>
  <c r="I121" i="24"/>
  <c r="I133" i="24"/>
  <c r="I152" i="24"/>
  <c r="I155" i="24"/>
  <c r="I132" i="24"/>
  <c r="I135" i="24"/>
  <c r="I163" i="24"/>
  <c r="I151" i="24"/>
  <c r="I139" i="24"/>
  <c r="I149" i="24"/>
  <c r="I145" i="24"/>
  <c r="I126" i="24"/>
  <c r="I157" i="24"/>
  <c r="I131" i="24"/>
  <c r="I107" i="24"/>
  <c r="I174" i="24"/>
  <c r="I127" i="24"/>
  <c r="I108" i="24"/>
  <c r="I175" i="24"/>
  <c r="I159" i="24"/>
  <c r="I172" i="24"/>
  <c r="I140" i="24"/>
  <c r="I130" i="24"/>
  <c r="I173" i="24"/>
  <c r="I166" i="24"/>
  <c r="I137" i="24"/>
  <c r="I169" i="24"/>
  <c r="I156" i="24"/>
  <c r="I112" i="24"/>
  <c r="I153" i="24"/>
  <c r="I148" i="24"/>
  <c r="I116" i="24"/>
  <c r="I160" i="24"/>
  <c r="I146" i="24"/>
  <c r="I124" i="24"/>
  <c r="I96" i="24"/>
  <c r="I123" i="24"/>
  <c r="I134" i="24"/>
  <c r="I165" i="24"/>
  <c r="I154" i="24"/>
  <c r="I162" i="24"/>
  <c r="I100" i="24"/>
  <c r="I119" i="24"/>
  <c r="I122" i="24"/>
  <c r="I99" i="24"/>
  <c r="I102" i="24"/>
  <c r="I115" i="24"/>
  <c r="I103" i="24"/>
  <c r="I105" i="24"/>
  <c r="I117" i="24"/>
  <c r="I158" i="24"/>
  <c r="I113" i="24"/>
  <c r="I143" i="24"/>
  <c r="I168" i="24"/>
  <c r="I167" i="24"/>
  <c r="I170" i="24"/>
  <c r="I129" i="24"/>
  <c r="I104" i="24"/>
  <c r="I142" i="24"/>
  <c r="I110" i="24"/>
  <c r="I171" i="24"/>
  <c r="I164" i="24"/>
  <c r="I141" i="24"/>
  <c r="I97" i="24"/>
  <c r="I109" i="24"/>
  <c r="Q195" i="24"/>
  <c r="Q193" i="24"/>
  <c r="Q191" i="24"/>
  <c r="Q189" i="24"/>
  <c r="Q185" i="24"/>
  <c r="Q181" i="24"/>
  <c r="Q194" i="24"/>
  <c r="Q187" i="24"/>
  <c r="Q183" i="24"/>
  <c r="Q179" i="24"/>
  <c r="Q177" i="24"/>
  <c r="Q192" i="24"/>
  <c r="Q190" i="24"/>
  <c r="Q188" i="24"/>
  <c r="Q186" i="24"/>
  <c r="Q184" i="24"/>
  <c r="Q182" i="24"/>
  <c r="Q180" i="24"/>
  <c r="Q178" i="24"/>
  <c r="Q176" i="24"/>
  <c r="Q136" i="24"/>
  <c r="Q144" i="24"/>
  <c r="Q108" i="24"/>
  <c r="Q110" i="24"/>
  <c r="Q155" i="24"/>
  <c r="Q120" i="24"/>
  <c r="Q165" i="24"/>
  <c r="Q149" i="24"/>
  <c r="Q111" i="24"/>
  <c r="Q130" i="24"/>
  <c r="Q160" i="24"/>
  <c r="Q137" i="24"/>
  <c r="Q166" i="24"/>
  <c r="Q162" i="24"/>
  <c r="Q124" i="24"/>
  <c r="Q119" i="24"/>
  <c r="Q106" i="24"/>
  <c r="Q107" i="24"/>
  <c r="Q126" i="24"/>
  <c r="Q143" i="24"/>
  <c r="Q122" i="24"/>
  <c r="Q141" i="24"/>
  <c r="Q153" i="24"/>
  <c r="Q118" i="24"/>
  <c r="Q167" i="24"/>
  <c r="Q154" i="24"/>
  <c r="Q148" i="24"/>
  <c r="Q174" i="24"/>
  <c r="Q99" i="24"/>
  <c r="Q133" i="24"/>
  <c r="Q97" i="24"/>
  <c r="Q101" i="24"/>
  <c r="Q163" i="24"/>
  <c r="Q115" i="24"/>
  <c r="Q171" i="24"/>
  <c r="Q127" i="24"/>
  <c r="Q100" i="24"/>
  <c r="Q175" i="24"/>
  <c r="Q159" i="24"/>
  <c r="Q172" i="24"/>
  <c r="Q150" i="24"/>
  <c r="Q142" i="24"/>
  <c r="Q123" i="24"/>
  <c r="Q146" i="24"/>
  <c r="Q116" i="24"/>
  <c r="Q117" i="24"/>
  <c r="Q121" i="24"/>
  <c r="Q158" i="24"/>
  <c r="Q96" i="24"/>
  <c r="Q151" i="24"/>
  <c r="Q125" i="24"/>
  <c r="Q104" i="24"/>
  <c r="Q129" i="24"/>
  <c r="Q157" i="24"/>
  <c r="Q152" i="24"/>
  <c r="Q139" i="24"/>
  <c r="Q140" i="24"/>
  <c r="Q161" i="24"/>
  <c r="Q131" i="24"/>
  <c r="Q156" i="24"/>
  <c r="Q103" i="24"/>
  <c r="Q113" i="24"/>
  <c r="Q109" i="24"/>
  <c r="Q132" i="24"/>
  <c r="Q98" i="24"/>
  <c r="Q128" i="24"/>
  <c r="Q135" i="24"/>
  <c r="Q170" i="24"/>
  <c r="Q114" i="24"/>
  <c r="Q164" i="24"/>
  <c r="Q105" i="24"/>
  <c r="Q145" i="24"/>
  <c r="Q169" i="24"/>
  <c r="Q102" i="24"/>
  <c r="Q168" i="24"/>
  <c r="Q147" i="24"/>
  <c r="Q173" i="24"/>
  <c r="Q138" i="24"/>
  <c r="Q112" i="24"/>
  <c r="Q134" i="24"/>
  <c r="O194" i="24"/>
  <c r="O187" i="24"/>
  <c r="O183" i="24"/>
  <c r="O179" i="24"/>
  <c r="O195" i="24"/>
  <c r="O193" i="24"/>
  <c r="O191" i="24"/>
  <c r="O189" i="24"/>
  <c r="O185" i="24"/>
  <c r="O181" i="24"/>
  <c r="O192" i="24"/>
  <c r="O190" i="24"/>
  <c r="O188" i="24"/>
  <c r="O186" i="24"/>
  <c r="O184" i="24"/>
  <c r="O182" i="24"/>
  <c r="O180" i="24"/>
  <c r="O176" i="24"/>
  <c r="O177" i="24"/>
  <c r="O178" i="24"/>
  <c r="O160" i="24"/>
  <c r="O164" i="24"/>
  <c r="O172" i="24"/>
  <c r="O146" i="24"/>
  <c r="O171" i="24"/>
  <c r="O148" i="24"/>
  <c r="O169" i="24"/>
  <c r="O109" i="24"/>
  <c r="O158" i="24"/>
  <c r="O170" i="24"/>
  <c r="O143" i="24"/>
  <c r="O119" i="24"/>
  <c r="O142" i="24"/>
  <c r="O98" i="24"/>
  <c r="O120" i="24"/>
  <c r="O125" i="24"/>
  <c r="O165" i="24"/>
  <c r="O104" i="24"/>
  <c r="O107" i="24"/>
  <c r="O130" i="24"/>
  <c r="O103" i="24"/>
  <c r="O155" i="24"/>
  <c r="O163" i="24"/>
  <c r="O150" i="24"/>
  <c r="O121" i="24"/>
  <c r="O157" i="24"/>
  <c r="O128" i="24"/>
  <c r="O154" i="24"/>
  <c r="O117" i="24"/>
  <c r="O153" i="24"/>
  <c r="O116" i="24"/>
  <c r="O97" i="24"/>
  <c r="O136" i="24"/>
  <c r="O99" i="24"/>
  <c r="O135" i="24"/>
  <c r="O102" i="24"/>
  <c r="O140" i="24"/>
  <c r="O111" i="24"/>
  <c r="O147" i="24"/>
  <c r="O114" i="24"/>
  <c r="O112" i="24"/>
  <c r="O173" i="24"/>
  <c r="O139" i="24"/>
  <c r="O133" i="24"/>
  <c r="O159" i="24"/>
  <c r="O106" i="24"/>
  <c r="O175" i="24"/>
  <c r="O129" i="24"/>
  <c r="O145" i="24"/>
  <c r="O174" i="24"/>
  <c r="O123" i="24"/>
  <c r="O168" i="24"/>
  <c r="O110" i="24"/>
  <c r="O113" i="24"/>
  <c r="O149" i="24"/>
  <c r="O166" i="24"/>
  <c r="O162" i="24"/>
  <c r="O124" i="24"/>
  <c r="O144" i="24"/>
  <c r="O161" i="24"/>
  <c r="O132" i="24"/>
  <c r="O96" i="24"/>
  <c r="O118" i="24"/>
  <c r="O134" i="24"/>
  <c r="O105" i="24"/>
  <c r="O141" i="24"/>
  <c r="O100" i="24"/>
  <c r="O138" i="24"/>
  <c r="O101" i="24"/>
  <c r="O137" i="24"/>
  <c r="O108" i="24"/>
  <c r="O152" i="24"/>
  <c r="O115" i="24"/>
  <c r="O151" i="24"/>
  <c r="O122" i="24"/>
  <c r="O156" i="24"/>
  <c r="O127" i="24"/>
  <c r="O167" i="24"/>
  <c r="O126" i="24"/>
  <c r="O131" i="24"/>
  <c r="U190" i="23"/>
  <c r="U186" i="23"/>
  <c r="U182" i="23"/>
  <c r="U178" i="23"/>
  <c r="U192" i="23"/>
  <c r="U188" i="23"/>
  <c r="U184" i="23"/>
  <c r="U180" i="23"/>
  <c r="U176" i="23"/>
  <c r="U195" i="23"/>
  <c r="U194" i="23"/>
  <c r="U193" i="23"/>
  <c r="U191" i="23"/>
  <c r="U189" i="23"/>
  <c r="U187" i="23"/>
  <c r="U185" i="23"/>
  <c r="U183" i="23"/>
  <c r="U181" i="23"/>
  <c r="U179" i="23"/>
  <c r="U177" i="23"/>
  <c r="U162" i="23"/>
  <c r="U159" i="23"/>
  <c r="U160" i="23"/>
  <c r="U173" i="23"/>
  <c r="U168" i="23"/>
  <c r="U157" i="23"/>
  <c r="U165" i="23"/>
  <c r="U167" i="23"/>
  <c r="U156" i="23"/>
  <c r="U169" i="23"/>
  <c r="U174" i="23"/>
  <c r="U158" i="23"/>
  <c r="U164" i="23"/>
  <c r="U163" i="23"/>
  <c r="U166" i="23"/>
  <c r="U171" i="23"/>
  <c r="U161" i="23"/>
  <c r="U170" i="23"/>
  <c r="U175" i="23"/>
  <c r="AB192" i="23"/>
  <c r="AB188" i="23"/>
  <c r="AB184" i="23"/>
  <c r="AB180" i="23"/>
  <c r="AB190" i="23"/>
  <c r="AB186" i="23"/>
  <c r="AB182" i="23"/>
  <c r="AB176" i="23"/>
  <c r="AB194" i="23"/>
  <c r="AB178" i="23"/>
  <c r="AB195" i="23"/>
  <c r="AB193" i="23"/>
  <c r="AB191" i="23"/>
  <c r="AB189" i="23"/>
  <c r="AB187" i="23"/>
  <c r="AB185" i="23"/>
  <c r="AB183" i="23"/>
  <c r="AB181" i="23"/>
  <c r="AB179" i="23"/>
  <c r="AB177" i="23"/>
  <c r="AB119" i="23"/>
  <c r="AB146" i="23"/>
  <c r="AB103" i="23"/>
  <c r="AB156" i="23"/>
  <c r="AB159" i="23"/>
  <c r="AB115" i="23"/>
  <c r="AB142" i="23"/>
  <c r="AB152" i="23"/>
  <c r="AB169" i="23"/>
  <c r="AB174" i="23"/>
  <c r="AB108" i="23"/>
  <c r="AB124" i="23"/>
  <c r="AB166" i="23"/>
  <c r="AB175" i="23"/>
  <c r="AB106" i="23"/>
  <c r="AB117" i="23"/>
  <c r="AB107" i="23"/>
  <c r="AB134" i="23"/>
  <c r="AB145" i="23"/>
  <c r="AB162" i="23"/>
  <c r="AB165" i="23"/>
  <c r="AB125" i="23"/>
  <c r="AB98" i="23"/>
  <c r="AB109" i="23"/>
  <c r="AB167" i="23"/>
  <c r="AB121" i="23"/>
  <c r="AB147" i="23"/>
  <c r="AB160" i="23"/>
  <c r="AB173" i="23"/>
  <c r="AB168" i="23"/>
  <c r="AB158" i="23"/>
  <c r="AB140" i="23"/>
  <c r="AB157" i="23"/>
  <c r="AB164" i="23"/>
  <c r="AB170" i="23"/>
  <c r="AB100" i="23"/>
  <c r="AB111" i="23"/>
  <c r="AB138" i="23"/>
  <c r="AB163" i="23"/>
  <c r="AB161" i="23"/>
  <c r="AB112" i="23"/>
  <c r="AB139" i="23"/>
  <c r="AB149" i="23"/>
  <c r="AB171" i="23"/>
  <c r="L192" i="23"/>
  <c r="L188" i="23"/>
  <c r="L184" i="23"/>
  <c r="L180" i="23"/>
  <c r="L190" i="23"/>
  <c r="L186" i="23"/>
  <c r="L182" i="23"/>
  <c r="L176" i="23"/>
  <c r="L194" i="23"/>
  <c r="L178" i="23"/>
  <c r="L195" i="23"/>
  <c r="L193" i="23"/>
  <c r="L191" i="23"/>
  <c r="L189" i="23"/>
  <c r="L187" i="23"/>
  <c r="L185" i="23"/>
  <c r="L183" i="23"/>
  <c r="L181" i="23"/>
  <c r="L179" i="23"/>
  <c r="L177" i="23"/>
  <c r="L101" i="23"/>
  <c r="L150" i="23"/>
  <c r="L132" i="23"/>
  <c r="L119" i="23"/>
  <c r="L146" i="23"/>
  <c r="L103" i="23"/>
  <c r="L130" i="23"/>
  <c r="L141" i="23"/>
  <c r="L156" i="23"/>
  <c r="L159" i="23"/>
  <c r="L99" i="23"/>
  <c r="L115" i="23"/>
  <c r="L142" i="23"/>
  <c r="L152" i="23"/>
  <c r="L169" i="23"/>
  <c r="L104" i="23"/>
  <c r="L154" i="23"/>
  <c r="L126" i="23"/>
  <c r="L137" i="23"/>
  <c r="L174" i="23"/>
  <c r="L108" i="23"/>
  <c r="L124" i="23"/>
  <c r="L122" i="23"/>
  <c r="L133" i="23"/>
  <c r="L128" i="23"/>
  <c r="L123" i="23"/>
  <c r="L166" i="23"/>
  <c r="L175" i="23"/>
  <c r="L106" i="23"/>
  <c r="L117" i="23"/>
  <c r="L143" i="23"/>
  <c r="L153" i="23"/>
  <c r="L97" i="23"/>
  <c r="L144" i="23"/>
  <c r="L96" i="23"/>
  <c r="L107" i="23"/>
  <c r="L134" i="23"/>
  <c r="L145" i="23"/>
  <c r="L155" i="23"/>
  <c r="L162" i="23"/>
  <c r="L116" i="23"/>
  <c r="L165" i="23"/>
  <c r="L114" i="23"/>
  <c r="L125" i="23"/>
  <c r="L98" i="23"/>
  <c r="L109" i="23"/>
  <c r="L135" i="23"/>
  <c r="L151" i="23"/>
  <c r="L167" i="23"/>
  <c r="L136" i="23"/>
  <c r="L110" i="23"/>
  <c r="L121" i="23"/>
  <c r="L147" i="23"/>
  <c r="L160" i="23"/>
  <c r="L173" i="23"/>
  <c r="L120" i="23"/>
  <c r="L105" i="23"/>
  <c r="L131" i="23"/>
  <c r="L168" i="23"/>
  <c r="L158" i="23"/>
  <c r="L140" i="23"/>
  <c r="L157" i="23"/>
  <c r="L127" i="23"/>
  <c r="L164" i="23"/>
  <c r="L118" i="23"/>
  <c r="L129" i="23"/>
  <c r="L170" i="23"/>
  <c r="L100" i="23"/>
  <c r="L111" i="23"/>
  <c r="L138" i="23"/>
  <c r="L148" i="23"/>
  <c r="L163" i="23"/>
  <c r="L113" i="23"/>
  <c r="L161" i="23"/>
  <c r="L102" i="23"/>
  <c r="L112" i="23"/>
  <c r="L139" i="23"/>
  <c r="L149" i="23"/>
  <c r="L171" i="23"/>
  <c r="S192" i="23"/>
  <c r="S188" i="23"/>
  <c r="S184" i="23"/>
  <c r="S180" i="23"/>
  <c r="S190" i="23"/>
  <c r="S186" i="23"/>
  <c r="S182" i="23"/>
  <c r="S178" i="23"/>
  <c r="S176" i="23"/>
  <c r="S195" i="23"/>
  <c r="S194" i="23"/>
  <c r="S193" i="23"/>
  <c r="S191" i="23"/>
  <c r="S189" i="23"/>
  <c r="S187" i="23"/>
  <c r="S185" i="23"/>
  <c r="S183" i="23"/>
  <c r="S181" i="23"/>
  <c r="S179" i="23"/>
  <c r="S177" i="23"/>
  <c r="S162" i="23"/>
  <c r="S116" i="23"/>
  <c r="S165" i="23"/>
  <c r="S135" i="23"/>
  <c r="S146" i="23"/>
  <c r="S156" i="23"/>
  <c r="S103" i="23"/>
  <c r="S119" i="23"/>
  <c r="S130" i="23"/>
  <c r="S159" i="23"/>
  <c r="S136" i="23"/>
  <c r="S110" i="23"/>
  <c r="S137" i="23"/>
  <c r="S152" i="23"/>
  <c r="S174" i="23"/>
  <c r="S154" i="23"/>
  <c r="S115" i="23"/>
  <c r="S126" i="23"/>
  <c r="S168" i="23"/>
  <c r="S173" i="23"/>
  <c r="S157" i="23"/>
  <c r="S108" i="23"/>
  <c r="S111" i="23"/>
  <c r="S122" i="23"/>
  <c r="S148" i="23"/>
  <c r="S164" i="23"/>
  <c r="S128" i="23"/>
  <c r="S107" i="23"/>
  <c r="S139" i="23"/>
  <c r="S149" i="23"/>
  <c r="S166" i="23"/>
  <c r="S100" i="23"/>
  <c r="S127" i="23"/>
  <c r="S138" i="23"/>
  <c r="S113" i="23"/>
  <c r="S96" i="23"/>
  <c r="S112" i="23"/>
  <c r="S129" i="23"/>
  <c r="S170" i="23"/>
  <c r="S132" i="23"/>
  <c r="S101" i="23"/>
  <c r="S150" i="23"/>
  <c r="S109" i="23"/>
  <c r="S141" i="23"/>
  <c r="S151" i="23"/>
  <c r="S98" i="23"/>
  <c r="S114" i="23"/>
  <c r="S125" i="23"/>
  <c r="S167" i="23"/>
  <c r="S104" i="23"/>
  <c r="S99" i="23"/>
  <c r="S131" i="23"/>
  <c r="S142" i="23"/>
  <c r="S160" i="23"/>
  <c r="S120" i="23"/>
  <c r="S105" i="23"/>
  <c r="S121" i="23"/>
  <c r="S147" i="23"/>
  <c r="S169" i="23"/>
  <c r="S124" i="23"/>
  <c r="S158" i="23"/>
  <c r="S140" i="23"/>
  <c r="S117" i="23"/>
  <c r="S143" i="23"/>
  <c r="S153" i="23"/>
  <c r="S97" i="23"/>
  <c r="S161" i="23"/>
  <c r="S118" i="23"/>
  <c r="S145" i="23"/>
  <c r="S155" i="23"/>
  <c r="S175" i="23"/>
  <c r="S106" i="23"/>
  <c r="S133" i="23"/>
  <c r="S163" i="23"/>
  <c r="S144" i="23"/>
  <c r="S102" i="23"/>
  <c r="S123" i="23"/>
  <c r="S134" i="23"/>
  <c r="S171" i="23"/>
  <c r="Z190" i="23"/>
  <c r="Z186" i="23"/>
  <c r="Z182" i="23"/>
  <c r="Z192" i="23"/>
  <c r="Z188" i="23"/>
  <c r="Z184" i="23"/>
  <c r="Z180" i="23"/>
  <c r="Z178" i="23"/>
  <c r="Z195" i="23"/>
  <c r="Z193" i="23"/>
  <c r="Z191" i="23"/>
  <c r="Z189" i="23"/>
  <c r="Z187" i="23"/>
  <c r="Z185" i="23"/>
  <c r="Z183" i="23"/>
  <c r="Z181" i="23"/>
  <c r="Z176" i="23"/>
  <c r="Z194" i="23"/>
  <c r="Z179" i="23"/>
  <c r="Z177" i="23"/>
  <c r="Z165" i="23"/>
  <c r="Z156" i="23"/>
  <c r="Z159" i="23"/>
  <c r="Z173" i="23"/>
  <c r="Z169" i="23"/>
  <c r="Z170" i="23"/>
  <c r="Z164" i="23"/>
  <c r="Z161" i="23"/>
  <c r="Z171" i="23"/>
  <c r="Z162" i="23"/>
  <c r="Z167" i="23"/>
  <c r="Z168" i="23"/>
  <c r="Z174" i="23"/>
  <c r="Z160" i="23"/>
  <c r="Z158" i="23"/>
  <c r="Z157" i="23"/>
  <c r="Z163" i="23"/>
  <c r="Z166" i="23"/>
  <c r="Z175" i="23"/>
  <c r="J190" i="23"/>
  <c r="J186" i="23"/>
  <c r="J182" i="23"/>
  <c r="J192" i="23"/>
  <c r="J188" i="23"/>
  <c r="J184" i="23"/>
  <c r="J180" i="23"/>
  <c r="J178" i="23"/>
  <c r="J195" i="23"/>
  <c r="J193" i="23"/>
  <c r="J191" i="23"/>
  <c r="J189" i="23"/>
  <c r="J187" i="23"/>
  <c r="J185" i="23"/>
  <c r="J183" i="23"/>
  <c r="J181" i="23"/>
  <c r="J177" i="23"/>
  <c r="J176" i="23"/>
  <c r="J194" i="23"/>
  <c r="J179" i="23"/>
  <c r="J101" i="23"/>
  <c r="J165" i="23"/>
  <c r="J150" i="23"/>
  <c r="J103" i="23"/>
  <c r="J130" i="23"/>
  <c r="J141" i="23"/>
  <c r="J156" i="23"/>
  <c r="J114" i="23"/>
  <c r="J125" i="23"/>
  <c r="J159" i="23"/>
  <c r="J154" i="23"/>
  <c r="J126" i="23"/>
  <c r="J137" i="23"/>
  <c r="J173" i="23"/>
  <c r="J104" i="23"/>
  <c r="J99" i="23"/>
  <c r="J115" i="23"/>
  <c r="J142" i="23"/>
  <c r="J152" i="23"/>
  <c r="J169" i="23"/>
  <c r="J124" i="23"/>
  <c r="J108" i="23"/>
  <c r="J100" i="23"/>
  <c r="J111" i="23"/>
  <c r="J138" i="23"/>
  <c r="J148" i="23"/>
  <c r="J113" i="23"/>
  <c r="J96" i="23"/>
  <c r="J107" i="23"/>
  <c r="J139" i="23"/>
  <c r="J149" i="23"/>
  <c r="J170" i="23"/>
  <c r="J127" i="23"/>
  <c r="J164" i="23"/>
  <c r="J97" i="23"/>
  <c r="J161" i="23"/>
  <c r="J118" i="23"/>
  <c r="J129" i="23"/>
  <c r="J171" i="23"/>
  <c r="J162" i="23"/>
  <c r="J132" i="23"/>
  <c r="J116" i="23"/>
  <c r="J98" i="23"/>
  <c r="J109" i="23"/>
  <c r="J135" i="23"/>
  <c r="J151" i="23"/>
  <c r="J167" i="23"/>
  <c r="J119" i="23"/>
  <c r="J146" i="23"/>
  <c r="J120" i="23"/>
  <c r="J105" i="23"/>
  <c r="J131" i="23"/>
  <c r="J168" i="23"/>
  <c r="J174" i="23"/>
  <c r="J136" i="23"/>
  <c r="J110" i="23"/>
  <c r="J121" i="23"/>
  <c r="J147" i="23"/>
  <c r="J160" i="23"/>
  <c r="J158" i="23"/>
  <c r="J157" i="23"/>
  <c r="J140" i="23"/>
  <c r="J106" i="23"/>
  <c r="J117" i="23"/>
  <c r="J143" i="23"/>
  <c r="J153" i="23"/>
  <c r="J144" i="23"/>
  <c r="J102" i="23"/>
  <c r="J134" i="23"/>
  <c r="J145" i="23"/>
  <c r="J155" i="23"/>
  <c r="J122" i="23"/>
  <c r="J133" i="23"/>
  <c r="J163" i="23"/>
  <c r="J128" i="23"/>
  <c r="J112" i="23"/>
  <c r="J123" i="23"/>
  <c r="J166" i="23"/>
  <c r="J175" i="23"/>
  <c r="Q190" i="23"/>
  <c r="Q186" i="23"/>
  <c r="Q182" i="23"/>
  <c r="Q178" i="23"/>
  <c r="Q192" i="23"/>
  <c r="Q188" i="23"/>
  <c r="Q184" i="23"/>
  <c r="Q180" i="23"/>
  <c r="Q176" i="23"/>
  <c r="Q195" i="23"/>
  <c r="Q194" i="23"/>
  <c r="Q193" i="23"/>
  <c r="Q191" i="23"/>
  <c r="Q189" i="23"/>
  <c r="Q187" i="23"/>
  <c r="Q185" i="23"/>
  <c r="Q183" i="23"/>
  <c r="Q181" i="23"/>
  <c r="Q179" i="23"/>
  <c r="Q177" i="23"/>
  <c r="Q116" i="23"/>
  <c r="Q101" i="23"/>
  <c r="Q165" i="23"/>
  <c r="Q114" i="23"/>
  <c r="Q130" i="23"/>
  <c r="Q156" i="23"/>
  <c r="Q98" i="23"/>
  <c r="Q119" i="23"/>
  <c r="Q146" i="23"/>
  <c r="Q167" i="23"/>
  <c r="Q136" i="23"/>
  <c r="Q121" i="23"/>
  <c r="Q131" i="23"/>
  <c r="Q120" i="23"/>
  <c r="Q105" i="23"/>
  <c r="Q115" i="23"/>
  <c r="Q142" i="23"/>
  <c r="Q152" i="23"/>
  <c r="Q169" i="23"/>
  <c r="Q174" i="23"/>
  <c r="Q108" i="23"/>
  <c r="Q124" i="23"/>
  <c r="Q100" i="23"/>
  <c r="Q111" i="23"/>
  <c r="Q138" i="23"/>
  <c r="Q153" i="23"/>
  <c r="Q97" i="23"/>
  <c r="Q161" i="23"/>
  <c r="Q107" i="23"/>
  <c r="Q134" i="23"/>
  <c r="Q149" i="23"/>
  <c r="Q170" i="23"/>
  <c r="Q175" i="23"/>
  <c r="Q122" i="23"/>
  <c r="Q148" i="23"/>
  <c r="Q113" i="23"/>
  <c r="Q102" i="23"/>
  <c r="Q118" i="23"/>
  <c r="Q145" i="23"/>
  <c r="Q162" i="23"/>
  <c r="Q150" i="23"/>
  <c r="Q132" i="23"/>
  <c r="Q103" i="23"/>
  <c r="Q125" i="23"/>
  <c r="Q135" i="23"/>
  <c r="Q159" i="23"/>
  <c r="Q109" i="23"/>
  <c r="Q141" i="23"/>
  <c r="Q151" i="23"/>
  <c r="Q104" i="23"/>
  <c r="Q99" i="23"/>
  <c r="Q126" i="23"/>
  <c r="Q168" i="23"/>
  <c r="Q154" i="23"/>
  <c r="Q110" i="23"/>
  <c r="Q137" i="23"/>
  <c r="Q147" i="23"/>
  <c r="Q160" i="23"/>
  <c r="Q173" i="23"/>
  <c r="Q158" i="23"/>
  <c r="Q140" i="23"/>
  <c r="Q157" i="23"/>
  <c r="Q106" i="23"/>
  <c r="Q133" i="23"/>
  <c r="Q143" i="23"/>
  <c r="Q163" i="23"/>
  <c r="Q128" i="23"/>
  <c r="Q96" i="23"/>
  <c r="Q129" i="23"/>
  <c r="Q139" i="23"/>
  <c r="Q166" i="23"/>
  <c r="Q171" i="23"/>
  <c r="Q117" i="23"/>
  <c r="Q127" i="23"/>
  <c r="Q164" i="23"/>
  <c r="Q144" i="23"/>
  <c r="Q112" i="23"/>
  <c r="Q123" i="23"/>
  <c r="Q155" i="23"/>
  <c r="X192" i="23"/>
  <c r="X188" i="23"/>
  <c r="X184" i="23"/>
  <c r="X180" i="23"/>
  <c r="X190" i="23"/>
  <c r="X186" i="23"/>
  <c r="X182" i="23"/>
  <c r="X176" i="23"/>
  <c r="X194" i="23"/>
  <c r="X178" i="23"/>
  <c r="X195" i="23"/>
  <c r="X193" i="23"/>
  <c r="X191" i="23"/>
  <c r="X189" i="23"/>
  <c r="X187" i="23"/>
  <c r="X185" i="23"/>
  <c r="X183" i="23"/>
  <c r="X181" i="23"/>
  <c r="X179" i="23"/>
  <c r="X177" i="23"/>
  <c r="X132" i="23"/>
  <c r="X101" i="23"/>
  <c r="X150" i="23"/>
  <c r="X98" i="23"/>
  <c r="X109" i="23"/>
  <c r="X135" i="23"/>
  <c r="X151" i="23"/>
  <c r="X167" i="23"/>
  <c r="X114" i="23"/>
  <c r="X125" i="23"/>
  <c r="X104" i="23"/>
  <c r="X105" i="23"/>
  <c r="X131" i="23"/>
  <c r="X168" i="23"/>
  <c r="X120" i="23"/>
  <c r="X99" i="23"/>
  <c r="X115" i="23"/>
  <c r="X142" i="23"/>
  <c r="X152" i="23"/>
  <c r="X169" i="23"/>
  <c r="X124" i="23"/>
  <c r="X158" i="23"/>
  <c r="X140" i="23"/>
  <c r="X106" i="23"/>
  <c r="X117" i="23"/>
  <c r="X143" i="23"/>
  <c r="X153" i="23"/>
  <c r="X97" i="23"/>
  <c r="X161" i="23"/>
  <c r="X102" i="23"/>
  <c r="X112" i="23"/>
  <c r="X139" i="23"/>
  <c r="X149" i="23"/>
  <c r="X171" i="23"/>
  <c r="X127" i="23"/>
  <c r="X164" i="23"/>
  <c r="X144" i="23"/>
  <c r="X123" i="23"/>
  <c r="X166" i="23"/>
  <c r="X175" i="23"/>
  <c r="X162" i="23"/>
  <c r="X116" i="23"/>
  <c r="X165" i="23"/>
  <c r="X103" i="23"/>
  <c r="X130" i="23"/>
  <c r="X141" i="23"/>
  <c r="X156" i="23"/>
  <c r="X159" i="23"/>
  <c r="X119" i="23"/>
  <c r="X146" i="23"/>
  <c r="X136" i="23"/>
  <c r="X126" i="23"/>
  <c r="X137" i="23"/>
  <c r="X174" i="23"/>
  <c r="X154" i="23"/>
  <c r="X110" i="23"/>
  <c r="X121" i="23"/>
  <c r="X147" i="23"/>
  <c r="X160" i="23"/>
  <c r="X173" i="23"/>
  <c r="X157" i="23"/>
  <c r="X108" i="23"/>
  <c r="X100" i="23"/>
  <c r="X111" i="23"/>
  <c r="X138" i="23"/>
  <c r="X148" i="23"/>
  <c r="X163" i="23"/>
  <c r="X128" i="23"/>
  <c r="X96" i="23"/>
  <c r="X107" i="23"/>
  <c r="X134" i="23"/>
  <c r="X145" i="23"/>
  <c r="X155" i="23"/>
  <c r="X122" i="23"/>
  <c r="X133" i="23"/>
  <c r="X113" i="23"/>
  <c r="X118" i="23"/>
  <c r="X129" i="23"/>
  <c r="X170" i="23"/>
  <c r="O192" i="23"/>
  <c r="O188" i="23"/>
  <c r="O184" i="23"/>
  <c r="O180" i="23"/>
  <c r="O190" i="23"/>
  <c r="O186" i="23"/>
  <c r="O182" i="23"/>
  <c r="O176" i="23"/>
  <c r="O195" i="23"/>
  <c r="O194" i="23"/>
  <c r="O193" i="23"/>
  <c r="O191" i="23"/>
  <c r="O189" i="23"/>
  <c r="O187" i="23"/>
  <c r="O185" i="23"/>
  <c r="O183" i="23"/>
  <c r="O181" i="23"/>
  <c r="O179" i="23"/>
  <c r="O178" i="23"/>
  <c r="O177" i="23"/>
  <c r="O162" i="23"/>
  <c r="O156" i="23"/>
  <c r="O159" i="23"/>
  <c r="O168" i="23"/>
  <c r="O173" i="23"/>
  <c r="O160" i="23"/>
  <c r="O158" i="23"/>
  <c r="O157" i="23"/>
  <c r="O163" i="23"/>
  <c r="O170" i="23"/>
  <c r="O164" i="23"/>
  <c r="O175" i="23"/>
  <c r="O165" i="23"/>
  <c r="O167" i="23"/>
  <c r="O169" i="23"/>
  <c r="O174" i="23"/>
  <c r="O171" i="23"/>
  <c r="O161" i="23"/>
  <c r="O166" i="23"/>
  <c r="V190" i="23"/>
  <c r="V186" i="23"/>
  <c r="V182" i="23"/>
  <c r="V192" i="23"/>
  <c r="V188" i="23"/>
  <c r="V184" i="23"/>
  <c r="V180" i="23"/>
  <c r="V178" i="23"/>
  <c r="V195" i="23"/>
  <c r="V193" i="23"/>
  <c r="V191" i="23"/>
  <c r="V189" i="23"/>
  <c r="V187" i="23"/>
  <c r="V185" i="23"/>
  <c r="V183" i="23"/>
  <c r="V176" i="23"/>
  <c r="V194" i="23"/>
  <c r="V181" i="23"/>
  <c r="V179" i="23"/>
  <c r="V177" i="23"/>
  <c r="V165" i="23"/>
  <c r="V159" i="23"/>
  <c r="V167" i="23"/>
  <c r="V169" i="23"/>
  <c r="V168" i="23"/>
  <c r="V174" i="23"/>
  <c r="V163" i="23"/>
  <c r="V171" i="23"/>
  <c r="V162" i="23"/>
  <c r="V156" i="23"/>
  <c r="V160" i="23"/>
  <c r="V173" i="23"/>
  <c r="V158" i="23"/>
  <c r="V157" i="23"/>
  <c r="V164" i="23"/>
  <c r="V161" i="23"/>
  <c r="V166" i="23"/>
  <c r="V175" i="23"/>
  <c r="V170" i="23"/>
  <c r="L93" i="11"/>
  <c r="L95" i="11"/>
  <c r="L91" i="11"/>
  <c r="L92" i="11"/>
  <c r="L94" i="11"/>
  <c r="W95" i="11"/>
  <c r="W92" i="11"/>
  <c r="W91" i="11"/>
  <c r="W94" i="11"/>
  <c r="W93" i="11"/>
  <c r="U93" i="11"/>
  <c r="U95" i="11"/>
  <c r="U91" i="11"/>
  <c r="U92" i="11"/>
  <c r="U94" i="11"/>
  <c r="Q95" i="11"/>
  <c r="Q92" i="11"/>
  <c r="Q91" i="11"/>
  <c r="K93" i="11"/>
  <c r="K92" i="11"/>
  <c r="K94" i="11"/>
  <c r="K95" i="11"/>
  <c r="K91" i="11"/>
  <c r="AA93" i="11"/>
  <c r="AA92" i="11"/>
  <c r="AA94" i="11"/>
  <c r="AA95" i="11"/>
  <c r="AA91" i="11"/>
  <c r="H95" i="11"/>
  <c r="H92" i="11"/>
  <c r="H91" i="11"/>
  <c r="H94" i="11"/>
  <c r="H93" i="11"/>
  <c r="J95" i="11"/>
  <c r="J92" i="11"/>
  <c r="J91" i="11"/>
  <c r="J94" i="11"/>
  <c r="J93" i="11"/>
  <c r="H95" i="24"/>
  <c r="H94" i="24"/>
  <c r="H93" i="24"/>
  <c r="H92" i="24"/>
  <c r="H91" i="24"/>
  <c r="X91" i="24"/>
  <c r="X94" i="24"/>
  <c r="X93" i="24"/>
  <c r="K94" i="24"/>
  <c r="K92" i="24"/>
  <c r="K93" i="24"/>
  <c r="K95" i="24"/>
  <c r="K91" i="24"/>
  <c r="Y93" i="24"/>
  <c r="Y92" i="24"/>
  <c r="Y95" i="24"/>
  <c r="Y94" i="24"/>
  <c r="Y91" i="24"/>
  <c r="S95" i="24"/>
  <c r="S92" i="24"/>
  <c r="S94" i="24"/>
  <c r="S91" i="24"/>
  <c r="S93" i="24"/>
  <c r="T91" i="24"/>
  <c r="U91" i="24"/>
  <c r="U93" i="24"/>
  <c r="U94" i="24"/>
  <c r="U92" i="24"/>
  <c r="U95" i="24"/>
  <c r="N93" i="24"/>
  <c r="N94" i="24"/>
  <c r="N92" i="24"/>
  <c r="N91" i="24"/>
  <c r="N95" i="24"/>
  <c r="T94" i="23"/>
  <c r="T91" i="23"/>
  <c r="T92" i="23"/>
  <c r="T93" i="23"/>
  <c r="T95" i="23"/>
  <c r="AA91" i="23"/>
  <c r="AA92" i="23"/>
  <c r="AA93" i="23"/>
  <c r="AA94" i="23"/>
  <c r="AA95" i="23"/>
  <c r="K91" i="23"/>
  <c r="K92" i="23"/>
  <c r="K93" i="23"/>
  <c r="K94" i="23"/>
  <c r="K95" i="23"/>
  <c r="R94" i="23"/>
  <c r="R95" i="23"/>
  <c r="R93" i="23"/>
  <c r="R92" i="23"/>
  <c r="R91" i="23"/>
  <c r="Y94" i="23"/>
  <c r="Y91" i="23"/>
  <c r="Y92" i="23"/>
  <c r="Y93" i="23"/>
  <c r="Y95" i="23"/>
  <c r="P95" i="23"/>
  <c r="P92" i="23"/>
  <c r="P93" i="23"/>
  <c r="P94" i="23"/>
  <c r="P91" i="23"/>
  <c r="W95" i="23"/>
  <c r="W93" i="23"/>
  <c r="W94" i="23"/>
  <c r="W92" i="23"/>
  <c r="I94" i="23"/>
  <c r="I91" i="23"/>
  <c r="I92" i="23"/>
  <c r="I93" i="23"/>
  <c r="I95" i="23"/>
  <c r="N91" i="23"/>
  <c r="N92" i="23"/>
  <c r="N93" i="23"/>
  <c r="N94" i="23"/>
  <c r="N95" i="23"/>
  <c r="O95" i="11"/>
  <c r="O92" i="11"/>
  <c r="O91" i="11"/>
  <c r="O94" i="11"/>
  <c r="O93" i="11"/>
  <c r="R95" i="11"/>
  <c r="R92" i="11"/>
  <c r="R91" i="11"/>
  <c r="R94" i="11"/>
  <c r="R93" i="11"/>
  <c r="S93" i="11"/>
  <c r="S95" i="11"/>
  <c r="S91" i="11"/>
  <c r="S92" i="11"/>
  <c r="S94" i="11"/>
  <c r="M93" i="11"/>
  <c r="M92" i="11"/>
  <c r="M94" i="11"/>
  <c r="M95" i="11"/>
  <c r="M91" i="11"/>
  <c r="P95" i="11"/>
  <c r="P92" i="11"/>
  <c r="P91" i="11"/>
  <c r="P94" i="11"/>
  <c r="P93" i="11"/>
  <c r="Z95" i="11"/>
  <c r="Z92" i="11"/>
  <c r="Z91" i="11"/>
  <c r="Z94" i="11"/>
  <c r="Z93" i="11"/>
  <c r="N95" i="11"/>
  <c r="N91" i="11"/>
  <c r="W95" i="24"/>
  <c r="W91" i="24"/>
  <c r="W92" i="24"/>
  <c r="W94" i="24"/>
  <c r="W93" i="24"/>
  <c r="V92" i="24"/>
  <c r="V95" i="24"/>
  <c r="V91" i="24"/>
  <c r="V93" i="24"/>
  <c r="V94" i="24"/>
  <c r="J92" i="24"/>
  <c r="J94" i="24"/>
  <c r="J95" i="24"/>
  <c r="J91" i="24"/>
  <c r="J93" i="24"/>
  <c r="L94" i="24"/>
  <c r="L91" i="24"/>
  <c r="L93" i="24"/>
  <c r="AB94" i="24"/>
  <c r="AB93" i="24"/>
  <c r="AB91" i="24"/>
  <c r="AB92" i="24"/>
  <c r="AA95" i="24"/>
  <c r="AA91" i="24"/>
  <c r="AA92" i="24"/>
  <c r="AA94" i="24"/>
  <c r="AA93" i="24"/>
  <c r="I92" i="24"/>
  <c r="I91" i="24"/>
  <c r="I93" i="24"/>
  <c r="I95" i="24"/>
  <c r="I94" i="24"/>
  <c r="Q94" i="24"/>
  <c r="Q92" i="24"/>
  <c r="Q95" i="24"/>
  <c r="Q93" i="24"/>
  <c r="Q91" i="24"/>
  <c r="O92" i="24"/>
  <c r="O93" i="24"/>
  <c r="O91" i="24"/>
  <c r="O94" i="24"/>
  <c r="O95" i="24"/>
  <c r="AB95" i="23"/>
  <c r="AB92" i="23"/>
  <c r="AB93" i="23"/>
  <c r="L94" i="23"/>
  <c r="L91" i="23"/>
  <c r="L95" i="23"/>
  <c r="L92" i="23"/>
  <c r="L93" i="23"/>
  <c r="S94" i="23"/>
  <c r="S91" i="23"/>
  <c r="S92" i="23"/>
  <c r="S93" i="23"/>
  <c r="S95" i="23"/>
  <c r="J94" i="23"/>
  <c r="J95" i="23"/>
  <c r="J93" i="23"/>
  <c r="J92" i="23"/>
  <c r="J91" i="23"/>
  <c r="Q91" i="23"/>
  <c r="Q95" i="23"/>
  <c r="Q92" i="23"/>
  <c r="Q93" i="23"/>
  <c r="Q94" i="23"/>
  <c r="X94" i="23"/>
  <c r="X95" i="23"/>
  <c r="X91" i="23"/>
  <c r="X93" i="23"/>
  <c r="X92" i="23"/>
  <c r="Q17" i="1"/>
  <c r="P23" i="15" s="1"/>
  <c r="Q19" i="1"/>
  <c r="P25" i="15" s="1"/>
  <c r="Q18" i="1"/>
  <c r="P24" i="15" s="1"/>
  <c r="P16" i="1"/>
  <c r="O22" i="15" s="1"/>
  <c r="P17" i="1"/>
  <c r="O23" i="15" s="1"/>
  <c r="P20" i="1"/>
  <c r="O26" i="15" s="1"/>
  <c r="P18" i="1"/>
  <c r="O24" i="15" s="1"/>
  <c r="P19" i="1"/>
  <c r="O25" i="15" s="1"/>
  <c r="P15" i="1"/>
  <c r="O21" i="15" s="1"/>
  <c r="O16" i="1"/>
  <c r="N22" i="15" s="1"/>
  <c r="O17" i="1"/>
  <c r="N23" i="15" s="1"/>
  <c r="O19" i="1"/>
  <c r="N25" i="15" s="1"/>
  <c r="O18" i="1"/>
  <c r="N24" i="15" s="1"/>
  <c r="O20" i="1"/>
  <c r="P14" i="1"/>
  <c r="P13" i="1"/>
  <c r="O19" i="15" s="1"/>
  <c r="W88" i="11"/>
  <c r="W87" i="11"/>
  <c r="W61" i="11"/>
  <c r="W77" i="11"/>
  <c r="W71" i="11"/>
  <c r="W78" i="11"/>
  <c r="W70" i="11"/>
  <c r="W62" i="11"/>
  <c r="W83" i="11"/>
  <c r="W73" i="11"/>
  <c r="W75" i="11"/>
  <c r="W80" i="11"/>
  <c r="W72" i="11"/>
  <c r="W64" i="11"/>
  <c r="W85" i="11"/>
  <c r="W90" i="11"/>
  <c r="W69" i="11"/>
  <c r="W63" i="11"/>
  <c r="W79" i="11"/>
  <c r="W82" i="11"/>
  <c r="W74" i="11"/>
  <c r="W66" i="11"/>
  <c r="W89" i="11"/>
  <c r="W84" i="11"/>
  <c r="W86" i="11"/>
  <c r="W65" i="11"/>
  <c r="W81" i="11"/>
  <c r="W67" i="11"/>
  <c r="W76" i="11"/>
  <c r="W68" i="11"/>
  <c r="U85" i="11"/>
  <c r="U90" i="11"/>
  <c r="U69" i="11"/>
  <c r="U63" i="11"/>
  <c r="U79" i="11"/>
  <c r="U82" i="11"/>
  <c r="U74" i="11"/>
  <c r="U66" i="11"/>
  <c r="U89" i="11"/>
  <c r="U84" i="11"/>
  <c r="U86" i="11"/>
  <c r="U65" i="11"/>
  <c r="U81" i="11"/>
  <c r="U67" i="11"/>
  <c r="U76" i="11"/>
  <c r="U68" i="11"/>
  <c r="U88" i="11"/>
  <c r="U87" i="11"/>
  <c r="U61" i="11"/>
  <c r="U77" i="11"/>
  <c r="U71" i="11"/>
  <c r="U78" i="11"/>
  <c r="U70" i="11"/>
  <c r="U62" i="11"/>
  <c r="U83" i="11"/>
  <c r="U73" i="11"/>
  <c r="U75" i="11"/>
  <c r="U80" i="11"/>
  <c r="U72" i="11"/>
  <c r="U64" i="11"/>
  <c r="T85" i="11"/>
  <c r="T77" i="11"/>
  <c r="T82" i="11"/>
  <c r="T74" i="11"/>
  <c r="T66" i="11"/>
  <c r="T89" i="11"/>
  <c r="T73" i="11"/>
  <c r="T76" i="11"/>
  <c r="T68" i="11"/>
  <c r="T88" i="11"/>
  <c r="T87" i="11"/>
  <c r="T79" i="11"/>
  <c r="T70" i="11"/>
  <c r="T62" i="11"/>
  <c r="T83" i="11"/>
  <c r="T65" i="11"/>
  <c r="T80" i="11"/>
  <c r="T64" i="11"/>
  <c r="Q88" i="11"/>
  <c r="Q87" i="11"/>
  <c r="Q61" i="11"/>
  <c r="Q78" i="11"/>
  <c r="Q62" i="11"/>
  <c r="Q83" i="11"/>
  <c r="Q73" i="11"/>
  <c r="Q75" i="11"/>
  <c r="Q64" i="11"/>
  <c r="Q90" i="11"/>
  <c r="Q69" i="11"/>
  <c r="Q63" i="11"/>
  <c r="Q79" i="11"/>
  <c r="Q66" i="11"/>
  <c r="Q84" i="11"/>
  <c r="Q86" i="11"/>
  <c r="Q65" i="11"/>
  <c r="Q81" i="11"/>
  <c r="Q68" i="11"/>
  <c r="K85" i="11"/>
  <c r="K90" i="11"/>
  <c r="K69" i="11"/>
  <c r="K63" i="11"/>
  <c r="K79" i="11"/>
  <c r="K82" i="11"/>
  <c r="K74" i="11"/>
  <c r="K66" i="11"/>
  <c r="K89" i="11"/>
  <c r="K84" i="11"/>
  <c r="K86" i="11"/>
  <c r="K65" i="11"/>
  <c r="K81" i="11"/>
  <c r="K67" i="11"/>
  <c r="K76" i="11"/>
  <c r="K68" i="11"/>
  <c r="K88" i="11"/>
  <c r="K87" i="11"/>
  <c r="K61" i="11"/>
  <c r="K77" i="11"/>
  <c r="K71" i="11"/>
  <c r="K78" i="11"/>
  <c r="K70" i="11"/>
  <c r="K62" i="11"/>
  <c r="K83" i="11"/>
  <c r="K73" i="11"/>
  <c r="K75" i="11"/>
  <c r="K80" i="11"/>
  <c r="K72" i="11"/>
  <c r="K64" i="11"/>
  <c r="AA85" i="11"/>
  <c r="AA90" i="11"/>
  <c r="AA69" i="11"/>
  <c r="AA63" i="11"/>
  <c r="AA79" i="11"/>
  <c r="AA82" i="11"/>
  <c r="AA74" i="11"/>
  <c r="AA66" i="11"/>
  <c r="AA89" i="11"/>
  <c r="AA84" i="11"/>
  <c r="AA86" i="11"/>
  <c r="AA65" i="11"/>
  <c r="AA81" i="11"/>
  <c r="AA67" i="11"/>
  <c r="AA76" i="11"/>
  <c r="AA68" i="11"/>
  <c r="AA88" i="11"/>
  <c r="AA87" i="11"/>
  <c r="AA61" i="11"/>
  <c r="AA77" i="11"/>
  <c r="AA71" i="11"/>
  <c r="AA78" i="11"/>
  <c r="AA70" i="11"/>
  <c r="AA62" i="11"/>
  <c r="AA83" i="11"/>
  <c r="AA73" i="11"/>
  <c r="AA75" i="11"/>
  <c r="AA80" i="11"/>
  <c r="AA72" i="11"/>
  <c r="AA64" i="11"/>
  <c r="H88" i="11"/>
  <c r="H87" i="11"/>
  <c r="H61" i="11"/>
  <c r="H69" i="11"/>
  <c r="H63" i="11"/>
  <c r="H79" i="11"/>
  <c r="H78" i="11"/>
  <c r="H70" i="11"/>
  <c r="H62" i="11"/>
  <c r="H83" i="11"/>
  <c r="H65" i="11"/>
  <c r="H81" i="11"/>
  <c r="H67" i="11"/>
  <c r="H80" i="11"/>
  <c r="H72" i="11"/>
  <c r="H64" i="11"/>
  <c r="H85" i="11"/>
  <c r="H90" i="11"/>
  <c r="H77" i="11"/>
  <c r="H71" i="11"/>
  <c r="H82" i="11"/>
  <c r="H74" i="11"/>
  <c r="H66" i="11"/>
  <c r="H89" i="11"/>
  <c r="H84" i="11"/>
  <c r="H86" i="11"/>
  <c r="H73" i="11"/>
  <c r="H75" i="11"/>
  <c r="H76" i="11"/>
  <c r="H68" i="11"/>
  <c r="J88" i="11"/>
  <c r="J87" i="11"/>
  <c r="J61" i="11"/>
  <c r="J77" i="11"/>
  <c r="J71" i="11"/>
  <c r="J82" i="11"/>
  <c r="J74" i="11"/>
  <c r="J66" i="11"/>
  <c r="J83" i="11"/>
  <c r="J73" i="11"/>
  <c r="J75" i="11"/>
  <c r="J76" i="11"/>
  <c r="J68" i="11"/>
  <c r="J85" i="11"/>
  <c r="J90" i="11"/>
  <c r="J69" i="11"/>
  <c r="J63" i="11"/>
  <c r="J79" i="11"/>
  <c r="J78" i="11"/>
  <c r="J70" i="11"/>
  <c r="J62" i="11"/>
  <c r="J89" i="11"/>
  <c r="J84" i="11"/>
  <c r="J86" i="11"/>
  <c r="J65" i="11"/>
  <c r="J81" i="11"/>
  <c r="J67" i="11"/>
  <c r="J80" i="11"/>
  <c r="J72" i="11"/>
  <c r="J64" i="11"/>
  <c r="H74" i="24"/>
  <c r="H67" i="24"/>
  <c r="H62" i="24"/>
  <c r="H63" i="24"/>
  <c r="H64" i="24"/>
  <c r="H88" i="24"/>
  <c r="H81" i="24"/>
  <c r="H76" i="24"/>
  <c r="H69" i="24"/>
  <c r="H82" i="24"/>
  <c r="H71" i="24"/>
  <c r="H68" i="24"/>
  <c r="H77" i="24"/>
  <c r="H86" i="24"/>
  <c r="H83" i="24"/>
  <c r="H78" i="24"/>
  <c r="H79" i="24"/>
  <c r="H80" i="24"/>
  <c r="H65" i="24"/>
  <c r="H85" i="24"/>
  <c r="H72" i="24"/>
  <c r="H73" i="24"/>
  <c r="H61" i="24"/>
  <c r="H66" i="24"/>
  <c r="H75" i="24"/>
  <c r="H70" i="24"/>
  <c r="H84" i="24"/>
  <c r="H89" i="24"/>
  <c r="H90" i="24"/>
  <c r="H87" i="24"/>
  <c r="X86" i="24"/>
  <c r="X65" i="24"/>
  <c r="X82" i="24"/>
  <c r="X76" i="24"/>
  <c r="X81" i="24"/>
  <c r="X79" i="24"/>
  <c r="X83" i="24"/>
  <c r="X70" i="24"/>
  <c r="X84" i="24"/>
  <c r="X88" i="24"/>
  <c r="X64" i="24"/>
  <c r="X78" i="24"/>
  <c r="X67" i="24"/>
  <c r="X62" i="24"/>
  <c r="X74" i="24"/>
  <c r="X89" i="24"/>
  <c r="X77" i="24"/>
  <c r="X68" i="24"/>
  <c r="X61" i="24"/>
  <c r="X73" i="24"/>
  <c r="X66" i="24"/>
  <c r="X75" i="24"/>
  <c r="X71" i="24"/>
  <c r="K70" i="24"/>
  <c r="K71" i="24"/>
  <c r="K74" i="24"/>
  <c r="K67" i="24"/>
  <c r="K77" i="24"/>
  <c r="K64" i="24"/>
  <c r="K88" i="24"/>
  <c r="K89" i="24"/>
  <c r="K79" i="24"/>
  <c r="K90" i="24"/>
  <c r="K72" i="24"/>
  <c r="K81" i="24"/>
  <c r="K63" i="24"/>
  <c r="K75" i="24"/>
  <c r="K85" i="24"/>
  <c r="K84" i="24"/>
  <c r="K87" i="24"/>
  <c r="K86" i="24"/>
  <c r="K83" i="24"/>
  <c r="K76" i="24"/>
  <c r="K61" i="24"/>
  <c r="K80" i="24"/>
  <c r="K73" i="24"/>
  <c r="K78" i="24"/>
  <c r="K66" i="24"/>
  <c r="K69" i="24"/>
  <c r="K62" i="24"/>
  <c r="K82" i="24"/>
  <c r="K68" i="24"/>
  <c r="K65" i="24"/>
  <c r="Y83" i="24"/>
  <c r="Y86" i="24"/>
  <c r="Y84" i="24"/>
  <c r="Y76" i="24"/>
  <c r="Y62" i="24"/>
  <c r="Y66" i="24"/>
  <c r="Y78" i="24"/>
  <c r="Y72" i="24"/>
  <c r="Y85" i="24"/>
  <c r="Y68" i="24"/>
  <c r="Y75" i="24"/>
  <c r="Y74" i="24"/>
  <c r="Y90" i="24"/>
  <c r="Y89" i="24"/>
  <c r="Y63" i="24"/>
  <c r="Y64" i="24"/>
  <c r="Y79" i="24"/>
  <c r="Y65" i="24"/>
  <c r="Y73" i="24"/>
  <c r="Y69" i="24"/>
  <c r="Y82" i="24"/>
  <c r="Y70" i="24"/>
  <c r="Y77" i="24"/>
  <c r="Y71" i="24"/>
  <c r="Y67" i="24"/>
  <c r="Y81" i="24"/>
  <c r="Y61" i="24"/>
  <c r="Y80" i="24"/>
  <c r="Y88" i="24"/>
  <c r="Y87" i="24"/>
  <c r="R84" i="24"/>
  <c r="S81" i="24"/>
  <c r="S83" i="24"/>
  <c r="S63" i="24"/>
  <c r="S89" i="24"/>
  <c r="S72" i="24"/>
  <c r="S78" i="24"/>
  <c r="S67" i="24"/>
  <c r="S84" i="24"/>
  <c r="S73" i="24"/>
  <c r="S64" i="24"/>
  <c r="S86" i="24"/>
  <c r="S87" i="24"/>
  <c r="S66" i="24"/>
  <c r="S88" i="24"/>
  <c r="S62" i="24"/>
  <c r="S61" i="24"/>
  <c r="S90" i="24"/>
  <c r="S77" i="24"/>
  <c r="S76" i="24"/>
  <c r="S65" i="24"/>
  <c r="S79" i="24"/>
  <c r="S74" i="24"/>
  <c r="S69" i="24"/>
  <c r="S68" i="24"/>
  <c r="S85" i="24"/>
  <c r="S80" i="24"/>
  <c r="S71" i="24"/>
  <c r="S70" i="24"/>
  <c r="S75" i="24"/>
  <c r="S82" i="24"/>
  <c r="T83" i="24"/>
  <c r="T79" i="24"/>
  <c r="T70" i="24"/>
  <c r="T71" i="24"/>
  <c r="T86" i="24"/>
  <c r="T69" i="24"/>
  <c r="T72" i="24"/>
  <c r="T74" i="24"/>
  <c r="T85" i="24"/>
  <c r="T64" i="24"/>
  <c r="T62" i="24"/>
  <c r="T90" i="24"/>
  <c r="T77" i="24"/>
  <c r="T88" i="24"/>
  <c r="T89" i="24"/>
  <c r="T75" i="24"/>
  <c r="T84" i="24"/>
  <c r="T81" i="24"/>
  <c r="T82" i="24"/>
  <c r="T61" i="24"/>
  <c r="T80" i="24"/>
  <c r="T73" i="24"/>
  <c r="T78" i="24"/>
  <c r="U78" i="24"/>
  <c r="U67" i="24"/>
  <c r="U66" i="24"/>
  <c r="U71" i="24"/>
  <c r="U84" i="24"/>
  <c r="U81" i="24"/>
  <c r="U72" i="24"/>
  <c r="U69" i="24"/>
  <c r="U74" i="24"/>
  <c r="U64" i="24"/>
  <c r="U77" i="24"/>
  <c r="U70" i="24"/>
  <c r="U90" i="24"/>
  <c r="U76" i="24"/>
  <c r="U80" i="24"/>
  <c r="U62" i="24"/>
  <c r="U83" i="24"/>
  <c r="U82" i="24"/>
  <c r="U87" i="24"/>
  <c r="U68" i="24"/>
  <c r="U65" i="24"/>
  <c r="U88" i="24"/>
  <c r="U85" i="24"/>
  <c r="U86" i="24"/>
  <c r="U63" i="24"/>
  <c r="U73" i="24"/>
  <c r="U75" i="24"/>
  <c r="U79" i="24"/>
  <c r="U89" i="24"/>
  <c r="U61" i="24"/>
  <c r="N68" i="24"/>
  <c r="N72" i="24"/>
  <c r="N87" i="24"/>
  <c r="N82" i="24"/>
  <c r="N81" i="24"/>
  <c r="N86" i="24"/>
  <c r="N63" i="24"/>
  <c r="N90" i="24"/>
  <c r="N85" i="24"/>
  <c r="N66" i="24"/>
  <c r="N83" i="24"/>
  <c r="N71" i="24"/>
  <c r="N69" i="24"/>
  <c r="N75" i="24"/>
  <c r="N77" i="24"/>
  <c r="N80" i="24"/>
  <c r="N61" i="24"/>
  <c r="N84" i="24"/>
  <c r="N65" i="24"/>
  <c r="N89" i="24"/>
  <c r="N76" i="24"/>
  <c r="N88" i="24"/>
  <c r="N78" i="24"/>
  <c r="N74" i="24"/>
  <c r="N62" i="24"/>
  <c r="N67" i="24"/>
  <c r="N64" i="24"/>
  <c r="N73" i="24"/>
  <c r="N70" i="24"/>
  <c r="T63" i="23"/>
  <c r="T79" i="23"/>
  <c r="T68" i="23"/>
  <c r="T83" i="23"/>
  <c r="T88" i="23"/>
  <c r="T86" i="23"/>
  <c r="T74" i="23"/>
  <c r="T67" i="23"/>
  <c r="T84" i="23"/>
  <c r="T90" i="23"/>
  <c r="T65" i="23"/>
  <c r="T81" i="23"/>
  <c r="T77" i="23"/>
  <c r="T87" i="23"/>
  <c r="T66" i="23"/>
  <c r="T62" i="23"/>
  <c r="T78" i="23"/>
  <c r="T73" i="23"/>
  <c r="T69" i="23"/>
  <c r="T80" i="23"/>
  <c r="T64" i="23"/>
  <c r="T89" i="23"/>
  <c r="T71" i="23"/>
  <c r="T70" i="23"/>
  <c r="T85" i="23"/>
  <c r="T75" i="23"/>
  <c r="T82" i="23"/>
  <c r="T76" i="23"/>
  <c r="T61" i="23"/>
  <c r="T72" i="23"/>
  <c r="AA68" i="23"/>
  <c r="AA78" i="23"/>
  <c r="AA88" i="23"/>
  <c r="AA67" i="23"/>
  <c r="AA69" i="23"/>
  <c r="AA80" i="23"/>
  <c r="AA86" i="23"/>
  <c r="AA64" i="23"/>
  <c r="AA89" i="23"/>
  <c r="AA65" i="23"/>
  <c r="AA81" i="23"/>
  <c r="AA82" i="23"/>
  <c r="AA76" i="23"/>
  <c r="AA66" i="23"/>
  <c r="AA79" i="23"/>
  <c r="AA63" i="23"/>
  <c r="AA62" i="23"/>
  <c r="AA73" i="23"/>
  <c r="AA83" i="23"/>
  <c r="AA74" i="23"/>
  <c r="AA84" i="23"/>
  <c r="AA71" i="23"/>
  <c r="AA90" i="23"/>
  <c r="AA70" i="23"/>
  <c r="AA85" i="23"/>
  <c r="AA77" i="23"/>
  <c r="AA87" i="23"/>
  <c r="AA75" i="23"/>
  <c r="AA61" i="23"/>
  <c r="AA72" i="23"/>
  <c r="K68" i="23"/>
  <c r="K78" i="23"/>
  <c r="K88" i="23"/>
  <c r="K67" i="23"/>
  <c r="K69" i="23"/>
  <c r="K80" i="23"/>
  <c r="K86" i="23"/>
  <c r="K64" i="23"/>
  <c r="K89" i="23"/>
  <c r="K65" i="23"/>
  <c r="K81" i="23"/>
  <c r="K82" i="23"/>
  <c r="K76" i="23"/>
  <c r="K66" i="23"/>
  <c r="K79" i="23"/>
  <c r="K63" i="23"/>
  <c r="K62" i="23"/>
  <c r="K73" i="23"/>
  <c r="K83" i="23"/>
  <c r="K74" i="23"/>
  <c r="K84" i="23"/>
  <c r="K71" i="23"/>
  <c r="K90" i="23"/>
  <c r="K70" i="23"/>
  <c r="K85" i="23"/>
  <c r="K77" i="23"/>
  <c r="K87" i="23"/>
  <c r="K75" i="23"/>
  <c r="K61" i="23"/>
  <c r="K72" i="23"/>
  <c r="R79" i="23"/>
  <c r="R88" i="23"/>
  <c r="R78" i="23"/>
  <c r="R64" i="23"/>
  <c r="R89" i="23"/>
  <c r="R67" i="23"/>
  <c r="R74" i="23"/>
  <c r="R65" i="23"/>
  <c r="R71" i="23"/>
  <c r="R61" i="23"/>
  <c r="R72" i="23"/>
  <c r="R85" i="23"/>
  <c r="R77" i="23"/>
  <c r="R87" i="23"/>
  <c r="R63" i="23"/>
  <c r="R62" i="23"/>
  <c r="R68" i="23"/>
  <c r="R73" i="23"/>
  <c r="R83" i="23"/>
  <c r="R86" i="23"/>
  <c r="R84" i="23"/>
  <c r="R69" i="23"/>
  <c r="R80" i="23"/>
  <c r="R90" i="23"/>
  <c r="R70" i="23"/>
  <c r="R76" i="23"/>
  <c r="R75" i="23"/>
  <c r="R66" i="23"/>
  <c r="R81" i="23"/>
  <c r="R82" i="23"/>
  <c r="Y62" i="23"/>
  <c r="Y73" i="23"/>
  <c r="Y67" i="23"/>
  <c r="Y88" i="23"/>
  <c r="Y69" i="23"/>
  <c r="Y89" i="23"/>
  <c r="Y64" i="23"/>
  <c r="Y84" i="23"/>
  <c r="Y70" i="23"/>
  <c r="Y65" i="23"/>
  <c r="Y77" i="23"/>
  <c r="Y76" i="23"/>
  <c r="Y61" i="23"/>
  <c r="Y82" i="23"/>
  <c r="Y79" i="23"/>
  <c r="Y63" i="23"/>
  <c r="Y68" i="23"/>
  <c r="Y83" i="23"/>
  <c r="Y78" i="23"/>
  <c r="Y80" i="23"/>
  <c r="Y86" i="23"/>
  <c r="Y74" i="23"/>
  <c r="Y71" i="23"/>
  <c r="Y90" i="23"/>
  <c r="Y81" i="23"/>
  <c r="Y66" i="23"/>
  <c r="Y87" i="23"/>
  <c r="Y85" i="23"/>
  <c r="Y75" i="23"/>
  <c r="Y72" i="23"/>
  <c r="P62" i="23"/>
  <c r="P88" i="23"/>
  <c r="P78" i="23"/>
  <c r="P67" i="23"/>
  <c r="P64" i="23"/>
  <c r="P89" i="23"/>
  <c r="P86" i="23"/>
  <c r="P69" i="23"/>
  <c r="P80" i="23"/>
  <c r="P65" i="23"/>
  <c r="P76" i="23"/>
  <c r="P66" i="23"/>
  <c r="P85" i="23"/>
  <c r="P75" i="23"/>
  <c r="P77" i="23"/>
  <c r="P87" i="23"/>
  <c r="P79" i="23"/>
  <c r="P68" i="23"/>
  <c r="P63" i="23"/>
  <c r="P73" i="23"/>
  <c r="P83" i="23"/>
  <c r="P84" i="23"/>
  <c r="P74" i="23"/>
  <c r="P71" i="23"/>
  <c r="P70" i="23"/>
  <c r="P90" i="23"/>
  <c r="P61" i="23"/>
  <c r="P72" i="23"/>
  <c r="P81" i="23"/>
  <c r="P82" i="23"/>
  <c r="W63" i="23"/>
  <c r="W79" i="23"/>
  <c r="W68" i="23"/>
  <c r="W73" i="23"/>
  <c r="W86" i="23"/>
  <c r="W64" i="23"/>
  <c r="W89" i="23"/>
  <c r="W67" i="23"/>
  <c r="W69" i="23"/>
  <c r="W80" i="23"/>
  <c r="W90" i="23"/>
  <c r="W76" i="23"/>
  <c r="W66" i="23"/>
  <c r="W81" i="23"/>
  <c r="W82" i="23"/>
  <c r="W62" i="23"/>
  <c r="W88" i="23"/>
  <c r="W78" i="23"/>
  <c r="W84" i="23"/>
  <c r="W74" i="23"/>
  <c r="W65" i="23"/>
  <c r="W71" i="23"/>
  <c r="W75" i="23"/>
  <c r="W61" i="23"/>
  <c r="W72" i="23"/>
  <c r="W85" i="23"/>
  <c r="W77" i="23"/>
  <c r="W87" i="23"/>
  <c r="I79" i="23"/>
  <c r="I63" i="23"/>
  <c r="I68" i="23"/>
  <c r="I83" i="23"/>
  <c r="I88" i="23"/>
  <c r="I67" i="23"/>
  <c r="I80" i="23"/>
  <c r="I86" i="23"/>
  <c r="I74" i="23"/>
  <c r="I71" i="23"/>
  <c r="I90" i="23"/>
  <c r="I81" i="23"/>
  <c r="I66" i="23"/>
  <c r="I87" i="23"/>
  <c r="I85" i="23"/>
  <c r="I75" i="23"/>
  <c r="I72" i="23"/>
  <c r="I62" i="23"/>
  <c r="I73" i="23"/>
  <c r="I78" i="23"/>
  <c r="I69" i="23"/>
  <c r="I89" i="23"/>
  <c r="I64" i="23"/>
  <c r="I84" i="23"/>
  <c r="I70" i="23"/>
  <c r="I65" i="23"/>
  <c r="I77" i="23"/>
  <c r="I76" i="23"/>
  <c r="I61" i="23"/>
  <c r="I82" i="23"/>
  <c r="N68" i="23"/>
  <c r="N78" i="23"/>
  <c r="N88" i="23"/>
  <c r="N67" i="23"/>
  <c r="N74" i="23"/>
  <c r="N64" i="23"/>
  <c r="N89" i="23"/>
  <c r="N65" i="23"/>
  <c r="N81" i="23"/>
  <c r="N82" i="23"/>
  <c r="N76" i="23"/>
  <c r="N75" i="23"/>
  <c r="N66" i="23"/>
  <c r="N79" i="23"/>
  <c r="N63" i="23"/>
  <c r="N62" i="23"/>
  <c r="N73" i="23"/>
  <c r="N83" i="23"/>
  <c r="N69" i="23"/>
  <c r="N80" i="23"/>
  <c r="N86" i="23"/>
  <c r="N84" i="23"/>
  <c r="N71" i="23"/>
  <c r="N90" i="23"/>
  <c r="N70" i="23"/>
  <c r="N85" i="23"/>
  <c r="N77" i="23"/>
  <c r="N87" i="23"/>
  <c r="N61" i="23"/>
  <c r="N72" i="23"/>
  <c r="O88" i="11"/>
  <c r="O87" i="11"/>
  <c r="O61" i="11"/>
  <c r="O77" i="11"/>
  <c r="O71" i="11"/>
  <c r="O78" i="11"/>
  <c r="O70" i="11"/>
  <c r="O62" i="11"/>
  <c r="O83" i="11"/>
  <c r="O73" i="11"/>
  <c r="O75" i="11"/>
  <c r="O80" i="11"/>
  <c r="O72" i="11"/>
  <c r="O64" i="11"/>
  <c r="O85" i="11"/>
  <c r="O90" i="11"/>
  <c r="O69" i="11"/>
  <c r="O63" i="11"/>
  <c r="O79" i="11"/>
  <c r="O82" i="11"/>
  <c r="O74" i="11"/>
  <c r="O66" i="11"/>
  <c r="O89" i="11"/>
  <c r="O84" i="11"/>
  <c r="O86" i="11"/>
  <c r="O65" i="11"/>
  <c r="O81" i="11"/>
  <c r="O67" i="11"/>
  <c r="O76" i="11"/>
  <c r="O68" i="11"/>
  <c r="L85" i="11"/>
  <c r="L90" i="11"/>
  <c r="L77" i="11"/>
  <c r="L71" i="11"/>
  <c r="L82" i="11"/>
  <c r="L74" i="11"/>
  <c r="L66" i="11"/>
  <c r="L89" i="11"/>
  <c r="L84" i="11"/>
  <c r="L86" i="11"/>
  <c r="L73" i="11"/>
  <c r="L75" i="11"/>
  <c r="L76" i="11"/>
  <c r="L68" i="11"/>
  <c r="L88" i="11"/>
  <c r="L87" i="11"/>
  <c r="L61" i="11"/>
  <c r="L69" i="11"/>
  <c r="L63" i="11"/>
  <c r="L79" i="11"/>
  <c r="L78" i="11"/>
  <c r="L70" i="11"/>
  <c r="L62" i="11"/>
  <c r="L83" i="11"/>
  <c r="L65" i="11"/>
  <c r="L81" i="11"/>
  <c r="L67" i="11"/>
  <c r="L80" i="11"/>
  <c r="L72" i="11"/>
  <c r="L64" i="11"/>
  <c r="R88" i="11"/>
  <c r="R87" i="11"/>
  <c r="R61" i="11"/>
  <c r="R77" i="11"/>
  <c r="R71" i="11"/>
  <c r="R82" i="11"/>
  <c r="R74" i="11"/>
  <c r="R66" i="11"/>
  <c r="R83" i="11"/>
  <c r="R73" i="11"/>
  <c r="R75" i="11"/>
  <c r="R76" i="11"/>
  <c r="R68" i="11"/>
  <c r="R85" i="11"/>
  <c r="R90" i="11"/>
  <c r="R69" i="11"/>
  <c r="R63" i="11"/>
  <c r="R79" i="11"/>
  <c r="R78" i="11"/>
  <c r="R70" i="11"/>
  <c r="R62" i="11"/>
  <c r="R89" i="11"/>
  <c r="R84" i="11"/>
  <c r="R86" i="11"/>
  <c r="R65" i="11"/>
  <c r="R81" i="11"/>
  <c r="R67" i="11"/>
  <c r="R80" i="11"/>
  <c r="R72" i="11"/>
  <c r="R64" i="11"/>
  <c r="S85" i="11"/>
  <c r="S90" i="11"/>
  <c r="S69" i="11"/>
  <c r="S63" i="11"/>
  <c r="S79" i="11"/>
  <c r="S82" i="11"/>
  <c r="S74" i="11"/>
  <c r="S66" i="11"/>
  <c r="S89" i="11"/>
  <c r="S84" i="11"/>
  <c r="S86" i="11"/>
  <c r="S65" i="11"/>
  <c r="S81" i="11"/>
  <c r="S67" i="11"/>
  <c r="S76" i="11"/>
  <c r="S68" i="11"/>
  <c r="S88" i="11"/>
  <c r="S87" i="11"/>
  <c r="S61" i="11"/>
  <c r="S77" i="11"/>
  <c r="S71" i="11"/>
  <c r="S78" i="11"/>
  <c r="S70" i="11"/>
  <c r="S62" i="11"/>
  <c r="S83" i="11"/>
  <c r="S73" i="11"/>
  <c r="S75" i="11"/>
  <c r="S80" i="11"/>
  <c r="S72" i="11"/>
  <c r="S64" i="11"/>
  <c r="M85" i="11"/>
  <c r="M90" i="11"/>
  <c r="M69" i="11"/>
  <c r="M63" i="11"/>
  <c r="M79" i="11"/>
  <c r="M82" i="11"/>
  <c r="M74" i="11"/>
  <c r="M66" i="11"/>
  <c r="M89" i="11"/>
  <c r="M84" i="11"/>
  <c r="M86" i="11"/>
  <c r="M65" i="11"/>
  <c r="M81" i="11"/>
  <c r="M67" i="11"/>
  <c r="M76" i="11"/>
  <c r="M68" i="11"/>
  <c r="M88" i="11"/>
  <c r="M87" i="11"/>
  <c r="M61" i="11"/>
  <c r="M77" i="11"/>
  <c r="M71" i="11"/>
  <c r="M78" i="11"/>
  <c r="M70" i="11"/>
  <c r="M62" i="11"/>
  <c r="M83" i="11"/>
  <c r="M73" i="11"/>
  <c r="M75" i="11"/>
  <c r="M80" i="11"/>
  <c r="M72" i="11"/>
  <c r="M64" i="11"/>
  <c r="P88" i="11"/>
  <c r="P87" i="11"/>
  <c r="P69" i="11"/>
  <c r="P63" i="11"/>
  <c r="P79" i="11"/>
  <c r="P78" i="11"/>
  <c r="P70" i="11"/>
  <c r="P62" i="11"/>
  <c r="P83" i="11"/>
  <c r="P65" i="11"/>
  <c r="P81" i="11"/>
  <c r="P67" i="11"/>
  <c r="P80" i="11"/>
  <c r="P72" i="11"/>
  <c r="P64" i="11"/>
  <c r="P85" i="11"/>
  <c r="P90" i="11"/>
  <c r="P61" i="11"/>
  <c r="P77" i="11"/>
  <c r="P71" i="11"/>
  <c r="P82" i="11"/>
  <c r="P74" i="11"/>
  <c r="P66" i="11"/>
  <c r="P89" i="11"/>
  <c r="P84" i="11"/>
  <c r="P86" i="11"/>
  <c r="P73" i="11"/>
  <c r="P75" i="11"/>
  <c r="P76" i="11"/>
  <c r="P68" i="11"/>
  <c r="Z88" i="11"/>
  <c r="Z87" i="11"/>
  <c r="Z61" i="11"/>
  <c r="Z77" i="11"/>
  <c r="Z71" i="11"/>
  <c r="Z82" i="11"/>
  <c r="Z74" i="11"/>
  <c r="Z66" i="11"/>
  <c r="Z83" i="11"/>
  <c r="Z73" i="11"/>
  <c r="Z75" i="11"/>
  <c r="Z76" i="11"/>
  <c r="Z68" i="11"/>
  <c r="Z85" i="11"/>
  <c r="Z90" i="11"/>
  <c r="Z69" i="11"/>
  <c r="Z63" i="11"/>
  <c r="Z79" i="11"/>
  <c r="Z78" i="11"/>
  <c r="Z70" i="11"/>
  <c r="Z62" i="11"/>
  <c r="Z89" i="11"/>
  <c r="Z84" i="11"/>
  <c r="Z86" i="11"/>
  <c r="Z65" i="11"/>
  <c r="Z81" i="11"/>
  <c r="Z67" i="11"/>
  <c r="Z80" i="11"/>
  <c r="Z72" i="11"/>
  <c r="Z64" i="11"/>
  <c r="N85" i="11"/>
  <c r="N90" i="11"/>
  <c r="N69" i="11"/>
  <c r="N63" i="11"/>
  <c r="N79" i="11"/>
  <c r="N78" i="11"/>
  <c r="N70" i="11"/>
  <c r="N62" i="11"/>
  <c r="N89" i="11"/>
  <c r="N84" i="11"/>
  <c r="N86" i="11"/>
  <c r="N65" i="11"/>
  <c r="N81" i="11"/>
  <c r="N67" i="11"/>
  <c r="N80" i="11"/>
  <c r="N72" i="11"/>
  <c r="N64" i="11"/>
  <c r="N88" i="11"/>
  <c r="N87" i="11"/>
  <c r="N61" i="11"/>
  <c r="N77" i="11"/>
  <c r="N71" i="11"/>
  <c r="N82" i="11"/>
  <c r="N74" i="11"/>
  <c r="N66" i="11"/>
  <c r="N83" i="11"/>
  <c r="N73" i="11"/>
  <c r="N75" i="11"/>
  <c r="N76" i="11"/>
  <c r="N68" i="11"/>
  <c r="W70" i="24"/>
  <c r="W75" i="24"/>
  <c r="W74" i="24"/>
  <c r="W63" i="24"/>
  <c r="W62" i="24"/>
  <c r="W67" i="24"/>
  <c r="W68" i="24"/>
  <c r="W73" i="24"/>
  <c r="W88" i="24"/>
  <c r="W61" i="24"/>
  <c r="W83" i="24"/>
  <c r="W87" i="24"/>
  <c r="W64" i="24"/>
  <c r="W85" i="24"/>
  <c r="W81" i="24"/>
  <c r="W69" i="24"/>
  <c r="W86" i="24"/>
  <c r="W90" i="24"/>
  <c r="W79" i="24"/>
  <c r="W76" i="24"/>
  <c r="W82" i="24"/>
  <c r="W71" i="24"/>
  <c r="W89" i="24"/>
  <c r="W72" i="24"/>
  <c r="W77" i="24"/>
  <c r="W78" i="24"/>
  <c r="W66" i="24"/>
  <c r="W84" i="24"/>
  <c r="W65" i="24"/>
  <c r="W80" i="24"/>
  <c r="V76" i="24"/>
  <c r="V84" i="24"/>
  <c r="V75" i="24"/>
  <c r="V87" i="24"/>
  <c r="V83" i="24"/>
  <c r="V72" i="24"/>
  <c r="V85" i="24"/>
  <c r="V62" i="24"/>
  <c r="V70" i="24"/>
  <c r="V63" i="24"/>
  <c r="V68" i="24"/>
  <c r="V80" i="24"/>
  <c r="V61" i="24"/>
  <c r="V89" i="24"/>
  <c r="V71" i="24"/>
  <c r="V66" i="24"/>
  <c r="V78" i="24"/>
  <c r="V64" i="24"/>
  <c r="V73" i="24"/>
  <c r="V65" i="24"/>
  <c r="V86" i="24"/>
  <c r="V82" i="24"/>
  <c r="V90" i="24"/>
  <c r="V81" i="24"/>
  <c r="V69" i="24"/>
  <c r="V67" i="24"/>
  <c r="V88" i="24"/>
  <c r="V77" i="24"/>
  <c r="V79" i="24"/>
  <c r="V74" i="24"/>
  <c r="J88" i="24"/>
  <c r="J63" i="24"/>
  <c r="J70" i="24"/>
  <c r="J69" i="24"/>
  <c r="J78" i="24"/>
  <c r="J81" i="24"/>
  <c r="J82" i="24"/>
  <c r="J62" i="24"/>
  <c r="J80" i="24"/>
  <c r="J76" i="24"/>
  <c r="J86" i="24"/>
  <c r="J65" i="24"/>
  <c r="J75" i="24"/>
  <c r="J74" i="24"/>
  <c r="J72" i="24"/>
  <c r="J85" i="24"/>
  <c r="J66" i="24"/>
  <c r="J77" i="24"/>
  <c r="J71" i="24"/>
  <c r="J67" i="24"/>
  <c r="J79" i="24"/>
  <c r="J83" i="24"/>
  <c r="J87" i="24"/>
  <c r="J89" i="24"/>
  <c r="J61" i="24"/>
  <c r="J84" i="24"/>
  <c r="J73" i="24"/>
  <c r="J64" i="24"/>
  <c r="J90" i="24"/>
  <c r="J68" i="24"/>
  <c r="L61" i="24"/>
  <c r="L82" i="24"/>
  <c r="L79" i="24"/>
  <c r="L66" i="24"/>
  <c r="L75" i="24"/>
  <c r="L87" i="24"/>
  <c r="L83" i="24"/>
  <c r="L85" i="24"/>
  <c r="L64" i="24"/>
  <c r="L88" i="24"/>
  <c r="L81" i="24"/>
  <c r="L76" i="24"/>
  <c r="L69" i="24"/>
  <c r="L72" i="24"/>
  <c r="L73" i="24"/>
  <c r="L67" i="24"/>
  <c r="L68" i="24"/>
  <c r="L63" i="24"/>
  <c r="L78" i="24"/>
  <c r="L62" i="24"/>
  <c r="L90" i="24"/>
  <c r="L77" i="24"/>
  <c r="L70" i="24"/>
  <c r="L74" i="24"/>
  <c r="L80" i="24"/>
  <c r="L65" i="24"/>
  <c r="L71" i="24"/>
  <c r="L86" i="24"/>
  <c r="L84" i="24"/>
  <c r="L89" i="24"/>
  <c r="AB66" i="24"/>
  <c r="AB78" i="24"/>
  <c r="AB88" i="24"/>
  <c r="AB82" i="24"/>
  <c r="AB73" i="24"/>
  <c r="AB72" i="24"/>
  <c r="AB90" i="24"/>
  <c r="AB79" i="24"/>
  <c r="AB87" i="24"/>
  <c r="AB74" i="24"/>
  <c r="AB84" i="24"/>
  <c r="AB64" i="24"/>
  <c r="AB61" i="24"/>
  <c r="AB68" i="24"/>
  <c r="AB77" i="24"/>
  <c r="AB71" i="24"/>
  <c r="AB63" i="24"/>
  <c r="AB67" i="24"/>
  <c r="AB69" i="24"/>
  <c r="AB76" i="24"/>
  <c r="AB86" i="24"/>
  <c r="AB75" i="24"/>
  <c r="AB80" i="24"/>
  <c r="AB70" i="24"/>
  <c r="AB83" i="24"/>
  <c r="AB85" i="24"/>
  <c r="AB89" i="24"/>
  <c r="AB65" i="24"/>
  <c r="AB81" i="24"/>
  <c r="AB62" i="24"/>
  <c r="AA78" i="24"/>
  <c r="AA87" i="24"/>
  <c r="AA86" i="24"/>
  <c r="AA75" i="24"/>
  <c r="AA68" i="24"/>
  <c r="AA69" i="24"/>
  <c r="AA84" i="24"/>
  <c r="AA81" i="24"/>
  <c r="AA63" i="24"/>
  <c r="AA67" i="24"/>
  <c r="AA77" i="24"/>
  <c r="AA88" i="24"/>
  <c r="AA79" i="24"/>
  <c r="AA90" i="24"/>
  <c r="AA61" i="24"/>
  <c r="AA80" i="24"/>
  <c r="AA62" i="24"/>
  <c r="AA71" i="24"/>
  <c r="AA74" i="24"/>
  <c r="AA85" i="24"/>
  <c r="AA72" i="24"/>
  <c r="AA65" i="24"/>
  <c r="AA82" i="24"/>
  <c r="AA64" i="24"/>
  <c r="AA73" i="24"/>
  <c r="AA70" i="24"/>
  <c r="AA66" i="24"/>
  <c r="AA83" i="24"/>
  <c r="AA76" i="24"/>
  <c r="AA89" i="24"/>
  <c r="I81" i="24"/>
  <c r="I67" i="24"/>
  <c r="I88" i="24"/>
  <c r="I89" i="24"/>
  <c r="I90" i="24"/>
  <c r="I65" i="24"/>
  <c r="I85" i="24"/>
  <c r="I64" i="24"/>
  <c r="I86" i="24"/>
  <c r="I66" i="24"/>
  <c r="I82" i="24"/>
  <c r="I80" i="24"/>
  <c r="I78" i="24"/>
  <c r="I84" i="24"/>
  <c r="I74" i="24"/>
  <c r="I61" i="24"/>
  <c r="I62" i="24"/>
  <c r="I68" i="24"/>
  <c r="I79" i="24"/>
  <c r="I69" i="24"/>
  <c r="I77" i="24"/>
  <c r="I75" i="24"/>
  <c r="I83" i="24"/>
  <c r="I63" i="24"/>
  <c r="I70" i="24"/>
  <c r="I76" i="24"/>
  <c r="I87" i="24"/>
  <c r="I73" i="24"/>
  <c r="I71" i="24"/>
  <c r="I72" i="24"/>
  <c r="Q69" i="24"/>
  <c r="Q77" i="24"/>
  <c r="Q83" i="24"/>
  <c r="Q84" i="24"/>
  <c r="Q65" i="24"/>
  <c r="Q64" i="24"/>
  <c r="Q67" i="24"/>
  <c r="Q90" i="24"/>
  <c r="Q82" i="24"/>
  <c r="Q71" i="24"/>
  <c r="Q80" i="24"/>
  <c r="Q72" i="24"/>
  <c r="Q68" i="24"/>
  <c r="Q73" i="24"/>
  <c r="Q78" i="24"/>
  <c r="Q81" i="24"/>
  <c r="Q79" i="24"/>
  <c r="Q86" i="24"/>
  <c r="Q89" i="24"/>
  <c r="Q88" i="24"/>
  <c r="Q62" i="24"/>
  <c r="Q66" i="24"/>
  <c r="Q76" i="24"/>
  <c r="Q87" i="24"/>
  <c r="Q85" i="24"/>
  <c r="Q74" i="24"/>
  <c r="Q63" i="24"/>
  <c r="Q70" i="24"/>
  <c r="Q75" i="24"/>
  <c r="Q61" i="24"/>
  <c r="O69" i="24"/>
  <c r="O67" i="24"/>
  <c r="O70" i="24"/>
  <c r="O83" i="24"/>
  <c r="O85" i="24"/>
  <c r="O76" i="24"/>
  <c r="O61" i="24"/>
  <c r="O80" i="24"/>
  <c r="O75" i="24"/>
  <c r="O62" i="24"/>
  <c r="O63" i="24"/>
  <c r="O82" i="24"/>
  <c r="O71" i="24"/>
  <c r="O89" i="24"/>
  <c r="O74" i="24"/>
  <c r="O65" i="24"/>
  <c r="O84" i="24"/>
  <c r="O81" i="24"/>
  <c r="O68" i="24"/>
  <c r="O72" i="24"/>
  <c r="O86" i="24"/>
  <c r="O73" i="24"/>
  <c r="O77" i="24"/>
  <c r="O88" i="24"/>
  <c r="O64" i="24"/>
  <c r="O87" i="24"/>
  <c r="O78" i="24"/>
  <c r="O79" i="24"/>
  <c r="O90" i="24"/>
  <c r="O66" i="24"/>
  <c r="AB63" i="23"/>
  <c r="AB68" i="23"/>
  <c r="AB78" i="23"/>
  <c r="AB88" i="23"/>
  <c r="AB86" i="23"/>
  <c r="AB69" i="23"/>
  <c r="AB80" i="23"/>
  <c r="AB84" i="23"/>
  <c r="AB90" i="23"/>
  <c r="AB65" i="23"/>
  <c r="AB81" i="23"/>
  <c r="AB82" i="23"/>
  <c r="AB76" i="23"/>
  <c r="AB66" i="23"/>
  <c r="AB79" i="23"/>
  <c r="AB62" i="23"/>
  <c r="AB73" i="23"/>
  <c r="AB83" i="23"/>
  <c r="AB74" i="23"/>
  <c r="AB67" i="23"/>
  <c r="AB64" i="23"/>
  <c r="AB89" i="23"/>
  <c r="AB71" i="23"/>
  <c r="AB70" i="23"/>
  <c r="AB85" i="23"/>
  <c r="AB75" i="23"/>
  <c r="AB77" i="23"/>
  <c r="AB87" i="23"/>
  <c r="AB61" i="23"/>
  <c r="AB72" i="23"/>
  <c r="L63" i="23"/>
  <c r="L68" i="23"/>
  <c r="L78" i="23"/>
  <c r="L88" i="23"/>
  <c r="L86" i="23"/>
  <c r="L69" i="23"/>
  <c r="L80" i="23"/>
  <c r="L84" i="23"/>
  <c r="L90" i="23"/>
  <c r="L65" i="23"/>
  <c r="L81" i="23"/>
  <c r="L82" i="23"/>
  <c r="L76" i="23"/>
  <c r="L66" i="23"/>
  <c r="L79" i="23"/>
  <c r="L62" i="23"/>
  <c r="L73" i="23"/>
  <c r="L83" i="23"/>
  <c r="L74" i="23"/>
  <c r="L67" i="23"/>
  <c r="L64" i="23"/>
  <c r="L89" i="23"/>
  <c r="L71" i="23"/>
  <c r="L70" i="23"/>
  <c r="L85" i="23"/>
  <c r="L75" i="23"/>
  <c r="L77" i="23"/>
  <c r="L87" i="23"/>
  <c r="L61" i="23"/>
  <c r="L72" i="23"/>
  <c r="S63" i="23"/>
  <c r="S68" i="23"/>
  <c r="S78" i="23"/>
  <c r="S88" i="23"/>
  <c r="S67" i="23"/>
  <c r="S74" i="23"/>
  <c r="S86" i="23"/>
  <c r="S84" i="23"/>
  <c r="S65" i="23"/>
  <c r="S81" i="23"/>
  <c r="S82" i="23"/>
  <c r="S76" i="23"/>
  <c r="S75" i="23"/>
  <c r="S66" i="23"/>
  <c r="S79" i="23"/>
  <c r="S62" i="23"/>
  <c r="S73" i="23"/>
  <c r="S83" i="23"/>
  <c r="S69" i="23"/>
  <c r="S80" i="23"/>
  <c r="S64" i="23"/>
  <c r="S89" i="23"/>
  <c r="S71" i="23"/>
  <c r="S90" i="23"/>
  <c r="S70" i="23"/>
  <c r="S85" i="23"/>
  <c r="S77" i="23"/>
  <c r="S87" i="23"/>
  <c r="S61" i="23"/>
  <c r="S72" i="23"/>
  <c r="J79" i="23"/>
  <c r="J68" i="23"/>
  <c r="J78" i="23"/>
  <c r="J64" i="23"/>
  <c r="J89" i="23"/>
  <c r="J69" i="23"/>
  <c r="J80" i="23"/>
  <c r="J65" i="23"/>
  <c r="J70" i="23"/>
  <c r="J61" i="23"/>
  <c r="J72" i="23"/>
  <c r="J85" i="23"/>
  <c r="J77" i="23"/>
  <c r="J87" i="23"/>
  <c r="J63" i="23"/>
  <c r="J62" i="23"/>
  <c r="J88" i="23"/>
  <c r="J73" i="23"/>
  <c r="J83" i="23"/>
  <c r="J86" i="23"/>
  <c r="J84" i="23"/>
  <c r="J67" i="23"/>
  <c r="J74" i="23"/>
  <c r="J90" i="23"/>
  <c r="J71" i="23"/>
  <c r="J76" i="23"/>
  <c r="J75" i="23"/>
  <c r="J66" i="23"/>
  <c r="J81" i="23"/>
  <c r="J82" i="23"/>
  <c r="Q79" i="23"/>
  <c r="Q63" i="23"/>
  <c r="Q68" i="23"/>
  <c r="Q83" i="23"/>
  <c r="Q78" i="23"/>
  <c r="Q80" i="23"/>
  <c r="Q64" i="23"/>
  <c r="Q84" i="23"/>
  <c r="Q71" i="23"/>
  <c r="Q90" i="23"/>
  <c r="Q81" i="23"/>
  <c r="Q77" i="23"/>
  <c r="Q76" i="23"/>
  <c r="Q75" i="23"/>
  <c r="Q72" i="23"/>
  <c r="Q62" i="23"/>
  <c r="Q73" i="23"/>
  <c r="Q67" i="23"/>
  <c r="Q88" i="23"/>
  <c r="Q69" i="23"/>
  <c r="Q89" i="23"/>
  <c r="Q86" i="23"/>
  <c r="Q74" i="23"/>
  <c r="Q70" i="23"/>
  <c r="Q65" i="23"/>
  <c r="Q66" i="23"/>
  <c r="Q87" i="23"/>
  <c r="Q85" i="23"/>
  <c r="Q61" i="23"/>
  <c r="Q82" i="23"/>
  <c r="X68" i="23"/>
  <c r="X63" i="23"/>
  <c r="X88" i="23"/>
  <c r="X78" i="23"/>
  <c r="X67" i="23"/>
  <c r="X84" i="23"/>
  <c r="X69" i="23"/>
  <c r="X80" i="23"/>
  <c r="X65" i="23"/>
  <c r="X76" i="23"/>
  <c r="X61" i="23"/>
  <c r="X72" i="23"/>
  <c r="X81" i="23"/>
  <c r="X77" i="23"/>
  <c r="X87" i="23"/>
  <c r="X79" i="23"/>
  <c r="X62" i="23"/>
  <c r="X73" i="23"/>
  <c r="X83" i="23"/>
  <c r="X64" i="23"/>
  <c r="X89" i="23"/>
  <c r="X86" i="23"/>
  <c r="X74" i="23"/>
  <c r="X71" i="23"/>
  <c r="X70" i="23"/>
  <c r="X90" i="23"/>
  <c r="X66" i="23"/>
  <c r="X85" i="23"/>
  <c r="X75" i="23"/>
  <c r="X82" i="23"/>
  <c r="W55" i="11"/>
  <c r="W54" i="11"/>
  <c r="W49" i="11"/>
  <c r="W51" i="11"/>
  <c r="W60" i="11"/>
  <c r="W52" i="11"/>
  <c r="W53" i="11"/>
  <c r="W47" i="11"/>
  <c r="W58" i="11"/>
  <c r="W50" i="11"/>
  <c r="W57" i="11"/>
  <c r="W59" i="11"/>
  <c r="W56" i="11"/>
  <c r="W48" i="11"/>
  <c r="U53" i="11"/>
  <c r="U47" i="11"/>
  <c r="U58" i="11"/>
  <c r="U50" i="11"/>
  <c r="U57" i="11"/>
  <c r="U59" i="11"/>
  <c r="U56" i="11"/>
  <c r="U48" i="11"/>
  <c r="U55" i="11"/>
  <c r="U54" i="11"/>
  <c r="U49" i="11"/>
  <c r="U51" i="11"/>
  <c r="U60" i="11"/>
  <c r="U52" i="11"/>
  <c r="T53" i="11"/>
  <c r="T47" i="11"/>
  <c r="T54" i="11"/>
  <c r="T57" i="11"/>
  <c r="T52" i="11"/>
  <c r="T55" i="11"/>
  <c r="T58" i="11"/>
  <c r="T50" i="11"/>
  <c r="T49" i="11"/>
  <c r="T51" i="11"/>
  <c r="T59" i="11"/>
  <c r="T60" i="11"/>
  <c r="T56" i="11"/>
  <c r="T48" i="11"/>
  <c r="Q55" i="11"/>
  <c r="Q54" i="11"/>
  <c r="Q49" i="11"/>
  <c r="Q51" i="11"/>
  <c r="Q60" i="11"/>
  <c r="Q52" i="11"/>
  <c r="Q53" i="11"/>
  <c r="Q47" i="11"/>
  <c r="Q58" i="11"/>
  <c r="Q50" i="11"/>
  <c r="Q57" i="11"/>
  <c r="Q59" i="11"/>
  <c r="Q56" i="11"/>
  <c r="Q48" i="11"/>
  <c r="K53" i="11"/>
  <c r="K47" i="11"/>
  <c r="K58" i="11"/>
  <c r="K50" i="11"/>
  <c r="K57" i="11"/>
  <c r="K59" i="11"/>
  <c r="K56" i="11"/>
  <c r="K48" i="11"/>
  <c r="K55" i="11"/>
  <c r="K54" i="11"/>
  <c r="K49" i="11"/>
  <c r="K51" i="11"/>
  <c r="K60" i="11"/>
  <c r="K52" i="11"/>
  <c r="AA53" i="11"/>
  <c r="AA47" i="11"/>
  <c r="AA58" i="11"/>
  <c r="AA50" i="11"/>
  <c r="AA57" i="11"/>
  <c r="AA59" i="11"/>
  <c r="AA56" i="11"/>
  <c r="AA48" i="11"/>
  <c r="AA55" i="11"/>
  <c r="AA54" i="11"/>
  <c r="AA49" i="11"/>
  <c r="AA51" i="11"/>
  <c r="AA60" i="11"/>
  <c r="AA52" i="11"/>
  <c r="H55" i="11"/>
  <c r="H58" i="11"/>
  <c r="H50" i="11"/>
  <c r="H49" i="11"/>
  <c r="H51" i="11"/>
  <c r="H56" i="11"/>
  <c r="H48" i="11"/>
  <c r="H53" i="11"/>
  <c r="H47" i="11"/>
  <c r="H54" i="11"/>
  <c r="H57" i="11"/>
  <c r="H59" i="11"/>
  <c r="H60" i="11"/>
  <c r="H52" i="11"/>
  <c r="J55" i="11"/>
  <c r="J58" i="11"/>
  <c r="J50" i="11"/>
  <c r="J49" i="11"/>
  <c r="J51" i="11"/>
  <c r="J56" i="11"/>
  <c r="J48" i="11"/>
  <c r="J53" i="11"/>
  <c r="J47" i="11"/>
  <c r="J54" i="11"/>
  <c r="J57" i="11"/>
  <c r="J59" i="11"/>
  <c r="J60" i="11"/>
  <c r="J52" i="11"/>
  <c r="H51" i="24"/>
  <c r="H48" i="24"/>
  <c r="H49" i="24"/>
  <c r="H60" i="24"/>
  <c r="H59" i="24"/>
  <c r="H54" i="24"/>
  <c r="H55" i="24"/>
  <c r="H58" i="24"/>
  <c r="H47" i="24"/>
  <c r="H53" i="24"/>
  <c r="H50" i="24"/>
  <c r="H56" i="24"/>
  <c r="H57" i="24"/>
  <c r="H52" i="24"/>
  <c r="X53" i="24"/>
  <c r="X49" i="24"/>
  <c r="X47" i="24"/>
  <c r="X52" i="24"/>
  <c r="X59" i="24"/>
  <c r="X55" i="24"/>
  <c r="X58" i="24"/>
  <c r="X54" i="24"/>
  <c r="X50" i="24"/>
  <c r="X60" i="24"/>
  <c r="X48" i="24"/>
  <c r="X51" i="24"/>
  <c r="X56" i="24"/>
  <c r="X57" i="24"/>
  <c r="K54" i="24"/>
  <c r="K58" i="24"/>
  <c r="K50" i="24"/>
  <c r="K47" i="24"/>
  <c r="K53" i="24"/>
  <c r="K55" i="24"/>
  <c r="K51" i="24"/>
  <c r="K60" i="24"/>
  <c r="K48" i="24"/>
  <c r="K57" i="24"/>
  <c r="K59" i="24"/>
  <c r="K52" i="24"/>
  <c r="K49" i="24"/>
  <c r="K56" i="24"/>
  <c r="Y56" i="24"/>
  <c r="Y55" i="24"/>
  <c r="Y58" i="24"/>
  <c r="Y49" i="24"/>
  <c r="Y48" i="24"/>
  <c r="Y54" i="24"/>
  <c r="Y47" i="24"/>
  <c r="Y60" i="24"/>
  <c r="Y53" i="24"/>
  <c r="Y50" i="24"/>
  <c r="Y52" i="24"/>
  <c r="Y51" i="24"/>
  <c r="Y59" i="24"/>
  <c r="Y57" i="24"/>
  <c r="S56" i="24"/>
  <c r="S51" i="24"/>
  <c r="S48" i="24"/>
  <c r="S57" i="24"/>
  <c r="S54" i="24"/>
  <c r="S58" i="24"/>
  <c r="S60" i="24"/>
  <c r="S47" i="24"/>
  <c r="S49" i="24"/>
  <c r="S53" i="24"/>
  <c r="S52" i="24"/>
  <c r="S55" i="24"/>
  <c r="S59" i="24"/>
  <c r="S50" i="24"/>
  <c r="T52" i="24"/>
  <c r="T57" i="24"/>
  <c r="T59" i="24"/>
  <c r="T47" i="24"/>
  <c r="T54" i="24"/>
  <c r="T58" i="24"/>
  <c r="T56" i="24"/>
  <c r="T48" i="24"/>
  <c r="T53" i="24"/>
  <c r="T51" i="24"/>
  <c r="T49" i="24"/>
  <c r="T50" i="24"/>
  <c r="T60" i="24"/>
  <c r="T55" i="24"/>
  <c r="U50" i="24"/>
  <c r="U51" i="24"/>
  <c r="U49" i="24"/>
  <c r="U56" i="24"/>
  <c r="U59" i="24"/>
  <c r="U60" i="24"/>
  <c r="U57" i="24"/>
  <c r="U48" i="24"/>
  <c r="U55" i="24"/>
  <c r="U52" i="24"/>
  <c r="U53" i="24"/>
  <c r="U54" i="24"/>
  <c r="U58" i="24"/>
  <c r="U47" i="24"/>
  <c r="N60" i="24"/>
  <c r="N47" i="24"/>
  <c r="N54" i="24"/>
  <c r="N53" i="24"/>
  <c r="N48" i="24"/>
  <c r="N56" i="24"/>
  <c r="N51" i="24"/>
  <c r="N50" i="24"/>
  <c r="N55" i="24"/>
  <c r="N57" i="24"/>
  <c r="N52" i="24"/>
  <c r="N58" i="24"/>
  <c r="N59" i="24"/>
  <c r="N49" i="24"/>
  <c r="T52" i="23"/>
  <c r="T51" i="23"/>
  <c r="T53" i="23"/>
  <c r="T54" i="23"/>
  <c r="T56" i="23"/>
  <c r="T47" i="23"/>
  <c r="T57" i="23"/>
  <c r="T48" i="23"/>
  <c r="T58" i="23"/>
  <c r="T55" i="23"/>
  <c r="T49" i="23"/>
  <c r="T60" i="23"/>
  <c r="T50" i="23"/>
  <c r="T59" i="23"/>
  <c r="AA48" i="23"/>
  <c r="AA58" i="23"/>
  <c r="AA54" i="23"/>
  <c r="AA59" i="23"/>
  <c r="AA56" i="23"/>
  <c r="AA47" i="23"/>
  <c r="AA52" i="23"/>
  <c r="AA57" i="23"/>
  <c r="AA51" i="23"/>
  <c r="AA53" i="23"/>
  <c r="AA49" i="23"/>
  <c r="AA60" i="23"/>
  <c r="AA55" i="23"/>
  <c r="AA50" i="23"/>
  <c r="K48" i="23"/>
  <c r="K58" i="23"/>
  <c r="K54" i="23"/>
  <c r="K59" i="23"/>
  <c r="K56" i="23"/>
  <c r="K47" i="23"/>
  <c r="K52" i="23"/>
  <c r="K57" i="23"/>
  <c r="K51" i="23"/>
  <c r="K53" i="23"/>
  <c r="K49" i="23"/>
  <c r="K60" i="23"/>
  <c r="K55" i="23"/>
  <c r="K50" i="23"/>
  <c r="R57" i="23"/>
  <c r="R47" i="23"/>
  <c r="R52" i="23"/>
  <c r="R58" i="23"/>
  <c r="R48" i="23"/>
  <c r="R49" i="23"/>
  <c r="R60" i="23"/>
  <c r="R56" i="23"/>
  <c r="R54" i="23"/>
  <c r="R51" i="23"/>
  <c r="R53" i="23"/>
  <c r="R55" i="23"/>
  <c r="R59" i="23"/>
  <c r="R50" i="23"/>
  <c r="Y47" i="23"/>
  <c r="Y52" i="23"/>
  <c r="Y57" i="23"/>
  <c r="Y51" i="23"/>
  <c r="Y58" i="23"/>
  <c r="Y49" i="23"/>
  <c r="Y59" i="23"/>
  <c r="Y56" i="23"/>
  <c r="Y53" i="23"/>
  <c r="Y50" i="23"/>
  <c r="Y48" i="23"/>
  <c r="Y60" i="23"/>
  <c r="Y55" i="23"/>
  <c r="Y54" i="23"/>
  <c r="P53" i="23"/>
  <c r="P48" i="23"/>
  <c r="P55" i="23"/>
  <c r="P49" i="23"/>
  <c r="P60" i="23"/>
  <c r="P59" i="23"/>
  <c r="P50" i="23"/>
  <c r="P47" i="23"/>
  <c r="P57" i="23"/>
  <c r="P52" i="23"/>
  <c r="P51" i="23"/>
  <c r="P58" i="23"/>
  <c r="P54" i="23"/>
  <c r="P56" i="23"/>
  <c r="W52" i="23"/>
  <c r="W53" i="23"/>
  <c r="W48" i="23"/>
  <c r="W49" i="23"/>
  <c r="W60" i="23"/>
  <c r="W59" i="23"/>
  <c r="W56" i="23"/>
  <c r="W57" i="23"/>
  <c r="W47" i="23"/>
  <c r="W51" i="23"/>
  <c r="W58" i="23"/>
  <c r="W55" i="23"/>
  <c r="W54" i="23"/>
  <c r="W50" i="23"/>
  <c r="I47" i="23"/>
  <c r="I52" i="23"/>
  <c r="I57" i="23"/>
  <c r="I58" i="23"/>
  <c r="I49" i="23"/>
  <c r="I59" i="23"/>
  <c r="I56" i="23"/>
  <c r="I50" i="23"/>
  <c r="I51" i="23"/>
  <c r="I48" i="23"/>
  <c r="I53" i="23"/>
  <c r="I60" i="23"/>
  <c r="I55" i="23"/>
  <c r="I54" i="23"/>
  <c r="N58" i="23"/>
  <c r="N54" i="23"/>
  <c r="N56" i="23"/>
  <c r="N47" i="23"/>
  <c r="N52" i="23"/>
  <c r="N57" i="23"/>
  <c r="N51" i="23"/>
  <c r="N48" i="23"/>
  <c r="N53" i="23"/>
  <c r="N49" i="23"/>
  <c r="N60" i="23"/>
  <c r="N55" i="23"/>
  <c r="N59" i="23"/>
  <c r="N50" i="23"/>
  <c r="O55" i="11"/>
  <c r="O54" i="11"/>
  <c r="O49" i="11"/>
  <c r="O51" i="11"/>
  <c r="O60" i="11"/>
  <c r="O52" i="11"/>
  <c r="O53" i="11"/>
  <c r="O47" i="11"/>
  <c r="O58" i="11"/>
  <c r="O50" i="11"/>
  <c r="O57" i="11"/>
  <c r="O59" i="11"/>
  <c r="O56" i="11"/>
  <c r="O48" i="11"/>
  <c r="L53" i="11"/>
  <c r="L47" i="11"/>
  <c r="L54" i="11"/>
  <c r="L57" i="11"/>
  <c r="L59" i="11"/>
  <c r="L60" i="11"/>
  <c r="L52" i="11"/>
  <c r="L55" i="11"/>
  <c r="L58" i="11"/>
  <c r="L50" i="11"/>
  <c r="L49" i="11"/>
  <c r="L51" i="11"/>
  <c r="L56" i="11"/>
  <c r="L48" i="11"/>
  <c r="R55" i="11"/>
  <c r="R58" i="11"/>
  <c r="R50" i="11"/>
  <c r="R49" i="11"/>
  <c r="R51" i="11"/>
  <c r="R56" i="11"/>
  <c r="R48" i="11"/>
  <c r="R53" i="11"/>
  <c r="R47" i="11"/>
  <c r="R54" i="11"/>
  <c r="R57" i="11"/>
  <c r="R59" i="11"/>
  <c r="R60" i="11"/>
  <c r="R52" i="11"/>
  <c r="S53" i="11"/>
  <c r="S47" i="11"/>
  <c r="S58" i="11"/>
  <c r="S50" i="11"/>
  <c r="S57" i="11"/>
  <c r="S59" i="11"/>
  <c r="S56" i="11"/>
  <c r="S48" i="11"/>
  <c r="S55" i="11"/>
  <c r="S54" i="11"/>
  <c r="S49" i="11"/>
  <c r="S51" i="11"/>
  <c r="S60" i="11"/>
  <c r="S52" i="11"/>
  <c r="M53" i="11"/>
  <c r="M47" i="11"/>
  <c r="M58" i="11"/>
  <c r="M50" i="11"/>
  <c r="M57" i="11"/>
  <c r="M59" i="11"/>
  <c r="M56" i="11"/>
  <c r="M48" i="11"/>
  <c r="M55" i="11"/>
  <c r="M54" i="11"/>
  <c r="M49" i="11"/>
  <c r="M51" i="11"/>
  <c r="M60" i="11"/>
  <c r="M52" i="11"/>
  <c r="P55" i="11"/>
  <c r="P58" i="11"/>
  <c r="P50" i="11"/>
  <c r="P49" i="11"/>
  <c r="P51" i="11"/>
  <c r="P59" i="11"/>
  <c r="P60" i="11"/>
  <c r="P56" i="11"/>
  <c r="P48" i="11"/>
  <c r="P53" i="11"/>
  <c r="P47" i="11"/>
  <c r="P54" i="11"/>
  <c r="P57" i="11"/>
  <c r="P52" i="11"/>
  <c r="Z55" i="11"/>
  <c r="Z58" i="11"/>
  <c r="Z50" i="11"/>
  <c r="Z49" i="11"/>
  <c r="Z51" i="11"/>
  <c r="Z56" i="11"/>
  <c r="Z48" i="11"/>
  <c r="Z53" i="11"/>
  <c r="Z47" i="11"/>
  <c r="Z54" i="11"/>
  <c r="Z57" i="11"/>
  <c r="Z59" i="11"/>
  <c r="Z60" i="11"/>
  <c r="Z52" i="11"/>
  <c r="N53" i="11"/>
  <c r="N47" i="11"/>
  <c r="N54" i="11"/>
  <c r="N57" i="11"/>
  <c r="N59" i="11"/>
  <c r="N60" i="11"/>
  <c r="N52" i="11"/>
  <c r="N55" i="11"/>
  <c r="N58" i="11"/>
  <c r="N50" i="11"/>
  <c r="N49" i="11"/>
  <c r="N51" i="11"/>
  <c r="N56" i="11"/>
  <c r="N48" i="11"/>
  <c r="W54" i="24"/>
  <c r="W58" i="24"/>
  <c r="W57" i="24"/>
  <c r="W56" i="24"/>
  <c r="W51" i="24"/>
  <c r="W49" i="24"/>
  <c r="W52" i="24"/>
  <c r="W59" i="24"/>
  <c r="W47" i="24"/>
  <c r="W60" i="24"/>
  <c r="W50" i="24"/>
  <c r="W55" i="24"/>
  <c r="W48" i="24"/>
  <c r="W53" i="24"/>
  <c r="V57" i="24"/>
  <c r="V49" i="24"/>
  <c r="V51" i="24"/>
  <c r="V53" i="24"/>
  <c r="V60" i="24"/>
  <c r="V58" i="24"/>
  <c r="V48" i="24"/>
  <c r="V56" i="24"/>
  <c r="V54" i="24"/>
  <c r="V50" i="24"/>
  <c r="V55" i="24"/>
  <c r="V59" i="24"/>
  <c r="V52" i="24"/>
  <c r="V47" i="24"/>
  <c r="J59" i="24"/>
  <c r="J49" i="24"/>
  <c r="J56" i="24"/>
  <c r="J50" i="24"/>
  <c r="J51" i="24"/>
  <c r="J52" i="24"/>
  <c r="J53" i="24"/>
  <c r="J54" i="24"/>
  <c r="J55" i="24"/>
  <c r="J48" i="24"/>
  <c r="J57" i="24"/>
  <c r="J58" i="24"/>
  <c r="J60" i="24"/>
  <c r="J47" i="24"/>
  <c r="L50" i="24"/>
  <c r="L47" i="24"/>
  <c r="L52" i="24"/>
  <c r="L55" i="24"/>
  <c r="L48" i="24"/>
  <c r="L49" i="24"/>
  <c r="L58" i="24"/>
  <c r="L59" i="24"/>
  <c r="L51" i="24"/>
  <c r="L60" i="24"/>
  <c r="L53" i="24"/>
  <c r="L54" i="24"/>
  <c r="L56" i="24"/>
  <c r="L57" i="24"/>
  <c r="AB59" i="24"/>
  <c r="AB54" i="24"/>
  <c r="AB49" i="24"/>
  <c r="AB58" i="24"/>
  <c r="AB50" i="24"/>
  <c r="AB48" i="24"/>
  <c r="AB52" i="24"/>
  <c r="AB55" i="24"/>
  <c r="AB51" i="24"/>
  <c r="AB60" i="24"/>
  <c r="AB53" i="24"/>
  <c r="AB56" i="24"/>
  <c r="AB57" i="24"/>
  <c r="AB47" i="24"/>
  <c r="AA54" i="24"/>
  <c r="AA58" i="24"/>
  <c r="AA59" i="24"/>
  <c r="AA53" i="24"/>
  <c r="AA56" i="24"/>
  <c r="AA50" i="24"/>
  <c r="AA55" i="24"/>
  <c r="AA52" i="24"/>
  <c r="AA49" i="24"/>
  <c r="AA60" i="24"/>
  <c r="AA47" i="24"/>
  <c r="AA51" i="24"/>
  <c r="AA48" i="24"/>
  <c r="AA57" i="24"/>
  <c r="I48" i="24"/>
  <c r="I56" i="24"/>
  <c r="I55" i="24"/>
  <c r="I60" i="24"/>
  <c r="I53" i="24"/>
  <c r="I51" i="24"/>
  <c r="I54" i="24"/>
  <c r="I47" i="24"/>
  <c r="I49" i="24"/>
  <c r="I50" i="24"/>
  <c r="I57" i="24"/>
  <c r="I59" i="24"/>
  <c r="I58" i="24"/>
  <c r="I52" i="24"/>
  <c r="Q58" i="24"/>
  <c r="Q54" i="24"/>
  <c r="Q55" i="24"/>
  <c r="Q49" i="24"/>
  <c r="Q48" i="24"/>
  <c r="Q47" i="24"/>
  <c r="Q52" i="24"/>
  <c r="Q57" i="24"/>
  <c r="Q59" i="24"/>
  <c r="Q60" i="24"/>
  <c r="Q53" i="24"/>
  <c r="Q50" i="24"/>
  <c r="Q51" i="24"/>
  <c r="Q56" i="24"/>
  <c r="O52" i="24"/>
  <c r="O56" i="24"/>
  <c r="O53" i="24"/>
  <c r="O55" i="24"/>
  <c r="O49" i="24"/>
  <c r="O48" i="24"/>
  <c r="O59" i="24"/>
  <c r="O47" i="24"/>
  <c r="O54" i="24"/>
  <c r="O58" i="24"/>
  <c r="O50" i="24"/>
  <c r="O57" i="24"/>
  <c r="O60" i="24"/>
  <c r="O51" i="24"/>
  <c r="AB47" i="23"/>
  <c r="AB48" i="23"/>
  <c r="AB53" i="23"/>
  <c r="AB54" i="23"/>
  <c r="AB50" i="23"/>
  <c r="AB59" i="23"/>
  <c r="AB52" i="23"/>
  <c r="AB57" i="23"/>
  <c r="AB51" i="23"/>
  <c r="AB58" i="23"/>
  <c r="AB55" i="23"/>
  <c r="AB49" i="23"/>
  <c r="AB60" i="23"/>
  <c r="AB56" i="23"/>
  <c r="L47" i="23"/>
  <c r="L48" i="23"/>
  <c r="L53" i="23"/>
  <c r="L54" i="23"/>
  <c r="L50" i="23"/>
  <c r="L59" i="23"/>
  <c r="L52" i="23"/>
  <c r="L57" i="23"/>
  <c r="L51" i="23"/>
  <c r="L58" i="23"/>
  <c r="L55" i="23"/>
  <c r="L49" i="23"/>
  <c r="L60" i="23"/>
  <c r="L56" i="23"/>
  <c r="S52" i="23"/>
  <c r="S53" i="23"/>
  <c r="S54" i="23"/>
  <c r="S56" i="23"/>
  <c r="S47" i="23"/>
  <c r="S57" i="23"/>
  <c r="S51" i="23"/>
  <c r="S48" i="23"/>
  <c r="S58" i="23"/>
  <c r="S49" i="23"/>
  <c r="S60" i="23"/>
  <c r="S55" i="23"/>
  <c r="S59" i="23"/>
  <c r="S50" i="23"/>
  <c r="J57" i="23"/>
  <c r="J47" i="23"/>
  <c r="J52" i="23"/>
  <c r="J51" i="23"/>
  <c r="J58" i="23"/>
  <c r="J54" i="23"/>
  <c r="J56" i="23"/>
  <c r="J53" i="23"/>
  <c r="J60" i="23"/>
  <c r="J59" i="23"/>
  <c r="J50" i="23"/>
  <c r="J48" i="23"/>
  <c r="J55" i="23"/>
  <c r="J49" i="23"/>
  <c r="Q47" i="23"/>
  <c r="Q52" i="23"/>
  <c r="Q57" i="23"/>
  <c r="Q51" i="23"/>
  <c r="Q58" i="23"/>
  <c r="Q53" i="23"/>
  <c r="Q49" i="23"/>
  <c r="Q50" i="23"/>
  <c r="Q48" i="23"/>
  <c r="Q60" i="23"/>
  <c r="Q55" i="23"/>
  <c r="Q54" i="23"/>
  <c r="Q59" i="23"/>
  <c r="Q56" i="23"/>
  <c r="X57" i="23"/>
  <c r="X58" i="23"/>
  <c r="X48" i="23"/>
  <c r="X55" i="23"/>
  <c r="X49" i="23"/>
  <c r="X60" i="23"/>
  <c r="X59" i="23"/>
  <c r="X50" i="23"/>
  <c r="X47" i="23"/>
  <c r="X52" i="23"/>
  <c r="X51" i="23"/>
  <c r="X53" i="23"/>
  <c r="X54" i="23"/>
  <c r="X56" i="23"/>
  <c r="W45" i="11"/>
  <c r="W42" i="11"/>
  <c r="W34" i="11"/>
  <c r="W41" i="11"/>
  <c r="W43" i="11"/>
  <c r="W40" i="11"/>
  <c r="W32" i="11"/>
  <c r="W37" i="11"/>
  <c r="W39" i="11"/>
  <c r="W46" i="11"/>
  <c r="W38" i="11"/>
  <c r="W33" i="11"/>
  <c r="W35" i="11"/>
  <c r="W44" i="11"/>
  <c r="W36" i="11"/>
  <c r="U37" i="11"/>
  <c r="U39" i="11"/>
  <c r="U46" i="11"/>
  <c r="U38" i="11"/>
  <c r="U33" i="11"/>
  <c r="U35" i="11"/>
  <c r="U44" i="11"/>
  <c r="U36" i="11"/>
  <c r="U45" i="11"/>
  <c r="U42" i="11"/>
  <c r="U34" i="11"/>
  <c r="U41" i="11"/>
  <c r="U43" i="11"/>
  <c r="U40" i="11"/>
  <c r="U32" i="11"/>
  <c r="T37" i="11"/>
  <c r="T39" i="11"/>
  <c r="T42" i="11"/>
  <c r="T34" i="11"/>
  <c r="T33" i="11"/>
  <c r="T35" i="11"/>
  <c r="T40" i="11"/>
  <c r="T32" i="11"/>
  <c r="T45" i="11"/>
  <c r="T46" i="11"/>
  <c r="T38" i="11"/>
  <c r="T41" i="11"/>
  <c r="T43" i="11"/>
  <c r="T44" i="11"/>
  <c r="T36" i="11"/>
  <c r="Q45" i="11"/>
  <c r="Q42" i="11"/>
  <c r="Q34" i="11"/>
  <c r="Q41" i="11"/>
  <c r="Q43" i="11"/>
  <c r="Q40" i="11"/>
  <c r="Q32" i="11"/>
  <c r="Q37" i="11"/>
  <c r="Q39" i="11"/>
  <c r="Q46" i="11"/>
  <c r="Q38" i="11"/>
  <c r="Q33" i="11"/>
  <c r="Q35" i="11"/>
  <c r="Q44" i="11"/>
  <c r="Q36" i="11"/>
  <c r="K37" i="11"/>
  <c r="K39" i="11"/>
  <c r="K46" i="11"/>
  <c r="K38" i="11"/>
  <c r="K33" i="11"/>
  <c r="K35" i="11"/>
  <c r="K44" i="11"/>
  <c r="K36" i="11"/>
  <c r="K45" i="11"/>
  <c r="K42" i="11"/>
  <c r="K34" i="11"/>
  <c r="K41" i="11"/>
  <c r="K43" i="11"/>
  <c r="K40" i="11"/>
  <c r="K32" i="11"/>
  <c r="AA37" i="11"/>
  <c r="AA39" i="11"/>
  <c r="AA46" i="11"/>
  <c r="AA38" i="11"/>
  <c r="AA33" i="11"/>
  <c r="AA35" i="11"/>
  <c r="AA44" i="11"/>
  <c r="AA36" i="11"/>
  <c r="AA45" i="11"/>
  <c r="AA42" i="11"/>
  <c r="AA34" i="11"/>
  <c r="AA41" i="11"/>
  <c r="AA43" i="11"/>
  <c r="AA40" i="11"/>
  <c r="AA32" i="11"/>
  <c r="H45" i="11"/>
  <c r="H46" i="11"/>
  <c r="H38" i="11"/>
  <c r="H41" i="11"/>
  <c r="H43" i="11"/>
  <c r="H44" i="11"/>
  <c r="H36" i="11"/>
  <c r="H37" i="11"/>
  <c r="H39" i="11"/>
  <c r="H42" i="11"/>
  <c r="H34" i="11"/>
  <c r="H33" i="11"/>
  <c r="H35" i="11"/>
  <c r="H40" i="11"/>
  <c r="H32" i="11"/>
  <c r="J45" i="11"/>
  <c r="J46" i="11"/>
  <c r="J38" i="11"/>
  <c r="J41" i="11"/>
  <c r="J43" i="11"/>
  <c r="J44" i="11"/>
  <c r="J36" i="11"/>
  <c r="J37" i="11"/>
  <c r="J39" i="11"/>
  <c r="J42" i="11"/>
  <c r="J34" i="11"/>
  <c r="J33" i="11"/>
  <c r="J35" i="11"/>
  <c r="J40" i="11"/>
  <c r="J32" i="11"/>
  <c r="H32" i="24"/>
  <c r="H44" i="24"/>
  <c r="H37" i="24"/>
  <c r="H34" i="24"/>
  <c r="H39" i="24"/>
  <c r="H40" i="24"/>
  <c r="H45" i="24"/>
  <c r="H42" i="24"/>
  <c r="H38" i="24"/>
  <c r="H35" i="24"/>
  <c r="H33" i="24"/>
  <c r="H46" i="24"/>
  <c r="H41" i="24"/>
  <c r="H36" i="24"/>
  <c r="H43" i="24"/>
  <c r="X32" i="24"/>
  <c r="X38" i="24"/>
  <c r="X45" i="24"/>
  <c r="X46" i="24"/>
  <c r="X42" i="24"/>
  <c r="X41" i="24"/>
  <c r="X33" i="24"/>
  <c r="X35" i="24"/>
  <c r="X37" i="24"/>
  <c r="X44" i="24"/>
  <c r="X34" i="24"/>
  <c r="X43" i="24"/>
  <c r="X39" i="24"/>
  <c r="X40" i="24"/>
  <c r="X36" i="24"/>
  <c r="K35" i="24"/>
  <c r="K41" i="24"/>
  <c r="K37" i="24"/>
  <c r="K40" i="24"/>
  <c r="K34" i="24"/>
  <c r="K43" i="24"/>
  <c r="K36" i="24"/>
  <c r="K46" i="24"/>
  <c r="K42" i="24"/>
  <c r="K39" i="24"/>
  <c r="K44" i="24"/>
  <c r="K45" i="24"/>
  <c r="K32" i="24"/>
  <c r="K38" i="24"/>
  <c r="K33" i="24"/>
  <c r="Y34" i="24"/>
  <c r="Y42" i="24"/>
  <c r="Y39" i="24"/>
  <c r="Y38" i="24"/>
  <c r="Y33" i="24"/>
  <c r="Y46" i="24"/>
  <c r="Y44" i="24"/>
  <c r="Y43" i="24"/>
  <c r="Y32" i="24"/>
  <c r="Y41" i="24"/>
  <c r="Y45" i="24"/>
  <c r="Y35" i="24"/>
  <c r="Y40" i="24"/>
  <c r="Y36" i="24"/>
  <c r="Y37" i="24"/>
  <c r="S33" i="24"/>
  <c r="S35" i="24"/>
  <c r="S38" i="24"/>
  <c r="S45" i="24"/>
  <c r="S42" i="24"/>
  <c r="S41" i="24"/>
  <c r="S32" i="24"/>
  <c r="S43" i="24"/>
  <c r="S34" i="24"/>
  <c r="S46" i="24"/>
  <c r="S40" i="24"/>
  <c r="S44" i="24"/>
  <c r="S37" i="24"/>
  <c r="S36" i="24"/>
  <c r="S39" i="24"/>
  <c r="T34" i="24"/>
  <c r="T45" i="24"/>
  <c r="T33" i="24"/>
  <c r="T39" i="24"/>
  <c r="T32" i="24"/>
  <c r="T43" i="24"/>
  <c r="T42" i="24"/>
  <c r="T44" i="24"/>
  <c r="T40" i="24"/>
  <c r="T46" i="24"/>
  <c r="T38" i="24"/>
  <c r="T36" i="24"/>
  <c r="T37" i="24"/>
  <c r="T35" i="24"/>
  <c r="T41" i="24"/>
  <c r="U34" i="24"/>
  <c r="U36" i="24"/>
  <c r="U33" i="24"/>
  <c r="U41" i="24"/>
  <c r="U32" i="24"/>
  <c r="U42" i="24"/>
  <c r="U43" i="24"/>
  <c r="U44" i="24"/>
  <c r="U46" i="24"/>
  <c r="U35" i="24"/>
  <c r="U39" i="24"/>
  <c r="U40" i="24"/>
  <c r="U37" i="24"/>
  <c r="U38" i="24"/>
  <c r="U45" i="24"/>
  <c r="N35" i="24"/>
  <c r="N40" i="24"/>
  <c r="N36" i="24"/>
  <c r="N45" i="24"/>
  <c r="N43" i="24"/>
  <c r="N34" i="24"/>
  <c r="N44" i="24"/>
  <c r="N39" i="24"/>
  <c r="N42" i="24"/>
  <c r="N32" i="24"/>
  <c r="N41" i="24"/>
  <c r="N46" i="24"/>
  <c r="N38" i="24"/>
  <c r="N37" i="24"/>
  <c r="N33" i="24"/>
  <c r="T46" i="23"/>
  <c r="T36" i="23"/>
  <c r="T35" i="23"/>
  <c r="T37" i="23"/>
  <c r="T39" i="23"/>
  <c r="T33" i="23"/>
  <c r="T44" i="23"/>
  <c r="T43" i="23"/>
  <c r="T45" i="23"/>
  <c r="T40" i="23"/>
  <c r="T41" i="23"/>
  <c r="T42" i="23"/>
  <c r="T32" i="23"/>
  <c r="T38" i="23"/>
  <c r="T34" i="23"/>
  <c r="AA41" i="23"/>
  <c r="AA36" i="23"/>
  <c r="AA42" i="23"/>
  <c r="AA32" i="23"/>
  <c r="AA39" i="23"/>
  <c r="AA33" i="23"/>
  <c r="AA44" i="23"/>
  <c r="AA43" i="23"/>
  <c r="AA40" i="23"/>
  <c r="AA46" i="23"/>
  <c r="AA35" i="23"/>
  <c r="AA37" i="23"/>
  <c r="AA38" i="23"/>
  <c r="AA45" i="23"/>
  <c r="AA34" i="23"/>
  <c r="K41" i="23"/>
  <c r="K36" i="23"/>
  <c r="K42" i="23"/>
  <c r="K32" i="23"/>
  <c r="K39" i="23"/>
  <c r="K33" i="23"/>
  <c r="K44" i="23"/>
  <c r="K43" i="23"/>
  <c r="K40" i="23"/>
  <c r="K46" i="23"/>
  <c r="K35" i="23"/>
  <c r="K37" i="23"/>
  <c r="K38" i="23"/>
  <c r="K45" i="23"/>
  <c r="K34" i="23"/>
  <c r="R36" i="23"/>
  <c r="R46" i="23"/>
  <c r="R42" i="23"/>
  <c r="R33" i="23"/>
  <c r="R44" i="23"/>
  <c r="R43" i="23"/>
  <c r="R34" i="23"/>
  <c r="R41" i="23"/>
  <c r="R35" i="23"/>
  <c r="R32" i="23"/>
  <c r="R37" i="23"/>
  <c r="R38" i="23"/>
  <c r="R39" i="23"/>
  <c r="R40" i="23"/>
  <c r="R45" i="23"/>
  <c r="Y41" i="23"/>
  <c r="Y46" i="23"/>
  <c r="Y32" i="23"/>
  <c r="Y39" i="23"/>
  <c r="Y38" i="23"/>
  <c r="Y33" i="23"/>
  <c r="Y45" i="23"/>
  <c r="Y43" i="23"/>
  <c r="Y40" i="23"/>
  <c r="Y36" i="23"/>
  <c r="Y35" i="23"/>
  <c r="Y37" i="23"/>
  <c r="Y42" i="23"/>
  <c r="Y44" i="23"/>
  <c r="Y34" i="23"/>
  <c r="P41" i="23"/>
  <c r="P35" i="23"/>
  <c r="P32" i="23"/>
  <c r="P42" i="23"/>
  <c r="P38" i="23"/>
  <c r="P34" i="23"/>
  <c r="P45" i="23"/>
  <c r="P36" i="23"/>
  <c r="P46" i="23"/>
  <c r="P37" i="23"/>
  <c r="P39" i="23"/>
  <c r="P33" i="23"/>
  <c r="P44" i="23"/>
  <c r="P40" i="23"/>
  <c r="P43" i="23"/>
  <c r="W36" i="23"/>
  <c r="W41" i="23"/>
  <c r="W35" i="23"/>
  <c r="W37" i="23"/>
  <c r="W38" i="23"/>
  <c r="W39" i="23"/>
  <c r="W43" i="23"/>
  <c r="W40" i="23"/>
  <c r="W45" i="23"/>
  <c r="W46" i="23"/>
  <c r="W32" i="23"/>
  <c r="W42" i="23"/>
  <c r="W33" i="23"/>
  <c r="W44" i="23"/>
  <c r="W34" i="23"/>
  <c r="I41" i="23"/>
  <c r="I46" i="23"/>
  <c r="I32" i="23"/>
  <c r="I39" i="23"/>
  <c r="I38" i="23"/>
  <c r="I33" i="23"/>
  <c r="I45" i="23"/>
  <c r="I43" i="23"/>
  <c r="I40" i="23"/>
  <c r="I36" i="23"/>
  <c r="I35" i="23"/>
  <c r="I37" i="23"/>
  <c r="I42" i="23"/>
  <c r="I44" i="23"/>
  <c r="I34" i="23"/>
  <c r="N41" i="23"/>
  <c r="N36" i="23"/>
  <c r="N37" i="23"/>
  <c r="N32" i="23"/>
  <c r="N39" i="23"/>
  <c r="N33" i="23"/>
  <c r="N44" i="23"/>
  <c r="N40" i="23"/>
  <c r="N46" i="23"/>
  <c r="N35" i="23"/>
  <c r="N42" i="23"/>
  <c r="N38" i="23"/>
  <c r="N45" i="23"/>
  <c r="N43" i="23"/>
  <c r="N34" i="23"/>
  <c r="O45" i="11"/>
  <c r="O42" i="11"/>
  <c r="O34" i="11"/>
  <c r="O41" i="11"/>
  <c r="O43" i="11"/>
  <c r="O40" i="11"/>
  <c r="O32" i="11"/>
  <c r="O37" i="11"/>
  <c r="O39" i="11"/>
  <c r="O46" i="11"/>
  <c r="O38" i="11"/>
  <c r="O33" i="11"/>
  <c r="O35" i="11"/>
  <c r="O44" i="11"/>
  <c r="O36" i="11"/>
  <c r="L37" i="11"/>
  <c r="L39" i="11"/>
  <c r="L42" i="11"/>
  <c r="L34" i="11"/>
  <c r="L33" i="11"/>
  <c r="L35" i="11"/>
  <c r="L40" i="11"/>
  <c r="L32" i="11"/>
  <c r="L45" i="11"/>
  <c r="L46" i="11"/>
  <c r="L38" i="11"/>
  <c r="L41" i="11"/>
  <c r="L43" i="11"/>
  <c r="L44" i="11"/>
  <c r="L36" i="11"/>
  <c r="R45" i="11"/>
  <c r="R46" i="11"/>
  <c r="R38" i="11"/>
  <c r="R41" i="11"/>
  <c r="R43" i="11"/>
  <c r="R44" i="11"/>
  <c r="R36" i="11"/>
  <c r="R37" i="11"/>
  <c r="R39" i="11"/>
  <c r="R42" i="11"/>
  <c r="R34" i="11"/>
  <c r="R33" i="11"/>
  <c r="R35" i="11"/>
  <c r="R40" i="11"/>
  <c r="R32" i="11"/>
  <c r="S37" i="11"/>
  <c r="S39" i="11"/>
  <c r="S46" i="11"/>
  <c r="S38" i="11"/>
  <c r="S33" i="11"/>
  <c r="S35" i="11"/>
  <c r="S44" i="11"/>
  <c r="S36" i="11"/>
  <c r="S45" i="11"/>
  <c r="S42" i="11"/>
  <c r="S34" i="11"/>
  <c r="S41" i="11"/>
  <c r="S43" i="11"/>
  <c r="S40" i="11"/>
  <c r="S32" i="11"/>
  <c r="M37" i="11"/>
  <c r="M39" i="11"/>
  <c r="M46" i="11"/>
  <c r="M38" i="11"/>
  <c r="M33" i="11"/>
  <c r="M35" i="11"/>
  <c r="M44" i="11"/>
  <c r="M36" i="11"/>
  <c r="M45" i="11"/>
  <c r="M42" i="11"/>
  <c r="M34" i="11"/>
  <c r="M41" i="11"/>
  <c r="M43" i="11"/>
  <c r="M40" i="11"/>
  <c r="M32" i="11"/>
  <c r="P45" i="11"/>
  <c r="P46" i="11"/>
  <c r="P38" i="11"/>
  <c r="P41" i="11"/>
  <c r="P43" i="11"/>
  <c r="P44" i="11"/>
  <c r="P36" i="11"/>
  <c r="P37" i="11"/>
  <c r="P39" i="11"/>
  <c r="P42" i="11"/>
  <c r="P34" i="11"/>
  <c r="P33" i="11"/>
  <c r="P35" i="11"/>
  <c r="P40" i="11"/>
  <c r="P32" i="11"/>
  <c r="Z45" i="11"/>
  <c r="Z46" i="11"/>
  <c r="Z38" i="11"/>
  <c r="Z41" i="11"/>
  <c r="Z43" i="11"/>
  <c r="Z44" i="11"/>
  <c r="Z36" i="11"/>
  <c r="Z37" i="11"/>
  <c r="Z39" i="11"/>
  <c r="Z42" i="11"/>
  <c r="Z34" i="11"/>
  <c r="Z33" i="11"/>
  <c r="Z35" i="11"/>
  <c r="Z40" i="11"/>
  <c r="Z32" i="11"/>
  <c r="N37" i="11"/>
  <c r="N39" i="11"/>
  <c r="N42" i="11"/>
  <c r="N34" i="11"/>
  <c r="N33" i="11"/>
  <c r="N35" i="11"/>
  <c r="N40" i="11"/>
  <c r="N32" i="11"/>
  <c r="N45" i="11"/>
  <c r="N46" i="11"/>
  <c r="N38" i="11"/>
  <c r="N41" i="11"/>
  <c r="N43" i="11"/>
  <c r="N44" i="11"/>
  <c r="N36" i="11"/>
  <c r="W42" i="24"/>
  <c r="W38" i="24"/>
  <c r="W43" i="24"/>
  <c r="W35" i="24"/>
  <c r="W39" i="24"/>
  <c r="W32" i="24"/>
  <c r="W44" i="24"/>
  <c r="W46" i="24"/>
  <c r="W40" i="24"/>
  <c r="W33" i="24"/>
  <c r="W41" i="24"/>
  <c r="W45" i="24"/>
  <c r="W34" i="24"/>
  <c r="W36" i="24"/>
  <c r="W37" i="24"/>
  <c r="V32" i="24"/>
  <c r="V40" i="24"/>
  <c r="V38" i="24"/>
  <c r="V35" i="24"/>
  <c r="V33" i="24"/>
  <c r="V42" i="24"/>
  <c r="V43" i="24"/>
  <c r="V41" i="24"/>
  <c r="V37" i="24"/>
  <c r="V46" i="24"/>
  <c r="V34" i="24"/>
  <c r="V36" i="24"/>
  <c r="V45" i="24"/>
  <c r="V44" i="24"/>
  <c r="V39" i="24"/>
  <c r="J32" i="24"/>
  <c r="J44" i="24"/>
  <c r="J45" i="24"/>
  <c r="J35" i="24"/>
  <c r="J46" i="24"/>
  <c r="J43" i="24"/>
  <c r="J41" i="24"/>
  <c r="J36" i="24"/>
  <c r="J34" i="24"/>
  <c r="J37" i="24"/>
  <c r="J33" i="24"/>
  <c r="J39" i="24"/>
  <c r="J38" i="24"/>
  <c r="J42" i="24"/>
  <c r="J40" i="24"/>
  <c r="L34" i="24"/>
  <c r="L45" i="24"/>
  <c r="L42" i="24"/>
  <c r="L33" i="24"/>
  <c r="L35" i="24"/>
  <c r="L40" i="24"/>
  <c r="L39" i="24"/>
  <c r="L37" i="24"/>
  <c r="L32" i="24"/>
  <c r="L36" i="24"/>
  <c r="L38" i="24"/>
  <c r="L43" i="24"/>
  <c r="L46" i="24"/>
  <c r="L41" i="24"/>
  <c r="L44" i="24"/>
  <c r="AB40" i="24"/>
  <c r="AB36" i="24"/>
  <c r="AB44" i="24"/>
  <c r="AB39" i="24"/>
  <c r="AB45" i="24"/>
  <c r="AB43" i="24"/>
  <c r="AB38" i="24"/>
  <c r="AB42" i="24"/>
  <c r="AB33" i="24"/>
  <c r="AB41" i="24"/>
  <c r="AB37" i="24"/>
  <c r="AB32" i="24"/>
  <c r="AB35" i="24"/>
  <c r="AB34" i="24"/>
  <c r="AB46" i="24"/>
  <c r="AA34" i="24"/>
  <c r="AA40" i="24"/>
  <c r="AA33" i="24"/>
  <c r="AA35" i="24"/>
  <c r="AA45" i="24"/>
  <c r="AA32" i="24"/>
  <c r="AA44" i="24"/>
  <c r="AA38" i="24"/>
  <c r="AA42" i="24"/>
  <c r="AA46" i="24"/>
  <c r="AA39" i="24"/>
  <c r="AA43" i="24"/>
  <c r="AA36" i="24"/>
  <c r="AA37" i="24"/>
  <c r="AA41" i="24"/>
  <c r="I42" i="24"/>
  <c r="I44" i="24"/>
  <c r="I33" i="24"/>
  <c r="I35" i="24"/>
  <c r="I37" i="24"/>
  <c r="I39" i="24"/>
  <c r="I36" i="24"/>
  <c r="I34" i="24"/>
  <c r="I41" i="24"/>
  <c r="I45" i="24"/>
  <c r="I46" i="24"/>
  <c r="I32" i="24"/>
  <c r="I43" i="24"/>
  <c r="I40" i="24"/>
  <c r="I38" i="24"/>
  <c r="Q46" i="24"/>
  <c r="Q44" i="24"/>
  <c r="Q39" i="24"/>
  <c r="Q34" i="24"/>
  <c r="Q33" i="24"/>
  <c r="Q35" i="24"/>
  <c r="Q37" i="24"/>
  <c r="Q41" i="24"/>
  <c r="Q38" i="24"/>
  <c r="Q40" i="24"/>
  <c r="Q45" i="24"/>
  <c r="Q32" i="24"/>
  <c r="Q42" i="24"/>
  <c r="Q43" i="24"/>
  <c r="Q36" i="24"/>
  <c r="O41" i="24"/>
  <c r="O43" i="24"/>
  <c r="O38" i="24"/>
  <c r="O36" i="24"/>
  <c r="O40" i="24"/>
  <c r="O37" i="24"/>
  <c r="O32" i="24"/>
  <c r="O34" i="24"/>
  <c r="O45" i="24"/>
  <c r="O44" i="24"/>
  <c r="O33" i="24"/>
  <c r="O39" i="24"/>
  <c r="O35" i="24"/>
  <c r="O46" i="24"/>
  <c r="O42" i="24"/>
  <c r="AB46" i="23"/>
  <c r="AB37" i="23"/>
  <c r="AB32" i="23"/>
  <c r="AB38" i="23"/>
  <c r="AB45" i="23"/>
  <c r="AB34" i="23"/>
  <c r="AB41" i="23"/>
  <c r="AB36" i="23"/>
  <c r="AB35" i="23"/>
  <c r="AB42" i="23"/>
  <c r="AB39" i="23"/>
  <c r="AB33" i="23"/>
  <c r="AB44" i="23"/>
  <c r="AB43" i="23"/>
  <c r="AB40" i="23"/>
  <c r="L46" i="23"/>
  <c r="L37" i="23"/>
  <c r="L32" i="23"/>
  <c r="L38" i="23"/>
  <c r="L45" i="23"/>
  <c r="L34" i="23"/>
  <c r="L41" i="23"/>
  <c r="L36" i="23"/>
  <c r="L35" i="23"/>
  <c r="L42" i="23"/>
  <c r="L39" i="23"/>
  <c r="L33" i="23"/>
  <c r="L44" i="23"/>
  <c r="L43" i="23"/>
  <c r="L40" i="23"/>
  <c r="S41" i="23"/>
  <c r="S35" i="23"/>
  <c r="S42" i="23"/>
  <c r="S32" i="23"/>
  <c r="S38" i="23"/>
  <c r="S45" i="23"/>
  <c r="S43" i="23"/>
  <c r="S34" i="23"/>
  <c r="S46" i="23"/>
  <c r="S36" i="23"/>
  <c r="S37" i="23"/>
  <c r="S39" i="23"/>
  <c r="S33" i="23"/>
  <c r="S44" i="23"/>
  <c r="S40" i="23"/>
  <c r="J41" i="23"/>
  <c r="J35" i="23"/>
  <c r="J32" i="23"/>
  <c r="J42" i="23"/>
  <c r="J38" i="23"/>
  <c r="J40" i="23"/>
  <c r="J45" i="23"/>
  <c r="J36" i="23"/>
  <c r="J46" i="23"/>
  <c r="J37" i="23"/>
  <c r="J33" i="23"/>
  <c r="J44" i="23"/>
  <c r="J39" i="23"/>
  <c r="J43" i="23"/>
  <c r="J34" i="23"/>
  <c r="Q41" i="23"/>
  <c r="Q46" i="23"/>
  <c r="Q42" i="23"/>
  <c r="Q39" i="23"/>
  <c r="Q38" i="23"/>
  <c r="Q33" i="23"/>
  <c r="Q34" i="23"/>
  <c r="Q43" i="23"/>
  <c r="Q40" i="23"/>
  <c r="Q36" i="23"/>
  <c r="Q35" i="23"/>
  <c r="Q37" i="23"/>
  <c r="Q32" i="23"/>
  <c r="Q44" i="23"/>
  <c r="Q45" i="23"/>
  <c r="X46" i="23"/>
  <c r="X32" i="23"/>
  <c r="X37" i="23"/>
  <c r="X39" i="23"/>
  <c r="X33" i="23"/>
  <c r="X44" i="23"/>
  <c r="X34" i="23"/>
  <c r="X36" i="23"/>
  <c r="X41" i="23"/>
  <c r="X35" i="23"/>
  <c r="X42" i="23"/>
  <c r="X38" i="23"/>
  <c r="X40" i="23"/>
  <c r="X43" i="23"/>
  <c r="X45" i="23"/>
  <c r="L20" i="11"/>
  <c r="L8" i="11"/>
  <c r="L13" i="11"/>
  <c r="L11" i="11"/>
  <c r="L22" i="11"/>
  <c r="L7" i="11"/>
  <c r="L10" i="11"/>
  <c r="L12" i="11"/>
  <c r="L24" i="11"/>
  <c r="L18" i="11"/>
  <c r="L25" i="11"/>
  <c r="L30" i="11"/>
  <c r="L17" i="11"/>
  <c r="L15" i="11"/>
  <c r="L29" i="11"/>
  <c r="L9" i="11"/>
  <c r="L26" i="11"/>
  <c r="L21" i="11"/>
  <c r="L19" i="11"/>
  <c r="L23" i="11"/>
  <c r="L28" i="11"/>
  <c r="L16" i="11"/>
  <c r="L31" i="11"/>
  <c r="L27" i="11"/>
  <c r="L14" i="11"/>
  <c r="L6" i="11"/>
  <c r="W20" i="11"/>
  <c r="W9" i="11"/>
  <c r="W26" i="11"/>
  <c r="W13" i="11"/>
  <c r="W11" i="11"/>
  <c r="W28" i="11"/>
  <c r="W31" i="11"/>
  <c r="W27" i="11"/>
  <c r="W12" i="11"/>
  <c r="W18" i="11"/>
  <c r="W25" i="11"/>
  <c r="W30" i="11"/>
  <c r="W15" i="11"/>
  <c r="W29" i="11"/>
  <c r="W8" i="11"/>
  <c r="W21" i="11"/>
  <c r="W19" i="11"/>
  <c r="W23" i="11"/>
  <c r="W16" i="11"/>
  <c r="W22" i="11"/>
  <c r="W7" i="11"/>
  <c r="W10" i="11"/>
  <c r="W14" i="11"/>
  <c r="W6" i="11"/>
  <c r="W24" i="11"/>
  <c r="W17" i="11"/>
  <c r="U8" i="11"/>
  <c r="U21" i="11"/>
  <c r="U11" i="11"/>
  <c r="U23" i="11"/>
  <c r="U27" i="11"/>
  <c r="U22" i="11"/>
  <c r="U7" i="11"/>
  <c r="U10" i="11"/>
  <c r="U12" i="11"/>
  <c r="U24" i="11"/>
  <c r="U17" i="11"/>
  <c r="U15" i="11"/>
  <c r="U20" i="11"/>
  <c r="U9" i="11"/>
  <c r="U26" i="11"/>
  <c r="U13" i="11"/>
  <c r="U19" i="11"/>
  <c r="U28" i="11"/>
  <c r="U16" i="11"/>
  <c r="U31" i="11"/>
  <c r="U14" i="11"/>
  <c r="U6" i="11"/>
  <c r="U18" i="11"/>
  <c r="U25" i="11"/>
  <c r="U30" i="11"/>
  <c r="U29" i="11"/>
  <c r="T20" i="11"/>
  <c r="T9" i="11"/>
  <c r="T26" i="11"/>
  <c r="T21" i="11"/>
  <c r="T19" i="11"/>
  <c r="T23" i="11"/>
  <c r="T27" i="11"/>
  <c r="T7" i="11"/>
  <c r="T10" i="11"/>
  <c r="T12" i="11"/>
  <c r="T6" i="11"/>
  <c r="T18" i="11"/>
  <c r="T30" i="11"/>
  <c r="T29" i="11"/>
  <c r="T8" i="11"/>
  <c r="T13" i="11"/>
  <c r="T11" i="11"/>
  <c r="T28" i="11"/>
  <c r="T16" i="11"/>
  <c r="T31" i="11"/>
  <c r="T22" i="11"/>
  <c r="T14" i="11"/>
  <c r="T24" i="11"/>
  <c r="T25" i="11"/>
  <c r="T17" i="11"/>
  <c r="T15" i="11"/>
  <c r="Q20" i="11"/>
  <c r="Q9" i="11"/>
  <c r="Q26" i="11"/>
  <c r="Q13" i="11"/>
  <c r="Q19" i="11"/>
  <c r="Q31" i="11"/>
  <c r="Q7" i="11"/>
  <c r="Q14" i="11"/>
  <c r="Q12" i="11"/>
  <c r="Q6" i="11"/>
  <c r="Q25" i="11"/>
  <c r="Q30" i="11"/>
  <c r="Q29" i="11"/>
  <c r="Q8" i="11"/>
  <c r="Q21" i="11"/>
  <c r="Q11" i="11"/>
  <c r="Q23" i="11"/>
  <c r="Q28" i="11"/>
  <c r="Q16" i="11"/>
  <c r="Q27" i="11"/>
  <c r="Q22" i="11"/>
  <c r="Q10" i="11"/>
  <c r="Q24" i="11"/>
  <c r="Q18" i="11"/>
  <c r="Q17" i="11"/>
  <c r="Q15" i="11"/>
  <c r="K8" i="11"/>
  <c r="K21" i="11"/>
  <c r="K19" i="11"/>
  <c r="K23" i="11"/>
  <c r="K27" i="11"/>
  <c r="K22" i="11"/>
  <c r="K14" i="11"/>
  <c r="K12" i="11"/>
  <c r="K6" i="11"/>
  <c r="K24" i="11"/>
  <c r="K17" i="11"/>
  <c r="K20" i="11"/>
  <c r="K9" i="11"/>
  <c r="K26" i="11"/>
  <c r="K13" i="11"/>
  <c r="K11" i="11"/>
  <c r="K28" i="11"/>
  <c r="K16" i="11"/>
  <c r="K31" i="11"/>
  <c r="K7" i="11"/>
  <c r="K10" i="11"/>
  <c r="K18" i="11"/>
  <c r="K25" i="11"/>
  <c r="K30" i="11"/>
  <c r="K15" i="11"/>
  <c r="K29" i="11"/>
  <c r="AA8" i="11"/>
  <c r="AA21" i="11"/>
  <c r="AA19" i="11"/>
  <c r="AA23" i="11"/>
  <c r="AA16" i="11"/>
  <c r="AA27" i="11"/>
  <c r="AA22" i="11"/>
  <c r="AA14" i="11"/>
  <c r="AA12" i="11"/>
  <c r="AA6" i="11"/>
  <c r="AA24" i="11"/>
  <c r="AA17" i="11"/>
  <c r="AA20" i="11"/>
  <c r="AA9" i="11"/>
  <c r="AA26" i="11"/>
  <c r="AA13" i="11"/>
  <c r="AA11" i="11"/>
  <c r="AA28" i="11"/>
  <c r="AA31" i="11"/>
  <c r="AA7" i="11"/>
  <c r="AA10" i="11"/>
  <c r="AA18" i="11"/>
  <c r="AA25" i="11"/>
  <c r="AA30" i="11"/>
  <c r="AA15" i="11"/>
  <c r="AA29" i="11"/>
  <c r="H9" i="11"/>
  <c r="H26" i="11"/>
  <c r="H8" i="11"/>
  <c r="H21" i="11"/>
  <c r="H11" i="11"/>
  <c r="H23" i="11"/>
  <c r="H28" i="11"/>
  <c r="H16" i="11"/>
  <c r="H31" i="11"/>
  <c r="H27" i="11"/>
  <c r="H14" i="11"/>
  <c r="H15" i="11"/>
  <c r="H20" i="11"/>
  <c r="H13" i="11"/>
  <c r="H19" i="11"/>
  <c r="H22" i="11"/>
  <c r="H7" i="11"/>
  <c r="H10" i="11"/>
  <c r="H12" i="11"/>
  <c r="H24" i="11"/>
  <c r="H18" i="11"/>
  <c r="H25" i="11"/>
  <c r="H30" i="11"/>
  <c r="H17" i="11"/>
  <c r="H29" i="11"/>
  <c r="J26" i="11"/>
  <c r="J13" i="11"/>
  <c r="J19" i="11"/>
  <c r="J28" i="11"/>
  <c r="J16" i="11"/>
  <c r="J31" i="11"/>
  <c r="J22" i="11"/>
  <c r="J7" i="11"/>
  <c r="J6" i="11"/>
  <c r="J24" i="11"/>
  <c r="J25" i="11"/>
  <c r="J17" i="11"/>
  <c r="J20" i="11"/>
  <c r="J9" i="11"/>
  <c r="J8" i="11"/>
  <c r="J21" i="11"/>
  <c r="J11" i="11"/>
  <c r="J23" i="11"/>
  <c r="J27" i="11"/>
  <c r="J10" i="11"/>
  <c r="J14" i="11"/>
  <c r="J12" i="11"/>
  <c r="J18" i="11"/>
  <c r="J30" i="11"/>
  <c r="J15" i="11"/>
  <c r="J29" i="11"/>
  <c r="H6" i="24"/>
  <c r="H11" i="24"/>
  <c r="H17" i="24"/>
  <c r="H19" i="24"/>
  <c r="H14" i="24"/>
  <c r="H31" i="24"/>
  <c r="H9" i="24"/>
  <c r="H8" i="24"/>
  <c r="H28" i="24"/>
  <c r="H21" i="24"/>
  <c r="H23" i="24"/>
  <c r="H12" i="24"/>
  <c r="H26" i="24"/>
  <c r="H30" i="24"/>
  <c r="H13" i="24"/>
  <c r="H15" i="24"/>
  <c r="H18" i="24"/>
  <c r="H22" i="24"/>
  <c r="H7" i="24"/>
  <c r="H10" i="24"/>
  <c r="H24" i="24"/>
  <c r="H27" i="24"/>
  <c r="H29" i="24"/>
  <c r="H25" i="24"/>
  <c r="H20" i="24"/>
  <c r="H16" i="24"/>
  <c r="X24" i="24"/>
  <c r="X8" i="24"/>
  <c r="X31" i="24"/>
  <c r="X10" i="24"/>
  <c r="X28" i="24"/>
  <c r="X9" i="24"/>
  <c r="X22" i="24"/>
  <c r="X18" i="24"/>
  <c r="X14" i="24"/>
  <c r="X6" i="24"/>
  <c r="X12" i="24"/>
  <c r="X26" i="24"/>
  <c r="X29" i="24"/>
  <c r="X25" i="24"/>
  <c r="X11" i="24"/>
  <c r="X27" i="24"/>
  <c r="X13" i="24"/>
  <c r="X15" i="24"/>
  <c r="X20" i="24"/>
  <c r="X7" i="24"/>
  <c r="X19" i="24"/>
  <c r="X17" i="24"/>
  <c r="X16" i="24"/>
  <c r="X30" i="24"/>
  <c r="X23" i="24"/>
  <c r="X21" i="24"/>
  <c r="K10" i="24"/>
  <c r="K24" i="24"/>
  <c r="K19" i="24"/>
  <c r="K14" i="24"/>
  <c r="K29" i="24"/>
  <c r="K6" i="24"/>
  <c r="K27" i="24"/>
  <c r="K11" i="24"/>
  <c r="K31" i="24"/>
  <c r="K25" i="24"/>
  <c r="K20" i="24"/>
  <c r="K16" i="24"/>
  <c r="K17" i="24"/>
  <c r="K30" i="24"/>
  <c r="K18" i="24"/>
  <c r="K15" i="24"/>
  <c r="K9" i="24"/>
  <c r="K28" i="24"/>
  <c r="K22" i="24"/>
  <c r="K7" i="24"/>
  <c r="K12" i="24"/>
  <c r="K26" i="24"/>
  <c r="K23" i="24"/>
  <c r="K13" i="24"/>
  <c r="K21" i="24"/>
  <c r="K8" i="24"/>
  <c r="Y133" i="24"/>
  <c r="Y11" i="24"/>
  <c r="Y12" i="24"/>
  <c r="Y9" i="24"/>
  <c r="Y15" i="24"/>
  <c r="Y16" i="24"/>
  <c r="Y23" i="24"/>
  <c r="Y26" i="24"/>
  <c r="Y29" i="24"/>
  <c r="Y8" i="24"/>
  <c r="Y19" i="24"/>
  <c r="Y28" i="24"/>
  <c r="Y27" i="24"/>
  <c r="Y22" i="24"/>
  <c r="Y14" i="24"/>
  <c r="Y6" i="24"/>
  <c r="Y30" i="24"/>
  <c r="Y18" i="24"/>
  <c r="Y21" i="24"/>
  <c r="Y25" i="24"/>
  <c r="Y10" i="24"/>
  <c r="Y13" i="24"/>
  <c r="Y31" i="24"/>
  <c r="Y7" i="24"/>
  <c r="Y24" i="24"/>
  <c r="Y17" i="24"/>
  <c r="Y20" i="24"/>
  <c r="S6" i="24"/>
  <c r="S16" i="24"/>
  <c r="S28" i="24"/>
  <c r="S15" i="24"/>
  <c r="S11" i="24"/>
  <c r="S7" i="24"/>
  <c r="S29" i="24"/>
  <c r="S31" i="24"/>
  <c r="S17" i="24"/>
  <c r="S10" i="24"/>
  <c r="S20" i="24"/>
  <c r="S22" i="24"/>
  <c r="S8" i="24"/>
  <c r="S21" i="24"/>
  <c r="S27" i="24"/>
  <c r="S30" i="24"/>
  <c r="S12" i="24"/>
  <c r="S25" i="24"/>
  <c r="S9" i="24"/>
  <c r="S19" i="24"/>
  <c r="S23" i="24"/>
  <c r="S26" i="24"/>
  <c r="S13" i="24"/>
  <c r="S14" i="24"/>
  <c r="S18" i="24"/>
  <c r="S24" i="24"/>
  <c r="T24" i="24"/>
  <c r="T13" i="24"/>
  <c r="T18" i="24"/>
  <c r="T8" i="24"/>
  <c r="T26" i="24"/>
  <c r="T12" i="24"/>
  <c r="T20" i="24"/>
  <c r="T31" i="24"/>
  <c r="T30" i="24"/>
  <c r="T22" i="24"/>
  <c r="T7" i="24"/>
  <c r="T6" i="24"/>
  <c r="T15" i="24"/>
  <c r="T21" i="24"/>
  <c r="T27" i="24"/>
  <c r="T19" i="24"/>
  <c r="T10" i="24"/>
  <c r="T14" i="24"/>
  <c r="T17" i="24"/>
  <c r="T11" i="24"/>
  <c r="T25" i="24"/>
  <c r="T16" i="24"/>
  <c r="T23" i="24"/>
  <c r="T9" i="24"/>
  <c r="T28" i="24"/>
  <c r="T29" i="24"/>
  <c r="U10" i="24"/>
  <c r="U30" i="24"/>
  <c r="U11" i="24"/>
  <c r="U19" i="24"/>
  <c r="U14" i="24"/>
  <c r="U18" i="24"/>
  <c r="U22" i="24"/>
  <c r="U8" i="24"/>
  <c r="U7" i="24"/>
  <c r="U6" i="24"/>
  <c r="U25" i="24"/>
  <c r="U20" i="24"/>
  <c r="U26" i="24"/>
  <c r="U15" i="24"/>
  <c r="U9" i="24"/>
  <c r="U23" i="24"/>
  <c r="U16" i="24"/>
  <c r="U17" i="24"/>
  <c r="U27" i="24"/>
  <c r="U31" i="24"/>
  <c r="U28" i="24"/>
  <c r="U24" i="24"/>
  <c r="U13" i="24"/>
  <c r="U12" i="24"/>
  <c r="U21" i="24"/>
  <c r="U29" i="24"/>
  <c r="N79" i="24"/>
  <c r="N6" i="24"/>
  <c r="N10" i="24"/>
  <c r="N20" i="24"/>
  <c r="N30" i="24"/>
  <c r="N28" i="24"/>
  <c r="N19" i="24"/>
  <c r="N31" i="24"/>
  <c r="N15" i="24"/>
  <c r="N24" i="24"/>
  <c r="N16" i="24"/>
  <c r="N23" i="24"/>
  <c r="N29" i="24"/>
  <c r="N18" i="24"/>
  <c r="N7" i="24"/>
  <c r="N27" i="24"/>
  <c r="N9" i="24"/>
  <c r="N22" i="24"/>
  <c r="N8" i="24"/>
  <c r="N12" i="24"/>
  <c r="N21" i="24"/>
  <c r="N17" i="24"/>
  <c r="N11" i="24"/>
  <c r="N13" i="24"/>
  <c r="N14" i="24"/>
  <c r="N26" i="24"/>
  <c r="N25" i="24"/>
  <c r="Z169" i="24"/>
  <c r="M25" i="23"/>
  <c r="T10" i="23"/>
  <c r="T19" i="23"/>
  <c r="T31" i="23"/>
  <c r="T7" i="23"/>
  <c r="T30" i="23"/>
  <c r="T23" i="23"/>
  <c r="T13" i="23"/>
  <c r="T8" i="23"/>
  <c r="T14" i="23"/>
  <c r="T17" i="23"/>
  <c r="T28" i="23"/>
  <c r="T25" i="23"/>
  <c r="T9" i="23"/>
  <c r="T12" i="23"/>
  <c r="T24" i="23"/>
  <c r="T26" i="23"/>
  <c r="T15" i="23"/>
  <c r="T20" i="23"/>
  <c r="T11" i="23"/>
  <c r="T27" i="23"/>
  <c r="T6" i="23"/>
  <c r="T22" i="23"/>
  <c r="T18" i="23"/>
  <c r="T16" i="23"/>
  <c r="T21" i="23"/>
  <c r="T29" i="23"/>
  <c r="AA9" i="23"/>
  <c r="AA24" i="23"/>
  <c r="AA7" i="23"/>
  <c r="AA30" i="23"/>
  <c r="AA26" i="23"/>
  <c r="AA15" i="23"/>
  <c r="AA20" i="23"/>
  <c r="AA8" i="23"/>
  <c r="AA11" i="23"/>
  <c r="AA27" i="23"/>
  <c r="AA21" i="23"/>
  <c r="AA16" i="23"/>
  <c r="AA10" i="23"/>
  <c r="AA19" i="23"/>
  <c r="AA12" i="23"/>
  <c r="AA31" i="23"/>
  <c r="AA23" i="23"/>
  <c r="AA13" i="23"/>
  <c r="AA14" i="23"/>
  <c r="AA22" i="23"/>
  <c r="AA17" i="23"/>
  <c r="AA6" i="23"/>
  <c r="AA18" i="23"/>
  <c r="AA28" i="23"/>
  <c r="AA25" i="23"/>
  <c r="AA29" i="23"/>
  <c r="K9" i="23"/>
  <c r="K24" i="23"/>
  <c r="K7" i="23"/>
  <c r="K30" i="23"/>
  <c r="K26" i="23"/>
  <c r="K15" i="23"/>
  <c r="K20" i="23"/>
  <c r="K8" i="23"/>
  <c r="K11" i="23"/>
  <c r="K27" i="23"/>
  <c r="K21" i="23"/>
  <c r="K16" i="23"/>
  <c r="K10" i="23"/>
  <c r="K19" i="23"/>
  <c r="K12" i="23"/>
  <c r="K31" i="23"/>
  <c r="K23" i="23"/>
  <c r="K13" i="23"/>
  <c r="K14" i="23"/>
  <c r="K22" i="23"/>
  <c r="K17" i="23"/>
  <c r="K6" i="23"/>
  <c r="K18" i="23"/>
  <c r="K28" i="23"/>
  <c r="K25" i="23"/>
  <c r="K29" i="23"/>
  <c r="R10" i="23"/>
  <c r="R12" i="23"/>
  <c r="R30" i="23"/>
  <c r="R24" i="23"/>
  <c r="R26" i="23"/>
  <c r="R23" i="23"/>
  <c r="R13" i="23"/>
  <c r="R6" i="23"/>
  <c r="R8" i="23"/>
  <c r="R22" i="23"/>
  <c r="R17" i="23"/>
  <c r="R29" i="23"/>
  <c r="R25" i="23"/>
  <c r="R9" i="23"/>
  <c r="R7" i="23"/>
  <c r="R19" i="23"/>
  <c r="R31" i="23"/>
  <c r="R15" i="23"/>
  <c r="R20" i="23"/>
  <c r="R11" i="23"/>
  <c r="R14" i="23"/>
  <c r="R27" i="23"/>
  <c r="R18" i="23"/>
  <c r="R21" i="23"/>
  <c r="R28" i="23"/>
  <c r="R16" i="23"/>
  <c r="Y9" i="23"/>
  <c r="Y30" i="23"/>
  <c r="Y7" i="23"/>
  <c r="Y19" i="23"/>
  <c r="Y31" i="23"/>
  <c r="Y26" i="23"/>
  <c r="Y23" i="23"/>
  <c r="Y13" i="23"/>
  <c r="Y6" i="23"/>
  <c r="Y14" i="23"/>
  <c r="Y22" i="23"/>
  <c r="Y18" i="23"/>
  <c r="Y21" i="23"/>
  <c r="Y28" i="23"/>
  <c r="Y29" i="23"/>
  <c r="Y10" i="23"/>
  <c r="Y12" i="23"/>
  <c r="Y24" i="23"/>
  <c r="Y15" i="23"/>
  <c r="Y20" i="23"/>
  <c r="Y17" i="23"/>
  <c r="Y8" i="23"/>
  <c r="Y11" i="23"/>
  <c r="Y27" i="23"/>
  <c r="Y25" i="23"/>
  <c r="Y16" i="23"/>
  <c r="P10" i="23"/>
  <c r="P7" i="23"/>
  <c r="P30" i="23"/>
  <c r="P19" i="23"/>
  <c r="P31" i="23"/>
  <c r="P15" i="23"/>
  <c r="P26" i="23"/>
  <c r="P13" i="23"/>
  <c r="P14" i="23"/>
  <c r="P17" i="23"/>
  <c r="P8" i="23"/>
  <c r="P21" i="23"/>
  <c r="P28" i="23"/>
  <c r="P16" i="23"/>
  <c r="P9" i="23"/>
  <c r="P24" i="23"/>
  <c r="P12" i="23"/>
  <c r="P23" i="23"/>
  <c r="P20" i="23"/>
  <c r="P6" i="23"/>
  <c r="P22" i="23"/>
  <c r="P11" i="23"/>
  <c r="P27" i="23"/>
  <c r="P25" i="23"/>
  <c r="P29" i="23"/>
  <c r="P18" i="23"/>
  <c r="W10" i="23"/>
  <c r="W12" i="23"/>
  <c r="W31" i="23"/>
  <c r="W30" i="23"/>
  <c r="W19" i="23"/>
  <c r="W26" i="23"/>
  <c r="W13" i="23"/>
  <c r="W20" i="23"/>
  <c r="W6" i="23"/>
  <c r="W14" i="23"/>
  <c r="W22" i="23"/>
  <c r="W17" i="23"/>
  <c r="W18" i="23"/>
  <c r="W28" i="23"/>
  <c r="W16" i="23"/>
  <c r="W9" i="23"/>
  <c r="W7" i="23"/>
  <c r="W24" i="23"/>
  <c r="W15" i="23"/>
  <c r="W23" i="23"/>
  <c r="W8" i="23"/>
  <c r="W11" i="23"/>
  <c r="W27" i="23"/>
  <c r="W25" i="23"/>
  <c r="W29" i="23"/>
  <c r="W21" i="23"/>
  <c r="I10" i="23"/>
  <c r="I12" i="23"/>
  <c r="I24" i="23"/>
  <c r="I15" i="23"/>
  <c r="I20" i="23"/>
  <c r="I17" i="23"/>
  <c r="I8" i="23"/>
  <c r="I11" i="23"/>
  <c r="I27" i="23"/>
  <c r="I25" i="23"/>
  <c r="I16" i="23"/>
  <c r="I9" i="23"/>
  <c r="I30" i="23"/>
  <c r="I7" i="23"/>
  <c r="I19" i="23"/>
  <c r="I31" i="23"/>
  <c r="I26" i="23"/>
  <c r="I23" i="23"/>
  <c r="I13" i="23"/>
  <c r="I6" i="23"/>
  <c r="I14" i="23"/>
  <c r="I22" i="23"/>
  <c r="I18" i="23"/>
  <c r="I21" i="23"/>
  <c r="I28" i="23"/>
  <c r="I29" i="23"/>
  <c r="N9" i="23"/>
  <c r="N12" i="23"/>
  <c r="N30" i="23"/>
  <c r="N15" i="23"/>
  <c r="N13" i="23"/>
  <c r="N20" i="23"/>
  <c r="N8" i="23"/>
  <c r="N22" i="23"/>
  <c r="N17" i="23"/>
  <c r="N6" i="23"/>
  <c r="N25" i="23"/>
  <c r="N16" i="23"/>
  <c r="N10" i="23"/>
  <c r="N24" i="23"/>
  <c r="N7" i="23"/>
  <c r="N19" i="23"/>
  <c r="N31" i="23"/>
  <c r="N26" i="23"/>
  <c r="N23" i="23"/>
  <c r="N14" i="23"/>
  <c r="N27" i="23"/>
  <c r="N11" i="23"/>
  <c r="N18" i="23"/>
  <c r="N21" i="23"/>
  <c r="N28" i="23"/>
  <c r="N29" i="23"/>
  <c r="O20" i="11"/>
  <c r="O9" i="11"/>
  <c r="O26" i="11"/>
  <c r="O13" i="11"/>
  <c r="O11" i="11"/>
  <c r="O28" i="11"/>
  <c r="O16" i="11"/>
  <c r="O31" i="11"/>
  <c r="O7" i="11"/>
  <c r="O10" i="11"/>
  <c r="O14" i="11"/>
  <c r="O25" i="11"/>
  <c r="O30" i="11"/>
  <c r="O15" i="11"/>
  <c r="O8" i="11"/>
  <c r="O21" i="11"/>
  <c r="O19" i="11"/>
  <c r="O23" i="11"/>
  <c r="O27" i="11"/>
  <c r="O22" i="11"/>
  <c r="O12" i="11"/>
  <c r="O6" i="11"/>
  <c r="O24" i="11"/>
  <c r="O18" i="11"/>
  <c r="O17" i="11"/>
  <c r="O29" i="11"/>
  <c r="R20" i="11"/>
  <c r="R26" i="11"/>
  <c r="R8" i="11"/>
  <c r="R21" i="11"/>
  <c r="R11" i="11"/>
  <c r="R23" i="11"/>
  <c r="R28" i="11"/>
  <c r="R16" i="11"/>
  <c r="R31" i="11"/>
  <c r="R27" i="11"/>
  <c r="R7" i="11"/>
  <c r="R15" i="11"/>
  <c r="R9" i="11"/>
  <c r="R13" i="11"/>
  <c r="R19" i="11"/>
  <c r="R22" i="11"/>
  <c r="R10" i="11"/>
  <c r="R14" i="11"/>
  <c r="R12" i="11"/>
  <c r="R6" i="11"/>
  <c r="R24" i="11"/>
  <c r="R18" i="11"/>
  <c r="R25" i="11"/>
  <c r="R30" i="11"/>
  <c r="R17" i="11"/>
  <c r="R29" i="11"/>
  <c r="S8" i="11"/>
  <c r="S21" i="11"/>
  <c r="S19" i="11"/>
  <c r="S23" i="11"/>
  <c r="S22" i="11"/>
  <c r="S7" i="11"/>
  <c r="S10" i="11"/>
  <c r="S6" i="11"/>
  <c r="S24" i="11"/>
  <c r="S18" i="11"/>
  <c r="S17" i="11"/>
  <c r="S29" i="11"/>
  <c r="S20" i="11"/>
  <c r="S9" i="11"/>
  <c r="S26" i="11"/>
  <c r="S13" i="11"/>
  <c r="S11" i="11"/>
  <c r="S28" i="11"/>
  <c r="S16" i="11"/>
  <c r="S31" i="11"/>
  <c r="S27" i="11"/>
  <c r="S14" i="11"/>
  <c r="S12" i="11"/>
  <c r="S25" i="11"/>
  <c r="S30" i="11"/>
  <c r="S15" i="11"/>
  <c r="M8" i="11"/>
  <c r="M21" i="11"/>
  <c r="M11" i="11"/>
  <c r="M23" i="11"/>
  <c r="M28" i="11"/>
  <c r="M16" i="11"/>
  <c r="M27" i="11"/>
  <c r="M22" i="11"/>
  <c r="M7" i="11"/>
  <c r="M14" i="11"/>
  <c r="M24" i="11"/>
  <c r="M18" i="11"/>
  <c r="M17" i="11"/>
  <c r="M15" i="11"/>
  <c r="M20" i="11"/>
  <c r="M9" i="11"/>
  <c r="M26" i="11"/>
  <c r="M13" i="11"/>
  <c r="M19" i="11"/>
  <c r="M31" i="11"/>
  <c r="M10" i="11"/>
  <c r="M12" i="11"/>
  <c r="M6" i="11"/>
  <c r="M25" i="11"/>
  <c r="M30" i="11"/>
  <c r="M29" i="11"/>
  <c r="P13" i="11"/>
  <c r="P19" i="11"/>
  <c r="P28" i="11"/>
  <c r="P16" i="11"/>
  <c r="P31" i="11"/>
  <c r="P27" i="11"/>
  <c r="P22" i="11"/>
  <c r="P14" i="11"/>
  <c r="P6" i="11"/>
  <c r="P24" i="11"/>
  <c r="P25" i="11"/>
  <c r="P17" i="11"/>
  <c r="P20" i="11"/>
  <c r="P9" i="11"/>
  <c r="P26" i="11"/>
  <c r="P8" i="11"/>
  <c r="P21" i="11"/>
  <c r="P11" i="11"/>
  <c r="P23" i="11"/>
  <c r="P7" i="11"/>
  <c r="P10" i="11"/>
  <c r="P12" i="11"/>
  <c r="P18" i="11"/>
  <c r="P30" i="11"/>
  <c r="P15" i="11"/>
  <c r="P29" i="11"/>
  <c r="Z9" i="11"/>
  <c r="Z26" i="11"/>
  <c r="Z8" i="11"/>
  <c r="Z13" i="11"/>
  <c r="Z19" i="11"/>
  <c r="Z28" i="11"/>
  <c r="Z16" i="11"/>
  <c r="Z31" i="11"/>
  <c r="Z27" i="11"/>
  <c r="Z22" i="11"/>
  <c r="Z7" i="11"/>
  <c r="Z24" i="11"/>
  <c r="Z25" i="11"/>
  <c r="Z17" i="11"/>
  <c r="Z20" i="11"/>
  <c r="Z21" i="11"/>
  <c r="Z11" i="11"/>
  <c r="Z23" i="11"/>
  <c r="Z10" i="11"/>
  <c r="Z14" i="11"/>
  <c r="Z12" i="11"/>
  <c r="Z6" i="11"/>
  <c r="Z18" i="11"/>
  <c r="Z30" i="11"/>
  <c r="Z15" i="11"/>
  <c r="Z29" i="11"/>
  <c r="N20" i="11"/>
  <c r="N13" i="11"/>
  <c r="N11" i="11"/>
  <c r="N22" i="11"/>
  <c r="N10" i="11"/>
  <c r="N14" i="11"/>
  <c r="N12" i="11"/>
  <c r="N6" i="11"/>
  <c r="N24" i="11"/>
  <c r="N18" i="11"/>
  <c r="N25" i="11"/>
  <c r="N30" i="11"/>
  <c r="N17" i="11"/>
  <c r="N15" i="11"/>
  <c r="N29" i="11"/>
  <c r="N9" i="11"/>
  <c r="N26" i="11"/>
  <c r="N8" i="11"/>
  <c r="N21" i="11"/>
  <c r="N19" i="11"/>
  <c r="N23" i="11"/>
  <c r="N28" i="11"/>
  <c r="N16" i="11"/>
  <c r="N31" i="11"/>
  <c r="N27" i="11"/>
  <c r="N7" i="11"/>
  <c r="W6" i="24"/>
  <c r="W11" i="24"/>
  <c r="W17" i="24"/>
  <c r="W18" i="24"/>
  <c r="W15" i="24"/>
  <c r="W7" i="24"/>
  <c r="W30" i="24"/>
  <c r="W29" i="24"/>
  <c r="W25" i="24"/>
  <c r="W13" i="24"/>
  <c r="W22" i="24"/>
  <c r="W20" i="24"/>
  <c r="W21" i="24"/>
  <c r="W12" i="24"/>
  <c r="W27" i="24"/>
  <c r="W19" i="24"/>
  <c r="W31" i="24"/>
  <c r="W9" i="24"/>
  <c r="W23" i="24"/>
  <c r="W28" i="24"/>
  <c r="W26" i="24"/>
  <c r="W10" i="24"/>
  <c r="W24" i="24"/>
  <c r="W14" i="24"/>
  <c r="W16" i="24"/>
  <c r="W8" i="24"/>
  <c r="V133" i="24"/>
  <c r="V30" i="24"/>
  <c r="V21" i="24"/>
  <c r="V20" i="24"/>
  <c r="V28" i="24"/>
  <c r="V12" i="24"/>
  <c r="V13" i="24"/>
  <c r="V15" i="24"/>
  <c r="V26" i="24"/>
  <c r="V23" i="24"/>
  <c r="V25" i="24"/>
  <c r="V31" i="24"/>
  <c r="V10" i="24"/>
  <c r="V8" i="24"/>
  <c r="V29" i="24"/>
  <c r="V7" i="24"/>
  <c r="V27" i="24"/>
  <c r="V18" i="24"/>
  <c r="V17" i="24"/>
  <c r="V19" i="24"/>
  <c r="V6" i="24"/>
  <c r="V11" i="24"/>
  <c r="V16" i="24"/>
  <c r="V22" i="24"/>
  <c r="V24" i="24"/>
  <c r="V9" i="24"/>
  <c r="V14" i="24"/>
  <c r="J115" i="24"/>
  <c r="J15" i="24"/>
  <c r="J17" i="24"/>
  <c r="J12" i="24"/>
  <c r="J19" i="24"/>
  <c r="J22" i="24"/>
  <c r="J20" i="24"/>
  <c r="J8" i="24"/>
  <c r="J30" i="24"/>
  <c r="J21" i="24"/>
  <c r="J9" i="24"/>
  <c r="J10" i="24"/>
  <c r="J6" i="24"/>
  <c r="J28" i="24"/>
  <c r="J24" i="24"/>
  <c r="J26" i="24"/>
  <c r="J11" i="24"/>
  <c r="J14" i="24"/>
  <c r="J13" i="24"/>
  <c r="J7" i="24"/>
  <c r="J29" i="24"/>
  <c r="J31" i="24"/>
  <c r="J27" i="24"/>
  <c r="J16" i="24"/>
  <c r="J23" i="24"/>
  <c r="J25" i="24"/>
  <c r="J18" i="24"/>
  <c r="L6" i="24"/>
  <c r="L21" i="24"/>
  <c r="L31" i="24"/>
  <c r="L27" i="24"/>
  <c r="L29" i="24"/>
  <c r="L18" i="24"/>
  <c r="L25" i="24"/>
  <c r="L10" i="24"/>
  <c r="L14" i="24"/>
  <c r="L17" i="24"/>
  <c r="L30" i="24"/>
  <c r="L9" i="24"/>
  <c r="L12" i="24"/>
  <c r="L26" i="24"/>
  <c r="L22" i="24"/>
  <c r="L24" i="24"/>
  <c r="L13" i="24"/>
  <c r="L19" i="24"/>
  <c r="L28" i="24"/>
  <c r="L7" i="24"/>
  <c r="L11" i="24"/>
  <c r="L23" i="24"/>
  <c r="L15" i="24"/>
  <c r="L8" i="24"/>
  <c r="L20" i="24"/>
  <c r="L16" i="24"/>
  <c r="AB95" i="24"/>
  <c r="AB17" i="24"/>
  <c r="AB9" i="24"/>
  <c r="AB29" i="24"/>
  <c r="AB11" i="24"/>
  <c r="AB12" i="24"/>
  <c r="AB31" i="24"/>
  <c r="AB26" i="24"/>
  <c r="AB10" i="24"/>
  <c r="AB19" i="24"/>
  <c r="AB28" i="24"/>
  <c r="AB20" i="24"/>
  <c r="AB21" i="24"/>
  <c r="AB22" i="24"/>
  <c r="AB15" i="24"/>
  <c r="AB6" i="24"/>
  <c r="AB8" i="24"/>
  <c r="AB7" i="24"/>
  <c r="AB23" i="24"/>
  <c r="AB30" i="24"/>
  <c r="AB25" i="24"/>
  <c r="AB18" i="24"/>
  <c r="AB24" i="24"/>
  <c r="AB13" i="24"/>
  <c r="AB14" i="24"/>
  <c r="AB16" i="24"/>
  <c r="AB27" i="24"/>
  <c r="AA10" i="24"/>
  <c r="AA24" i="24"/>
  <c r="AA14" i="24"/>
  <c r="AA18" i="24"/>
  <c r="AA27" i="24"/>
  <c r="AA12" i="24"/>
  <c r="AA26" i="24"/>
  <c r="AA16" i="24"/>
  <c r="AA8" i="24"/>
  <c r="AA31" i="24"/>
  <c r="AA9" i="24"/>
  <c r="AA6" i="24"/>
  <c r="AA25" i="24"/>
  <c r="AA29" i="24"/>
  <c r="AA7" i="24"/>
  <c r="AA17" i="24"/>
  <c r="AA11" i="24"/>
  <c r="AA13" i="24"/>
  <c r="AA21" i="24"/>
  <c r="AA30" i="24"/>
  <c r="AA19" i="24"/>
  <c r="AA28" i="24"/>
  <c r="AA23" i="24"/>
  <c r="AA15" i="24"/>
  <c r="AA22" i="24"/>
  <c r="AA20" i="24"/>
  <c r="I138" i="24"/>
  <c r="I23" i="24"/>
  <c r="I22" i="24"/>
  <c r="I24" i="24"/>
  <c r="I8" i="24"/>
  <c r="I25" i="24"/>
  <c r="I31" i="24"/>
  <c r="I17" i="24"/>
  <c r="I11" i="24"/>
  <c r="I12" i="24"/>
  <c r="I10" i="24"/>
  <c r="I19" i="24"/>
  <c r="I27" i="24"/>
  <c r="I29" i="24"/>
  <c r="I26" i="24"/>
  <c r="I15" i="24"/>
  <c r="I13" i="24"/>
  <c r="I14" i="24"/>
  <c r="I20" i="24"/>
  <c r="I9" i="24"/>
  <c r="I28" i="24"/>
  <c r="I7" i="24"/>
  <c r="I18" i="24"/>
  <c r="I30" i="24"/>
  <c r="I21" i="24"/>
  <c r="I6" i="24"/>
  <c r="I16" i="24"/>
  <c r="Q20" i="24"/>
  <c r="Q26" i="24"/>
  <c r="Q27" i="24"/>
  <c r="Q22" i="24"/>
  <c r="Q24" i="24"/>
  <c r="Q18" i="24"/>
  <c r="Q21" i="24"/>
  <c r="Q29" i="24"/>
  <c r="Q8" i="24"/>
  <c r="Q31" i="24"/>
  <c r="Q25" i="24"/>
  <c r="Q7" i="24"/>
  <c r="Q10" i="24"/>
  <c r="Q23" i="24"/>
  <c r="Q14" i="24"/>
  <c r="Q16" i="24"/>
  <c r="Q28" i="24"/>
  <c r="Q15" i="24"/>
  <c r="Q30" i="24"/>
  <c r="Q11" i="24"/>
  <c r="Q19" i="24"/>
  <c r="Q12" i="24"/>
  <c r="Q17" i="24"/>
  <c r="Q13" i="24"/>
  <c r="Q9" i="24"/>
  <c r="Q6" i="24"/>
  <c r="O6" i="24"/>
  <c r="O31" i="24"/>
  <c r="O11" i="24"/>
  <c r="O13" i="24"/>
  <c r="O12" i="24"/>
  <c r="O27" i="24"/>
  <c r="O17" i="24"/>
  <c r="O26" i="24"/>
  <c r="O28" i="24"/>
  <c r="O23" i="24"/>
  <c r="O14" i="24"/>
  <c r="O19" i="24"/>
  <c r="O24" i="24"/>
  <c r="O29" i="24"/>
  <c r="O9" i="24"/>
  <c r="O25" i="24"/>
  <c r="O10" i="24"/>
  <c r="O16" i="24"/>
  <c r="O21" i="24"/>
  <c r="O20" i="24"/>
  <c r="O8" i="24"/>
  <c r="O7" i="24"/>
  <c r="O22" i="24"/>
  <c r="O18" i="24"/>
  <c r="O15" i="24"/>
  <c r="O30" i="24"/>
  <c r="AB9" i="23"/>
  <c r="AB12" i="23"/>
  <c r="AB7" i="23"/>
  <c r="AB15" i="23"/>
  <c r="AB11" i="23"/>
  <c r="AB27" i="23"/>
  <c r="AB6" i="23"/>
  <c r="AB22" i="23"/>
  <c r="AB18" i="23"/>
  <c r="AB25" i="23"/>
  <c r="AB29" i="23"/>
  <c r="AB10" i="23"/>
  <c r="AB19" i="23"/>
  <c r="AB31" i="23"/>
  <c r="AB24" i="23"/>
  <c r="AB30" i="23"/>
  <c r="AB26" i="23"/>
  <c r="AB23" i="23"/>
  <c r="AB20" i="23"/>
  <c r="AB13" i="23"/>
  <c r="AB8" i="23"/>
  <c r="AB14" i="23"/>
  <c r="AB17" i="23"/>
  <c r="AB28" i="23"/>
  <c r="AB16" i="23"/>
  <c r="AB21" i="23"/>
  <c r="L9" i="23"/>
  <c r="L12" i="23"/>
  <c r="L7" i="23"/>
  <c r="L15" i="23"/>
  <c r="L11" i="23"/>
  <c r="L27" i="23"/>
  <c r="L6" i="23"/>
  <c r="L22" i="23"/>
  <c r="L18" i="23"/>
  <c r="L25" i="23"/>
  <c r="L29" i="23"/>
  <c r="L10" i="23"/>
  <c r="L19" i="23"/>
  <c r="L31" i="23"/>
  <c r="L24" i="23"/>
  <c r="L30" i="23"/>
  <c r="L26" i="23"/>
  <c r="L23" i="23"/>
  <c r="L20" i="23"/>
  <c r="L13" i="23"/>
  <c r="L8" i="23"/>
  <c r="L14" i="23"/>
  <c r="L17" i="23"/>
  <c r="L28" i="23"/>
  <c r="L16" i="23"/>
  <c r="L21" i="23"/>
  <c r="S10" i="23"/>
  <c r="S19" i="23"/>
  <c r="S7" i="23"/>
  <c r="S23" i="23"/>
  <c r="S14" i="23"/>
  <c r="S22" i="23"/>
  <c r="S17" i="23"/>
  <c r="S6" i="23"/>
  <c r="S21" i="23"/>
  <c r="S29" i="23"/>
  <c r="S9" i="23"/>
  <c r="S24" i="23"/>
  <c r="S12" i="23"/>
  <c r="S31" i="23"/>
  <c r="S30" i="23"/>
  <c r="S26" i="23"/>
  <c r="S15" i="23"/>
  <c r="S13" i="23"/>
  <c r="S20" i="23"/>
  <c r="S8" i="23"/>
  <c r="S11" i="23"/>
  <c r="S27" i="23"/>
  <c r="S18" i="23"/>
  <c r="S28" i="23"/>
  <c r="S16" i="23"/>
  <c r="S25" i="23"/>
  <c r="J9" i="23"/>
  <c r="J7" i="23"/>
  <c r="J19" i="23"/>
  <c r="J31" i="23"/>
  <c r="J15" i="23"/>
  <c r="J13" i="23"/>
  <c r="J20" i="23"/>
  <c r="J11" i="23"/>
  <c r="J8" i="23"/>
  <c r="J22" i="23"/>
  <c r="J17" i="23"/>
  <c r="J18" i="23"/>
  <c r="J21" i="23"/>
  <c r="J28" i="23"/>
  <c r="J16" i="23"/>
  <c r="J10" i="23"/>
  <c r="J12" i="23"/>
  <c r="J30" i="23"/>
  <c r="J24" i="23"/>
  <c r="J26" i="23"/>
  <c r="J23" i="23"/>
  <c r="J6" i="23"/>
  <c r="J14" i="23"/>
  <c r="J27" i="23"/>
  <c r="J29" i="23"/>
  <c r="J25" i="23"/>
  <c r="Q9" i="23"/>
  <c r="Q12" i="23"/>
  <c r="Q24" i="23"/>
  <c r="Q15" i="23"/>
  <c r="Q17" i="23"/>
  <c r="Q8" i="23"/>
  <c r="Q11" i="23"/>
  <c r="Q27" i="23"/>
  <c r="Q18" i="23"/>
  <c r="Q21" i="23"/>
  <c r="Q28" i="23"/>
  <c r="Q10" i="23"/>
  <c r="Q30" i="23"/>
  <c r="Q7" i="23"/>
  <c r="Q19" i="23"/>
  <c r="Q31" i="23"/>
  <c r="Q26" i="23"/>
  <c r="Q23" i="23"/>
  <c r="Q13" i="23"/>
  <c r="Q20" i="23"/>
  <c r="Q6" i="23"/>
  <c r="Q14" i="23"/>
  <c r="Q22" i="23"/>
  <c r="Q25" i="23"/>
  <c r="Q29" i="23"/>
  <c r="Q16" i="23"/>
  <c r="X10" i="23"/>
  <c r="X24" i="23"/>
  <c r="X30" i="23"/>
  <c r="X19" i="23"/>
  <c r="X31" i="23"/>
  <c r="X23" i="23"/>
  <c r="X13" i="23"/>
  <c r="X20" i="23"/>
  <c r="X6" i="23"/>
  <c r="X22" i="23"/>
  <c r="X11" i="23"/>
  <c r="X27" i="23"/>
  <c r="X25" i="23"/>
  <c r="X28" i="23"/>
  <c r="X9" i="23"/>
  <c r="X7" i="23"/>
  <c r="X12" i="23"/>
  <c r="X15" i="23"/>
  <c r="X26" i="23"/>
  <c r="X14" i="23"/>
  <c r="X17" i="23"/>
  <c r="X8" i="23"/>
  <c r="X21" i="23"/>
  <c r="X29" i="23"/>
  <c r="X18" i="23"/>
  <c r="X16" i="23"/>
  <c r="P12" i="1" l="1"/>
  <c r="O18" i="15" s="1"/>
  <c r="P10" i="1"/>
  <c r="O16" i="15" s="1"/>
  <c r="P7" i="1"/>
  <c r="O13" i="15" s="1"/>
  <c r="P6" i="1"/>
  <c r="O12" i="15" s="1"/>
  <c r="P11" i="1"/>
  <c r="O17" i="15" s="1"/>
  <c r="Z30" i="23"/>
  <c r="Z47" i="23"/>
  <c r="AB19" i="11"/>
  <c r="R29" i="24"/>
  <c r="R36" i="24"/>
  <c r="V11" i="23"/>
  <c r="I25" i="11"/>
  <c r="V14" i="23"/>
  <c r="Z14" i="23"/>
  <c r="M30" i="23"/>
  <c r="Z42" i="23"/>
  <c r="AB53" i="11"/>
  <c r="AB25" i="11"/>
  <c r="V37" i="23"/>
  <c r="R26" i="24"/>
  <c r="M40" i="23"/>
  <c r="AF40" i="23" s="1"/>
  <c r="Y27" i="11"/>
  <c r="I12" i="11"/>
  <c r="Y44" i="11"/>
  <c r="I70" i="11"/>
  <c r="V28" i="23"/>
  <c r="Z23" i="23"/>
  <c r="AB27" i="11"/>
  <c r="M8" i="23"/>
  <c r="Z20" i="24"/>
  <c r="Z21" i="24"/>
  <c r="R9" i="24"/>
  <c r="Y10" i="11"/>
  <c r="I9" i="11"/>
  <c r="V48" i="23"/>
  <c r="I59" i="11"/>
  <c r="Z85" i="23"/>
  <c r="Z74" i="24"/>
  <c r="Z95" i="23"/>
  <c r="Y155" i="11"/>
  <c r="Z17" i="24"/>
  <c r="Z13" i="24"/>
  <c r="V10" i="23"/>
  <c r="Z9" i="23"/>
  <c r="V21" i="23"/>
  <c r="Z26" i="23"/>
  <c r="AB23" i="11"/>
  <c r="AB13" i="11"/>
  <c r="M15" i="23"/>
  <c r="Z31" i="24"/>
  <c r="R20" i="24"/>
  <c r="Y28" i="11"/>
  <c r="I24" i="11"/>
  <c r="AF24" i="11" s="1"/>
  <c r="I44" i="11"/>
  <c r="I51" i="11"/>
  <c r="Z78" i="24"/>
  <c r="V12" i="23"/>
  <c r="Z21" i="23"/>
  <c r="AB26" i="11"/>
  <c r="M29" i="23"/>
  <c r="Z6" i="24"/>
  <c r="R19" i="24"/>
  <c r="I27" i="11"/>
  <c r="V46" i="23"/>
  <c r="Z44" i="23"/>
  <c r="M39" i="23"/>
  <c r="R35" i="24"/>
  <c r="Y33" i="11"/>
  <c r="Z54" i="23"/>
  <c r="V84" i="23"/>
  <c r="AB83" i="11"/>
  <c r="R67" i="24"/>
  <c r="I149" i="11"/>
  <c r="V9" i="23"/>
  <c r="Z18" i="23"/>
  <c r="AB30" i="11"/>
  <c r="M14" i="23"/>
  <c r="Z10" i="24"/>
  <c r="R18" i="24"/>
  <c r="Y7" i="11"/>
  <c r="I29" i="11"/>
  <c r="AF29" i="11" s="1"/>
  <c r="V40" i="23"/>
  <c r="Z38" i="23"/>
  <c r="M45" i="23"/>
  <c r="R34" i="24"/>
  <c r="Y40" i="11"/>
  <c r="Z56" i="23"/>
  <c r="M60" i="23"/>
  <c r="V61" i="23"/>
  <c r="AB87" i="11"/>
  <c r="V142" i="23"/>
  <c r="Z96" i="23"/>
  <c r="R132" i="24"/>
  <c r="Z35" i="24"/>
  <c r="Z60" i="24"/>
  <c r="V19" i="23"/>
  <c r="Z31" i="23"/>
  <c r="AB24" i="11"/>
  <c r="M21" i="23"/>
  <c r="M24" i="23"/>
  <c r="Z15" i="24"/>
  <c r="R10" i="24"/>
  <c r="Y11" i="11"/>
  <c r="I6" i="11"/>
  <c r="AF6" i="11" s="1"/>
  <c r="Z41" i="23"/>
  <c r="Z38" i="24"/>
  <c r="AB39" i="11"/>
  <c r="Z59" i="24"/>
  <c r="Z109" i="23"/>
  <c r="AB107" i="11"/>
  <c r="Z125" i="24"/>
  <c r="Z116" i="24"/>
  <c r="V25" i="23"/>
  <c r="V7" i="23"/>
  <c r="Z29" i="23"/>
  <c r="Z19" i="23"/>
  <c r="AB22" i="11"/>
  <c r="M11" i="23"/>
  <c r="M10" i="23"/>
  <c r="Z28" i="24"/>
  <c r="R21" i="24"/>
  <c r="Y6" i="11"/>
  <c r="I26" i="11"/>
  <c r="AF26" i="11" s="1"/>
  <c r="AB37" i="11"/>
  <c r="R60" i="24"/>
  <c r="Z90" i="23"/>
  <c r="M85" i="23"/>
  <c r="V143" i="23"/>
  <c r="M134" i="23"/>
  <c r="H119" i="23"/>
  <c r="T101" i="11"/>
  <c r="T119" i="11"/>
  <c r="T136" i="11"/>
  <c r="T122" i="11"/>
  <c r="T105" i="11"/>
  <c r="T115" i="11"/>
  <c r="T116" i="11"/>
  <c r="T118" i="11"/>
  <c r="T93" i="11"/>
  <c r="T90" i="11"/>
  <c r="T84" i="11"/>
  <c r="T69" i="11"/>
  <c r="T81" i="11"/>
  <c r="T144" i="11"/>
  <c r="T103" i="11"/>
  <c r="T153" i="11"/>
  <c r="T120" i="11"/>
  <c r="T106" i="11"/>
  <c r="T99" i="11"/>
  <c r="T100" i="11"/>
  <c r="T102" i="11"/>
  <c r="T92" i="11"/>
  <c r="T61" i="11"/>
  <c r="T86" i="11"/>
  <c r="T63" i="11"/>
  <c r="T67" i="11"/>
  <c r="T128" i="11"/>
  <c r="T146" i="11"/>
  <c r="T137" i="11"/>
  <c r="T104" i="11"/>
  <c r="T140" i="11"/>
  <c r="T142" i="11"/>
  <c r="T155" i="11"/>
  <c r="T94" i="11"/>
  <c r="T112" i="11"/>
  <c r="T130" i="11"/>
  <c r="T143" i="11"/>
  <c r="T124" i="11"/>
  <c r="T126" i="11"/>
  <c r="T129" i="11"/>
  <c r="T139" i="11"/>
  <c r="T95" i="11"/>
  <c r="T71" i="11"/>
  <c r="T75" i="11"/>
  <c r="T78" i="11"/>
  <c r="T72" i="11"/>
  <c r="T96" i="11"/>
  <c r="T114" i="11"/>
  <c r="T141" i="11"/>
  <c r="T127" i="11"/>
  <c r="T108" i="11"/>
  <c r="T110" i="11"/>
  <c r="T113" i="11"/>
  <c r="T123" i="11"/>
  <c r="T91" i="11"/>
  <c r="T133" i="11"/>
  <c r="T151" i="11"/>
  <c r="T109" i="11"/>
  <c r="T154" i="11"/>
  <c r="T145" i="11"/>
  <c r="T147" i="11"/>
  <c r="T148" i="11"/>
  <c r="T150" i="11"/>
  <c r="Q128" i="11"/>
  <c r="Q122" i="11"/>
  <c r="Q96" i="11"/>
  <c r="Q114" i="11"/>
  <c r="Q97" i="11"/>
  <c r="Q131" i="11"/>
  <c r="Q148" i="11"/>
  <c r="Q134" i="11"/>
  <c r="Q94" i="11"/>
  <c r="Q77" i="11"/>
  <c r="Q80" i="11"/>
  <c r="Q82" i="11"/>
  <c r="Q67" i="11"/>
  <c r="Q120" i="11"/>
  <c r="Q106" i="11"/>
  <c r="Q141" i="11"/>
  <c r="Q98" i="11"/>
  <c r="Q123" i="11"/>
  <c r="Q132" i="11"/>
  <c r="Q110" i="11"/>
  <c r="Q93" i="11"/>
  <c r="Q71" i="11"/>
  <c r="Q72" i="11"/>
  <c r="Q74" i="11"/>
  <c r="Q76" i="11"/>
  <c r="Q104" i="11"/>
  <c r="Q125" i="11"/>
  <c r="Q143" i="11"/>
  <c r="Q140" i="11"/>
  <c r="Q107" i="11"/>
  <c r="Q108" i="11"/>
  <c r="Q151" i="11"/>
  <c r="Q117" i="11"/>
  <c r="Q127" i="11"/>
  <c r="Q124" i="11"/>
  <c r="Q142" i="11"/>
  <c r="Q155" i="11"/>
  <c r="Q70" i="11"/>
  <c r="Q85" i="11"/>
  <c r="Q89" i="11"/>
  <c r="Q149" i="11"/>
  <c r="Q135" i="11"/>
  <c r="Q101" i="11"/>
  <c r="Q119" i="11"/>
  <c r="Q116" i="11"/>
  <c r="Q126" i="11"/>
  <c r="Q139" i="11"/>
  <c r="Q109" i="11"/>
  <c r="Q146" i="11"/>
  <c r="Q137" i="11"/>
  <c r="Q136" i="11"/>
  <c r="Q154" i="11"/>
  <c r="AF154" i="11" s="1"/>
  <c r="Q145" i="11"/>
  <c r="Q102" i="11"/>
  <c r="Q121" i="11"/>
  <c r="Q99" i="11"/>
  <c r="W125" i="23"/>
  <c r="W99" i="23"/>
  <c r="W127" i="23"/>
  <c r="W133" i="23"/>
  <c r="W101" i="23"/>
  <c r="W135" i="23"/>
  <c r="W110" i="23"/>
  <c r="W138" i="23"/>
  <c r="W143" i="23"/>
  <c r="W91" i="23"/>
  <c r="W83" i="23"/>
  <c r="W70" i="23"/>
  <c r="W116" i="23"/>
  <c r="W146" i="23"/>
  <c r="W121" i="23"/>
  <c r="W148" i="23"/>
  <c r="W153" i="23"/>
  <c r="W150" i="23"/>
  <c r="W131" i="23"/>
  <c r="W136" i="23"/>
  <c r="W142" i="23"/>
  <c r="W128" i="23"/>
  <c r="W97" i="23"/>
  <c r="W132" i="23"/>
  <c r="W105" i="23"/>
  <c r="W152" i="23"/>
  <c r="W96" i="23"/>
  <c r="W113" i="23"/>
  <c r="W98" i="23"/>
  <c r="W115" i="23"/>
  <c r="W102" i="23"/>
  <c r="W144" i="23"/>
  <c r="W103" i="23"/>
  <c r="W126" i="23"/>
  <c r="W112" i="23"/>
  <c r="W109" i="23"/>
  <c r="W137" i="23"/>
  <c r="W123" i="23"/>
  <c r="W107" i="23"/>
  <c r="W119" i="23"/>
  <c r="W147" i="23"/>
  <c r="W108" i="23"/>
  <c r="W134" i="23"/>
  <c r="W118" i="23"/>
  <c r="AB130" i="23"/>
  <c r="AB122" i="23"/>
  <c r="AB143" i="23"/>
  <c r="AB155" i="23"/>
  <c r="AB135" i="23"/>
  <c r="AB127" i="23"/>
  <c r="AB148" i="23"/>
  <c r="AB141" i="23"/>
  <c r="AB104" i="23"/>
  <c r="AB133" i="23"/>
  <c r="AB153" i="23"/>
  <c r="AB151" i="23"/>
  <c r="AB120" i="23"/>
  <c r="AB101" i="23"/>
  <c r="AB154" i="23"/>
  <c r="AB128" i="23"/>
  <c r="AB97" i="23"/>
  <c r="AB116" i="23"/>
  <c r="AB105" i="23"/>
  <c r="AB118" i="23"/>
  <c r="AB113" i="23"/>
  <c r="AB94" i="23"/>
  <c r="AB150" i="23"/>
  <c r="AB126" i="23"/>
  <c r="AB123" i="23"/>
  <c r="AB144" i="23"/>
  <c r="AB136" i="23"/>
  <c r="AB131" i="23"/>
  <c r="AB129" i="23"/>
  <c r="AB91" i="23"/>
  <c r="AB132" i="23"/>
  <c r="AB99" i="23"/>
  <c r="AB137" i="23"/>
  <c r="AB96" i="23"/>
  <c r="AB114" i="23"/>
  <c r="AB110" i="23"/>
  <c r="AB102" i="23"/>
  <c r="N133" i="11"/>
  <c r="N135" i="11"/>
  <c r="N152" i="11"/>
  <c r="AF152" i="11" s="1"/>
  <c r="N154" i="11"/>
  <c r="N145" i="11"/>
  <c r="N110" i="11"/>
  <c r="N148" i="11"/>
  <c r="N134" i="11"/>
  <c r="N117" i="11"/>
  <c r="N119" i="11"/>
  <c r="N136" i="11"/>
  <c r="N138" i="11"/>
  <c r="N137" i="11"/>
  <c r="N155" i="11"/>
  <c r="N132" i="11"/>
  <c r="N118" i="11"/>
  <c r="N93" i="11"/>
  <c r="N101" i="11"/>
  <c r="N103" i="11"/>
  <c r="N153" i="11"/>
  <c r="N120" i="11"/>
  <c r="N122" i="11"/>
  <c r="N121" i="11"/>
  <c r="N147" i="11"/>
  <c r="N116" i="11"/>
  <c r="N102" i="11"/>
  <c r="N92" i="11"/>
  <c r="N144" i="11"/>
  <c r="N146" i="11"/>
  <c r="N104" i="11"/>
  <c r="N106" i="11"/>
  <c r="N105" i="11"/>
  <c r="N131" i="11"/>
  <c r="N100" i="11"/>
  <c r="N94" i="11"/>
  <c r="N128" i="11"/>
  <c r="N130" i="11"/>
  <c r="N115" i="11"/>
  <c r="N139" i="11"/>
  <c r="L127" i="24"/>
  <c r="L113" i="24"/>
  <c r="L141" i="24"/>
  <c r="L144" i="24"/>
  <c r="L118" i="24"/>
  <c r="L120" i="24"/>
  <c r="L133" i="24"/>
  <c r="L119" i="24"/>
  <c r="L138" i="24"/>
  <c r="L95" i="24"/>
  <c r="L114" i="24"/>
  <c r="L121" i="24"/>
  <c r="L103" i="24"/>
  <c r="L105" i="24"/>
  <c r="L96" i="24"/>
  <c r="L142" i="24"/>
  <c r="L100" i="24"/>
  <c r="L107" i="24"/>
  <c r="L92" i="24"/>
  <c r="L151" i="24"/>
  <c r="L134" i="24"/>
  <c r="L125" i="24"/>
  <c r="L136" i="24"/>
  <c r="L98" i="24"/>
  <c r="L155" i="24"/>
  <c r="L128" i="24"/>
  <c r="L102" i="24"/>
  <c r="L116" i="24"/>
  <c r="L124" i="24"/>
  <c r="L147" i="24"/>
  <c r="L131" i="24"/>
  <c r="L150" i="24"/>
  <c r="L112" i="24"/>
  <c r="L149" i="24"/>
  <c r="L115" i="24"/>
  <c r="L143" i="24"/>
  <c r="L153" i="24"/>
  <c r="L109" i="24"/>
  <c r="L135" i="24"/>
  <c r="L108" i="24"/>
  <c r="L104" i="24"/>
  <c r="X150" i="24"/>
  <c r="X110" i="24"/>
  <c r="X116" i="24"/>
  <c r="X147" i="24"/>
  <c r="X130" i="24"/>
  <c r="X131" i="24"/>
  <c r="X80" i="24"/>
  <c r="X63" i="24"/>
  <c r="X90" i="24"/>
  <c r="X155" i="24"/>
  <c r="X100" i="24"/>
  <c r="X97" i="24"/>
  <c r="X145" i="24"/>
  <c r="X122" i="24"/>
  <c r="X151" i="24"/>
  <c r="X108" i="24"/>
  <c r="X96" i="24"/>
  <c r="X104" i="24"/>
  <c r="X111" i="24"/>
  <c r="X101" i="24"/>
  <c r="X117" i="24"/>
  <c r="X106" i="24"/>
  <c r="X153" i="24"/>
  <c r="X118" i="24"/>
  <c r="X152" i="24"/>
  <c r="X143" i="24"/>
  <c r="X109" i="24"/>
  <c r="X107" i="24"/>
  <c r="X99" i="24"/>
  <c r="X136" i="24"/>
  <c r="X137" i="24"/>
  <c r="X114" i="24"/>
  <c r="X103" i="24"/>
  <c r="X135" i="24"/>
  <c r="X129" i="24"/>
  <c r="X92" i="24"/>
  <c r="X85" i="24"/>
  <c r="X87" i="24"/>
  <c r="X69" i="24"/>
  <c r="X72" i="24"/>
  <c r="X113" i="24"/>
  <c r="X132" i="24"/>
  <c r="X127" i="24"/>
  <c r="X141" i="24"/>
  <c r="X148" i="24"/>
  <c r="X125" i="24"/>
  <c r="X146" i="24"/>
  <c r="X149" i="24"/>
  <c r="X95" i="24"/>
  <c r="X102" i="24"/>
  <c r="X112" i="24"/>
  <c r="X98" i="24"/>
  <c r="X128" i="24"/>
  <c r="X120" i="24"/>
  <c r="T109" i="24"/>
  <c r="T155" i="24"/>
  <c r="T135" i="24"/>
  <c r="T137" i="24"/>
  <c r="T134" i="24"/>
  <c r="T142" i="24"/>
  <c r="T138" i="24"/>
  <c r="T87" i="24"/>
  <c r="T76" i="24"/>
  <c r="T65" i="24"/>
  <c r="T93" i="24"/>
  <c r="T114" i="24"/>
  <c r="T154" i="24"/>
  <c r="T102" i="24"/>
  <c r="T106" i="24"/>
  <c r="T141" i="24"/>
  <c r="T149" i="24"/>
  <c r="T97" i="24"/>
  <c r="T127" i="24"/>
  <c r="T144" i="24"/>
  <c r="T94" i="24"/>
  <c r="T151" i="24"/>
  <c r="T99" i="24"/>
  <c r="T128" i="24"/>
  <c r="T133" i="24"/>
  <c r="T147" i="24"/>
  <c r="T104" i="24"/>
  <c r="T152" i="24"/>
  <c r="T95" i="24"/>
  <c r="T146" i="24"/>
  <c r="T112" i="24"/>
  <c r="T130" i="24"/>
  <c r="T98" i="24"/>
  <c r="T96" i="24"/>
  <c r="T111" i="24"/>
  <c r="T107" i="24"/>
  <c r="T101" i="24"/>
  <c r="T116" i="24"/>
  <c r="T67" i="24"/>
  <c r="T68" i="24"/>
  <c r="T66" i="24"/>
  <c r="T63" i="24"/>
  <c r="T92" i="24"/>
  <c r="T108" i="24"/>
  <c r="T129" i="24"/>
  <c r="T153" i="24"/>
  <c r="T115" i="24"/>
  <c r="T139" i="24"/>
  <c r="T118" i="24"/>
  <c r="T148" i="24"/>
  <c r="V16" i="23"/>
  <c r="V18" i="23"/>
  <c r="V27" i="23"/>
  <c r="V24" i="23"/>
  <c r="Z25" i="23"/>
  <c r="Z24" i="23"/>
  <c r="Z27" i="23"/>
  <c r="Z7" i="23"/>
  <c r="AB21" i="11"/>
  <c r="AB18" i="11"/>
  <c r="AB11" i="11"/>
  <c r="M28" i="23"/>
  <c r="M20" i="23"/>
  <c r="M22" i="23"/>
  <c r="M12" i="23"/>
  <c r="Z27" i="24"/>
  <c r="Z14" i="24"/>
  <c r="Z11" i="24"/>
  <c r="R8" i="24"/>
  <c r="R11" i="24"/>
  <c r="R23" i="24"/>
  <c r="Y23" i="11"/>
  <c r="Y16" i="11"/>
  <c r="I7" i="11"/>
  <c r="I18" i="11"/>
  <c r="AF18" i="11" s="1"/>
  <c r="V33" i="23"/>
  <c r="Z34" i="23"/>
  <c r="Z32" i="23"/>
  <c r="M32" i="23"/>
  <c r="Z34" i="24"/>
  <c r="R44" i="24"/>
  <c r="Y38" i="11"/>
  <c r="I36" i="11"/>
  <c r="V49" i="23"/>
  <c r="Z60" i="23"/>
  <c r="M56" i="23"/>
  <c r="Z47" i="24"/>
  <c r="V86" i="23"/>
  <c r="Z74" i="23"/>
  <c r="AB62" i="11"/>
  <c r="Z68" i="24"/>
  <c r="V97" i="23"/>
  <c r="AB134" i="11"/>
  <c r="AB152" i="11"/>
  <c r="Z143" i="24"/>
  <c r="Y134" i="11"/>
  <c r="Y142" i="11"/>
  <c r="I144" i="11"/>
  <c r="I130" i="11"/>
  <c r="I120" i="11"/>
  <c r="I138" i="11"/>
  <c r="I121" i="11"/>
  <c r="I131" i="11"/>
  <c r="I155" i="11"/>
  <c r="I128" i="11"/>
  <c r="I114" i="11"/>
  <c r="I96" i="11"/>
  <c r="AF96" i="11" s="1"/>
  <c r="I122" i="11"/>
  <c r="I97" i="11"/>
  <c r="I115" i="11"/>
  <c r="I129" i="11"/>
  <c r="I139" i="11"/>
  <c r="I91" i="11"/>
  <c r="AF91" i="11" s="1"/>
  <c r="I61" i="11"/>
  <c r="I75" i="11"/>
  <c r="I79" i="11"/>
  <c r="I81" i="11"/>
  <c r="AF81" i="11" s="1"/>
  <c r="I112" i="11"/>
  <c r="I106" i="11"/>
  <c r="I141" i="11"/>
  <c r="I98" i="11"/>
  <c r="AF98" i="11" s="1"/>
  <c r="I142" i="11"/>
  <c r="I113" i="11"/>
  <c r="AF113" i="11" s="1"/>
  <c r="I123" i="11"/>
  <c r="I94" i="11"/>
  <c r="AF94" i="11" s="1"/>
  <c r="I77" i="11"/>
  <c r="I80" i="11"/>
  <c r="I82" i="11"/>
  <c r="I67" i="11"/>
  <c r="AF67" i="11" s="1"/>
  <c r="I104" i="11"/>
  <c r="I125" i="11"/>
  <c r="I143" i="11"/>
  <c r="I140" i="11"/>
  <c r="I126" i="11"/>
  <c r="I105" i="11"/>
  <c r="I107" i="11"/>
  <c r="I93" i="11"/>
  <c r="AF93" i="11" s="1"/>
  <c r="I71" i="11"/>
  <c r="I72" i="11"/>
  <c r="AF72" i="11" s="1"/>
  <c r="I74" i="11"/>
  <c r="I76" i="11"/>
  <c r="I151" i="11"/>
  <c r="I109" i="11"/>
  <c r="I127" i="11"/>
  <c r="I108" i="11"/>
  <c r="AF108" i="11" s="1"/>
  <c r="I110" i="11"/>
  <c r="I148" i="11"/>
  <c r="I99" i="11"/>
  <c r="I78" i="11"/>
  <c r="AF78" i="11" s="1"/>
  <c r="I64" i="11"/>
  <c r="I66" i="11"/>
  <c r="I68" i="11"/>
  <c r="AF68" i="11" s="1"/>
  <c r="I133" i="11"/>
  <c r="I119" i="11"/>
  <c r="I153" i="11"/>
  <c r="AF153" i="11" s="1"/>
  <c r="I152" i="11"/>
  <c r="I103" i="11"/>
  <c r="I124" i="11"/>
  <c r="I134" i="11"/>
  <c r="I62" i="11"/>
  <c r="AF62" i="11" s="1"/>
  <c r="I90" i="11"/>
  <c r="AF90" i="11" s="1"/>
  <c r="I84" i="11"/>
  <c r="AF84" i="11" s="1"/>
  <c r="I146" i="11"/>
  <c r="I136" i="11"/>
  <c r="I145" i="11"/>
  <c r="I69" i="11"/>
  <c r="I53" i="11"/>
  <c r="I42" i="11"/>
  <c r="AF42" i="11" s="1"/>
  <c r="I46" i="11"/>
  <c r="AF46" i="11" s="1"/>
  <c r="I132" i="11"/>
  <c r="I63" i="11"/>
  <c r="AF63" i="11" s="1"/>
  <c r="I47" i="11"/>
  <c r="I34" i="11"/>
  <c r="AF34" i="11" s="1"/>
  <c r="I38" i="11"/>
  <c r="I111" i="11"/>
  <c r="I100" i="11"/>
  <c r="AF100" i="11" s="1"/>
  <c r="I116" i="11"/>
  <c r="I88" i="11"/>
  <c r="I89" i="11"/>
  <c r="I55" i="11"/>
  <c r="I58" i="11"/>
  <c r="AF58" i="11" s="1"/>
  <c r="I41" i="11"/>
  <c r="I33" i="11"/>
  <c r="I19" i="11"/>
  <c r="AF19" i="11" s="1"/>
  <c r="I30" i="11"/>
  <c r="AF30" i="11" s="1"/>
  <c r="I22" i="11"/>
  <c r="I154" i="11"/>
  <c r="I150" i="11"/>
  <c r="I87" i="11"/>
  <c r="AF87" i="11" s="1"/>
  <c r="I86" i="11"/>
  <c r="I54" i="11"/>
  <c r="I50" i="11"/>
  <c r="AF50" i="11" s="1"/>
  <c r="I43" i="11"/>
  <c r="AF43" i="11" s="1"/>
  <c r="I35" i="11"/>
  <c r="I117" i="11"/>
  <c r="I92" i="11"/>
  <c r="I73" i="11"/>
  <c r="AF73" i="11" s="1"/>
  <c r="I60" i="11"/>
  <c r="I56" i="11"/>
  <c r="I37" i="11"/>
  <c r="AF37" i="11" s="1"/>
  <c r="I20" i="11"/>
  <c r="AF20" i="11" s="1"/>
  <c r="I14" i="11"/>
  <c r="I11" i="11"/>
  <c r="AF11" i="11" s="1"/>
  <c r="I17" i="11"/>
  <c r="I135" i="11"/>
  <c r="I101" i="11"/>
  <c r="I85" i="11"/>
  <c r="AF85" i="11" s="1"/>
  <c r="I52" i="11"/>
  <c r="AF52" i="11" s="1"/>
  <c r="I48" i="11"/>
  <c r="AF48" i="11" s="1"/>
  <c r="Z141" i="23"/>
  <c r="Z108" i="23"/>
  <c r="Z139" i="23"/>
  <c r="Z129" i="23"/>
  <c r="Z151" i="23"/>
  <c r="Z140" i="23"/>
  <c r="Z145" i="23"/>
  <c r="Z104" i="23"/>
  <c r="Z100" i="23"/>
  <c r="Z149" i="23"/>
  <c r="Z136" i="23"/>
  <c r="Z106" i="23"/>
  <c r="Z155" i="23"/>
  <c r="Z114" i="23"/>
  <c r="Z99" i="23"/>
  <c r="Z111" i="23"/>
  <c r="Z119" i="23"/>
  <c r="Z110" i="23"/>
  <c r="Z117" i="23"/>
  <c r="Z122" i="23"/>
  <c r="Z101" i="23"/>
  <c r="Z125" i="23"/>
  <c r="Z115" i="23"/>
  <c r="Z138" i="23"/>
  <c r="Z127" i="23"/>
  <c r="Z132" i="23"/>
  <c r="Z146" i="23"/>
  <c r="Z121" i="23"/>
  <c r="Z143" i="23"/>
  <c r="Z133" i="23"/>
  <c r="Z94" i="23"/>
  <c r="Z150" i="23"/>
  <c r="Z154" i="23"/>
  <c r="Z152" i="23"/>
  <c r="Z113" i="23"/>
  <c r="Z97" i="23"/>
  <c r="Z98" i="23"/>
  <c r="Z105" i="23"/>
  <c r="Z144" i="23"/>
  <c r="Z128" i="23"/>
  <c r="Z93" i="23"/>
  <c r="Z142" i="23"/>
  <c r="Z120" i="23"/>
  <c r="Z153" i="23"/>
  <c r="AH153" i="23" s="1"/>
  <c r="Z88" i="23"/>
  <c r="Z80" i="23"/>
  <c r="Z78" i="23"/>
  <c r="Z75" i="23"/>
  <c r="Z52" i="23"/>
  <c r="Z48" i="23"/>
  <c r="Z45" i="23"/>
  <c r="Z103" i="23"/>
  <c r="Z118" i="23"/>
  <c r="Z131" i="23"/>
  <c r="Z102" i="23"/>
  <c r="Z73" i="23"/>
  <c r="Z65" i="23"/>
  <c r="Z86" i="23"/>
  <c r="Z66" i="23"/>
  <c r="Z51" i="23"/>
  <c r="Z55" i="23"/>
  <c r="Z130" i="23"/>
  <c r="Z124" i="23"/>
  <c r="Z134" i="23"/>
  <c r="Z83" i="23"/>
  <c r="Z71" i="23"/>
  <c r="Z84" i="23"/>
  <c r="Z81" i="23"/>
  <c r="Z58" i="23"/>
  <c r="Z59" i="23"/>
  <c r="Z35" i="23"/>
  <c r="Z46" i="23"/>
  <c r="Z148" i="23"/>
  <c r="Z79" i="23"/>
  <c r="Z61" i="23"/>
  <c r="Z67" i="23"/>
  <c r="Z82" i="23"/>
  <c r="Z49" i="23"/>
  <c r="Z50" i="23"/>
  <c r="Z137" i="23"/>
  <c r="Z135" i="23"/>
  <c r="Z92" i="23"/>
  <c r="Z63" i="23"/>
  <c r="Z89" i="23"/>
  <c r="Z77" i="23"/>
  <c r="Z70" i="23"/>
  <c r="Z57" i="23"/>
  <c r="Z53" i="23"/>
  <c r="Z39" i="23"/>
  <c r="Z43" i="23"/>
  <c r="Z91" i="23"/>
  <c r="Z62" i="23"/>
  <c r="Z69" i="23"/>
  <c r="Z87" i="23"/>
  <c r="Z76" i="23"/>
  <c r="V136" i="23"/>
  <c r="V128" i="23"/>
  <c r="V113" i="23"/>
  <c r="V109" i="23"/>
  <c r="V99" i="23"/>
  <c r="V144" i="23"/>
  <c r="V91" i="23"/>
  <c r="V119" i="23"/>
  <c r="V105" i="23"/>
  <c r="V112" i="23"/>
  <c r="V96" i="23"/>
  <c r="V130" i="23"/>
  <c r="V115" i="23"/>
  <c r="V108" i="23"/>
  <c r="V123" i="23"/>
  <c r="V102" i="23"/>
  <c r="V92" i="23"/>
  <c r="V141" i="23"/>
  <c r="V126" i="23"/>
  <c r="V140" i="23"/>
  <c r="V134" i="23"/>
  <c r="V107" i="23"/>
  <c r="V151" i="23"/>
  <c r="V137" i="23"/>
  <c r="V145" i="23"/>
  <c r="V118" i="23"/>
  <c r="V93" i="23"/>
  <c r="V147" i="23"/>
  <c r="V124" i="23"/>
  <c r="V155" i="23"/>
  <c r="V129" i="23"/>
  <c r="V98" i="23"/>
  <c r="V139" i="23"/>
  <c r="V95" i="23"/>
  <c r="V125" i="23"/>
  <c r="V154" i="23"/>
  <c r="V127" i="23"/>
  <c r="V100" i="23"/>
  <c r="V116" i="23"/>
  <c r="V135" i="23"/>
  <c r="V110" i="23"/>
  <c r="V138" i="23"/>
  <c r="V111" i="23"/>
  <c r="V103" i="23"/>
  <c r="V106" i="23"/>
  <c r="V132" i="23"/>
  <c r="V62" i="23"/>
  <c r="V90" i="23"/>
  <c r="V78" i="23"/>
  <c r="V82" i="23"/>
  <c r="V56" i="23"/>
  <c r="V60" i="23"/>
  <c r="V39" i="23"/>
  <c r="V38" i="23"/>
  <c r="V146" i="23"/>
  <c r="V148" i="23"/>
  <c r="V114" i="23"/>
  <c r="V133" i="23"/>
  <c r="V73" i="23"/>
  <c r="V70" i="23"/>
  <c r="V88" i="23"/>
  <c r="V76" i="23"/>
  <c r="V47" i="23"/>
  <c r="V55" i="23"/>
  <c r="V153" i="23"/>
  <c r="V83" i="23"/>
  <c r="V85" i="23"/>
  <c r="V67" i="23"/>
  <c r="V75" i="23"/>
  <c r="V52" i="23"/>
  <c r="V59" i="23"/>
  <c r="V44" i="23"/>
  <c r="V43" i="23"/>
  <c r="V104" i="23"/>
  <c r="V117" i="23"/>
  <c r="V69" i="23"/>
  <c r="V77" i="23"/>
  <c r="V74" i="23"/>
  <c r="V66" i="23"/>
  <c r="V57" i="23"/>
  <c r="V50" i="23"/>
  <c r="V149" i="23"/>
  <c r="V131" i="23"/>
  <c r="V79" i="23"/>
  <c r="V89" i="23"/>
  <c r="V72" i="23"/>
  <c r="V65" i="23"/>
  <c r="V53" i="23"/>
  <c r="V58" i="23"/>
  <c r="V36" i="23"/>
  <c r="V42" i="23"/>
  <c r="V152" i="23"/>
  <c r="V94" i="23"/>
  <c r="V63" i="23"/>
  <c r="V71" i="23"/>
  <c r="V68" i="23"/>
  <c r="V81" i="23"/>
  <c r="R151" i="24"/>
  <c r="R152" i="24"/>
  <c r="R99" i="24"/>
  <c r="R98" i="24"/>
  <c r="R109" i="24"/>
  <c r="R127" i="24"/>
  <c r="R120" i="24"/>
  <c r="R140" i="24"/>
  <c r="R101" i="24"/>
  <c r="R104" i="24"/>
  <c r="R95" i="24"/>
  <c r="R90" i="24"/>
  <c r="R65" i="24"/>
  <c r="R87" i="24"/>
  <c r="R117" i="24"/>
  <c r="R102" i="24"/>
  <c r="R153" i="24"/>
  <c r="R123" i="24"/>
  <c r="R135" i="24"/>
  <c r="R107" i="24"/>
  <c r="R115" i="24"/>
  <c r="R94" i="24"/>
  <c r="R128" i="24"/>
  <c r="R136" i="24"/>
  <c r="R106" i="24"/>
  <c r="R122" i="24"/>
  <c r="R155" i="24"/>
  <c r="R112" i="24"/>
  <c r="R103" i="24"/>
  <c r="R111" i="24"/>
  <c r="R91" i="24"/>
  <c r="R105" i="24"/>
  <c r="R97" i="24"/>
  <c r="R145" i="24"/>
  <c r="R110" i="24"/>
  <c r="R114" i="24"/>
  <c r="R137" i="24"/>
  <c r="R143" i="24"/>
  <c r="R113" i="24"/>
  <c r="R93" i="24"/>
  <c r="R148" i="24"/>
  <c r="R108" i="24"/>
  <c r="R100" i="24"/>
  <c r="R144" i="24"/>
  <c r="R96" i="24"/>
  <c r="R138" i="24"/>
  <c r="R118" i="24"/>
  <c r="R141" i="24"/>
  <c r="R129" i="24"/>
  <c r="R130" i="24"/>
  <c r="R86" i="24"/>
  <c r="R81" i="24"/>
  <c r="R70" i="24"/>
  <c r="R69" i="24"/>
  <c r="R139" i="24"/>
  <c r="R116" i="24"/>
  <c r="R92" i="24"/>
  <c r="R63" i="24"/>
  <c r="R88" i="24"/>
  <c r="R56" i="24"/>
  <c r="R59" i="24"/>
  <c r="AH59" i="24" s="1"/>
  <c r="R45" i="24"/>
  <c r="R46" i="24"/>
  <c r="R125" i="24"/>
  <c r="R146" i="24"/>
  <c r="R134" i="24"/>
  <c r="R79" i="24"/>
  <c r="R74" i="24"/>
  <c r="AH74" i="24" s="1"/>
  <c r="R78" i="24"/>
  <c r="R55" i="24"/>
  <c r="R49" i="24"/>
  <c r="R41" i="24"/>
  <c r="R42" i="24"/>
  <c r="R147" i="24"/>
  <c r="R121" i="24"/>
  <c r="R133" i="24"/>
  <c r="R154" i="24"/>
  <c r="R75" i="24"/>
  <c r="R89" i="24"/>
  <c r="R83" i="24"/>
  <c r="R54" i="24"/>
  <c r="R58" i="24"/>
  <c r="R43" i="24"/>
  <c r="R32" i="24"/>
  <c r="R119" i="24"/>
  <c r="R22" i="24"/>
  <c r="R24" i="24"/>
  <c r="R28" i="24"/>
  <c r="AH28" i="24" s="1"/>
  <c r="R124" i="24"/>
  <c r="R126" i="24"/>
  <c r="R82" i="24"/>
  <c r="R62" i="24"/>
  <c r="R76" i="24"/>
  <c r="R52" i="24"/>
  <c r="R51" i="24"/>
  <c r="R38" i="24"/>
  <c r="AH38" i="24" s="1"/>
  <c r="R37" i="24"/>
  <c r="R142" i="24"/>
  <c r="R85" i="24"/>
  <c r="R71" i="24"/>
  <c r="AH71" i="24" s="1"/>
  <c r="R73" i="24"/>
  <c r="R48" i="24"/>
  <c r="R53" i="24"/>
  <c r="R40" i="24"/>
  <c r="R33" i="24"/>
  <c r="R16" i="24"/>
  <c r="R25" i="24"/>
  <c r="R15" i="24"/>
  <c r="AH15" i="24" s="1"/>
  <c r="R131" i="24"/>
  <c r="R150" i="24"/>
  <c r="R66" i="24"/>
  <c r="R80" i="24"/>
  <c r="R68" i="24"/>
  <c r="R57" i="24"/>
  <c r="R50" i="24"/>
  <c r="V6" i="23"/>
  <c r="Z17" i="23"/>
  <c r="Z12" i="23"/>
  <c r="Z11" i="23"/>
  <c r="AB14" i="11"/>
  <c r="AB9" i="11"/>
  <c r="AB6" i="11"/>
  <c r="AB8" i="11"/>
  <c r="M18" i="23"/>
  <c r="M31" i="23"/>
  <c r="M6" i="23"/>
  <c r="Z12" i="24"/>
  <c r="Z25" i="24"/>
  <c r="Z7" i="24"/>
  <c r="Z24" i="24"/>
  <c r="R17" i="24"/>
  <c r="R31" i="24"/>
  <c r="Y15" i="11"/>
  <c r="Y8" i="11"/>
  <c r="Y19" i="11"/>
  <c r="I16" i="11"/>
  <c r="AF16" i="11" s="1"/>
  <c r="I10" i="11"/>
  <c r="V34" i="23"/>
  <c r="V41" i="23"/>
  <c r="Z33" i="23"/>
  <c r="M33" i="23"/>
  <c r="Y41" i="11"/>
  <c r="I39" i="11"/>
  <c r="AF39" i="11" s="1"/>
  <c r="AB41" i="11"/>
  <c r="V51" i="23"/>
  <c r="M48" i="23"/>
  <c r="R47" i="24"/>
  <c r="I49" i="11"/>
  <c r="V87" i="23"/>
  <c r="Z72" i="23"/>
  <c r="M70" i="23"/>
  <c r="Y82" i="11"/>
  <c r="I95" i="11"/>
  <c r="V122" i="23"/>
  <c r="Z126" i="23"/>
  <c r="I102" i="11"/>
  <c r="AB101" i="11"/>
  <c r="AB119" i="11"/>
  <c r="AB137" i="11"/>
  <c r="AB104" i="11"/>
  <c r="AB105" i="11"/>
  <c r="AB131" i="11"/>
  <c r="AB132" i="11"/>
  <c r="AB118" i="11"/>
  <c r="AB144" i="11"/>
  <c r="AB103" i="11"/>
  <c r="AB143" i="11"/>
  <c r="AB115" i="11"/>
  <c r="AB116" i="11"/>
  <c r="AB102" i="11"/>
  <c r="AB92" i="11"/>
  <c r="AB128" i="11"/>
  <c r="AB146" i="11"/>
  <c r="AB141" i="11"/>
  <c r="AB127" i="11"/>
  <c r="AB140" i="11"/>
  <c r="AB99" i="11"/>
  <c r="AB100" i="11"/>
  <c r="AB94" i="11"/>
  <c r="AB112" i="11"/>
  <c r="AB130" i="11"/>
  <c r="AB125" i="11"/>
  <c r="AB111" i="11"/>
  <c r="AB124" i="11"/>
  <c r="AB142" i="11"/>
  <c r="AB139" i="11"/>
  <c r="AB96" i="11"/>
  <c r="AB114" i="11"/>
  <c r="AB109" i="11"/>
  <c r="AB154" i="11"/>
  <c r="AB108" i="11"/>
  <c r="AB126" i="11"/>
  <c r="AB129" i="11"/>
  <c r="AB123" i="11"/>
  <c r="AB133" i="11"/>
  <c r="AB151" i="11"/>
  <c r="AB136" i="11"/>
  <c r="AB122" i="11"/>
  <c r="AB145" i="11"/>
  <c r="AB155" i="11"/>
  <c r="AB97" i="11"/>
  <c r="AB150" i="11"/>
  <c r="AB93" i="11"/>
  <c r="AB135" i="11"/>
  <c r="AB106" i="11"/>
  <c r="AB77" i="11"/>
  <c r="AB73" i="11"/>
  <c r="AB63" i="11"/>
  <c r="AB67" i="11"/>
  <c r="AB59" i="11"/>
  <c r="AB56" i="11"/>
  <c r="AB33" i="11"/>
  <c r="AB43" i="11"/>
  <c r="AB98" i="11"/>
  <c r="AB71" i="11"/>
  <c r="AB75" i="11"/>
  <c r="AB79" i="11"/>
  <c r="AB80" i="11"/>
  <c r="AB60" i="11"/>
  <c r="AB48" i="11"/>
  <c r="AB35" i="11"/>
  <c r="AB44" i="11"/>
  <c r="AB147" i="11"/>
  <c r="AB113" i="11"/>
  <c r="AB95" i="11"/>
  <c r="AB82" i="11"/>
  <c r="AB76" i="11"/>
  <c r="AB78" i="11"/>
  <c r="AB72" i="11"/>
  <c r="AB52" i="11"/>
  <c r="AB40" i="11"/>
  <c r="AB36" i="11"/>
  <c r="AB153" i="11"/>
  <c r="AB110" i="11"/>
  <c r="AB148" i="11"/>
  <c r="AB91" i="11"/>
  <c r="AB74" i="11"/>
  <c r="AB68" i="11"/>
  <c r="AB70" i="11"/>
  <c r="AB64" i="11"/>
  <c r="AB55" i="11"/>
  <c r="AB32" i="11"/>
  <c r="AB117" i="11"/>
  <c r="AB120" i="11"/>
  <c r="AB85" i="11"/>
  <c r="AB84" i="11"/>
  <c r="AB61" i="11"/>
  <c r="AB65" i="11"/>
  <c r="AB54" i="11"/>
  <c r="AB49" i="11"/>
  <c r="AB42" i="11"/>
  <c r="AB38" i="11"/>
  <c r="AB138" i="11"/>
  <c r="AB121" i="11"/>
  <c r="AB90" i="11"/>
  <c r="AB86" i="11"/>
  <c r="AB69" i="11"/>
  <c r="AB81" i="11"/>
  <c r="AB57" i="11"/>
  <c r="AB51" i="11"/>
  <c r="Z152" i="24"/>
  <c r="Z117" i="24"/>
  <c r="Z154" i="24"/>
  <c r="Z149" i="24"/>
  <c r="Z100" i="24"/>
  <c r="Z155" i="24"/>
  <c r="Z108" i="24"/>
  <c r="Z130" i="24"/>
  <c r="Z127" i="24"/>
  <c r="Z118" i="24"/>
  <c r="Z115" i="24"/>
  <c r="Z107" i="24"/>
  <c r="Z153" i="24"/>
  <c r="Z106" i="24"/>
  <c r="Z123" i="24"/>
  <c r="Z140" i="24"/>
  <c r="Z90" i="24"/>
  <c r="Z80" i="24"/>
  <c r="Z88" i="24"/>
  <c r="Z87" i="24"/>
  <c r="Z141" i="24"/>
  <c r="Z138" i="24"/>
  <c r="Z131" i="24"/>
  <c r="Z137" i="24"/>
  <c r="Z111" i="24"/>
  <c r="Z96" i="24"/>
  <c r="Z151" i="24"/>
  <c r="Z102" i="24"/>
  <c r="Z92" i="24"/>
  <c r="Z103" i="24"/>
  <c r="Z142" i="24"/>
  <c r="Z120" i="24"/>
  <c r="Z112" i="24"/>
  <c r="Z126" i="24"/>
  <c r="Z101" i="24"/>
  <c r="Z119" i="24"/>
  <c r="Z95" i="24"/>
  <c r="Z124" i="24"/>
  <c r="Z109" i="24"/>
  <c r="Z99" i="24"/>
  <c r="Z135" i="24"/>
  <c r="Z97" i="24"/>
  <c r="Z105" i="24"/>
  <c r="Z114" i="24"/>
  <c r="Z94" i="24"/>
  <c r="Z122" i="24"/>
  <c r="Z134" i="24"/>
  <c r="Z132" i="24"/>
  <c r="Z133" i="24"/>
  <c r="Z147" i="24"/>
  <c r="Z146" i="24"/>
  <c r="Z110" i="24"/>
  <c r="Z128" i="24"/>
  <c r="Z98" i="24"/>
  <c r="Z93" i="24"/>
  <c r="Z85" i="24"/>
  <c r="Z79" i="24"/>
  <c r="Z84" i="24"/>
  <c r="AH84" i="24" s="1"/>
  <c r="Z121" i="24"/>
  <c r="Z63" i="24"/>
  <c r="Z64" i="24"/>
  <c r="Z61" i="24"/>
  <c r="Z50" i="24"/>
  <c r="Z48" i="24"/>
  <c r="Z36" i="24"/>
  <c r="Z43" i="24"/>
  <c r="Z69" i="24"/>
  <c r="Z73" i="24"/>
  <c r="Z89" i="24"/>
  <c r="Z53" i="24"/>
  <c r="Z55" i="24"/>
  <c r="Z39" i="24"/>
  <c r="Z32" i="24"/>
  <c r="Z136" i="24"/>
  <c r="Z145" i="24"/>
  <c r="Z75" i="24"/>
  <c r="Z70" i="24"/>
  <c r="Z83" i="24"/>
  <c r="Z49" i="24"/>
  <c r="Z41" i="24"/>
  <c r="Z40" i="24"/>
  <c r="Z26" i="24"/>
  <c r="Z113" i="24"/>
  <c r="Z129" i="24"/>
  <c r="Z81" i="24"/>
  <c r="Z77" i="24"/>
  <c r="AH77" i="24" s="1"/>
  <c r="Z72" i="24"/>
  <c r="Z58" i="24"/>
  <c r="Z44" i="24"/>
  <c r="Z33" i="24"/>
  <c r="Z144" i="24"/>
  <c r="Z104" i="24"/>
  <c r="Z62" i="24"/>
  <c r="Z67" i="24"/>
  <c r="Z52" i="24"/>
  <c r="Z54" i="24"/>
  <c r="AH54" i="24" s="1"/>
  <c r="Z45" i="24"/>
  <c r="Z46" i="24"/>
  <c r="Z150" i="24"/>
  <c r="Z148" i="24"/>
  <c r="Z65" i="24"/>
  <c r="Z82" i="24"/>
  <c r="Z66" i="24"/>
  <c r="Z51" i="24"/>
  <c r="Z57" i="24"/>
  <c r="V22" i="23"/>
  <c r="V20" i="23"/>
  <c r="V17" i="23"/>
  <c r="V13" i="23"/>
  <c r="V23" i="23"/>
  <c r="Z22" i="23"/>
  <c r="Z10" i="23"/>
  <c r="Z20" i="23"/>
  <c r="AB31" i="11"/>
  <c r="AB29" i="11"/>
  <c r="AB12" i="11"/>
  <c r="AB20" i="11"/>
  <c r="M16" i="23"/>
  <c r="M19" i="23"/>
  <c r="M13" i="23"/>
  <c r="Z18" i="24"/>
  <c r="Z9" i="24"/>
  <c r="Z29" i="24"/>
  <c r="R6" i="24"/>
  <c r="R12" i="24"/>
  <c r="Y17" i="11"/>
  <c r="Y29" i="11"/>
  <c r="Y26" i="11"/>
  <c r="I23" i="11"/>
  <c r="I31" i="11"/>
  <c r="AF31" i="11" s="1"/>
  <c r="V45" i="23"/>
  <c r="Z37" i="23"/>
  <c r="M36" i="23"/>
  <c r="Y34" i="11"/>
  <c r="I32" i="11"/>
  <c r="AB46" i="11"/>
  <c r="V54" i="23"/>
  <c r="M54" i="23"/>
  <c r="Y48" i="11"/>
  <c r="AB50" i="11"/>
  <c r="V64" i="23"/>
  <c r="Z64" i="23"/>
  <c r="AB89" i="11"/>
  <c r="Z76" i="24"/>
  <c r="Y79" i="11"/>
  <c r="Z147" i="23"/>
  <c r="I147" i="11"/>
  <c r="M114" i="23"/>
  <c r="M122" i="23"/>
  <c r="M138" i="23"/>
  <c r="M125" i="23"/>
  <c r="M127" i="23"/>
  <c r="M143" i="23"/>
  <c r="M101" i="23"/>
  <c r="M130" i="23"/>
  <c r="M104" i="23"/>
  <c r="M148" i="23"/>
  <c r="M153" i="23"/>
  <c r="M132" i="23"/>
  <c r="M135" i="23"/>
  <c r="M136" i="23"/>
  <c r="M95" i="23"/>
  <c r="M73" i="23"/>
  <c r="M99" i="23"/>
  <c r="M113" i="23"/>
  <c r="M97" i="23"/>
  <c r="M121" i="23"/>
  <c r="M144" i="23"/>
  <c r="M128" i="23"/>
  <c r="M92" i="23"/>
  <c r="M116" i="23"/>
  <c r="M120" i="23"/>
  <c r="M126" i="23"/>
  <c r="M102" i="23"/>
  <c r="M150" i="23"/>
  <c r="M154" i="23"/>
  <c r="M131" i="23"/>
  <c r="M112" i="23"/>
  <c r="M96" i="23"/>
  <c r="M91" i="23"/>
  <c r="M98" i="23"/>
  <c r="M105" i="23"/>
  <c r="M118" i="23"/>
  <c r="M107" i="23"/>
  <c r="M109" i="23"/>
  <c r="M110" i="23"/>
  <c r="M123" i="23"/>
  <c r="M129" i="23"/>
  <c r="M146" i="23"/>
  <c r="M142" i="23"/>
  <c r="M100" i="23"/>
  <c r="M149" i="23"/>
  <c r="M151" i="23"/>
  <c r="M147" i="23"/>
  <c r="M108" i="23"/>
  <c r="M106" i="23"/>
  <c r="M79" i="23"/>
  <c r="M140" i="23"/>
  <c r="M141" i="23"/>
  <c r="M117" i="23"/>
  <c r="M67" i="23"/>
  <c r="M75" i="23"/>
  <c r="M86" i="23"/>
  <c r="M81" i="23"/>
  <c r="M57" i="23"/>
  <c r="M41" i="23"/>
  <c r="M44" i="23"/>
  <c r="M145" i="23"/>
  <c r="M103" i="23"/>
  <c r="M64" i="23"/>
  <c r="M72" i="23"/>
  <c r="M74" i="23"/>
  <c r="M77" i="23"/>
  <c r="M47" i="23"/>
  <c r="M35" i="23"/>
  <c r="M115" i="23"/>
  <c r="M111" i="23"/>
  <c r="M155" i="23"/>
  <c r="M84" i="23"/>
  <c r="M66" i="23"/>
  <c r="M80" i="23"/>
  <c r="M53" i="23"/>
  <c r="M52" i="23"/>
  <c r="M42" i="23"/>
  <c r="M38" i="23"/>
  <c r="M152" i="23"/>
  <c r="M137" i="23"/>
  <c r="M133" i="23"/>
  <c r="M69" i="23"/>
  <c r="M87" i="23"/>
  <c r="M90" i="23"/>
  <c r="M58" i="23"/>
  <c r="M51" i="23"/>
  <c r="M37" i="23"/>
  <c r="M43" i="23"/>
  <c r="M124" i="23"/>
  <c r="M93" i="23"/>
  <c r="M68" i="23"/>
  <c r="M71" i="23"/>
  <c r="M78" i="23"/>
  <c r="M61" i="23"/>
  <c r="M49" i="23"/>
  <c r="M59" i="23"/>
  <c r="M46" i="23"/>
  <c r="M119" i="23"/>
  <c r="M94" i="23"/>
  <c r="M88" i="23"/>
  <c r="M76" i="23"/>
  <c r="M83" i="23"/>
  <c r="M82" i="23"/>
  <c r="M50" i="23"/>
  <c r="V8" i="23"/>
  <c r="V26" i="23"/>
  <c r="Z16" i="23"/>
  <c r="Z13" i="23"/>
  <c r="AB16" i="11"/>
  <c r="M7" i="23"/>
  <c r="Z19" i="24"/>
  <c r="Z8" i="24"/>
  <c r="R14" i="24"/>
  <c r="R13" i="24"/>
  <c r="Y12" i="11"/>
  <c r="Y30" i="11"/>
  <c r="Y9" i="11"/>
  <c r="I21" i="11"/>
  <c r="I28" i="11"/>
  <c r="AF28" i="11" s="1"/>
  <c r="V32" i="23"/>
  <c r="Z36" i="23"/>
  <c r="Z42" i="24"/>
  <c r="AH42" i="24" s="1"/>
  <c r="I40" i="11"/>
  <c r="AF40" i="11" s="1"/>
  <c r="AB45" i="11"/>
  <c r="M55" i="23"/>
  <c r="Y56" i="11"/>
  <c r="AB58" i="11"/>
  <c r="V80" i="23"/>
  <c r="Z68" i="23"/>
  <c r="AB66" i="11"/>
  <c r="M63" i="23"/>
  <c r="Z86" i="24"/>
  <c r="R72" i="24"/>
  <c r="AH72" i="24" s="1"/>
  <c r="AB149" i="11"/>
  <c r="M139" i="23"/>
  <c r="Y151" i="11"/>
  <c r="Y109" i="11"/>
  <c r="Y127" i="11"/>
  <c r="Y124" i="11"/>
  <c r="Y126" i="11"/>
  <c r="Y139" i="11"/>
  <c r="Y149" i="11"/>
  <c r="Y135" i="11"/>
  <c r="Y101" i="11"/>
  <c r="Y111" i="11"/>
  <c r="Y108" i="11"/>
  <c r="Y110" i="11"/>
  <c r="Y129" i="11"/>
  <c r="Y123" i="11"/>
  <c r="Y92" i="11"/>
  <c r="Y71" i="11"/>
  <c r="Y72" i="11"/>
  <c r="Y74" i="11"/>
  <c r="Y76" i="11"/>
  <c r="Y133" i="11"/>
  <c r="Y119" i="11"/>
  <c r="Y153" i="11"/>
  <c r="Y152" i="11"/>
  <c r="Y103" i="11"/>
  <c r="Y100" i="11"/>
  <c r="Y102" i="11"/>
  <c r="Y113" i="11"/>
  <c r="Y107" i="11"/>
  <c r="Y91" i="11"/>
  <c r="Y78" i="11"/>
  <c r="Y64" i="11"/>
  <c r="Y66" i="11"/>
  <c r="Y68" i="11"/>
  <c r="Y117" i="11"/>
  <c r="Y146" i="11"/>
  <c r="Y137" i="11"/>
  <c r="Y136" i="11"/>
  <c r="Y154" i="11"/>
  <c r="Y145" i="11"/>
  <c r="Y105" i="11"/>
  <c r="Y99" i="11"/>
  <c r="Y94" i="11"/>
  <c r="Y70" i="11"/>
  <c r="Y85" i="11"/>
  <c r="Y89" i="11"/>
  <c r="Y144" i="11"/>
  <c r="Y130" i="11"/>
  <c r="Y120" i="11"/>
  <c r="Y138" i="11"/>
  <c r="Y121" i="11"/>
  <c r="Y147" i="11"/>
  <c r="Y148" i="11"/>
  <c r="Y150" i="11"/>
  <c r="Y93" i="11"/>
  <c r="Y62" i="11"/>
  <c r="Y90" i="11"/>
  <c r="Y84" i="11"/>
  <c r="Y112" i="11"/>
  <c r="Y106" i="11"/>
  <c r="Y141" i="11"/>
  <c r="Y98" i="11"/>
  <c r="Y115" i="11"/>
  <c r="Y116" i="11"/>
  <c r="Y118" i="11"/>
  <c r="Y87" i="11"/>
  <c r="Y73" i="11"/>
  <c r="Y63" i="11"/>
  <c r="Y65" i="11"/>
  <c r="Y114" i="11"/>
  <c r="Y83" i="11"/>
  <c r="Y67" i="11"/>
  <c r="Y55" i="11"/>
  <c r="Y58" i="11"/>
  <c r="Y32" i="11"/>
  <c r="Y36" i="11"/>
  <c r="Y143" i="11"/>
  <c r="Y140" i="11"/>
  <c r="Y75" i="11"/>
  <c r="Y54" i="11"/>
  <c r="Y50" i="11"/>
  <c r="Y37" i="11"/>
  <c r="Y122" i="11"/>
  <c r="Y80" i="11"/>
  <c r="Y49" i="11"/>
  <c r="Y57" i="11"/>
  <c r="Y45" i="11"/>
  <c r="Y39" i="11"/>
  <c r="Y13" i="11"/>
  <c r="Y25" i="11"/>
  <c r="Y22" i="11"/>
  <c r="Y131" i="11"/>
  <c r="Y132" i="11"/>
  <c r="Y95" i="11"/>
  <c r="Y69" i="11"/>
  <c r="Y51" i="11"/>
  <c r="Y59" i="11"/>
  <c r="Y42" i="11"/>
  <c r="Y46" i="11"/>
  <c r="Y128" i="11"/>
  <c r="Y125" i="11"/>
  <c r="Y61" i="11"/>
  <c r="Y86" i="11"/>
  <c r="Y53" i="11"/>
  <c r="Y43" i="11"/>
  <c r="Y35" i="11"/>
  <c r="Y31" i="11"/>
  <c r="Y21" i="11"/>
  <c r="Y24" i="11"/>
  <c r="Y104" i="11"/>
  <c r="Y96" i="11"/>
  <c r="Y97" i="11"/>
  <c r="Y77" i="11"/>
  <c r="Y81" i="11"/>
  <c r="Y47" i="11"/>
  <c r="V15" i="23"/>
  <c r="Z8" i="23"/>
  <c r="AB15" i="11"/>
  <c r="AB10" i="11"/>
  <c r="M17" i="23"/>
  <c r="M23" i="23"/>
  <c r="Z23" i="24"/>
  <c r="V29" i="23"/>
  <c r="V30" i="23"/>
  <c r="V31" i="23"/>
  <c r="Z6" i="23"/>
  <c r="Z28" i="23"/>
  <c r="Z15" i="23"/>
  <c r="AB28" i="11"/>
  <c r="AB17" i="11"/>
  <c r="AB7" i="11"/>
  <c r="M27" i="23"/>
  <c r="M9" i="23"/>
  <c r="M26" i="23"/>
  <c r="Z22" i="24"/>
  <c r="Z16" i="24"/>
  <c r="Z30" i="24"/>
  <c r="R27" i="24"/>
  <c r="AH27" i="24" s="1"/>
  <c r="R7" i="24"/>
  <c r="AH7" i="24" s="1"/>
  <c r="R30" i="24"/>
  <c r="Y14" i="11"/>
  <c r="Y18" i="11"/>
  <c r="Y20" i="11"/>
  <c r="I15" i="11"/>
  <c r="I8" i="11"/>
  <c r="AF8" i="11" s="1"/>
  <c r="I13" i="11"/>
  <c r="V35" i="23"/>
  <c r="Z40" i="23"/>
  <c r="M34" i="23"/>
  <c r="Z37" i="24"/>
  <c r="R39" i="24"/>
  <c r="AH39" i="24" s="1"/>
  <c r="I45" i="11"/>
  <c r="AB34" i="11"/>
  <c r="Z56" i="24"/>
  <c r="Y52" i="11"/>
  <c r="AB47" i="11"/>
  <c r="M65" i="23"/>
  <c r="R61" i="24"/>
  <c r="I65" i="11"/>
  <c r="AF65" i="11" s="1"/>
  <c r="Z91" i="24"/>
  <c r="V120" i="23"/>
  <c r="V101" i="23"/>
  <c r="Z123" i="23"/>
  <c r="I137" i="11"/>
  <c r="Y60" i="11"/>
  <c r="M89" i="23"/>
  <c r="R64" i="24"/>
  <c r="AH64" i="24" s="1"/>
  <c r="I83" i="11"/>
  <c r="V150" i="23"/>
  <c r="Z112" i="23"/>
  <c r="Z107" i="23"/>
  <c r="Z139" i="24"/>
  <c r="R149" i="24"/>
  <c r="AH149" i="24" s="1"/>
  <c r="I118" i="11"/>
  <c r="O59" i="23"/>
  <c r="M126" i="24"/>
  <c r="M27" i="24"/>
  <c r="V43" i="11"/>
  <c r="X43" i="11"/>
  <c r="P10" i="24"/>
  <c r="M58" i="24"/>
  <c r="AJ58" i="24" s="1"/>
  <c r="H46" i="23"/>
  <c r="U55" i="23"/>
  <c r="O17" i="23"/>
  <c r="O43" i="23"/>
  <c r="O67" i="23"/>
  <c r="V30" i="11"/>
  <c r="AJ30" i="11" s="1"/>
  <c r="X49" i="11"/>
  <c r="M133" i="24"/>
  <c r="M137" i="24"/>
  <c r="AJ137" i="24" s="1"/>
  <c r="M107" i="24"/>
  <c r="M147" i="24"/>
  <c r="M106" i="24"/>
  <c r="M108" i="24"/>
  <c r="M94" i="24"/>
  <c r="M90" i="24"/>
  <c r="AJ90" i="24" s="1"/>
  <c r="M89" i="24"/>
  <c r="AJ89" i="24" s="1"/>
  <c r="M64" i="24"/>
  <c r="M75" i="24"/>
  <c r="AJ75" i="24" s="1"/>
  <c r="M112" i="24"/>
  <c r="M121" i="24"/>
  <c r="M153" i="24"/>
  <c r="M136" i="24"/>
  <c r="M134" i="24"/>
  <c r="M102" i="24"/>
  <c r="AJ102" i="24" s="1"/>
  <c r="M99" i="24"/>
  <c r="M91" i="24"/>
  <c r="AJ91" i="24" s="1"/>
  <c r="M68" i="24"/>
  <c r="M78" i="24"/>
  <c r="M69" i="24"/>
  <c r="M76" i="24"/>
  <c r="AJ76" i="24" s="1"/>
  <c r="M130" i="24"/>
  <c r="M145" i="24"/>
  <c r="M154" i="24"/>
  <c r="M129" i="24"/>
  <c r="AJ129" i="24" s="1"/>
  <c r="M142" i="24"/>
  <c r="M110" i="24"/>
  <c r="M123" i="24"/>
  <c r="AJ123" i="24" s="1"/>
  <c r="M92" i="24"/>
  <c r="M85" i="24"/>
  <c r="M63" i="24"/>
  <c r="M70" i="24"/>
  <c r="M80" i="24"/>
  <c r="AJ80" i="24" s="1"/>
  <c r="M139" i="24"/>
  <c r="M122" i="24"/>
  <c r="M141" i="24"/>
  <c r="M143" i="24"/>
  <c r="M116" i="24"/>
  <c r="M104" i="24"/>
  <c r="M151" i="24"/>
  <c r="M119" i="24"/>
  <c r="M117" i="24"/>
  <c r="M144" i="24"/>
  <c r="M96" i="24"/>
  <c r="AJ96" i="24" s="1"/>
  <c r="M146" i="24"/>
  <c r="M115" i="24"/>
  <c r="M149" i="24"/>
  <c r="M125" i="24"/>
  <c r="M140" i="24"/>
  <c r="AJ140" i="24" s="1"/>
  <c r="M77" i="24"/>
  <c r="M84" i="24"/>
  <c r="M82" i="24"/>
  <c r="M152" i="24"/>
  <c r="AJ152" i="24" s="1"/>
  <c r="M150" i="24"/>
  <c r="M135" i="24"/>
  <c r="M127" i="24"/>
  <c r="M131" i="24"/>
  <c r="M148" i="24"/>
  <c r="M105" i="24"/>
  <c r="M124" i="24"/>
  <c r="M120" i="24"/>
  <c r="M83" i="24"/>
  <c r="M87" i="24"/>
  <c r="M61" i="24"/>
  <c r="M62" i="24"/>
  <c r="AJ62" i="24" s="1"/>
  <c r="M118" i="24"/>
  <c r="M138" i="24"/>
  <c r="M93" i="24"/>
  <c r="M73" i="24"/>
  <c r="M50" i="24"/>
  <c r="AJ50" i="24" s="1"/>
  <c r="M55" i="24"/>
  <c r="AJ55" i="24" s="1"/>
  <c r="M38" i="24"/>
  <c r="M43" i="24"/>
  <c r="M13" i="24"/>
  <c r="M19" i="24"/>
  <c r="AJ19" i="24" s="1"/>
  <c r="M11" i="24"/>
  <c r="M132" i="24"/>
  <c r="AJ132" i="24" s="1"/>
  <c r="M97" i="24"/>
  <c r="M111" i="24"/>
  <c r="AJ111" i="24" s="1"/>
  <c r="M95" i="24"/>
  <c r="M74" i="24"/>
  <c r="AJ74" i="24" s="1"/>
  <c r="M49" i="24"/>
  <c r="M42" i="24"/>
  <c r="AJ42" i="24" s="1"/>
  <c r="M41" i="24"/>
  <c r="M15" i="24"/>
  <c r="M30" i="24"/>
  <c r="AJ30" i="24" s="1"/>
  <c r="M18" i="24"/>
  <c r="M67" i="24"/>
  <c r="M114" i="24"/>
  <c r="AJ114" i="24" s="1"/>
  <c r="M81" i="24"/>
  <c r="M48" i="24"/>
  <c r="M35" i="24"/>
  <c r="M45" i="24"/>
  <c r="AJ45" i="24" s="1"/>
  <c r="M9" i="24"/>
  <c r="M14" i="24"/>
  <c r="M28" i="24"/>
  <c r="AJ28" i="24" s="1"/>
  <c r="M100" i="24"/>
  <c r="AJ100" i="24" s="1"/>
  <c r="M103" i="24"/>
  <c r="M66" i="24"/>
  <c r="M98" i="24"/>
  <c r="M128" i="24"/>
  <c r="M155" i="24"/>
  <c r="M79" i="24"/>
  <c r="AJ79" i="24" s="1"/>
  <c r="M65" i="24"/>
  <c r="M47" i="24"/>
  <c r="M59" i="24"/>
  <c r="M40" i="24"/>
  <c r="M33" i="24"/>
  <c r="M7" i="24"/>
  <c r="M25" i="24"/>
  <c r="AJ25" i="24" s="1"/>
  <c r="M6" i="24"/>
  <c r="M72" i="24"/>
  <c r="M86" i="24"/>
  <c r="AJ86" i="24" s="1"/>
  <c r="M52" i="24"/>
  <c r="M60" i="24"/>
  <c r="M46" i="24"/>
  <c r="M44" i="24"/>
  <c r="M10" i="24"/>
  <c r="AM10" i="24" s="1"/>
  <c r="M29" i="24"/>
  <c r="AJ29" i="24" s="1"/>
  <c r="M31" i="24"/>
  <c r="AJ31" i="24" s="1"/>
  <c r="M23" i="24"/>
  <c r="M101" i="24"/>
  <c r="M109" i="24"/>
  <c r="M71" i="24"/>
  <c r="M57" i="24"/>
  <c r="AJ57" i="24" s="1"/>
  <c r="M53" i="24"/>
  <c r="M39" i="24"/>
  <c r="M37" i="24"/>
  <c r="M24" i="24"/>
  <c r="AJ24" i="24" s="1"/>
  <c r="M8" i="24"/>
  <c r="M22" i="24"/>
  <c r="AJ22" i="24" s="1"/>
  <c r="M26" i="24"/>
  <c r="O20" i="23"/>
  <c r="M21" i="24"/>
  <c r="AJ21" i="24" s="1"/>
  <c r="H25" i="23"/>
  <c r="O53" i="23"/>
  <c r="O87" i="23"/>
  <c r="H92" i="23"/>
  <c r="U140" i="23"/>
  <c r="X152" i="11"/>
  <c r="X138" i="11"/>
  <c r="X145" i="11"/>
  <c r="X128" i="11"/>
  <c r="X146" i="11"/>
  <c r="X129" i="11"/>
  <c r="X139" i="11"/>
  <c r="X87" i="11"/>
  <c r="X83" i="11"/>
  <c r="X90" i="11"/>
  <c r="X86" i="11"/>
  <c r="X50" i="11"/>
  <c r="X57" i="11"/>
  <c r="X136" i="11"/>
  <c r="X122" i="11"/>
  <c r="X112" i="11"/>
  <c r="X130" i="11"/>
  <c r="X113" i="11"/>
  <c r="X123" i="11"/>
  <c r="X147" i="11"/>
  <c r="X120" i="11"/>
  <c r="X106" i="11"/>
  <c r="X96" i="11"/>
  <c r="X114" i="11"/>
  <c r="X97" i="11"/>
  <c r="X107" i="11"/>
  <c r="X121" i="11"/>
  <c r="X131" i="11"/>
  <c r="X92" i="11"/>
  <c r="X69" i="11"/>
  <c r="X81" i="11"/>
  <c r="X71" i="11"/>
  <c r="X75" i="11"/>
  <c r="X51" i="11"/>
  <c r="X104" i="11"/>
  <c r="X149" i="11"/>
  <c r="X98" i="11"/>
  <c r="X148" i="11"/>
  <c r="X150" i="11"/>
  <c r="X105" i="11"/>
  <c r="X115" i="11"/>
  <c r="X91" i="11"/>
  <c r="X63" i="11"/>
  <c r="X67" i="11"/>
  <c r="X82" i="11"/>
  <c r="X76" i="11"/>
  <c r="X143" i="11"/>
  <c r="X133" i="11"/>
  <c r="X151" i="11"/>
  <c r="X132" i="11"/>
  <c r="X134" i="11"/>
  <c r="X99" i="11"/>
  <c r="X141" i="11"/>
  <c r="X127" i="11"/>
  <c r="X117" i="11"/>
  <c r="X135" i="11"/>
  <c r="X116" i="11"/>
  <c r="X118" i="11"/>
  <c r="X140" i="11"/>
  <c r="X142" i="11"/>
  <c r="X93" i="11"/>
  <c r="X78" i="11"/>
  <c r="X72" i="11"/>
  <c r="X66" i="11"/>
  <c r="X53" i="11"/>
  <c r="X125" i="11"/>
  <c r="X111" i="11"/>
  <c r="X101" i="11"/>
  <c r="X119" i="11"/>
  <c r="X153" i="11"/>
  <c r="X100" i="11"/>
  <c r="X102" i="11"/>
  <c r="X124" i="11"/>
  <c r="X126" i="11"/>
  <c r="X70" i="11"/>
  <c r="X64" i="11"/>
  <c r="X89" i="11"/>
  <c r="X55" i="11"/>
  <c r="X103" i="11"/>
  <c r="X79" i="11"/>
  <c r="X73" i="11"/>
  <c r="X56" i="11"/>
  <c r="X44" i="11"/>
  <c r="X40" i="11"/>
  <c r="X11" i="11"/>
  <c r="X13" i="11"/>
  <c r="X24" i="11"/>
  <c r="X108" i="11"/>
  <c r="X62" i="11"/>
  <c r="X68" i="11"/>
  <c r="X48" i="11"/>
  <c r="X36" i="11"/>
  <c r="X32" i="11"/>
  <c r="X23" i="11"/>
  <c r="X19" i="11"/>
  <c r="X18" i="11"/>
  <c r="X80" i="11"/>
  <c r="X65" i="11"/>
  <c r="X47" i="11"/>
  <c r="X37" i="11"/>
  <c r="X28" i="11"/>
  <c r="X27" i="11"/>
  <c r="X25" i="11"/>
  <c r="X137" i="11"/>
  <c r="X110" i="11"/>
  <c r="X155" i="11"/>
  <c r="X85" i="11"/>
  <c r="X59" i="11"/>
  <c r="X46" i="11"/>
  <c r="X42" i="11"/>
  <c r="X9" i="11"/>
  <c r="X31" i="11"/>
  <c r="X7" i="11"/>
  <c r="X17" i="11"/>
  <c r="X109" i="11"/>
  <c r="X95" i="11"/>
  <c r="X77" i="11"/>
  <c r="X60" i="11"/>
  <c r="X38" i="11"/>
  <c r="X34" i="11"/>
  <c r="X26" i="11"/>
  <c r="X14" i="11"/>
  <c r="X10" i="11"/>
  <c r="X29" i="11"/>
  <c r="X154" i="11"/>
  <c r="X144" i="11"/>
  <c r="X94" i="11"/>
  <c r="X88" i="11"/>
  <c r="X74" i="11"/>
  <c r="X58" i="11"/>
  <c r="X52" i="11"/>
  <c r="X41" i="11"/>
  <c r="X33" i="11"/>
  <c r="X8" i="11"/>
  <c r="X15" i="11"/>
  <c r="X12" i="11"/>
  <c r="O31" i="23"/>
  <c r="U24" i="23"/>
  <c r="M17" i="24"/>
  <c r="V9" i="11"/>
  <c r="H6" i="23"/>
  <c r="X6" i="11"/>
  <c r="P43" i="24"/>
  <c r="V33" i="11"/>
  <c r="AJ33" i="11" s="1"/>
  <c r="O58" i="23"/>
  <c r="M56" i="24"/>
  <c r="AJ56" i="24" s="1"/>
  <c r="H51" i="23"/>
  <c r="O69" i="23"/>
  <c r="X61" i="11"/>
  <c r="O150" i="23"/>
  <c r="H155" i="23"/>
  <c r="U121" i="23"/>
  <c r="U113" i="23"/>
  <c r="U141" i="23"/>
  <c r="U147" i="23"/>
  <c r="U100" i="23"/>
  <c r="AJ100" i="23" s="1"/>
  <c r="U80" i="23"/>
  <c r="U87" i="23"/>
  <c r="AH87" i="23" s="1"/>
  <c r="U69" i="23"/>
  <c r="U109" i="23"/>
  <c r="U115" i="23"/>
  <c r="U123" i="23"/>
  <c r="U114" i="23"/>
  <c r="U117" i="23"/>
  <c r="U143" i="23"/>
  <c r="U134" i="23"/>
  <c r="U129" i="23"/>
  <c r="U94" i="23"/>
  <c r="U62" i="23"/>
  <c r="U71" i="23"/>
  <c r="U68" i="23"/>
  <c r="U90" i="23"/>
  <c r="U130" i="23"/>
  <c r="U137" i="23"/>
  <c r="U101" i="23"/>
  <c r="U135" i="23"/>
  <c r="U136" i="23"/>
  <c r="U138" i="23"/>
  <c r="U155" i="23"/>
  <c r="U149" i="23"/>
  <c r="U95" i="23"/>
  <c r="U88" i="23"/>
  <c r="AH88" i="23" s="1"/>
  <c r="U76" i="23"/>
  <c r="U79" i="23"/>
  <c r="U70" i="23"/>
  <c r="U103" i="23"/>
  <c r="AH103" i="23" s="1"/>
  <c r="U106" i="23"/>
  <c r="U116" i="23"/>
  <c r="AH116" i="23" s="1"/>
  <c r="U120" i="23"/>
  <c r="U131" i="23"/>
  <c r="U144" i="23"/>
  <c r="U96" i="23"/>
  <c r="U133" i="23"/>
  <c r="U92" i="23"/>
  <c r="U67" i="23"/>
  <c r="U82" i="23"/>
  <c r="AH82" i="23" s="1"/>
  <c r="U83" i="23"/>
  <c r="U75" i="23"/>
  <c r="U125" i="23"/>
  <c r="U104" i="23"/>
  <c r="U127" i="23"/>
  <c r="U98" i="23"/>
  <c r="U105" i="23"/>
  <c r="U152" i="23"/>
  <c r="AH152" i="23" s="1"/>
  <c r="U112" i="23"/>
  <c r="U118" i="23"/>
  <c r="AJ118" i="23" s="1"/>
  <c r="U153" i="23"/>
  <c r="U64" i="23"/>
  <c r="U81" i="23"/>
  <c r="U86" i="23"/>
  <c r="U72" i="23"/>
  <c r="U151" i="23"/>
  <c r="U111" i="23"/>
  <c r="U66" i="23"/>
  <c r="U52" i="23"/>
  <c r="U58" i="23"/>
  <c r="U32" i="23"/>
  <c r="AJ32" i="23" s="1"/>
  <c r="U42" i="23"/>
  <c r="AH42" i="23" s="1"/>
  <c r="U31" i="23"/>
  <c r="U17" i="23"/>
  <c r="U26" i="23"/>
  <c r="U146" i="23"/>
  <c r="U126" i="23"/>
  <c r="U145" i="23"/>
  <c r="U97" i="23"/>
  <c r="U63" i="23"/>
  <c r="AH63" i="23" s="1"/>
  <c r="U53" i="23"/>
  <c r="U60" i="23"/>
  <c r="AJ60" i="23" s="1"/>
  <c r="U37" i="23"/>
  <c r="U33" i="23"/>
  <c r="AJ33" i="23" s="1"/>
  <c r="U30" i="23"/>
  <c r="U29" i="23"/>
  <c r="U23" i="23"/>
  <c r="U148" i="23"/>
  <c r="U108" i="23"/>
  <c r="U122" i="23"/>
  <c r="U78" i="23"/>
  <c r="U48" i="23"/>
  <c r="AH48" i="23" s="1"/>
  <c r="U50" i="23"/>
  <c r="U44" i="23"/>
  <c r="U43" i="23"/>
  <c r="U15" i="23"/>
  <c r="U18" i="23"/>
  <c r="U6" i="23"/>
  <c r="U154" i="23"/>
  <c r="U107" i="23"/>
  <c r="U102" i="23"/>
  <c r="U110" i="23"/>
  <c r="U128" i="23"/>
  <c r="U73" i="23"/>
  <c r="U89" i="23"/>
  <c r="U54" i="23"/>
  <c r="U56" i="23"/>
  <c r="U38" i="23"/>
  <c r="AH38" i="23" s="1"/>
  <c r="U45" i="23"/>
  <c r="U20" i="23"/>
  <c r="U28" i="23"/>
  <c r="U22" i="23"/>
  <c r="U132" i="23"/>
  <c r="U124" i="23"/>
  <c r="U139" i="23"/>
  <c r="U84" i="23"/>
  <c r="U85" i="23"/>
  <c r="U49" i="23"/>
  <c r="AH49" i="23" s="1"/>
  <c r="U34" i="23"/>
  <c r="U9" i="23"/>
  <c r="AH9" i="23" s="1"/>
  <c r="U8" i="23"/>
  <c r="U10" i="23"/>
  <c r="AJ10" i="23" s="1"/>
  <c r="U16" i="23"/>
  <c r="U99" i="23"/>
  <c r="U119" i="23"/>
  <c r="U93" i="23"/>
  <c r="U65" i="23"/>
  <c r="U77" i="23"/>
  <c r="U57" i="23"/>
  <c r="U46" i="23"/>
  <c r="U36" i="23"/>
  <c r="U7" i="23"/>
  <c r="AH7" i="23" s="1"/>
  <c r="U11" i="23"/>
  <c r="U12" i="23"/>
  <c r="U25" i="23"/>
  <c r="U21" i="23"/>
  <c r="P19" i="24"/>
  <c r="H31" i="23"/>
  <c r="X22" i="11"/>
  <c r="U40" i="23"/>
  <c r="V37" i="11"/>
  <c r="O57" i="23"/>
  <c r="M54" i="24"/>
  <c r="H59" i="23"/>
  <c r="P150" i="24"/>
  <c r="P105" i="24"/>
  <c r="P153" i="24"/>
  <c r="P126" i="24"/>
  <c r="AF126" i="24" s="1"/>
  <c r="P103" i="24"/>
  <c r="P140" i="24"/>
  <c r="P139" i="24"/>
  <c r="P144" i="24"/>
  <c r="P112" i="24"/>
  <c r="P100" i="24"/>
  <c r="P89" i="24"/>
  <c r="P69" i="24"/>
  <c r="P70" i="24"/>
  <c r="P62" i="24"/>
  <c r="P147" i="24"/>
  <c r="P132" i="24"/>
  <c r="P108" i="24"/>
  <c r="P143" i="24"/>
  <c r="P123" i="24"/>
  <c r="P104" i="24"/>
  <c r="P131" i="24"/>
  <c r="P154" i="24"/>
  <c r="AF154" i="24" s="1"/>
  <c r="P98" i="24"/>
  <c r="P64" i="24"/>
  <c r="AF64" i="24" s="1"/>
  <c r="P79" i="24"/>
  <c r="P78" i="24"/>
  <c r="P61" i="24"/>
  <c r="P148" i="24"/>
  <c r="AM148" i="24" s="1"/>
  <c r="P106" i="24"/>
  <c r="P121" i="24"/>
  <c r="P109" i="24"/>
  <c r="P152" i="24"/>
  <c r="P101" i="24"/>
  <c r="P118" i="24"/>
  <c r="AF118" i="24" s="1"/>
  <c r="P141" i="24"/>
  <c r="P92" i="24"/>
  <c r="P90" i="24"/>
  <c r="P75" i="24"/>
  <c r="P87" i="24"/>
  <c r="P71" i="24"/>
  <c r="P136" i="24"/>
  <c r="P115" i="24"/>
  <c r="P145" i="24"/>
  <c r="P111" i="24"/>
  <c r="P142" i="24"/>
  <c r="P110" i="24"/>
  <c r="P137" i="24"/>
  <c r="P119" i="24"/>
  <c r="P149" i="24"/>
  <c r="P117" i="24"/>
  <c r="P102" i="24"/>
  <c r="P122" i="24"/>
  <c r="P97" i="24"/>
  <c r="P95" i="24"/>
  <c r="P83" i="24"/>
  <c r="P73" i="24"/>
  <c r="P81" i="24"/>
  <c r="AF81" i="24" s="1"/>
  <c r="P65" i="24"/>
  <c r="P133" i="24"/>
  <c r="P146" i="24"/>
  <c r="P125" i="24"/>
  <c r="P134" i="24"/>
  <c r="P128" i="24"/>
  <c r="P138" i="24"/>
  <c r="P96" i="24"/>
  <c r="P107" i="24"/>
  <c r="P91" i="24"/>
  <c r="P63" i="24"/>
  <c r="P68" i="24"/>
  <c r="P77" i="24"/>
  <c r="P130" i="24"/>
  <c r="P127" i="24"/>
  <c r="P88" i="24"/>
  <c r="P74" i="24"/>
  <c r="P51" i="24"/>
  <c r="P58" i="24"/>
  <c r="P36" i="24"/>
  <c r="P14" i="24"/>
  <c r="P21" i="24"/>
  <c r="P27" i="24"/>
  <c r="P99" i="24"/>
  <c r="P129" i="24"/>
  <c r="P66" i="24"/>
  <c r="P72" i="24"/>
  <c r="AD72" i="24" s="1"/>
  <c r="P48" i="24"/>
  <c r="P56" i="24"/>
  <c r="P32" i="24"/>
  <c r="P37" i="24"/>
  <c r="P7" i="24"/>
  <c r="P23" i="24"/>
  <c r="P28" i="24"/>
  <c r="P82" i="24"/>
  <c r="P124" i="24"/>
  <c r="P80" i="24"/>
  <c r="P76" i="24"/>
  <c r="P47" i="24"/>
  <c r="AD47" i="24" s="1"/>
  <c r="P59" i="24"/>
  <c r="AD59" i="24" s="1"/>
  <c r="P41" i="24"/>
  <c r="P42" i="24"/>
  <c r="P15" i="24"/>
  <c r="P8" i="24"/>
  <c r="P29" i="24"/>
  <c r="P155" i="24"/>
  <c r="P116" i="24"/>
  <c r="P120" i="24"/>
  <c r="P151" i="24"/>
  <c r="P85" i="24"/>
  <c r="P49" i="24"/>
  <c r="AF49" i="24" s="1"/>
  <c r="P35" i="24"/>
  <c r="P44" i="24"/>
  <c r="P20" i="24"/>
  <c r="P16" i="24"/>
  <c r="P24" i="24"/>
  <c r="P18" i="24"/>
  <c r="P67" i="24"/>
  <c r="P52" i="24"/>
  <c r="AD52" i="24" s="1"/>
  <c r="P60" i="24"/>
  <c r="P39" i="24"/>
  <c r="P45" i="24"/>
  <c r="P30" i="24"/>
  <c r="AF30" i="24" s="1"/>
  <c r="P26" i="24"/>
  <c r="P13" i="24"/>
  <c r="AM13" i="24" s="1"/>
  <c r="P114" i="24"/>
  <c r="P113" i="24"/>
  <c r="P94" i="24"/>
  <c r="P86" i="24"/>
  <c r="P53" i="24"/>
  <c r="P54" i="24"/>
  <c r="P40" i="24"/>
  <c r="P33" i="24"/>
  <c r="P31" i="24"/>
  <c r="P12" i="24"/>
  <c r="P22" i="24"/>
  <c r="U14" i="23"/>
  <c r="V10" i="11"/>
  <c r="AJ10" i="11" s="1"/>
  <c r="O46" i="23"/>
  <c r="U27" i="23"/>
  <c r="P25" i="24"/>
  <c r="AF25" i="24" s="1"/>
  <c r="H10" i="23"/>
  <c r="X20" i="11"/>
  <c r="U35" i="23"/>
  <c r="P46" i="24"/>
  <c r="P50" i="24"/>
  <c r="AF50" i="24" s="1"/>
  <c r="H48" i="23"/>
  <c r="P93" i="24"/>
  <c r="V128" i="11"/>
  <c r="V114" i="11"/>
  <c r="V133" i="11"/>
  <c r="AJ133" i="11" s="1"/>
  <c r="V135" i="11"/>
  <c r="V99" i="11"/>
  <c r="V147" i="11"/>
  <c r="V92" i="11"/>
  <c r="AJ92" i="11" s="1"/>
  <c r="V79" i="11"/>
  <c r="AJ79" i="11" s="1"/>
  <c r="V81" i="11"/>
  <c r="AJ81" i="11" s="1"/>
  <c r="V77" i="11"/>
  <c r="AJ77" i="11" s="1"/>
  <c r="V76" i="11"/>
  <c r="AJ76" i="11" s="1"/>
  <c r="V112" i="11"/>
  <c r="V98" i="11"/>
  <c r="AJ98" i="11" s="1"/>
  <c r="V125" i="11"/>
  <c r="V127" i="11"/>
  <c r="AJ127" i="11" s="1"/>
  <c r="V148" i="11"/>
  <c r="V150" i="11"/>
  <c r="V137" i="11"/>
  <c r="V131" i="11"/>
  <c r="AJ131" i="11" s="1"/>
  <c r="V96" i="11"/>
  <c r="V109" i="11"/>
  <c r="V111" i="11"/>
  <c r="V132" i="11"/>
  <c r="AJ132" i="11" s="1"/>
  <c r="V134" i="11"/>
  <c r="AJ134" i="11" s="1"/>
  <c r="V113" i="11"/>
  <c r="V123" i="11"/>
  <c r="V70" i="11"/>
  <c r="V80" i="11"/>
  <c r="V82" i="11"/>
  <c r="AJ82" i="11" s="1"/>
  <c r="V141" i="11"/>
  <c r="V143" i="11"/>
  <c r="AJ143" i="11" s="1"/>
  <c r="V144" i="11"/>
  <c r="V146" i="11"/>
  <c r="AJ146" i="11" s="1"/>
  <c r="V124" i="11"/>
  <c r="V126" i="11"/>
  <c r="V97" i="11"/>
  <c r="V107" i="11"/>
  <c r="V62" i="11"/>
  <c r="V72" i="11"/>
  <c r="AJ72" i="11" s="1"/>
  <c r="V74" i="11"/>
  <c r="V117" i="11"/>
  <c r="V119" i="11"/>
  <c r="AJ119" i="11" s="1"/>
  <c r="V145" i="11"/>
  <c r="AJ145" i="11" s="1"/>
  <c r="V120" i="11"/>
  <c r="V130" i="11"/>
  <c r="V153" i="11"/>
  <c r="V108" i="11"/>
  <c r="V110" i="11"/>
  <c r="V140" i="11"/>
  <c r="V142" i="11"/>
  <c r="V101" i="11"/>
  <c r="V103" i="11"/>
  <c r="V104" i="11"/>
  <c r="V122" i="11"/>
  <c r="V129" i="11"/>
  <c r="AJ129" i="11" s="1"/>
  <c r="V116" i="11"/>
  <c r="V118" i="11"/>
  <c r="V93" i="11"/>
  <c r="V90" i="11"/>
  <c r="AJ90" i="11" s="1"/>
  <c r="V84" i="11"/>
  <c r="V88" i="11"/>
  <c r="AJ88" i="11" s="1"/>
  <c r="V83" i="11"/>
  <c r="V152" i="11"/>
  <c r="V154" i="11"/>
  <c r="V106" i="11"/>
  <c r="AJ106" i="11" s="1"/>
  <c r="V121" i="11"/>
  <c r="V139" i="11"/>
  <c r="V100" i="11"/>
  <c r="V102" i="11"/>
  <c r="V95" i="11"/>
  <c r="V69" i="11"/>
  <c r="AJ69" i="11" s="1"/>
  <c r="V86" i="11"/>
  <c r="V87" i="11"/>
  <c r="AJ87" i="11" s="1"/>
  <c r="V73" i="11"/>
  <c r="AJ73" i="11" s="1"/>
  <c r="V78" i="11"/>
  <c r="AJ78" i="11" s="1"/>
  <c r="V75" i="11"/>
  <c r="V55" i="11"/>
  <c r="V39" i="11"/>
  <c r="AJ39" i="11" s="1"/>
  <c r="V46" i="11"/>
  <c r="AJ46" i="11" s="1"/>
  <c r="V21" i="11"/>
  <c r="V29" i="11"/>
  <c r="AJ29" i="11" s="1"/>
  <c r="V31" i="11"/>
  <c r="V15" i="11"/>
  <c r="AD15" i="11" s="1"/>
  <c r="V149" i="11"/>
  <c r="V105" i="11"/>
  <c r="V155" i="11"/>
  <c r="V89" i="11"/>
  <c r="AJ89" i="11" s="1"/>
  <c r="V68" i="11"/>
  <c r="V53" i="11"/>
  <c r="V58" i="11"/>
  <c r="AJ58" i="11" s="1"/>
  <c r="V42" i="11"/>
  <c r="AJ42" i="11" s="1"/>
  <c r="V38" i="11"/>
  <c r="V19" i="11"/>
  <c r="V20" i="11"/>
  <c r="V27" i="11"/>
  <c r="AJ27" i="11" s="1"/>
  <c r="V65" i="11"/>
  <c r="V47" i="11"/>
  <c r="AJ47" i="11" s="1"/>
  <c r="V50" i="11"/>
  <c r="V34" i="11"/>
  <c r="AJ34" i="11" s="1"/>
  <c r="V41" i="11"/>
  <c r="V23" i="11"/>
  <c r="V26" i="11"/>
  <c r="V22" i="11"/>
  <c r="AJ22" i="11" s="1"/>
  <c r="V91" i="11"/>
  <c r="V67" i="11"/>
  <c r="V136" i="11"/>
  <c r="V151" i="11"/>
  <c r="V138" i="11"/>
  <c r="V115" i="11"/>
  <c r="V94" i="11"/>
  <c r="V64" i="11"/>
  <c r="V57" i="11"/>
  <c r="V51" i="11"/>
  <c r="AJ51" i="11" s="1"/>
  <c r="V35" i="11"/>
  <c r="AJ35" i="11" s="1"/>
  <c r="V44" i="11"/>
  <c r="V14" i="11"/>
  <c r="V13" i="11"/>
  <c r="V6" i="11"/>
  <c r="AJ6" i="11" s="1"/>
  <c r="V61" i="11"/>
  <c r="V59" i="11"/>
  <c r="AJ59" i="11" s="1"/>
  <c r="V56" i="11"/>
  <c r="AJ56" i="11" s="1"/>
  <c r="V40" i="11"/>
  <c r="AJ40" i="11" s="1"/>
  <c r="V36" i="11"/>
  <c r="AJ36" i="11" s="1"/>
  <c r="V12" i="11"/>
  <c r="V11" i="11"/>
  <c r="AJ11" i="11" s="1"/>
  <c r="V24" i="11"/>
  <c r="V85" i="11"/>
  <c r="AJ85" i="11" s="1"/>
  <c r="V71" i="11"/>
  <c r="V60" i="11"/>
  <c r="AJ60" i="11" s="1"/>
  <c r="V48" i="11"/>
  <c r="AJ48" i="11" s="1"/>
  <c r="V32" i="11"/>
  <c r="V18" i="11"/>
  <c r="V28" i="11"/>
  <c r="V25" i="11"/>
  <c r="AM25" i="11" s="1"/>
  <c r="P11" i="24"/>
  <c r="P34" i="24"/>
  <c r="U47" i="23"/>
  <c r="AH47" i="23" s="1"/>
  <c r="M51" i="24"/>
  <c r="AJ51" i="24" s="1"/>
  <c r="O27" i="23"/>
  <c r="U13" i="23"/>
  <c r="P6" i="24"/>
  <c r="V7" i="11"/>
  <c r="AJ7" i="11" s="1"/>
  <c r="H21" i="23"/>
  <c r="X16" i="11"/>
  <c r="U39" i="23"/>
  <c r="P55" i="24"/>
  <c r="V49" i="11"/>
  <c r="U74" i="23"/>
  <c r="M88" i="24"/>
  <c r="AJ88" i="24" s="1"/>
  <c r="V66" i="11"/>
  <c r="M113" i="24"/>
  <c r="P135" i="24"/>
  <c r="H116" i="23"/>
  <c r="H146" i="23"/>
  <c r="H147" i="23"/>
  <c r="H148" i="23"/>
  <c r="H122" i="23"/>
  <c r="H150" i="23"/>
  <c r="H104" i="23"/>
  <c r="H152" i="23"/>
  <c r="H153" i="23"/>
  <c r="H127" i="23"/>
  <c r="H93" i="23"/>
  <c r="H88" i="23"/>
  <c r="H70" i="23"/>
  <c r="H78" i="23"/>
  <c r="H72" i="23"/>
  <c r="H136" i="23"/>
  <c r="H133" i="23"/>
  <c r="H98" i="23"/>
  <c r="H105" i="23"/>
  <c r="H97" i="23"/>
  <c r="H103" i="23"/>
  <c r="H126" i="23"/>
  <c r="H128" i="23"/>
  <c r="H113" i="23"/>
  <c r="H109" i="23"/>
  <c r="H131" i="23"/>
  <c r="H124" i="23"/>
  <c r="H144" i="23"/>
  <c r="H83" i="23"/>
  <c r="H66" i="23"/>
  <c r="H84" i="23"/>
  <c r="H77" i="23"/>
  <c r="H130" i="23"/>
  <c r="H137" i="23"/>
  <c r="H96" i="23"/>
  <c r="H118" i="23"/>
  <c r="H135" i="23"/>
  <c r="H102" i="23"/>
  <c r="H123" i="23"/>
  <c r="H64" i="23"/>
  <c r="H85" i="23"/>
  <c r="H69" i="23"/>
  <c r="H87" i="23"/>
  <c r="H141" i="23"/>
  <c r="H108" i="23"/>
  <c r="H107" i="23"/>
  <c r="H129" i="23"/>
  <c r="H151" i="23"/>
  <c r="H120" i="23"/>
  <c r="H140" i="23"/>
  <c r="H112" i="23"/>
  <c r="H154" i="23"/>
  <c r="H100" i="23"/>
  <c r="H134" i="23"/>
  <c r="H99" i="23"/>
  <c r="H106" i="23"/>
  <c r="H139" i="23"/>
  <c r="H94" i="23"/>
  <c r="H86" i="23"/>
  <c r="H82" i="23"/>
  <c r="H65" i="23"/>
  <c r="H110" i="23"/>
  <c r="H111" i="23"/>
  <c r="H145" i="23"/>
  <c r="H132" i="23"/>
  <c r="H114" i="23"/>
  <c r="H115" i="23"/>
  <c r="H117" i="23"/>
  <c r="H149" i="23"/>
  <c r="H95" i="23"/>
  <c r="H79" i="23"/>
  <c r="H74" i="23"/>
  <c r="H68" i="23"/>
  <c r="H76" i="23"/>
  <c r="H143" i="23"/>
  <c r="H75" i="23"/>
  <c r="H50" i="23"/>
  <c r="H35" i="23"/>
  <c r="H41" i="23"/>
  <c r="H7" i="23"/>
  <c r="H29" i="23"/>
  <c r="H15" i="23"/>
  <c r="H28" i="23"/>
  <c r="H121" i="23"/>
  <c r="H101" i="23"/>
  <c r="H63" i="23"/>
  <c r="H57" i="23"/>
  <c r="H47" i="23"/>
  <c r="H32" i="23"/>
  <c r="H42" i="23"/>
  <c r="H12" i="23"/>
  <c r="H18" i="23"/>
  <c r="H13" i="23"/>
  <c r="H80" i="23"/>
  <c r="H67" i="23"/>
  <c r="H58" i="23"/>
  <c r="H52" i="23"/>
  <c r="H37" i="23"/>
  <c r="H38" i="23"/>
  <c r="H23" i="23"/>
  <c r="H16" i="23"/>
  <c r="H20" i="23"/>
  <c r="H62" i="23"/>
  <c r="H125" i="23"/>
  <c r="H73" i="23"/>
  <c r="H61" i="23"/>
  <c r="H55" i="23"/>
  <c r="H53" i="23"/>
  <c r="H33" i="23"/>
  <c r="H43" i="23"/>
  <c r="H14" i="23"/>
  <c r="H24" i="23"/>
  <c r="H22" i="23"/>
  <c r="H138" i="23"/>
  <c r="H142" i="23"/>
  <c r="H89" i="23"/>
  <c r="H81" i="23"/>
  <c r="H49" i="23"/>
  <c r="H54" i="23"/>
  <c r="H44" i="23"/>
  <c r="H45" i="23"/>
  <c r="H17" i="23"/>
  <c r="H30" i="23"/>
  <c r="H11" i="23"/>
  <c r="H91" i="23"/>
  <c r="H71" i="23"/>
  <c r="H60" i="23"/>
  <c r="H56" i="23"/>
  <c r="H34" i="23"/>
  <c r="H8" i="23"/>
  <c r="H19" i="23"/>
  <c r="H27" i="23"/>
  <c r="M16" i="24"/>
  <c r="AJ16" i="24" s="1"/>
  <c r="O23" i="23"/>
  <c r="U19" i="23"/>
  <c r="AJ19" i="23" s="1"/>
  <c r="M20" i="24"/>
  <c r="P17" i="24"/>
  <c r="V16" i="11"/>
  <c r="AJ16" i="11" s="1"/>
  <c r="H26" i="23"/>
  <c r="X21" i="11"/>
  <c r="U41" i="23"/>
  <c r="M34" i="24"/>
  <c r="H36" i="23"/>
  <c r="X35" i="11"/>
  <c r="U59" i="23"/>
  <c r="AH59" i="23" s="1"/>
  <c r="P57" i="24"/>
  <c r="V52" i="11"/>
  <c r="U61" i="23"/>
  <c r="P84" i="24"/>
  <c r="V63" i="11"/>
  <c r="U150" i="23"/>
  <c r="O132" i="23"/>
  <c r="O146" i="23"/>
  <c r="O137" i="23"/>
  <c r="O143" i="23"/>
  <c r="O127" i="23"/>
  <c r="O151" i="23"/>
  <c r="O142" i="23"/>
  <c r="O153" i="23"/>
  <c r="O148" i="23"/>
  <c r="O80" i="23"/>
  <c r="O63" i="23"/>
  <c r="O74" i="23"/>
  <c r="O98" i="23"/>
  <c r="O105" i="23"/>
  <c r="O144" i="23"/>
  <c r="O128" i="23"/>
  <c r="O103" i="23"/>
  <c r="O121" i="23"/>
  <c r="O96" i="23"/>
  <c r="O95" i="23"/>
  <c r="O79" i="23"/>
  <c r="O71" i="23"/>
  <c r="O88" i="23"/>
  <c r="O70" i="23"/>
  <c r="O114" i="23"/>
  <c r="O126" i="23"/>
  <c r="O102" i="23"/>
  <c r="O112" i="23"/>
  <c r="O125" i="23"/>
  <c r="O131" i="23"/>
  <c r="O124" i="23"/>
  <c r="O107" i="23"/>
  <c r="O118" i="23"/>
  <c r="O93" i="23"/>
  <c r="O140" i="23"/>
  <c r="O139" i="23"/>
  <c r="O155" i="23"/>
  <c r="O104" i="23"/>
  <c r="O100" i="23"/>
  <c r="O149" i="23"/>
  <c r="O91" i="23"/>
  <c r="O64" i="23"/>
  <c r="O85" i="23"/>
  <c r="O86" i="23"/>
  <c r="O66" i="23"/>
  <c r="O136" i="23"/>
  <c r="O106" i="23"/>
  <c r="O109" i="23"/>
  <c r="O99" i="23"/>
  <c r="O111" i="23"/>
  <c r="O89" i="23"/>
  <c r="O77" i="23"/>
  <c r="O84" i="23"/>
  <c r="O81" i="23"/>
  <c r="O116" i="23"/>
  <c r="O110" i="23"/>
  <c r="O135" i="23"/>
  <c r="O108" i="23"/>
  <c r="O145" i="23"/>
  <c r="O62" i="23"/>
  <c r="O47" i="23"/>
  <c r="O48" i="23"/>
  <c r="O37" i="23"/>
  <c r="O42" i="23"/>
  <c r="O24" i="23"/>
  <c r="O25" i="23"/>
  <c r="O13" i="23"/>
  <c r="O130" i="23"/>
  <c r="O147" i="23"/>
  <c r="O117" i="23"/>
  <c r="O138" i="23"/>
  <c r="O68" i="23"/>
  <c r="O73" i="23"/>
  <c r="O52" i="23"/>
  <c r="O55" i="23"/>
  <c r="O33" i="23"/>
  <c r="O38" i="23"/>
  <c r="O15" i="23"/>
  <c r="O21" i="23"/>
  <c r="O8" i="23"/>
  <c r="O154" i="23"/>
  <c r="O94" i="23"/>
  <c r="O141" i="23"/>
  <c r="O113" i="23"/>
  <c r="O78" i="23"/>
  <c r="O83" i="23"/>
  <c r="O51" i="23"/>
  <c r="O54" i="23"/>
  <c r="O44" i="23"/>
  <c r="O39" i="23"/>
  <c r="O26" i="23"/>
  <c r="O16" i="23"/>
  <c r="O11" i="23"/>
  <c r="O123" i="23"/>
  <c r="O134" i="23"/>
  <c r="O119" i="23"/>
  <c r="O92" i="23"/>
  <c r="O65" i="23"/>
  <c r="O90" i="23"/>
  <c r="O49" i="23"/>
  <c r="O50" i="23"/>
  <c r="O34" i="23"/>
  <c r="O45" i="23"/>
  <c r="O6" i="23"/>
  <c r="O7" i="23"/>
  <c r="O29" i="23"/>
  <c r="O120" i="23"/>
  <c r="O133" i="23"/>
  <c r="O101" i="23"/>
  <c r="O115" i="23"/>
  <c r="O122" i="23"/>
  <c r="O61" i="23"/>
  <c r="O76" i="23"/>
  <c r="O60" i="23"/>
  <c r="O41" i="23"/>
  <c r="O10" i="23"/>
  <c r="O14" i="23"/>
  <c r="O30" i="23"/>
  <c r="O18" i="23"/>
  <c r="O152" i="23"/>
  <c r="O97" i="23"/>
  <c r="O72" i="23"/>
  <c r="O75" i="23"/>
  <c r="O56" i="23"/>
  <c r="O36" i="23"/>
  <c r="O35" i="23"/>
  <c r="O12" i="23"/>
  <c r="O22" i="23"/>
  <c r="O19" i="23"/>
  <c r="O28" i="23"/>
  <c r="X30" i="11"/>
  <c r="V45" i="11"/>
  <c r="X45" i="11"/>
  <c r="O9" i="23"/>
  <c r="M12" i="24"/>
  <c r="P9" i="24"/>
  <c r="AD9" i="24" s="1"/>
  <c r="V8" i="11"/>
  <c r="H9" i="23"/>
  <c r="O32" i="23"/>
  <c r="M32" i="24"/>
  <c r="H39" i="23"/>
  <c r="X39" i="11"/>
  <c r="U51" i="23"/>
  <c r="V54" i="11"/>
  <c r="AJ54" i="11" s="1"/>
  <c r="X54" i="11"/>
  <c r="O82" i="23"/>
  <c r="H90" i="23"/>
  <c r="AF90" i="23" s="1"/>
  <c r="U91" i="23"/>
  <c r="O129" i="23"/>
  <c r="P8" i="1"/>
  <c r="O14" i="15" s="1"/>
  <c r="P9" i="1"/>
  <c r="O15" i="15" s="1"/>
  <c r="AC309" i="24"/>
  <c r="O15" i="1"/>
  <c r="O14" i="1"/>
  <c r="Q16" i="1"/>
  <c r="P22" i="15" s="1"/>
  <c r="Q15" i="1"/>
  <c r="P21" i="15" s="1"/>
  <c r="Q14" i="1"/>
  <c r="P20" i="15" s="1"/>
  <c r="Q13" i="1"/>
  <c r="P19" i="15" s="1"/>
  <c r="O13" i="1"/>
  <c r="N19" i="15" s="1"/>
  <c r="O12" i="1"/>
  <c r="N18" i="15" s="1"/>
  <c r="O10" i="1"/>
  <c r="N16" i="15" s="1"/>
  <c r="O5" i="1"/>
  <c r="N11" i="15" s="1"/>
  <c r="Q12" i="1"/>
  <c r="P18" i="15" s="1"/>
  <c r="Q5" i="1"/>
  <c r="Q8" i="1"/>
  <c r="P14" i="15" s="1"/>
  <c r="O6" i="1"/>
  <c r="N12" i="15" s="1"/>
  <c r="Q6" i="1"/>
  <c r="P12" i="15" s="1"/>
  <c r="Q9" i="1"/>
  <c r="P15" i="15" s="1"/>
  <c r="O11" i="1"/>
  <c r="N17" i="15" s="1"/>
  <c r="Q10" i="1"/>
  <c r="P16" i="15" s="1"/>
  <c r="O8" i="1"/>
  <c r="N14" i="15" s="1"/>
  <c r="Q7" i="1"/>
  <c r="P13" i="15" s="1"/>
  <c r="O9" i="1"/>
  <c r="N15" i="15" s="1"/>
  <c r="N4" i="1"/>
  <c r="Q11" i="1"/>
  <c r="P17" i="15" s="1"/>
  <c r="AC309" i="11"/>
  <c r="AC309" i="23"/>
  <c r="C7" i="33"/>
  <c r="AF187" i="11"/>
  <c r="AC188" i="11"/>
  <c r="AD224" i="11"/>
  <c r="AC211" i="11"/>
  <c r="AF189" i="11"/>
  <c r="AF184" i="11"/>
  <c r="AF207" i="11"/>
  <c r="AE200" i="11"/>
  <c r="AF225" i="11"/>
  <c r="AD205" i="11"/>
  <c r="AM201" i="11"/>
  <c r="AM204" i="11"/>
  <c r="AD220" i="11"/>
  <c r="AD187" i="11"/>
  <c r="AE188" i="11"/>
  <c r="AF198" i="11"/>
  <c r="AF191" i="11"/>
  <c r="AE224" i="11"/>
  <c r="AM211" i="11"/>
  <c r="AD189" i="11"/>
  <c r="AC184" i="11"/>
  <c r="AF202" i="11"/>
  <c r="AD207" i="11"/>
  <c r="AE192" i="11"/>
  <c r="AM200" i="11"/>
  <c r="AD225" i="11"/>
  <c r="AC206" i="11"/>
  <c r="E205" i="21" s="1"/>
  <c r="AF210" i="11"/>
  <c r="AD214" i="11"/>
  <c r="AE214" i="11"/>
  <c r="AF205" i="11"/>
  <c r="AE201" i="11"/>
  <c r="AM225" i="11"/>
  <c r="AD204" i="11"/>
  <c r="AM207" i="11"/>
  <c r="AC220" i="11"/>
  <c r="AD213" i="11"/>
  <c r="AC201" i="11"/>
  <c r="E200" i="21" s="1"/>
  <c r="AE187" i="11"/>
  <c r="AF188" i="11"/>
  <c r="AC198" i="11"/>
  <c r="E197" i="21" s="1"/>
  <c r="AE191" i="11"/>
  <c r="AC224" i="11"/>
  <c r="AE211" i="11"/>
  <c r="AE189" i="11"/>
  <c r="AD184" i="11"/>
  <c r="AD202" i="11"/>
  <c r="AC207" i="11"/>
  <c r="AC192" i="11"/>
  <c r="AF200" i="11"/>
  <c r="AE225" i="11"/>
  <c r="AD206" i="11"/>
  <c r="AC210" i="11"/>
  <c r="AF214" i="11"/>
  <c r="AC214" i="11"/>
  <c r="AM224" i="11"/>
  <c r="AF224" i="11"/>
  <c r="AC205" i="11"/>
  <c r="E204" i="21" s="1"/>
  <c r="AM210" i="11"/>
  <c r="AD210" i="11"/>
  <c r="AD201" i="11"/>
  <c r="AE198" i="11"/>
  <c r="AM198" i="11"/>
  <c r="AD211" i="11"/>
  <c r="AD188" i="11"/>
  <c r="AE206" i="11"/>
  <c r="AM206" i="11"/>
  <c r="AC225" i="11"/>
  <c r="AM220" i="11"/>
  <c r="AF220" i="11"/>
  <c r="AC204" i="11"/>
  <c r="E203" i="21" s="1"/>
  <c r="AC187" i="11"/>
  <c r="AM202" i="11"/>
  <c r="AC202" i="11"/>
  <c r="E201" i="21" s="1"/>
  <c r="AE184" i="11"/>
  <c r="AD192" i="11"/>
  <c r="AE207" i="11"/>
  <c r="AD191" i="11"/>
  <c r="AC189" i="11"/>
  <c r="AE213" i="11"/>
  <c r="AM213" i="11"/>
  <c r="AD200" i="11"/>
  <c r="AF212" i="11"/>
  <c r="AE215" i="11"/>
  <c r="AE185" i="11"/>
  <c r="AE194" i="11"/>
  <c r="AF217" i="11"/>
  <c r="AE193" i="11"/>
  <c r="AD197" i="11"/>
  <c r="AF195" i="11"/>
  <c r="AE208" i="11"/>
  <c r="AD190" i="11"/>
  <c r="AC221" i="11"/>
  <c r="AE199" i="11"/>
  <c r="AE218" i="11"/>
  <c r="AF203" i="11"/>
  <c r="AF209" i="11"/>
  <c r="AD219" i="11"/>
  <c r="AF216" i="11"/>
  <c r="AD223" i="11"/>
  <c r="AC196" i="11"/>
  <c r="E195" i="21" s="1"/>
  <c r="AE222" i="11"/>
  <c r="AE186" i="11"/>
  <c r="AD206" i="23"/>
  <c r="AC206" i="23"/>
  <c r="I205" i="21" s="1"/>
  <c r="AE206" i="23"/>
  <c r="AM206" i="23"/>
  <c r="AF206" i="23"/>
  <c r="AC209" i="23"/>
  <c r="I208" i="21" s="1"/>
  <c r="AE209" i="23"/>
  <c r="AM209" i="23"/>
  <c r="AF209" i="23"/>
  <c r="AD209" i="23"/>
  <c r="AM212" i="23"/>
  <c r="AF212" i="23"/>
  <c r="AD212" i="23"/>
  <c r="AC212" i="23"/>
  <c r="I211" i="21" s="1"/>
  <c r="AE212" i="23"/>
  <c r="AF213" i="23"/>
  <c r="AD213" i="23"/>
  <c r="AC213" i="23"/>
  <c r="I212" i="21" s="1"/>
  <c r="AE213" i="23"/>
  <c r="AM213" i="23"/>
  <c r="AM214" i="23"/>
  <c r="AF214" i="23"/>
  <c r="AD214" i="23"/>
  <c r="AC214" i="23"/>
  <c r="I213" i="21" s="1"/>
  <c r="AE214" i="23"/>
  <c r="AC225" i="23"/>
  <c r="I224" i="21" s="1"/>
  <c r="AE225" i="23"/>
  <c r="AM225" i="23"/>
  <c r="AF225" i="23"/>
  <c r="AD225" i="23"/>
  <c r="AM215" i="23"/>
  <c r="AF215" i="23"/>
  <c r="AD215" i="23"/>
  <c r="AC215" i="23"/>
  <c r="I214" i="21" s="1"/>
  <c r="AE215" i="23"/>
  <c r="AC196" i="23"/>
  <c r="I195" i="21" s="1"/>
  <c r="AE196" i="23"/>
  <c r="AM196" i="23"/>
  <c r="AF196" i="23"/>
  <c r="AD196" i="23"/>
  <c r="AE199" i="23"/>
  <c r="AM199" i="23"/>
  <c r="AF199" i="23"/>
  <c r="AD199" i="23"/>
  <c r="AC199" i="23"/>
  <c r="I198" i="21" s="1"/>
  <c r="AE207" i="23"/>
  <c r="AM207" i="23"/>
  <c r="AF207" i="23"/>
  <c r="AD207" i="23"/>
  <c r="AC207" i="23"/>
  <c r="I206" i="21" s="1"/>
  <c r="AC219" i="23"/>
  <c r="I218" i="21" s="1"/>
  <c r="AE219" i="23"/>
  <c r="AM219" i="23"/>
  <c r="AF219" i="23"/>
  <c r="AD219" i="23"/>
  <c r="AM211" i="23"/>
  <c r="AF211" i="23"/>
  <c r="AD211" i="23"/>
  <c r="AC211" i="23"/>
  <c r="I210" i="21" s="1"/>
  <c r="AE211" i="23"/>
  <c r="AC200" i="23"/>
  <c r="I199" i="21" s="1"/>
  <c r="AE200" i="23"/>
  <c r="AM200" i="23"/>
  <c r="AF200" i="23"/>
  <c r="AD200" i="23"/>
  <c r="AM222" i="23"/>
  <c r="AF222" i="23"/>
  <c r="AD222" i="23"/>
  <c r="AC222" i="23"/>
  <c r="I221" i="21" s="1"/>
  <c r="AE222" i="23"/>
  <c r="AE221" i="23"/>
  <c r="AC221" i="23"/>
  <c r="I220" i="21" s="1"/>
  <c r="AD221" i="23"/>
  <c r="AM221" i="23"/>
  <c r="AF221" i="23"/>
  <c r="AG218" i="23"/>
  <c r="AH218" i="23"/>
  <c r="AH209" i="23"/>
  <c r="AG209" i="23"/>
  <c r="AG208" i="23"/>
  <c r="AH208" i="23"/>
  <c r="AG205" i="23"/>
  <c r="AH205" i="23"/>
  <c r="AG206" i="23"/>
  <c r="AH206" i="23"/>
  <c r="AH215" i="23"/>
  <c r="AG215" i="23"/>
  <c r="AH196" i="23"/>
  <c r="AG196" i="23"/>
  <c r="AG220" i="23"/>
  <c r="AH220" i="23"/>
  <c r="AH212" i="23"/>
  <c r="AG212" i="23"/>
  <c r="AG207" i="23"/>
  <c r="AH207" i="23"/>
  <c r="AG214" i="23"/>
  <c r="AH214" i="23"/>
  <c r="AH211" i="23"/>
  <c r="AG211" i="23"/>
  <c r="AH201" i="23"/>
  <c r="AG201" i="23"/>
  <c r="AH204" i="23"/>
  <c r="AG204" i="23"/>
  <c r="AH197" i="23"/>
  <c r="AG197" i="23"/>
  <c r="AH209" i="24"/>
  <c r="AG209" i="24"/>
  <c r="AH223" i="24"/>
  <c r="AG223" i="24"/>
  <c r="AH215" i="24"/>
  <c r="AG215" i="24"/>
  <c r="AH210" i="24"/>
  <c r="AG210" i="24"/>
  <c r="AH204" i="24"/>
  <c r="AG204" i="24"/>
  <c r="AH198" i="24"/>
  <c r="AG198" i="24"/>
  <c r="AH224" i="24"/>
  <c r="AG224" i="24"/>
  <c r="AH211" i="24"/>
  <c r="AG211" i="24"/>
  <c r="AG201" i="24"/>
  <c r="AH201" i="24"/>
  <c r="AG196" i="24"/>
  <c r="AH196" i="24"/>
  <c r="AH214" i="24"/>
  <c r="AG214" i="24"/>
  <c r="AG208" i="24"/>
  <c r="AH208" i="24"/>
  <c r="AH220" i="24"/>
  <c r="AG220" i="24"/>
  <c r="AG218" i="24"/>
  <c r="AH218" i="24"/>
  <c r="AG225" i="24"/>
  <c r="AH225" i="24"/>
  <c r="AF209" i="24"/>
  <c r="AD209" i="24"/>
  <c r="AE209" i="24"/>
  <c r="AC209" i="24"/>
  <c r="G208" i="21" s="1"/>
  <c r="AM209" i="24"/>
  <c r="AD223" i="24"/>
  <c r="AE223" i="24"/>
  <c r="AC223" i="24"/>
  <c r="G222" i="21" s="1"/>
  <c r="AM223" i="24"/>
  <c r="AF223" i="24"/>
  <c r="AM198" i="24"/>
  <c r="AF198" i="24"/>
  <c r="AD198" i="24"/>
  <c r="AC198" i="24"/>
  <c r="G197" i="21" s="1"/>
  <c r="AE198" i="24"/>
  <c r="AF212" i="24"/>
  <c r="AD212" i="24"/>
  <c r="AE212" i="24"/>
  <c r="AC212" i="24"/>
  <c r="G211" i="21" s="1"/>
  <c r="AM212" i="24"/>
  <c r="AD210" i="24"/>
  <c r="AF210" i="24"/>
  <c r="AC210" i="24"/>
  <c r="G209" i="21" s="1"/>
  <c r="AE210" i="24"/>
  <c r="AM210" i="24"/>
  <c r="AF211" i="24"/>
  <c r="AD211" i="24"/>
  <c r="AE211" i="24"/>
  <c r="AC211" i="24"/>
  <c r="G210" i="21" s="1"/>
  <c r="AM211" i="24"/>
  <c r="AE200" i="24"/>
  <c r="AM200" i="24"/>
  <c r="AF200" i="24"/>
  <c r="AD200" i="24"/>
  <c r="AC200" i="24"/>
  <c r="G199" i="21" s="1"/>
  <c r="P199" i="21" s="1"/>
  <c r="AE215" i="24"/>
  <c r="AC215" i="24"/>
  <c r="G214" i="21" s="1"/>
  <c r="AM215" i="24"/>
  <c r="AF215" i="24"/>
  <c r="AD215" i="24"/>
  <c r="AF217" i="24"/>
  <c r="AD217" i="24"/>
  <c r="AE217" i="24"/>
  <c r="AC217" i="24"/>
  <c r="G216" i="21" s="1"/>
  <c r="AM217" i="24"/>
  <c r="AE201" i="24"/>
  <c r="AM201" i="24"/>
  <c r="AF201" i="24"/>
  <c r="AD201" i="24"/>
  <c r="AC201" i="24"/>
  <c r="G200" i="21" s="1"/>
  <c r="AC203" i="24"/>
  <c r="G202" i="21" s="1"/>
  <c r="AE203" i="24"/>
  <c r="AM203" i="24"/>
  <c r="AF203" i="24"/>
  <c r="AD203" i="24"/>
  <c r="AD205" i="24"/>
  <c r="AF205" i="24"/>
  <c r="AC205" i="24"/>
  <c r="G204" i="21" s="1"/>
  <c r="AE205" i="24"/>
  <c r="AM205" i="24"/>
  <c r="AD214" i="24"/>
  <c r="AF214" i="24"/>
  <c r="AC214" i="24"/>
  <c r="G213" i="21" s="1"/>
  <c r="AE214" i="24"/>
  <c r="AM214" i="24"/>
  <c r="AC199" i="24"/>
  <c r="G198" i="21" s="1"/>
  <c r="AE199" i="24"/>
  <c r="AM199" i="24"/>
  <c r="AF199" i="24"/>
  <c r="AD199" i="24"/>
  <c r="AF213" i="24"/>
  <c r="AD213" i="24"/>
  <c r="AE213" i="24"/>
  <c r="AC213" i="24"/>
  <c r="G212" i="21" s="1"/>
  <c r="AM213" i="24"/>
  <c r="AJ191" i="11"/>
  <c r="AI191" i="11"/>
  <c r="AI223" i="11"/>
  <c r="AJ223" i="11"/>
  <c r="AJ200" i="11"/>
  <c r="AI200" i="11"/>
  <c r="AI192" i="11"/>
  <c r="AJ192" i="11"/>
  <c r="AJ212" i="11"/>
  <c r="AI212" i="11"/>
  <c r="AJ197" i="11"/>
  <c r="AI197" i="11"/>
  <c r="AI185" i="11"/>
  <c r="AJ185" i="11"/>
  <c r="AJ211" i="11"/>
  <c r="AI211" i="11"/>
  <c r="AJ187" i="11"/>
  <c r="AI187" i="11"/>
  <c r="AJ207" i="11"/>
  <c r="AI207" i="11"/>
  <c r="AI209" i="11"/>
  <c r="AJ209" i="11"/>
  <c r="AI206" i="11"/>
  <c r="AJ206" i="11"/>
  <c r="AJ188" i="11"/>
  <c r="AI188" i="11"/>
  <c r="AJ203" i="11"/>
  <c r="AI203" i="11"/>
  <c r="AJ184" i="11"/>
  <c r="AI184" i="11"/>
  <c r="AI198" i="11"/>
  <c r="AJ198" i="11"/>
  <c r="AI208" i="11"/>
  <c r="AJ208" i="11"/>
  <c r="AJ217" i="11"/>
  <c r="AI217" i="11"/>
  <c r="AJ224" i="11"/>
  <c r="AI224" i="11"/>
  <c r="AI214" i="11"/>
  <c r="AJ214" i="11"/>
  <c r="AI221" i="11"/>
  <c r="AJ221" i="11"/>
  <c r="AH187" i="11"/>
  <c r="AG187" i="11"/>
  <c r="AG192" i="11"/>
  <c r="AH192" i="11"/>
  <c r="AH212" i="11"/>
  <c r="AG212" i="11"/>
  <c r="AH213" i="11"/>
  <c r="AG213" i="11"/>
  <c r="AG188" i="11"/>
  <c r="AH188" i="11"/>
  <c r="AG199" i="11"/>
  <c r="AH199" i="11"/>
  <c r="AG196" i="11"/>
  <c r="AH196" i="11"/>
  <c r="AH225" i="11"/>
  <c r="AG225" i="11"/>
  <c r="AG211" i="11"/>
  <c r="AH211" i="11"/>
  <c r="AG201" i="11"/>
  <c r="AH201" i="11"/>
  <c r="AH190" i="11"/>
  <c r="AG190" i="11"/>
  <c r="AH215" i="11"/>
  <c r="AG215" i="11"/>
  <c r="AH209" i="11"/>
  <c r="AG209" i="11"/>
  <c r="AH185" i="11"/>
  <c r="AG185" i="11"/>
  <c r="AH218" i="11"/>
  <c r="AG218" i="11"/>
  <c r="AG219" i="11"/>
  <c r="AH219" i="11"/>
  <c r="AG194" i="11"/>
  <c r="AH194" i="11"/>
  <c r="AH202" i="11"/>
  <c r="AG202" i="11"/>
  <c r="AG221" i="11"/>
  <c r="AH221" i="11"/>
  <c r="AG205" i="11"/>
  <c r="AH205" i="11"/>
  <c r="AG186" i="11"/>
  <c r="AH186" i="11"/>
  <c r="AJ210" i="23"/>
  <c r="AI210" i="23"/>
  <c r="AI203" i="23"/>
  <c r="AJ203" i="23"/>
  <c r="AJ213" i="23"/>
  <c r="AI213" i="23"/>
  <c r="AJ224" i="23"/>
  <c r="AI224" i="23"/>
  <c r="AJ206" i="23"/>
  <c r="AI206" i="23"/>
  <c r="AJ215" i="23"/>
  <c r="AI215" i="23"/>
  <c r="AI196" i="23"/>
  <c r="AJ196" i="23"/>
  <c r="AI220" i="23"/>
  <c r="AJ220" i="23"/>
  <c r="AJ212" i="23"/>
  <c r="AI212" i="23"/>
  <c r="AI207" i="23"/>
  <c r="AJ207" i="23"/>
  <c r="AI216" i="23"/>
  <c r="AJ216" i="23"/>
  <c r="AI200" i="23"/>
  <c r="AJ200" i="23"/>
  <c r="AJ201" i="23"/>
  <c r="AI201" i="23"/>
  <c r="AJ211" i="23"/>
  <c r="AI211" i="23"/>
  <c r="AJ197" i="23"/>
  <c r="AI197" i="23"/>
  <c r="AJ200" i="24"/>
  <c r="AI200" i="24"/>
  <c r="AI202" i="24"/>
  <c r="AJ202" i="24"/>
  <c r="AI212" i="24"/>
  <c r="AJ212" i="24"/>
  <c r="AI206" i="24"/>
  <c r="AJ206" i="24"/>
  <c r="AI204" i="24"/>
  <c r="AJ204" i="24"/>
  <c r="AJ198" i="24"/>
  <c r="AI198" i="24"/>
  <c r="AJ224" i="24"/>
  <c r="AI224" i="24"/>
  <c r="AJ217" i="24"/>
  <c r="AI217" i="24"/>
  <c r="AI203" i="24"/>
  <c r="AJ203" i="24"/>
  <c r="AJ214" i="24"/>
  <c r="AI214" i="24"/>
  <c r="AI208" i="24"/>
  <c r="AJ208" i="24"/>
  <c r="AJ220" i="24"/>
  <c r="AI220" i="24"/>
  <c r="AI218" i="24"/>
  <c r="AJ218" i="24"/>
  <c r="AI196" i="24"/>
  <c r="AJ196" i="24"/>
  <c r="AI219" i="24"/>
  <c r="AJ219" i="24"/>
  <c r="AC186" i="11"/>
  <c r="AD186" i="11"/>
  <c r="AE221" i="11"/>
  <c r="AM221" i="11"/>
  <c r="AF221" i="11"/>
  <c r="AC190" i="11"/>
  <c r="AE190" i="11"/>
  <c r="AC217" i="11"/>
  <c r="AE217" i="11"/>
  <c r="AM208" i="11"/>
  <c r="AD208" i="11"/>
  <c r="AC208" i="11"/>
  <c r="AE219" i="11"/>
  <c r="AC219" i="11"/>
  <c r="AC195" i="11"/>
  <c r="AE195" i="11"/>
  <c r="AM218" i="11"/>
  <c r="AD218" i="11"/>
  <c r="AC218" i="11"/>
  <c r="AD185" i="11"/>
  <c r="AF185" i="11"/>
  <c r="AF197" i="11"/>
  <c r="AC197" i="11"/>
  <c r="E196" i="21" s="1"/>
  <c r="AE212" i="11"/>
  <c r="AM212" i="11"/>
  <c r="AC212" i="11"/>
  <c r="AD196" i="11"/>
  <c r="AF196" i="11"/>
  <c r="AE216" i="11"/>
  <c r="AM216" i="11"/>
  <c r="AD216" i="11"/>
  <c r="AC194" i="11"/>
  <c r="AD194" i="11"/>
  <c r="AD193" i="11"/>
  <c r="AF193" i="11"/>
  <c r="AE223" i="11"/>
  <c r="AC223" i="11"/>
  <c r="AC199" i="11"/>
  <c r="E198" i="21" s="1"/>
  <c r="AM199" i="11"/>
  <c r="AF199" i="11"/>
  <c r="AD203" i="11"/>
  <c r="AE203" i="11"/>
  <c r="AM222" i="11"/>
  <c r="AD222" i="11"/>
  <c r="AC222" i="11"/>
  <c r="AC209" i="11"/>
  <c r="AE209" i="11"/>
  <c r="AC215" i="11"/>
  <c r="AM215" i="11"/>
  <c r="AF215" i="11"/>
  <c r="L199" i="21"/>
  <c r="AD220" i="23"/>
  <c r="AC220" i="23"/>
  <c r="I219" i="21" s="1"/>
  <c r="AE220" i="23"/>
  <c r="AM220" i="23"/>
  <c r="AF220" i="23"/>
  <c r="AM203" i="23"/>
  <c r="AF203" i="23"/>
  <c r="AD203" i="23"/>
  <c r="AC203" i="23"/>
  <c r="I202" i="21" s="1"/>
  <c r="AE203" i="23"/>
  <c r="AM208" i="23"/>
  <c r="AF208" i="23"/>
  <c r="AD208" i="23"/>
  <c r="AC208" i="23"/>
  <c r="I207" i="21" s="1"/>
  <c r="AE208" i="23"/>
  <c r="AE205" i="23"/>
  <c r="AM205" i="23"/>
  <c r="AF205" i="23"/>
  <c r="AD205" i="23"/>
  <c r="AC205" i="23"/>
  <c r="I204" i="21" s="1"/>
  <c r="AE218" i="23"/>
  <c r="AM218" i="23"/>
  <c r="AF218" i="23"/>
  <c r="AD218" i="23"/>
  <c r="AC218" i="23"/>
  <c r="I217" i="21" s="1"/>
  <c r="AD210" i="23"/>
  <c r="AC210" i="23"/>
  <c r="I209" i="21" s="1"/>
  <c r="AE210" i="23"/>
  <c r="AM210" i="23"/>
  <c r="AF210" i="23"/>
  <c r="AF217" i="23"/>
  <c r="AD217" i="23"/>
  <c r="AC217" i="23"/>
  <c r="I216" i="21" s="1"/>
  <c r="AE217" i="23"/>
  <c r="AM217" i="23"/>
  <c r="AF223" i="23"/>
  <c r="AC223" i="23"/>
  <c r="I222" i="21" s="1"/>
  <c r="AE223" i="23"/>
  <c r="AM223" i="23"/>
  <c r="AD223" i="23"/>
  <c r="AE198" i="23"/>
  <c r="AC198" i="23"/>
  <c r="I197" i="21" s="1"/>
  <c r="AD198" i="23"/>
  <c r="AM198" i="23"/>
  <c r="AF198" i="23"/>
  <c r="AD224" i="23"/>
  <c r="AC224" i="23"/>
  <c r="I223" i="21" s="1"/>
  <c r="AE224" i="23"/>
  <c r="AM224" i="23"/>
  <c r="AF224" i="23"/>
  <c r="AM202" i="23"/>
  <c r="AF202" i="23"/>
  <c r="AD202" i="23"/>
  <c r="AC202" i="23"/>
  <c r="I201" i="21" s="1"/>
  <c r="AE202" i="23"/>
  <c r="AM204" i="23"/>
  <c r="AF204" i="23"/>
  <c r="AD204" i="23"/>
  <c r="AC204" i="23"/>
  <c r="I203" i="21" s="1"/>
  <c r="AE204" i="23"/>
  <c r="AM197" i="23"/>
  <c r="AF197" i="23"/>
  <c r="AD197" i="23"/>
  <c r="AC197" i="23"/>
  <c r="I196" i="21" s="1"/>
  <c r="AE197" i="23"/>
  <c r="AM216" i="23"/>
  <c r="AF216" i="23"/>
  <c r="AD216" i="23"/>
  <c r="AC216" i="23"/>
  <c r="I215" i="21" s="1"/>
  <c r="AE216" i="23"/>
  <c r="AE201" i="23"/>
  <c r="AM201" i="23"/>
  <c r="AF201" i="23"/>
  <c r="AD201" i="23"/>
  <c r="AC201" i="23"/>
  <c r="I200" i="21" s="1"/>
  <c r="AH210" i="23"/>
  <c r="AG210" i="23"/>
  <c r="AH203" i="23"/>
  <c r="AG203" i="23"/>
  <c r="AH213" i="23"/>
  <c r="AG213" i="23"/>
  <c r="AH224" i="23"/>
  <c r="AG224" i="23"/>
  <c r="AH225" i="23"/>
  <c r="AG225" i="23"/>
  <c r="AH217" i="23"/>
  <c r="AG217" i="23"/>
  <c r="AG223" i="23"/>
  <c r="AH223" i="23"/>
  <c r="AH199" i="23"/>
  <c r="AG199" i="23"/>
  <c r="AG198" i="23"/>
  <c r="AH198" i="23"/>
  <c r="AH219" i="23"/>
  <c r="AG219" i="23"/>
  <c r="AG202" i="23"/>
  <c r="AH202" i="23"/>
  <c r="AG216" i="23"/>
  <c r="AH216" i="23"/>
  <c r="AG222" i="23"/>
  <c r="AH222" i="23"/>
  <c r="AH200" i="23"/>
  <c r="AG200" i="23"/>
  <c r="AG221" i="23"/>
  <c r="AH221" i="23"/>
  <c r="AG200" i="24"/>
  <c r="AH200" i="24"/>
  <c r="AG202" i="24"/>
  <c r="AH202" i="24"/>
  <c r="AG212" i="24"/>
  <c r="AH212" i="24"/>
  <c r="AH221" i="24"/>
  <c r="AG221" i="24"/>
  <c r="AH216" i="24"/>
  <c r="AG216" i="24"/>
  <c r="AG207" i="24"/>
  <c r="AH207" i="24"/>
  <c r="AH206" i="24"/>
  <c r="AG206" i="24"/>
  <c r="AH217" i="24"/>
  <c r="AG217" i="24"/>
  <c r="AH203" i="24"/>
  <c r="AG203" i="24"/>
  <c r="AH213" i="24"/>
  <c r="AG213" i="24"/>
  <c r="AG222" i="24"/>
  <c r="AH222" i="24"/>
  <c r="AH197" i="24"/>
  <c r="AG197" i="24"/>
  <c r="AH199" i="24"/>
  <c r="AG199" i="24"/>
  <c r="AG205" i="24"/>
  <c r="AH205" i="24"/>
  <c r="AG219" i="24"/>
  <c r="AH219" i="24"/>
  <c r="AE204" i="24"/>
  <c r="AM204" i="24"/>
  <c r="AF204" i="24"/>
  <c r="AD204" i="24"/>
  <c r="AC204" i="24"/>
  <c r="G203" i="21" s="1"/>
  <c r="AC216" i="24"/>
  <c r="G215" i="21" s="1"/>
  <c r="AM216" i="24"/>
  <c r="AF216" i="24"/>
  <c r="AD216" i="24"/>
  <c r="AE216" i="24"/>
  <c r="AC207" i="24"/>
  <c r="G206" i="21" s="1"/>
  <c r="AE207" i="24"/>
  <c r="AM207" i="24"/>
  <c r="AD207" i="24"/>
  <c r="AF207" i="24"/>
  <c r="AC224" i="24"/>
  <c r="G223" i="21" s="1"/>
  <c r="AE224" i="24"/>
  <c r="AM224" i="24"/>
  <c r="AD224" i="24"/>
  <c r="AF224" i="24"/>
  <c r="AE206" i="24"/>
  <c r="AC206" i="24"/>
  <c r="G205" i="21" s="1"/>
  <c r="AM206" i="24"/>
  <c r="AF206" i="24"/>
  <c r="AD206" i="24"/>
  <c r="AF221" i="24"/>
  <c r="AD221" i="24"/>
  <c r="AE221" i="24"/>
  <c r="AC221" i="24"/>
  <c r="G220" i="21" s="1"/>
  <c r="AM221" i="24"/>
  <c r="AM202" i="24"/>
  <c r="AF202" i="24"/>
  <c r="AD202" i="24"/>
  <c r="AC202" i="24"/>
  <c r="G201" i="21" s="1"/>
  <c r="AE202" i="24"/>
  <c r="AE222" i="24"/>
  <c r="AC222" i="24"/>
  <c r="G221" i="21" s="1"/>
  <c r="AM222" i="24"/>
  <c r="AF222" i="24"/>
  <c r="AD222" i="24"/>
  <c r="AC208" i="24"/>
  <c r="G207" i="21" s="1"/>
  <c r="AE208" i="24"/>
  <c r="AM208" i="24"/>
  <c r="AD208" i="24"/>
  <c r="AF208" i="24"/>
  <c r="AC220" i="24"/>
  <c r="G219" i="21" s="1"/>
  <c r="AM220" i="24"/>
  <c r="AF220" i="24"/>
  <c r="AD220" i="24"/>
  <c r="AE220" i="24"/>
  <c r="AE218" i="24"/>
  <c r="AC218" i="24"/>
  <c r="G217" i="21" s="1"/>
  <c r="AM218" i="24"/>
  <c r="AF218" i="24"/>
  <c r="AD218" i="24"/>
  <c r="AE196" i="24"/>
  <c r="AC196" i="24"/>
  <c r="G195" i="21" s="1"/>
  <c r="P195" i="21" s="1"/>
  <c r="AD196" i="24"/>
  <c r="AM196" i="24"/>
  <c r="AF196" i="24"/>
  <c r="AF197" i="24"/>
  <c r="AD197" i="24"/>
  <c r="AC197" i="24"/>
  <c r="G196" i="21" s="1"/>
  <c r="AE197" i="24"/>
  <c r="AM197" i="24"/>
  <c r="AE225" i="24"/>
  <c r="AC225" i="24"/>
  <c r="G224" i="21" s="1"/>
  <c r="AM225" i="24"/>
  <c r="AF225" i="24"/>
  <c r="AD225" i="24"/>
  <c r="AC219" i="24"/>
  <c r="G218" i="21" s="1"/>
  <c r="AE219" i="24"/>
  <c r="AM219" i="24"/>
  <c r="AD219" i="24"/>
  <c r="AF219" i="24"/>
  <c r="AJ215" i="11"/>
  <c r="AI215" i="11"/>
  <c r="AI196" i="11"/>
  <c r="AJ196" i="11"/>
  <c r="AI195" i="11"/>
  <c r="AJ195" i="11"/>
  <c r="AJ204" i="11"/>
  <c r="AI204" i="11"/>
  <c r="AJ220" i="11"/>
  <c r="AI220" i="11"/>
  <c r="AI213" i="11"/>
  <c r="AJ213" i="11"/>
  <c r="AJ222" i="11"/>
  <c r="AI222" i="11"/>
  <c r="AJ216" i="11"/>
  <c r="AI216" i="11"/>
  <c r="AJ199" i="11"/>
  <c r="AI199" i="11"/>
  <c r="AI193" i="11"/>
  <c r="AJ193" i="11"/>
  <c r="AJ225" i="11"/>
  <c r="AI225" i="11"/>
  <c r="AJ218" i="11"/>
  <c r="AI218" i="11"/>
  <c r="AJ189" i="11"/>
  <c r="AI189" i="11"/>
  <c r="AI219" i="11"/>
  <c r="AJ219" i="11"/>
  <c r="AJ194" i="11"/>
  <c r="AI194" i="11"/>
  <c r="AI202" i="11"/>
  <c r="AJ202" i="11"/>
  <c r="AJ201" i="11"/>
  <c r="AI201" i="11"/>
  <c r="AJ190" i="11"/>
  <c r="AI190" i="11"/>
  <c r="AJ186" i="11"/>
  <c r="AI186" i="11"/>
  <c r="AJ205" i="11"/>
  <c r="AI205" i="11"/>
  <c r="AI210" i="11"/>
  <c r="AJ210" i="11"/>
  <c r="AG207" i="11"/>
  <c r="AH207" i="11"/>
  <c r="AH204" i="11"/>
  <c r="AG204" i="11"/>
  <c r="AH197" i="11"/>
  <c r="AG197" i="11"/>
  <c r="AH222" i="11"/>
  <c r="AG222" i="11"/>
  <c r="AH203" i="11"/>
  <c r="AG203" i="11"/>
  <c r="AG223" i="11"/>
  <c r="AH223" i="11"/>
  <c r="AH200" i="11"/>
  <c r="AG200" i="11"/>
  <c r="AH189" i="11"/>
  <c r="AG189" i="11"/>
  <c r="AH216" i="11"/>
  <c r="AG216" i="11"/>
  <c r="AH217" i="11"/>
  <c r="AG217" i="11"/>
  <c r="AG191" i="11"/>
  <c r="AH191" i="11"/>
  <c r="AG193" i="11"/>
  <c r="AH193" i="11"/>
  <c r="AH220" i="11"/>
  <c r="AG220" i="11"/>
  <c r="AH206" i="11"/>
  <c r="AG206" i="11"/>
  <c r="AH195" i="11"/>
  <c r="AG195" i="11"/>
  <c r="AG184" i="11"/>
  <c r="AH184" i="11"/>
  <c r="AH198" i="11"/>
  <c r="AG198" i="11"/>
  <c r="AG208" i="11"/>
  <c r="AH208" i="11"/>
  <c r="AG214" i="11"/>
  <c r="AH214" i="11"/>
  <c r="AH224" i="11"/>
  <c r="AG224" i="11"/>
  <c r="AG210" i="11"/>
  <c r="AH210" i="11"/>
  <c r="AJ218" i="23"/>
  <c r="AI218" i="23"/>
  <c r="AI209" i="23"/>
  <c r="AJ209" i="23"/>
  <c r="AI198" i="23"/>
  <c r="AJ198" i="23"/>
  <c r="AI205" i="23"/>
  <c r="AJ205" i="23"/>
  <c r="AJ214" i="23"/>
  <c r="AI214" i="23"/>
  <c r="AI225" i="23"/>
  <c r="AJ225" i="23"/>
  <c r="AJ217" i="23"/>
  <c r="AI217" i="23"/>
  <c r="AJ223" i="23"/>
  <c r="AI223" i="23"/>
  <c r="AJ199" i="23"/>
  <c r="AI199" i="23"/>
  <c r="AI208" i="23"/>
  <c r="AJ208" i="23"/>
  <c r="AI219" i="23"/>
  <c r="AJ219" i="23"/>
  <c r="AI204" i="23"/>
  <c r="AJ204" i="23"/>
  <c r="AJ221" i="23"/>
  <c r="AI221" i="23"/>
  <c r="AI202" i="23"/>
  <c r="AJ202" i="23"/>
  <c r="AJ222" i="23"/>
  <c r="AI222" i="23"/>
  <c r="AJ209" i="24"/>
  <c r="AI209" i="24"/>
  <c r="AJ223" i="24"/>
  <c r="AI223" i="24"/>
  <c r="AJ215" i="24"/>
  <c r="AI215" i="24"/>
  <c r="AJ210" i="24"/>
  <c r="AI210" i="24"/>
  <c r="AJ221" i="24"/>
  <c r="AI221" i="24"/>
  <c r="AJ216" i="24"/>
  <c r="AI216" i="24"/>
  <c r="AI207" i="24"/>
  <c r="AJ207" i="24"/>
  <c r="AJ211" i="24"/>
  <c r="AI211" i="24"/>
  <c r="AI201" i="24"/>
  <c r="AJ201" i="24"/>
  <c r="AJ213" i="24"/>
  <c r="AI213" i="24"/>
  <c r="AI222" i="24"/>
  <c r="AJ222" i="24"/>
  <c r="AJ197" i="24"/>
  <c r="AI197" i="24"/>
  <c r="AI199" i="24"/>
  <c r="AJ199" i="24"/>
  <c r="AI205" i="24"/>
  <c r="AJ205" i="24"/>
  <c r="AI225" i="24"/>
  <c r="AJ225" i="24"/>
  <c r="AF186" i="11"/>
  <c r="AD221" i="11"/>
  <c r="AF190" i="11"/>
  <c r="AM217" i="11"/>
  <c r="AD217" i="11"/>
  <c r="AF208" i="11"/>
  <c r="AM219" i="11"/>
  <c r="AF219" i="11"/>
  <c r="AD195" i="11"/>
  <c r="AF218" i="11"/>
  <c r="AC185" i="11"/>
  <c r="AE197" i="11"/>
  <c r="AM197" i="11"/>
  <c r="AD212" i="11"/>
  <c r="AE196" i="11"/>
  <c r="AM196" i="11"/>
  <c r="AC216" i="11"/>
  <c r="AF194" i="11"/>
  <c r="AC193" i="11"/>
  <c r="E192" i="21" s="1"/>
  <c r="AM223" i="11"/>
  <c r="AF223" i="11"/>
  <c r="AD199" i="11"/>
  <c r="AC203" i="11"/>
  <c r="E202" i="21" s="1"/>
  <c r="AM203" i="11"/>
  <c r="AF222" i="11"/>
  <c r="AM209" i="11"/>
  <c r="AD209" i="11"/>
  <c r="AD215" i="11"/>
  <c r="AH170" i="11"/>
  <c r="AJ166" i="23"/>
  <c r="AI166" i="23"/>
  <c r="AI163" i="23"/>
  <c r="AJ163" i="23"/>
  <c r="AJ158" i="23"/>
  <c r="AI158" i="23"/>
  <c r="AJ174" i="23"/>
  <c r="AJ162" i="23"/>
  <c r="AI162" i="23"/>
  <c r="AI161" i="23"/>
  <c r="AJ161" i="23"/>
  <c r="AJ164" i="23"/>
  <c r="AI164" i="23"/>
  <c r="AJ170" i="23"/>
  <c r="AJ169" i="23"/>
  <c r="AJ173" i="23"/>
  <c r="AI159" i="23"/>
  <c r="AJ159" i="23"/>
  <c r="AI165" i="23"/>
  <c r="AJ165" i="23"/>
  <c r="AI179" i="23"/>
  <c r="AJ179" i="23"/>
  <c r="AJ176" i="23"/>
  <c r="AI176" i="23"/>
  <c r="AI181" i="23"/>
  <c r="AJ181" i="23"/>
  <c r="AI185" i="23"/>
  <c r="AJ185" i="23"/>
  <c r="AI189" i="23"/>
  <c r="AJ189" i="23"/>
  <c r="AI193" i="23"/>
  <c r="AJ193" i="23"/>
  <c r="AI178" i="23"/>
  <c r="AJ178" i="23"/>
  <c r="AJ184" i="23"/>
  <c r="AI184" i="23"/>
  <c r="AJ192" i="23"/>
  <c r="AI192" i="23"/>
  <c r="AI186" i="23"/>
  <c r="AJ186" i="23"/>
  <c r="AJ169" i="24"/>
  <c r="AJ174" i="24"/>
  <c r="AJ120" i="24"/>
  <c r="AJ161" i="24"/>
  <c r="AI161" i="24"/>
  <c r="AJ167" i="24"/>
  <c r="AI167" i="24"/>
  <c r="AI157" i="24"/>
  <c r="AJ157" i="24"/>
  <c r="AJ147" i="24"/>
  <c r="AI165" i="24"/>
  <c r="AJ165" i="24"/>
  <c r="AJ172" i="24"/>
  <c r="AJ168" i="24"/>
  <c r="AJ103" i="24"/>
  <c r="AJ126" i="24"/>
  <c r="AI159" i="24"/>
  <c r="AJ159" i="24"/>
  <c r="AJ171" i="24"/>
  <c r="AI176" i="24"/>
  <c r="AJ176" i="24"/>
  <c r="AI180" i="24"/>
  <c r="AJ180" i="24"/>
  <c r="AI184" i="24"/>
  <c r="AJ184" i="24"/>
  <c r="AI188" i="24"/>
  <c r="AJ188" i="24"/>
  <c r="AI177" i="24"/>
  <c r="AJ177" i="24"/>
  <c r="AJ183" i="24"/>
  <c r="AI183" i="24"/>
  <c r="AJ191" i="24"/>
  <c r="AI191" i="24"/>
  <c r="AJ194" i="24"/>
  <c r="AI194" i="24"/>
  <c r="AI181" i="24"/>
  <c r="AJ181" i="24"/>
  <c r="AI189" i="24"/>
  <c r="AJ189" i="24"/>
  <c r="AH156" i="11"/>
  <c r="AG156" i="11"/>
  <c r="AH171" i="11"/>
  <c r="AH174" i="11"/>
  <c r="AG158" i="11"/>
  <c r="AH158" i="11"/>
  <c r="AH175" i="11"/>
  <c r="AG162" i="11"/>
  <c r="AH162" i="11"/>
  <c r="AH166" i="11"/>
  <c r="AG166" i="11"/>
  <c r="AH161" i="11"/>
  <c r="AG161" i="11"/>
  <c r="AG160" i="11"/>
  <c r="AH160" i="11"/>
  <c r="AG183" i="11"/>
  <c r="AH183" i="11"/>
  <c r="AG181" i="11"/>
  <c r="AH181" i="11"/>
  <c r="AG179" i="11"/>
  <c r="AH179" i="11"/>
  <c r="AG177" i="11"/>
  <c r="AH177" i="11"/>
  <c r="AC166" i="23"/>
  <c r="I165" i="21" s="1"/>
  <c r="AM166" i="23"/>
  <c r="AF166" i="23"/>
  <c r="AE166" i="23"/>
  <c r="AD166" i="23"/>
  <c r="AD161" i="23"/>
  <c r="AC161" i="23"/>
  <c r="I160" i="21" s="1"/>
  <c r="AM161" i="23"/>
  <c r="AF161" i="23"/>
  <c r="AE161" i="23"/>
  <c r="AM173" i="23"/>
  <c r="AF173" i="23"/>
  <c r="AD173" i="23"/>
  <c r="AD174" i="23"/>
  <c r="AF174" i="23"/>
  <c r="AM174" i="23"/>
  <c r="AF159" i="23"/>
  <c r="AD159" i="23"/>
  <c r="AM159" i="23"/>
  <c r="AC159" i="23"/>
  <c r="I158" i="21" s="1"/>
  <c r="AE159" i="23"/>
  <c r="AD177" i="23"/>
  <c r="AM177" i="23"/>
  <c r="AC177" i="23"/>
  <c r="I176" i="21" s="1"/>
  <c r="AF177" i="23"/>
  <c r="AE177" i="23"/>
  <c r="AE181" i="23"/>
  <c r="AM181" i="23"/>
  <c r="AC181" i="23"/>
  <c r="I180" i="21" s="1"/>
  <c r="AF181" i="23"/>
  <c r="AD181" i="23"/>
  <c r="AE185" i="23"/>
  <c r="AD185" i="23"/>
  <c r="AM185" i="23"/>
  <c r="AC185" i="23"/>
  <c r="I184" i="21" s="1"/>
  <c r="AF185" i="23"/>
  <c r="AE189" i="23"/>
  <c r="AD189" i="23"/>
  <c r="AM189" i="23"/>
  <c r="AC189" i="23"/>
  <c r="I188" i="21" s="1"/>
  <c r="AF189" i="23"/>
  <c r="AE193" i="23"/>
  <c r="AD193" i="23"/>
  <c r="AM193" i="23"/>
  <c r="AC193" i="23"/>
  <c r="I192" i="21" s="1"/>
  <c r="AF193" i="23"/>
  <c r="AM178" i="23"/>
  <c r="AC178" i="23"/>
  <c r="I177" i="21" s="1"/>
  <c r="AD178" i="23"/>
  <c r="AE178" i="23"/>
  <c r="AF178" i="23"/>
  <c r="AF176" i="23"/>
  <c r="AE176" i="23"/>
  <c r="AD176" i="23"/>
  <c r="AM176" i="23"/>
  <c r="AC176" i="23"/>
  <c r="I175" i="21" s="1"/>
  <c r="AM186" i="23"/>
  <c r="AC186" i="23"/>
  <c r="I185" i="21" s="1"/>
  <c r="AD186" i="23"/>
  <c r="AE186" i="23"/>
  <c r="AF186" i="23"/>
  <c r="AF180" i="23"/>
  <c r="AE180" i="23"/>
  <c r="AD180" i="23"/>
  <c r="AM180" i="23"/>
  <c r="AC180" i="23"/>
  <c r="I179" i="21" s="1"/>
  <c r="AF188" i="23"/>
  <c r="AE188" i="23"/>
  <c r="AD188" i="23"/>
  <c r="AM188" i="23"/>
  <c r="AC188" i="23"/>
  <c r="I187" i="21" s="1"/>
  <c r="AH168" i="11"/>
  <c r="AJ175" i="23"/>
  <c r="AJ143" i="23"/>
  <c r="AI157" i="23"/>
  <c r="AJ157" i="23"/>
  <c r="AI160" i="23"/>
  <c r="AJ160" i="23"/>
  <c r="AJ168" i="23"/>
  <c r="AJ167" i="23"/>
  <c r="AI167" i="23"/>
  <c r="AJ171" i="23"/>
  <c r="AI156" i="23"/>
  <c r="AJ156" i="23"/>
  <c r="AI194" i="23"/>
  <c r="AJ194" i="23"/>
  <c r="AJ177" i="23"/>
  <c r="AI177" i="23"/>
  <c r="AI183" i="23"/>
  <c r="AJ183" i="23"/>
  <c r="AI187" i="23"/>
  <c r="AJ187" i="23"/>
  <c r="AI191" i="23"/>
  <c r="AJ191" i="23"/>
  <c r="AI195" i="23"/>
  <c r="AJ195" i="23"/>
  <c r="AJ180" i="23"/>
  <c r="AI180" i="23"/>
  <c r="AJ188" i="23"/>
  <c r="AI188" i="23"/>
  <c r="AI182" i="23"/>
  <c r="AJ182" i="23"/>
  <c r="AI190" i="23"/>
  <c r="AJ190" i="23"/>
  <c r="AJ173" i="24"/>
  <c r="AJ162" i="24"/>
  <c r="AI162" i="24"/>
  <c r="AJ146" i="24"/>
  <c r="AJ112" i="24"/>
  <c r="AI156" i="24"/>
  <c r="AJ156" i="24"/>
  <c r="AI160" i="24"/>
  <c r="AJ160" i="24"/>
  <c r="AI166" i="24"/>
  <c r="AJ166" i="24"/>
  <c r="AJ164" i="24"/>
  <c r="AI164" i="24"/>
  <c r="AJ148" i="24"/>
  <c r="AJ170" i="24"/>
  <c r="AJ175" i="24"/>
  <c r="AJ117" i="24"/>
  <c r="AI163" i="24"/>
  <c r="AJ163" i="24"/>
  <c r="AJ158" i="24"/>
  <c r="AI158" i="24"/>
  <c r="AI192" i="24"/>
  <c r="AJ192" i="24"/>
  <c r="AJ178" i="24"/>
  <c r="AI178" i="24"/>
  <c r="AI182" i="24"/>
  <c r="AJ182" i="24"/>
  <c r="AI186" i="24"/>
  <c r="AJ186" i="24"/>
  <c r="AI190" i="24"/>
  <c r="AJ190" i="24"/>
  <c r="AJ179" i="24"/>
  <c r="AI179" i="24"/>
  <c r="AJ187" i="24"/>
  <c r="AI187" i="24"/>
  <c r="AJ193" i="24"/>
  <c r="AI193" i="24"/>
  <c r="AJ195" i="24"/>
  <c r="AI195" i="24"/>
  <c r="AI185" i="24"/>
  <c r="AJ185" i="24"/>
  <c r="AH157" i="11"/>
  <c r="AG157" i="11"/>
  <c r="AG167" i="11"/>
  <c r="AH167" i="11"/>
  <c r="AH159" i="11"/>
  <c r="AG159" i="11"/>
  <c r="AH169" i="11"/>
  <c r="AH173" i="11"/>
  <c r="AH172" i="11"/>
  <c r="AH163" i="11"/>
  <c r="AG163" i="11"/>
  <c r="AG165" i="11"/>
  <c r="AH165" i="11"/>
  <c r="AH164" i="11"/>
  <c r="AG164" i="11"/>
  <c r="AG182" i="11"/>
  <c r="AH182" i="11"/>
  <c r="AG180" i="11"/>
  <c r="AH180" i="11"/>
  <c r="AG178" i="11"/>
  <c r="AH178" i="11"/>
  <c r="AG176" i="11"/>
  <c r="AH176" i="11"/>
  <c r="AF175" i="23"/>
  <c r="AM175" i="23"/>
  <c r="AD175" i="23"/>
  <c r="AM164" i="23"/>
  <c r="AD164" i="23"/>
  <c r="AE164" i="23"/>
  <c r="AF164" i="23"/>
  <c r="AC164" i="23"/>
  <c r="AD171" i="23"/>
  <c r="AM171" i="23"/>
  <c r="AF171" i="23"/>
  <c r="AE158" i="23"/>
  <c r="AF158" i="23"/>
  <c r="AC158" i="23"/>
  <c r="AM158" i="23"/>
  <c r="AD158" i="23"/>
  <c r="AD169" i="23"/>
  <c r="AF169" i="23"/>
  <c r="AM169" i="23"/>
  <c r="AD168" i="23"/>
  <c r="AM168" i="23"/>
  <c r="AF168" i="23"/>
  <c r="AD167" i="23"/>
  <c r="AM167" i="23"/>
  <c r="AF167" i="23"/>
  <c r="AC167" i="23"/>
  <c r="I166" i="21" s="1"/>
  <c r="AE167" i="23"/>
  <c r="AD170" i="23"/>
  <c r="AF170" i="23"/>
  <c r="AM170" i="23"/>
  <c r="AC163" i="23"/>
  <c r="I162" i="21" s="1"/>
  <c r="AM163" i="23"/>
  <c r="AD163" i="23"/>
  <c r="AE163" i="23"/>
  <c r="AF163" i="23"/>
  <c r="AF157" i="23"/>
  <c r="AD157" i="23"/>
  <c r="AC157" i="23"/>
  <c r="I156" i="21" s="1"/>
  <c r="AM157" i="23"/>
  <c r="AE157" i="23"/>
  <c r="AC160" i="23"/>
  <c r="I159" i="21" s="1"/>
  <c r="AM160" i="23"/>
  <c r="AF160" i="23"/>
  <c r="AE160" i="23"/>
  <c r="AD160" i="23"/>
  <c r="AC156" i="23"/>
  <c r="I155" i="21" s="1"/>
  <c r="AM156" i="23"/>
  <c r="AF156" i="23"/>
  <c r="AE156" i="23"/>
  <c r="AD156" i="23"/>
  <c r="AM165" i="23"/>
  <c r="AF165" i="23"/>
  <c r="AC165" i="23"/>
  <c r="I164" i="21" s="1"/>
  <c r="AD165" i="23"/>
  <c r="AE165" i="23"/>
  <c r="AD162" i="23"/>
  <c r="AC162" i="23"/>
  <c r="I161" i="21" s="1"/>
  <c r="AM162" i="23"/>
  <c r="AF162" i="23"/>
  <c r="AE162" i="23"/>
  <c r="AE179" i="23"/>
  <c r="AF179" i="23"/>
  <c r="AM179" i="23"/>
  <c r="AC179" i="23"/>
  <c r="I178" i="21" s="1"/>
  <c r="AD179" i="23"/>
  <c r="AD183" i="23"/>
  <c r="AE183" i="23"/>
  <c r="AF183" i="23"/>
  <c r="AM183" i="23"/>
  <c r="AC183" i="23"/>
  <c r="I182" i="21" s="1"/>
  <c r="AD187" i="23"/>
  <c r="AE187" i="23"/>
  <c r="AF187" i="23"/>
  <c r="AM187" i="23"/>
  <c r="AC187" i="23"/>
  <c r="I186" i="21" s="1"/>
  <c r="AD191" i="23"/>
  <c r="AE191" i="23"/>
  <c r="AF191" i="23"/>
  <c r="AM191" i="23"/>
  <c r="AC191" i="23"/>
  <c r="I190" i="21" s="1"/>
  <c r="AH148" i="23"/>
  <c r="AH160" i="23"/>
  <c r="AG160" i="23"/>
  <c r="AH174" i="23"/>
  <c r="AG159" i="23"/>
  <c r="AH159" i="23"/>
  <c r="AG165" i="23"/>
  <c r="AH165" i="23"/>
  <c r="AH175" i="23"/>
  <c r="AG163" i="23"/>
  <c r="AH163" i="23"/>
  <c r="AG157" i="23"/>
  <c r="AH157" i="23"/>
  <c r="AH173" i="23"/>
  <c r="AG156" i="23"/>
  <c r="AH156" i="23"/>
  <c r="AG179" i="23"/>
  <c r="AH179" i="23"/>
  <c r="AH176" i="23"/>
  <c r="AG176" i="23"/>
  <c r="AH181" i="23"/>
  <c r="AG181" i="23"/>
  <c r="AH185" i="23"/>
  <c r="AG185" i="23"/>
  <c r="AH189" i="23"/>
  <c r="AG189" i="23"/>
  <c r="AH193" i="23"/>
  <c r="AG193" i="23"/>
  <c r="AG178" i="23"/>
  <c r="AH178" i="23"/>
  <c r="AH184" i="23"/>
  <c r="AG184" i="23"/>
  <c r="AH192" i="23"/>
  <c r="AG192" i="23"/>
  <c r="AG186" i="23"/>
  <c r="AH186" i="23"/>
  <c r="AH170" i="24"/>
  <c r="AG159" i="24"/>
  <c r="AH159" i="24"/>
  <c r="AH135" i="24"/>
  <c r="AH162" i="24"/>
  <c r="AG162" i="24"/>
  <c r="AH174" i="24"/>
  <c r="AH171" i="24"/>
  <c r="AG158" i="24"/>
  <c r="AH158" i="24"/>
  <c r="AH157" i="24"/>
  <c r="AG157" i="24"/>
  <c r="AH160" i="24"/>
  <c r="AG160" i="24"/>
  <c r="AH167" i="24"/>
  <c r="AG167" i="24"/>
  <c r="AG192" i="24"/>
  <c r="AH192" i="24"/>
  <c r="AH178" i="24"/>
  <c r="AG178" i="24"/>
  <c r="AH182" i="24"/>
  <c r="AG182" i="24"/>
  <c r="AH186" i="24"/>
  <c r="AG186" i="24"/>
  <c r="AH190" i="24"/>
  <c r="AG190" i="24"/>
  <c r="AH179" i="24"/>
  <c r="AG179" i="24"/>
  <c r="AH187" i="24"/>
  <c r="AG187" i="24"/>
  <c r="AG193" i="24"/>
  <c r="AH193" i="24"/>
  <c r="AG195" i="24"/>
  <c r="AH195" i="24"/>
  <c r="AG185" i="24"/>
  <c r="AH185" i="24"/>
  <c r="AE167" i="24"/>
  <c r="AF167" i="24"/>
  <c r="AM167" i="24"/>
  <c r="AC167" i="24"/>
  <c r="G166" i="21" s="1"/>
  <c r="AD167" i="24"/>
  <c r="AF165" i="24"/>
  <c r="AE165" i="24"/>
  <c r="AM165" i="24"/>
  <c r="AC165" i="24"/>
  <c r="G164" i="21" s="1"/>
  <c r="AD165" i="24"/>
  <c r="AC163" i="24"/>
  <c r="G162" i="21" s="1"/>
  <c r="AE163" i="24"/>
  <c r="AF163" i="24"/>
  <c r="AM163" i="24"/>
  <c r="AD163" i="24"/>
  <c r="AC166" i="24"/>
  <c r="G165" i="21" s="1"/>
  <c r="AD166" i="24"/>
  <c r="AE166" i="24"/>
  <c r="AM166" i="24"/>
  <c r="AF166" i="24"/>
  <c r="AF156" i="24"/>
  <c r="AD156" i="24"/>
  <c r="AE156" i="24"/>
  <c r="AM156" i="24"/>
  <c r="AC156" i="24"/>
  <c r="G155" i="21" s="1"/>
  <c r="AD159" i="24"/>
  <c r="AF159" i="24"/>
  <c r="AE159" i="24"/>
  <c r="AC159" i="24"/>
  <c r="G158" i="21" s="1"/>
  <c r="AM159" i="24"/>
  <c r="AF103" i="24"/>
  <c r="AD171" i="24"/>
  <c r="AF171" i="24"/>
  <c r="AM171" i="24"/>
  <c r="AM173" i="24"/>
  <c r="AF173" i="24"/>
  <c r="AD173" i="24"/>
  <c r="AF168" i="24"/>
  <c r="AM168" i="24"/>
  <c r="AD168" i="24"/>
  <c r="AF170" i="24"/>
  <c r="AM170" i="24"/>
  <c r="AD170" i="24"/>
  <c r="AD178" i="24"/>
  <c r="AF178" i="24"/>
  <c r="AM178" i="24"/>
  <c r="AC178" i="24"/>
  <c r="G177" i="21" s="1"/>
  <c r="AE178" i="24"/>
  <c r="AD182" i="24"/>
  <c r="AE182" i="24"/>
  <c r="AF182" i="24"/>
  <c r="AM182" i="24"/>
  <c r="AC182" i="24"/>
  <c r="G181" i="21" s="1"/>
  <c r="AD186" i="24"/>
  <c r="AE186" i="24"/>
  <c r="AF186" i="24"/>
  <c r="AM186" i="24"/>
  <c r="AC186" i="24"/>
  <c r="G185" i="21" s="1"/>
  <c r="AD190" i="24"/>
  <c r="AE190" i="24"/>
  <c r="AF190" i="24"/>
  <c r="AM190" i="24"/>
  <c r="AC190" i="24"/>
  <c r="G189" i="21" s="1"/>
  <c r="AE192" i="24"/>
  <c r="AF192" i="24"/>
  <c r="AM192" i="24"/>
  <c r="AC192" i="24"/>
  <c r="G191" i="21" s="1"/>
  <c r="AD192" i="24"/>
  <c r="AM185" i="24"/>
  <c r="AC185" i="24"/>
  <c r="G184" i="21" s="1"/>
  <c r="AD185" i="24"/>
  <c r="AE185" i="24"/>
  <c r="AF185" i="24"/>
  <c r="AF179" i="24"/>
  <c r="AE179" i="24"/>
  <c r="AD179" i="24"/>
  <c r="AM179" i="24"/>
  <c r="AC179" i="24"/>
  <c r="G178" i="21" s="1"/>
  <c r="AF187" i="24"/>
  <c r="AE187" i="24"/>
  <c r="AD187" i="24"/>
  <c r="AM187" i="24"/>
  <c r="AC187" i="24"/>
  <c r="G186" i="21" s="1"/>
  <c r="AF193" i="24"/>
  <c r="AM193" i="24"/>
  <c r="AC193" i="24"/>
  <c r="G192" i="21" s="1"/>
  <c r="AD193" i="24"/>
  <c r="AE193" i="24"/>
  <c r="AM195" i="24"/>
  <c r="AC195" i="24"/>
  <c r="G194" i="21" s="1"/>
  <c r="AF195" i="24"/>
  <c r="AE195" i="24"/>
  <c r="AD195" i="24"/>
  <c r="AJ157" i="11"/>
  <c r="AI157" i="11"/>
  <c r="AJ174" i="11"/>
  <c r="AI158" i="11"/>
  <c r="AJ158" i="11"/>
  <c r="AI162" i="11"/>
  <c r="AJ162" i="11"/>
  <c r="AJ149" i="11"/>
  <c r="AJ163" i="11"/>
  <c r="AI163" i="11"/>
  <c r="AJ138" i="11"/>
  <c r="AI160" i="11"/>
  <c r="AJ160" i="11"/>
  <c r="AI183" i="11"/>
  <c r="AJ183" i="11"/>
  <c r="AI181" i="11"/>
  <c r="AJ181" i="11"/>
  <c r="AI179" i="11"/>
  <c r="AJ179" i="11"/>
  <c r="AI177" i="11"/>
  <c r="AJ177" i="11"/>
  <c r="AF157" i="11"/>
  <c r="AM157" i="11"/>
  <c r="AE157" i="11"/>
  <c r="AD157" i="11"/>
  <c r="AC157" i="11"/>
  <c r="AF110" i="11"/>
  <c r="AF115" i="11"/>
  <c r="AF105" i="11"/>
  <c r="AD169" i="11"/>
  <c r="AM169" i="11"/>
  <c r="AF169" i="11"/>
  <c r="AC169" i="11"/>
  <c r="AD171" i="11"/>
  <c r="AM171" i="11"/>
  <c r="AF171" i="11"/>
  <c r="AE171" i="11"/>
  <c r="AF107" i="11"/>
  <c r="AF97" i="11"/>
  <c r="AC163" i="11"/>
  <c r="AD163" i="11"/>
  <c r="AF163" i="11"/>
  <c r="AE163" i="11"/>
  <c r="AM163" i="11"/>
  <c r="AF114" i="11"/>
  <c r="AF151" i="11"/>
  <c r="AF101" i="11"/>
  <c r="AF168" i="11"/>
  <c r="AD168" i="11"/>
  <c r="AM168" i="11"/>
  <c r="AE168" i="11" s="1"/>
  <c r="AM173" i="11"/>
  <c r="AF173" i="11"/>
  <c r="AD173" i="11"/>
  <c r="AM162" i="11"/>
  <c r="AE162" i="11"/>
  <c r="AD162" i="11"/>
  <c r="AF162" i="11"/>
  <c r="AC162" i="11"/>
  <c r="AF138" i="11"/>
  <c r="AF111" i="11"/>
  <c r="AF120" i="11"/>
  <c r="AC164" i="11"/>
  <c r="AD164" i="11"/>
  <c r="AE164" i="11"/>
  <c r="AF164" i="11"/>
  <c r="AM164" i="11"/>
  <c r="AM193" i="11"/>
  <c r="E190" i="21"/>
  <c r="AM191" i="11"/>
  <c r="E188" i="21"/>
  <c r="AM189" i="11"/>
  <c r="AM194" i="11"/>
  <c r="E193" i="21"/>
  <c r="E185" i="21"/>
  <c r="AM186" i="11"/>
  <c r="E183" i="21"/>
  <c r="AM184" i="11"/>
  <c r="AC182" i="11"/>
  <c r="E181" i="21" s="1"/>
  <c r="AF182" i="11"/>
  <c r="AE182" i="11"/>
  <c r="AD182" i="11"/>
  <c r="AM182" i="11"/>
  <c r="AC180" i="11"/>
  <c r="E179" i="21" s="1"/>
  <c r="AF180" i="11"/>
  <c r="AE180" i="11"/>
  <c r="AD180" i="11"/>
  <c r="AM180" i="11"/>
  <c r="AC178" i="11"/>
  <c r="E177" i="21" s="1"/>
  <c r="AF178" i="11"/>
  <c r="AE178" i="11"/>
  <c r="AD178" i="11"/>
  <c r="AM178" i="11"/>
  <c r="AC176" i="11"/>
  <c r="E175" i="21" s="1"/>
  <c r="AF176" i="11"/>
  <c r="AE176" i="11"/>
  <c r="AD176" i="11"/>
  <c r="AM176" i="11"/>
  <c r="AJ175" i="11"/>
  <c r="AD195" i="23"/>
  <c r="AE195" i="23"/>
  <c r="AF195" i="23"/>
  <c r="AM195" i="23"/>
  <c r="AC195" i="23"/>
  <c r="I194" i="21" s="1"/>
  <c r="AE194" i="23"/>
  <c r="AF194" i="23"/>
  <c r="AM194" i="23"/>
  <c r="AC194" i="23"/>
  <c r="I193" i="21" s="1"/>
  <c r="AD194" i="23"/>
  <c r="AM182" i="23"/>
  <c r="AC182" i="23"/>
  <c r="I181" i="21" s="1"/>
  <c r="AD182" i="23"/>
  <c r="AE182" i="23"/>
  <c r="AF182" i="23"/>
  <c r="AM190" i="23"/>
  <c r="AC190" i="23"/>
  <c r="I189" i="21" s="1"/>
  <c r="AD190" i="23"/>
  <c r="AE190" i="23"/>
  <c r="AF190" i="23"/>
  <c r="AF184" i="23"/>
  <c r="AE184" i="23"/>
  <c r="AD184" i="23"/>
  <c r="AM184" i="23"/>
  <c r="AC184" i="23"/>
  <c r="I183" i="21" s="1"/>
  <c r="AF192" i="23"/>
  <c r="AE192" i="23"/>
  <c r="AD192" i="23"/>
  <c r="AM192" i="23"/>
  <c r="AC192" i="23"/>
  <c r="I191" i="21" s="1"/>
  <c r="AH171" i="23"/>
  <c r="AG161" i="23"/>
  <c r="AH161" i="23"/>
  <c r="AG164" i="23"/>
  <c r="AH164" i="23"/>
  <c r="AH170" i="23"/>
  <c r="AH169" i="23"/>
  <c r="AG166" i="23"/>
  <c r="AH166" i="23"/>
  <c r="AG158" i="23"/>
  <c r="AH158" i="23"/>
  <c r="AH168" i="23"/>
  <c r="AH167" i="23"/>
  <c r="AG167" i="23"/>
  <c r="AG162" i="23"/>
  <c r="AH162" i="23"/>
  <c r="AG194" i="23"/>
  <c r="AH194" i="23"/>
  <c r="AG177" i="23"/>
  <c r="AH177" i="23"/>
  <c r="AH183" i="23"/>
  <c r="AG183" i="23"/>
  <c r="AH187" i="23"/>
  <c r="AG187" i="23"/>
  <c r="AH191" i="23"/>
  <c r="AG191" i="23"/>
  <c r="AH195" i="23"/>
  <c r="AG195" i="23"/>
  <c r="AH180" i="23"/>
  <c r="AG180" i="23"/>
  <c r="AH188" i="23"/>
  <c r="AG188" i="23"/>
  <c r="AG182" i="23"/>
  <c r="AH182" i="23"/>
  <c r="AG190" i="23"/>
  <c r="AH190" i="23"/>
  <c r="AH169" i="24"/>
  <c r="AH175" i="24"/>
  <c r="AH166" i="24"/>
  <c r="AG166" i="24"/>
  <c r="AG156" i="24"/>
  <c r="AH156" i="24"/>
  <c r="AH172" i="24"/>
  <c r="AH173" i="24"/>
  <c r="AH168" i="24"/>
  <c r="AH161" i="24"/>
  <c r="AG161" i="24"/>
  <c r="AH122" i="24"/>
  <c r="AH165" i="24"/>
  <c r="AG165" i="24"/>
  <c r="AG163" i="24"/>
  <c r="AH163" i="24"/>
  <c r="AH164" i="24"/>
  <c r="AG164" i="24"/>
  <c r="AH176" i="24"/>
  <c r="AG176" i="24"/>
  <c r="AH180" i="24"/>
  <c r="AG180" i="24"/>
  <c r="AH184" i="24"/>
  <c r="AG184" i="24"/>
  <c r="AH188" i="24"/>
  <c r="AG188" i="24"/>
  <c r="AG177" i="24"/>
  <c r="AH177" i="24"/>
  <c r="AH183" i="24"/>
  <c r="AG183" i="24"/>
  <c r="AG191" i="24"/>
  <c r="AH191" i="24"/>
  <c r="AH194" i="24"/>
  <c r="AG194" i="24"/>
  <c r="AG181" i="24"/>
  <c r="AH181" i="24"/>
  <c r="AG189" i="24"/>
  <c r="AH189" i="24"/>
  <c r="AC160" i="24"/>
  <c r="G159" i="21" s="1"/>
  <c r="AE160" i="24"/>
  <c r="AM160" i="24"/>
  <c r="AF160" i="24"/>
  <c r="AD160" i="24"/>
  <c r="AE162" i="24"/>
  <c r="AD162" i="24"/>
  <c r="AM162" i="24"/>
  <c r="AC162" i="24"/>
  <c r="G161" i="21" s="1"/>
  <c r="AF162" i="24"/>
  <c r="AE164" i="24"/>
  <c r="AD164" i="24"/>
  <c r="AM164" i="24"/>
  <c r="AF164" i="24"/>
  <c r="AC164" i="24"/>
  <c r="AF158" i="24"/>
  <c r="AD158" i="24"/>
  <c r="AE158" i="24"/>
  <c r="AM158" i="24"/>
  <c r="AC158" i="24"/>
  <c r="AE161" i="24"/>
  <c r="AM161" i="24"/>
  <c r="AD161" i="24"/>
  <c r="AC161" i="24"/>
  <c r="G160" i="21" s="1"/>
  <c r="AF161" i="24"/>
  <c r="AE157" i="24"/>
  <c r="AF157" i="24"/>
  <c r="AM157" i="24"/>
  <c r="AC157" i="24"/>
  <c r="G156" i="21" s="1"/>
  <c r="AD157" i="24"/>
  <c r="AF101" i="24"/>
  <c r="AM172" i="24"/>
  <c r="AD172" i="24"/>
  <c r="AF172" i="24"/>
  <c r="AF175" i="24"/>
  <c r="AM175" i="24"/>
  <c r="AD175" i="24"/>
  <c r="AF174" i="24"/>
  <c r="AD174" i="24"/>
  <c r="AM174" i="24"/>
  <c r="AM169" i="24"/>
  <c r="AF169" i="24"/>
  <c r="AD169" i="24"/>
  <c r="AE176" i="24"/>
  <c r="AD176" i="24"/>
  <c r="AM176" i="24"/>
  <c r="AC176" i="24"/>
  <c r="G175" i="21" s="1"/>
  <c r="AF176" i="24"/>
  <c r="AE180" i="24"/>
  <c r="AD180" i="24"/>
  <c r="AM180" i="24"/>
  <c r="AC180" i="24"/>
  <c r="G179" i="21" s="1"/>
  <c r="AF180" i="24"/>
  <c r="AE184" i="24"/>
  <c r="AD184" i="24"/>
  <c r="AM184" i="24"/>
  <c r="AC184" i="24"/>
  <c r="G183" i="21" s="1"/>
  <c r="AF184" i="24"/>
  <c r="AE188" i="24"/>
  <c r="AD188" i="24"/>
  <c r="AM188" i="24"/>
  <c r="AC188" i="24"/>
  <c r="G187" i="21" s="1"/>
  <c r="AF188" i="24"/>
  <c r="AM177" i="24"/>
  <c r="AC177" i="24"/>
  <c r="G176" i="21" s="1"/>
  <c r="AD177" i="24"/>
  <c r="AE177" i="24"/>
  <c r="AF177" i="24"/>
  <c r="AM181" i="24"/>
  <c r="AC181" i="24"/>
  <c r="G180" i="21" s="1"/>
  <c r="AD181" i="24"/>
  <c r="AE181" i="24"/>
  <c r="AF181" i="24"/>
  <c r="AM189" i="24"/>
  <c r="AC189" i="24"/>
  <c r="G188" i="21" s="1"/>
  <c r="AD189" i="24"/>
  <c r="AE189" i="24"/>
  <c r="AF189" i="24"/>
  <c r="AF183" i="24"/>
  <c r="AE183" i="24"/>
  <c r="AD183" i="24"/>
  <c r="AM183" i="24"/>
  <c r="AC183" i="24"/>
  <c r="G182" i="21" s="1"/>
  <c r="AM191" i="24"/>
  <c r="AC191" i="24"/>
  <c r="G190" i="21" s="1"/>
  <c r="AF191" i="24"/>
  <c r="AE191" i="24"/>
  <c r="AD191" i="24"/>
  <c r="AF194" i="24"/>
  <c r="AE194" i="24"/>
  <c r="AD194" i="24"/>
  <c r="AM194" i="24"/>
  <c r="AC194" i="24"/>
  <c r="G193" i="21" s="1"/>
  <c r="AJ159" i="11"/>
  <c r="AI159" i="11"/>
  <c r="AI167" i="11"/>
  <c r="AJ167" i="11"/>
  <c r="AJ156" i="11"/>
  <c r="AI156" i="11"/>
  <c r="AJ121" i="11"/>
  <c r="AJ171" i="11"/>
  <c r="AI171" i="11"/>
  <c r="AJ169" i="11"/>
  <c r="AI169" i="11"/>
  <c r="AJ170" i="11"/>
  <c r="AJ100" i="11"/>
  <c r="AJ97" i="11"/>
  <c r="AJ173" i="11"/>
  <c r="AI173" i="11"/>
  <c r="AJ135" i="11"/>
  <c r="AJ168" i="11"/>
  <c r="AI168" i="11"/>
  <c r="AJ166" i="11"/>
  <c r="AI166" i="11"/>
  <c r="AJ172" i="11"/>
  <c r="AJ161" i="11"/>
  <c r="AI161" i="11"/>
  <c r="AI165" i="11"/>
  <c r="AJ165" i="11"/>
  <c r="AJ120" i="11"/>
  <c r="AJ152" i="11"/>
  <c r="AJ164" i="11"/>
  <c r="AI164" i="11"/>
  <c r="AI182" i="11"/>
  <c r="AJ182" i="11"/>
  <c r="AI180" i="11"/>
  <c r="AJ180" i="11"/>
  <c r="AI178" i="11"/>
  <c r="AJ178" i="11"/>
  <c r="AI176" i="11"/>
  <c r="AJ176" i="11"/>
  <c r="AM158" i="11"/>
  <c r="AE158" i="11"/>
  <c r="AD158" i="11"/>
  <c r="AF158" i="11"/>
  <c r="AC158" i="11"/>
  <c r="AF170" i="11"/>
  <c r="AD170" i="11"/>
  <c r="AM170" i="11"/>
  <c r="AE170" i="11" s="1"/>
  <c r="AF126" i="11"/>
  <c r="AC167" i="11"/>
  <c r="AM167" i="11"/>
  <c r="AE167" i="11"/>
  <c r="AD167" i="11"/>
  <c r="AF167" i="11"/>
  <c r="AF124" i="11"/>
  <c r="AE156" i="11"/>
  <c r="AD156" i="11"/>
  <c r="AF156" i="11"/>
  <c r="AC156" i="11"/>
  <c r="AM156" i="11"/>
  <c r="AF174" i="11"/>
  <c r="AM174" i="11"/>
  <c r="AD174" i="11"/>
  <c r="AC174" i="11"/>
  <c r="AC159" i="11"/>
  <c r="E158" i="21" s="1"/>
  <c r="AD159" i="11"/>
  <c r="AF159" i="11"/>
  <c r="AE159" i="11"/>
  <c r="AM159" i="11"/>
  <c r="AF118" i="11"/>
  <c r="AF150" i="11"/>
  <c r="AD150" i="11"/>
  <c r="AF123" i="11"/>
  <c r="AF155" i="11"/>
  <c r="AF148" i="11"/>
  <c r="AD172" i="11"/>
  <c r="AM172" i="11"/>
  <c r="AF172" i="11"/>
  <c r="AC172" i="11"/>
  <c r="E171" i="21" s="1"/>
  <c r="AF130" i="11"/>
  <c r="AC165" i="11"/>
  <c r="AM165" i="11"/>
  <c r="AE165" i="11"/>
  <c r="AD165" i="11"/>
  <c r="AF165" i="11"/>
  <c r="AF112" i="11"/>
  <c r="AF144" i="11"/>
  <c r="AF149" i="11"/>
  <c r="AC160" i="11"/>
  <c r="AM160" i="11"/>
  <c r="AE160" i="11"/>
  <c r="AD160" i="11"/>
  <c r="AF160" i="11"/>
  <c r="AC166" i="11"/>
  <c r="AD166" i="11"/>
  <c r="AE166" i="11"/>
  <c r="AF166" i="11"/>
  <c r="AM166" i="11"/>
  <c r="AM175" i="11"/>
  <c r="AC175" i="11" s="1"/>
  <c r="AD175" i="11"/>
  <c r="AF175" i="11"/>
  <c r="AF161" i="11"/>
  <c r="AM161" i="11"/>
  <c r="AE161" i="11"/>
  <c r="AD161" i="11"/>
  <c r="AC161" i="11"/>
  <c r="AF104" i="11"/>
  <c r="AF136" i="11"/>
  <c r="E194" i="21"/>
  <c r="AM195" i="11"/>
  <c r="E191" i="21"/>
  <c r="AM192" i="11"/>
  <c r="E189" i="21"/>
  <c r="AM190" i="11"/>
  <c r="E187" i="21"/>
  <c r="AM188" i="11"/>
  <c r="E186" i="21"/>
  <c r="AM187" i="11"/>
  <c r="E184" i="21"/>
  <c r="AM185" i="11"/>
  <c r="AC183" i="11"/>
  <c r="E182" i="21" s="1"/>
  <c r="AF183" i="11"/>
  <c r="AE183" i="11"/>
  <c r="AD183" i="11"/>
  <c r="AM183" i="11"/>
  <c r="AC181" i="11"/>
  <c r="E180" i="21" s="1"/>
  <c r="AF181" i="11"/>
  <c r="AE181" i="11"/>
  <c r="AD181" i="11"/>
  <c r="AM181" i="11"/>
  <c r="AC179" i="11"/>
  <c r="E178" i="21" s="1"/>
  <c r="AF179" i="11"/>
  <c r="AE179" i="11"/>
  <c r="AD179" i="11"/>
  <c r="AM179" i="11"/>
  <c r="AC177" i="11"/>
  <c r="E176" i="21" s="1"/>
  <c r="AF177" i="11"/>
  <c r="AE177" i="11"/>
  <c r="AD177" i="11"/>
  <c r="AM177" i="11"/>
  <c r="AF95" i="11"/>
  <c r="N26" i="15"/>
  <c r="N21" i="15"/>
  <c r="O20" i="15"/>
  <c r="N20" i="15" s="1"/>
  <c r="AJ85" i="23"/>
  <c r="AJ67" i="24"/>
  <c r="AJ77" i="24"/>
  <c r="AJ81" i="24"/>
  <c r="AH66" i="23"/>
  <c r="AH69" i="23"/>
  <c r="AH79" i="24"/>
  <c r="AF77" i="24"/>
  <c r="AJ84" i="11"/>
  <c r="AJ75" i="11"/>
  <c r="AF66" i="11"/>
  <c r="AF77" i="11"/>
  <c r="AD78" i="11"/>
  <c r="AF61" i="11"/>
  <c r="AF88" i="11"/>
  <c r="AJ78" i="24"/>
  <c r="AJ70" i="24"/>
  <c r="AH84" i="23"/>
  <c r="AH61" i="24"/>
  <c r="AH78" i="24"/>
  <c r="AH86" i="24"/>
  <c r="AM68" i="24"/>
  <c r="AF68" i="24"/>
  <c r="AJ80" i="11"/>
  <c r="AF86" i="11"/>
  <c r="AF71" i="11"/>
  <c r="AF64" i="11"/>
  <c r="AF80" i="11"/>
  <c r="AF83" i="11"/>
  <c r="AF79" i="11"/>
  <c r="AF69" i="11"/>
  <c r="AJ52" i="23"/>
  <c r="AJ59" i="24"/>
  <c r="AH52" i="23"/>
  <c r="AH47" i="24"/>
  <c r="AF60" i="11"/>
  <c r="AF57" i="11"/>
  <c r="AF47" i="11"/>
  <c r="AF51" i="11"/>
  <c r="AF55" i="11"/>
  <c r="AJ52" i="24"/>
  <c r="AJ49" i="24"/>
  <c r="AH50" i="24"/>
  <c r="AH52" i="24"/>
  <c r="AM52" i="24"/>
  <c r="AJ49" i="11"/>
  <c r="AF59" i="11"/>
  <c r="AF54" i="11"/>
  <c r="AF53" i="11"/>
  <c r="AF56" i="11"/>
  <c r="AF49" i="11"/>
  <c r="AJ6" i="24"/>
  <c r="AJ32" i="24"/>
  <c r="AH37" i="24"/>
  <c r="AH35" i="24"/>
  <c r="AH36" i="24"/>
  <c r="AJ38" i="11"/>
  <c r="AF33" i="11"/>
  <c r="AF44" i="11"/>
  <c r="AF41" i="11"/>
  <c r="AJ40" i="23"/>
  <c r="AJ36" i="24"/>
  <c r="AH45" i="24"/>
  <c r="AM36" i="24"/>
  <c r="AD36" i="24"/>
  <c r="AF36" i="24"/>
  <c r="AF35" i="24"/>
  <c r="AM42" i="24"/>
  <c r="AJ37" i="11"/>
  <c r="AJ44" i="11"/>
  <c r="AJ41" i="11"/>
  <c r="AF32" i="11"/>
  <c r="AF35" i="11"/>
  <c r="AF36" i="11"/>
  <c r="AF38" i="11"/>
  <c r="AF45" i="11"/>
  <c r="AM45" i="11"/>
  <c r="AJ7" i="24"/>
  <c r="AJ14" i="24"/>
  <c r="AJ10" i="24"/>
  <c r="AJ8" i="24"/>
  <c r="AJ12" i="24"/>
  <c r="AJ15" i="24"/>
  <c r="AF11" i="23"/>
  <c r="AH30" i="23"/>
  <c r="AH19" i="24"/>
  <c r="AH18" i="24"/>
  <c r="AJ18" i="11"/>
  <c r="AJ14" i="11"/>
  <c r="AJ8" i="11"/>
  <c r="AF17" i="11"/>
  <c r="AF25" i="11"/>
  <c r="AF12" i="11"/>
  <c r="AF7" i="11"/>
  <c r="AF14" i="11"/>
  <c r="AF9" i="11"/>
  <c r="AJ26" i="23"/>
  <c r="AJ11" i="23"/>
  <c r="AJ13" i="23"/>
  <c r="AJ27" i="24"/>
  <c r="AJ13" i="24"/>
  <c r="AJ11" i="24"/>
  <c r="AJ9" i="24"/>
  <c r="AJ17" i="24"/>
  <c r="AH18" i="11"/>
  <c r="AH11" i="23"/>
  <c r="AH10" i="24"/>
  <c r="AH13" i="24"/>
  <c r="AH16" i="24"/>
  <c r="AD10" i="24"/>
  <c r="AF22" i="24"/>
  <c r="AF8" i="24"/>
  <c r="AM19" i="24"/>
  <c r="AD19" i="24"/>
  <c r="AJ12" i="11"/>
  <c r="AJ21" i="11"/>
  <c r="AJ17" i="11"/>
  <c r="AJ28" i="11"/>
  <c r="AJ13" i="11"/>
  <c r="AM18" i="11"/>
  <c r="AF10" i="11"/>
  <c r="AF22" i="11"/>
  <c r="AF15" i="11"/>
  <c r="AF27" i="11"/>
  <c r="AF23" i="11"/>
  <c r="AF21" i="11"/>
  <c r="O11" i="15"/>
  <c r="AH22" i="24" l="1"/>
  <c r="AH82" i="24"/>
  <c r="AH73" i="24"/>
  <c r="AH119" i="24"/>
  <c r="AF128" i="11"/>
  <c r="AH45" i="11"/>
  <c r="AF38" i="23"/>
  <c r="AF39" i="23"/>
  <c r="AF7" i="24"/>
  <c r="AH25" i="24"/>
  <c r="AF121" i="11"/>
  <c r="AF99" i="11"/>
  <c r="AF74" i="11"/>
  <c r="AH41" i="23"/>
  <c r="AH12" i="24"/>
  <c r="AD33" i="23"/>
  <c r="AF30" i="23"/>
  <c r="AH85" i="24"/>
  <c r="AF9" i="23"/>
  <c r="AF25" i="23"/>
  <c r="AH24" i="11"/>
  <c r="AJ34" i="23"/>
  <c r="AD11" i="23"/>
  <c r="AH76" i="23"/>
  <c r="AJ139" i="24"/>
  <c r="AJ68" i="24"/>
  <c r="AH131" i="24"/>
  <c r="AM96" i="24"/>
  <c r="AM11" i="23"/>
  <c r="AH64" i="11"/>
  <c r="AF16" i="24"/>
  <c r="AJ22" i="23"/>
  <c r="AH98" i="23"/>
  <c r="AM24" i="23"/>
  <c r="AH14" i="11"/>
  <c r="AM44" i="24"/>
  <c r="AJ136" i="24"/>
  <c r="AF94" i="24"/>
  <c r="AH35" i="23"/>
  <c r="AH8" i="23"/>
  <c r="AJ46" i="23"/>
  <c r="AJ74" i="23"/>
  <c r="AH63" i="24"/>
  <c r="AD36" i="11"/>
  <c r="AD41" i="11"/>
  <c r="AH50" i="23"/>
  <c r="AH139" i="23"/>
  <c r="AH74" i="23"/>
  <c r="AJ118" i="24"/>
  <c r="AF142" i="24"/>
  <c r="AF106" i="11"/>
  <c r="AH144" i="23"/>
  <c r="AF109" i="11"/>
  <c r="AJ96" i="11"/>
  <c r="AJ103" i="11"/>
  <c r="AJ61" i="23"/>
  <c r="AH44" i="23"/>
  <c r="AH17" i="24"/>
  <c r="AF70" i="11"/>
  <c r="AJ44" i="23"/>
  <c r="AJ25" i="11"/>
  <c r="AJ84" i="23"/>
  <c r="AH55" i="23"/>
  <c r="AH90" i="23"/>
  <c r="AJ87" i="24"/>
  <c r="AH106" i="24"/>
  <c r="AD73" i="24"/>
  <c r="AJ61" i="11"/>
  <c r="AJ9" i="23"/>
  <c r="AM69" i="11"/>
  <c r="AJ64" i="11"/>
  <c r="AF26" i="23"/>
  <c r="AD55" i="23"/>
  <c r="AF43" i="24"/>
  <c r="AJ73" i="24"/>
  <c r="AM41" i="11"/>
  <c r="AM103" i="24"/>
  <c r="AH20" i="24"/>
  <c r="AF132" i="24"/>
  <c r="AF20" i="23"/>
  <c r="AD21" i="24"/>
  <c r="AF98" i="24"/>
  <c r="AJ25" i="23"/>
  <c r="AH29" i="24"/>
  <c r="AJ44" i="24"/>
  <c r="AH22" i="23"/>
  <c r="AM9" i="24"/>
  <c r="AJ8" i="23"/>
  <c r="AJ142" i="24"/>
  <c r="AJ66" i="24"/>
  <c r="AH24" i="23"/>
  <c r="AH61" i="23"/>
  <c r="AJ24" i="23"/>
  <c r="AJ35" i="23"/>
  <c r="AD56" i="11"/>
  <c r="AF73" i="24"/>
  <c r="AD103" i="24"/>
  <c r="AH19" i="23"/>
  <c r="AM73" i="24"/>
  <c r="AD52" i="11"/>
  <c r="AM19" i="23"/>
  <c r="AF143" i="23"/>
  <c r="AH49" i="11"/>
  <c r="AD32" i="11"/>
  <c r="AM70" i="11"/>
  <c r="AF113" i="24"/>
  <c r="AF15" i="24"/>
  <c r="AM58" i="24"/>
  <c r="AM63" i="24"/>
  <c r="AF92" i="24"/>
  <c r="AM104" i="24"/>
  <c r="AJ99" i="23"/>
  <c r="AJ66" i="23"/>
  <c r="AH75" i="23"/>
  <c r="AJ131" i="23"/>
  <c r="AJ134" i="23"/>
  <c r="AM8" i="11"/>
  <c r="AM60" i="11"/>
  <c r="AD27" i="11"/>
  <c r="AD23" i="11"/>
  <c r="AM13" i="11"/>
  <c r="AF23" i="24"/>
  <c r="AM47" i="24"/>
  <c r="AF131" i="24"/>
  <c r="AF107" i="24"/>
  <c r="AM96" i="11"/>
  <c r="AH86" i="11"/>
  <c r="AJ55" i="23"/>
  <c r="AD9" i="11"/>
  <c r="AJ76" i="23"/>
  <c r="AJ58" i="23"/>
  <c r="AJ107" i="23"/>
  <c r="AM76" i="24"/>
  <c r="AM51" i="24"/>
  <c r="AH130" i="24"/>
  <c r="AH51" i="11"/>
  <c r="AD38" i="11"/>
  <c r="AD91" i="11"/>
  <c r="AD31" i="24"/>
  <c r="AJ18" i="23"/>
  <c r="AH6" i="23"/>
  <c r="AH62" i="24"/>
  <c r="AH32" i="24"/>
  <c r="AH107" i="24"/>
  <c r="AH98" i="24"/>
  <c r="AH77" i="23"/>
  <c r="AJ124" i="23"/>
  <c r="AD76" i="11"/>
  <c r="AM138" i="11"/>
  <c r="AM8" i="24"/>
  <c r="AJ27" i="23"/>
  <c r="AJ94" i="24"/>
  <c r="AJ143" i="24"/>
  <c r="AJ121" i="24"/>
  <c r="AF92" i="11"/>
  <c r="AH133" i="23"/>
  <c r="AD82" i="11"/>
  <c r="AJ108" i="11"/>
  <c r="AM60" i="24"/>
  <c r="AH132" i="24"/>
  <c r="AH34" i="24"/>
  <c r="AJ21" i="23"/>
  <c r="AH14" i="23"/>
  <c r="AD67" i="11"/>
  <c r="AD53" i="11"/>
  <c r="AJ140" i="11"/>
  <c r="AH46" i="23"/>
  <c r="AJ17" i="23"/>
  <c r="AJ133" i="24"/>
  <c r="AF89" i="11"/>
  <c r="AM17" i="24"/>
  <c r="AM22" i="23"/>
  <c r="AD68" i="23"/>
  <c r="AH117" i="11"/>
  <c r="AM27" i="11"/>
  <c r="AH27" i="11"/>
  <c r="AM54" i="11"/>
  <c r="AD7" i="24"/>
  <c r="AJ132" i="23"/>
  <c r="AH53" i="23"/>
  <c r="AF132" i="11"/>
  <c r="AH100" i="24"/>
  <c r="AM38" i="23"/>
  <c r="AF24" i="24"/>
  <c r="AM132" i="24"/>
  <c r="AD131" i="24"/>
  <c r="AH112" i="24"/>
  <c r="AF140" i="11"/>
  <c r="AH134" i="23"/>
  <c r="AJ144" i="23"/>
  <c r="AJ119" i="24"/>
  <c r="AH15" i="11"/>
  <c r="AJ38" i="23"/>
  <c r="AJ52" i="11"/>
  <c r="AH60" i="24"/>
  <c r="AJ47" i="24"/>
  <c r="AF47" i="24"/>
  <c r="AD86" i="24"/>
  <c r="AH78" i="11"/>
  <c r="AJ88" i="23"/>
  <c r="AF76" i="11"/>
  <c r="AM126" i="11"/>
  <c r="AH107" i="23"/>
  <c r="AJ131" i="24"/>
  <c r="AF28" i="23"/>
  <c r="AD39" i="23"/>
  <c r="AF133" i="23"/>
  <c r="AJ39" i="23"/>
  <c r="AF74" i="24"/>
  <c r="AD143" i="24"/>
  <c r="AF100" i="24"/>
  <c r="AH54" i="23"/>
  <c r="AH60" i="23"/>
  <c r="AJ117" i="23"/>
  <c r="AH9" i="11"/>
  <c r="AM64" i="11"/>
  <c r="AH57" i="24"/>
  <c r="AH134" i="24"/>
  <c r="AH108" i="24"/>
  <c r="AM78" i="11"/>
  <c r="AM38" i="11"/>
  <c r="AH38" i="11"/>
  <c r="AD132" i="24"/>
  <c r="AM131" i="24"/>
  <c r="AF119" i="24"/>
  <c r="AF143" i="11"/>
  <c r="AJ126" i="11"/>
  <c r="AJ6" i="23"/>
  <c r="AJ70" i="11"/>
  <c r="AJ23" i="24"/>
  <c r="AD45" i="11"/>
  <c r="AM15" i="11"/>
  <c r="AJ7" i="23"/>
  <c r="AH8" i="11"/>
  <c r="AJ48" i="23"/>
  <c r="AM22" i="24"/>
  <c r="AH21" i="23"/>
  <c r="AJ15" i="11"/>
  <c r="AH33" i="23"/>
  <c r="AD58" i="24"/>
  <c r="AF103" i="11"/>
  <c r="AD119" i="24"/>
  <c r="AH124" i="23"/>
  <c r="AF145" i="11"/>
  <c r="AJ112" i="11"/>
  <c r="AH114" i="24"/>
  <c r="AJ45" i="11"/>
  <c r="AM86" i="24"/>
  <c r="AM15" i="24"/>
  <c r="AH31" i="24"/>
  <c r="AJ32" i="11"/>
  <c r="AD49" i="24"/>
  <c r="AD126" i="11"/>
  <c r="AM119" i="24"/>
  <c r="AD146" i="24"/>
  <c r="AH133" i="24"/>
  <c r="AD12" i="24"/>
  <c r="AD107" i="23"/>
  <c r="AM20" i="11"/>
  <c r="AH83" i="11"/>
  <c r="AD15" i="24"/>
  <c r="AJ43" i="24"/>
  <c r="AF19" i="23"/>
  <c r="AF52" i="24"/>
  <c r="AM49" i="24"/>
  <c r="AF82" i="11"/>
  <c r="AF146" i="24"/>
  <c r="AF102" i="11"/>
  <c r="AF148" i="24"/>
  <c r="AH118" i="23"/>
  <c r="AJ99" i="24"/>
  <c r="AM9" i="23"/>
  <c r="AF52" i="23"/>
  <c r="AF29" i="23"/>
  <c r="AD109" i="23"/>
  <c r="AD6" i="23"/>
  <c r="AH41" i="11"/>
  <c r="AH149" i="11"/>
  <c r="AF39" i="24"/>
  <c r="AF29" i="24"/>
  <c r="AD79" i="24"/>
  <c r="AM14" i="24"/>
  <c r="AD18" i="24"/>
  <c r="AF63" i="24"/>
  <c r="AM14" i="11"/>
  <c r="AJ31" i="23"/>
  <c r="AM49" i="11"/>
  <c r="AM143" i="11"/>
  <c r="AM107" i="11"/>
  <c r="AJ63" i="23"/>
  <c r="AF87" i="23"/>
  <c r="AJ47" i="23"/>
  <c r="AJ153" i="23"/>
  <c r="AJ138" i="23"/>
  <c r="AD142" i="24"/>
  <c r="AH58" i="24"/>
  <c r="AJ42" i="23"/>
  <c r="AH85" i="23"/>
  <c r="AH73" i="23"/>
  <c r="AJ125" i="23"/>
  <c r="AH92" i="23"/>
  <c r="AH71" i="23"/>
  <c r="AD75" i="11"/>
  <c r="AD68" i="24"/>
  <c r="AJ92" i="24"/>
  <c r="AH90" i="24"/>
  <c r="AJ149" i="24"/>
  <c r="AF116" i="11"/>
  <c r="AH150" i="23"/>
  <c r="AH91" i="23"/>
  <c r="AH99" i="23"/>
  <c r="AD135" i="11"/>
  <c r="AF122" i="11"/>
  <c r="AJ151" i="11"/>
  <c r="AJ139" i="11"/>
  <c r="AD38" i="23"/>
  <c r="AD71" i="11"/>
  <c r="AH72" i="23"/>
  <c r="AD57" i="23"/>
  <c r="AH125" i="24"/>
  <c r="AH21" i="24"/>
  <c r="AD12" i="23"/>
  <c r="AF43" i="23"/>
  <c r="AJ129" i="23"/>
  <c r="AF13" i="24"/>
  <c r="AJ53" i="11"/>
  <c r="AF68" i="23"/>
  <c r="AM117" i="11"/>
  <c r="AJ128" i="11"/>
  <c r="AM25" i="24"/>
  <c r="AD29" i="23"/>
  <c r="AM9" i="11"/>
  <c r="AF18" i="24"/>
  <c r="AH31" i="23"/>
  <c r="AH39" i="23"/>
  <c r="AD52" i="23"/>
  <c r="AD57" i="24"/>
  <c r="AD64" i="11"/>
  <c r="AM74" i="24"/>
  <c r="AM87" i="23"/>
  <c r="AM149" i="11"/>
  <c r="AD117" i="11"/>
  <c r="AM142" i="24"/>
  <c r="AH142" i="24"/>
  <c r="AH104" i="24"/>
  <c r="AD152" i="24"/>
  <c r="AM107" i="24"/>
  <c r="AH123" i="24"/>
  <c r="AH122" i="23"/>
  <c r="AJ142" i="23"/>
  <c r="AM46" i="23"/>
  <c r="AM52" i="23"/>
  <c r="AM47" i="23"/>
  <c r="AD96" i="11"/>
  <c r="AJ117" i="11"/>
  <c r="AF129" i="24"/>
  <c r="AD107" i="24"/>
  <c r="AJ107" i="24"/>
  <c r="AF55" i="24"/>
  <c r="AH93" i="11"/>
  <c r="AJ154" i="23"/>
  <c r="AD13" i="24"/>
  <c r="AH10" i="23"/>
  <c r="AM39" i="11"/>
  <c r="AM39" i="23"/>
  <c r="AM56" i="11"/>
  <c r="AH56" i="11"/>
  <c r="AH60" i="11"/>
  <c r="AD63" i="24"/>
  <c r="AJ63" i="24"/>
  <c r="AD92" i="24"/>
  <c r="AD149" i="11"/>
  <c r="AJ101" i="11"/>
  <c r="AH155" i="24"/>
  <c r="AH117" i="23"/>
  <c r="AH100" i="23"/>
  <c r="AF133" i="11"/>
  <c r="AJ113" i="11"/>
  <c r="AM117" i="24"/>
  <c r="AJ135" i="24"/>
  <c r="AD19" i="23"/>
  <c r="AD47" i="23"/>
  <c r="AD65" i="11"/>
  <c r="AM86" i="11"/>
  <c r="AH27" i="23"/>
  <c r="AH18" i="23"/>
  <c r="AH108" i="23"/>
  <c r="AH81" i="24"/>
  <c r="AF142" i="11"/>
  <c r="AH6" i="11"/>
  <c r="AF58" i="24"/>
  <c r="AJ9" i="11"/>
  <c r="AD22" i="23"/>
  <c r="AJ18" i="24"/>
  <c r="AD14" i="11"/>
  <c r="AJ39" i="24"/>
  <c r="AM51" i="11"/>
  <c r="AD60" i="11"/>
  <c r="AM55" i="24"/>
  <c r="AJ67" i="11"/>
  <c r="AD90" i="24"/>
  <c r="AM92" i="24"/>
  <c r="AF135" i="11"/>
  <c r="AM150" i="11"/>
  <c r="AJ150" i="11"/>
  <c r="AF104" i="24"/>
  <c r="AM106" i="24"/>
  <c r="AH151" i="23"/>
  <c r="AF143" i="24"/>
  <c r="AF117" i="24"/>
  <c r="AH150" i="11"/>
  <c r="AH139" i="11"/>
  <c r="AH132" i="11"/>
  <c r="AJ128" i="24"/>
  <c r="AH14" i="24"/>
  <c r="AH6" i="24"/>
  <c r="AM155" i="24"/>
  <c r="AD76" i="24"/>
  <c r="AF87" i="24"/>
  <c r="AM54" i="24"/>
  <c r="AJ65" i="23"/>
  <c r="AH34" i="23"/>
  <c r="AH28" i="23"/>
  <c r="AH43" i="23"/>
  <c r="AH23" i="23"/>
  <c r="AJ97" i="23"/>
  <c r="AH70" i="23"/>
  <c r="AH56" i="24"/>
  <c r="AH24" i="24"/>
  <c r="AF22" i="23"/>
  <c r="AM111" i="24"/>
  <c r="AJ104" i="24"/>
  <c r="AM116" i="23"/>
  <c r="AF80" i="23"/>
  <c r="AM122" i="11"/>
  <c r="AJ141" i="11"/>
  <c r="AM18" i="24"/>
  <c r="AH17" i="23"/>
  <c r="AM39" i="24"/>
  <c r="AD51" i="11"/>
  <c r="AF75" i="11"/>
  <c r="AH68" i="24"/>
  <c r="AM67" i="11"/>
  <c r="AD74" i="24"/>
  <c r="AD87" i="23"/>
  <c r="AJ87" i="23"/>
  <c r="AF117" i="11"/>
  <c r="AJ118" i="11"/>
  <c r="AD104" i="24"/>
  <c r="AH126" i="23"/>
  <c r="AH142" i="23"/>
  <c r="AF125" i="11"/>
  <c r="AF146" i="11"/>
  <c r="AF111" i="24"/>
  <c r="AH152" i="24"/>
  <c r="AJ145" i="24"/>
  <c r="AD9" i="23"/>
  <c r="AJ41" i="23"/>
  <c r="AH13" i="11"/>
  <c r="AH23" i="11"/>
  <c r="AF86" i="24"/>
  <c r="AD39" i="24"/>
  <c r="AF62" i="24"/>
  <c r="AH29" i="23"/>
  <c r="AH96" i="23"/>
  <c r="AH79" i="23"/>
  <c r="AF131" i="11"/>
  <c r="AD133" i="24"/>
  <c r="AD26" i="11"/>
  <c r="AM12" i="24"/>
  <c r="AM152" i="24"/>
  <c r="AH96" i="11"/>
  <c r="AJ101" i="24"/>
  <c r="AH11" i="24"/>
  <c r="AH110" i="24"/>
  <c r="AH99" i="24"/>
  <c r="AM44" i="23"/>
  <c r="AD7" i="23"/>
  <c r="AM74" i="23"/>
  <c r="AM77" i="23"/>
  <c r="AD21" i="11"/>
  <c r="AF17" i="24"/>
  <c r="AM52" i="11"/>
  <c r="AM47" i="11"/>
  <c r="AM140" i="11"/>
  <c r="AF9" i="24"/>
  <c r="AD49" i="11"/>
  <c r="AH30" i="24"/>
  <c r="AJ30" i="23"/>
  <c r="AH15" i="23"/>
  <c r="AH36" i="11"/>
  <c r="AH76" i="11"/>
  <c r="AJ77" i="23"/>
  <c r="AJ98" i="23"/>
  <c r="AJ36" i="23"/>
  <c r="AH69" i="11"/>
  <c r="AJ141" i="23"/>
  <c r="AF36" i="23"/>
  <c r="AD60" i="23"/>
  <c r="AD14" i="23"/>
  <c r="AF62" i="23"/>
  <c r="AF79" i="23"/>
  <c r="AD72" i="23"/>
  <c r="AD48" i="23"/>
  <c r="AH80" i="24"/>
  <c r="AH40" i="24"/>
  <c r="AH83" i="24"/>
  <c r="AH41" i="24"/>
  <c r="AH93" i="24"/>
  <c r="AH102" i="24"/>
  <c r="AH44" i="24"/>
  <c r="AM35" i="23"/>
  <c r="AF95" i="23"/>
  <c r="AM78" i="23"/>
  <c r="AD32" i="24"/>
  <c r="AD152" i="11"/>
  <c r="AD71" i="24"/>
  <c r="AF41" i="24"/>
  <c r="AD23" i="24"/>
  <c r="AJ73" i="23"/>
  <c r="AH29" i="11"/>
  <c r="AH66" i="24"/>
  <c r="AH53" i="24"/>
  <c r="AH51" i="24"/>
  <c r="AH49" i="24"/>
  <c r="AH128" i="24"/>
  <c r="AH117" i="24"/>
  <c r="AH67" i="24"/>
  <c r="AM16" i="23"/>
  <c r="AM101" i="23"/>
  <c r="AH48" i="24"/>
  <c r="AH75" i="24"/>
  <c r="AH55" i="24"/>
  <c r="AH69" i="24"/>
  <c r="AH94" i="24"/>
  <c r="AH87" i="24"/>
  <c r="AF27" i="23"/>
  <c r="AF18" i="23"/>
  <c r="AH76" i="24"/>
  <c r="AH109" i="24"/>
  <c r="AF31" i="23"/>
  <c r="AM76" i="23"/>
  <c r="AH95" i="24"/>
  <c r="AH88" i="24"/>
  <c r="AH26" i="24"/>
  <c r="AH9" i="24"/>
  <c r="AH46" i="24"/>
  <c r="AM43" i="23"/>
  <c r="AD18" i="23"/>
  <c r="AF100" i="23"/>
  <c r="AF23" i="23"/>
  <c r="AH103" i="24"/>
  <c r="AF121" i="23"/>
  <c r="AF101" i="23"/>
  <c r="AH137" i="24"/>
  <c r="AM118" i="23"/>
  <c r="AH139" i="24"/>
  <c r="AH65" i="24"/>
  <c r="AH70" i="24"/>
  <c r="AF21" i="23"/>
  <c r="AF59" i="23"/>
  <c r="AH136" i="24"/>
  <c r="AH116" i="24"/>
  <c r="AF14" i="23"/>
  <c r="AM60" i="23"/>
  <c r="AH140" i="24"/>
  <c r="AF60" i="23"/>
  <c r="AF57" i="23"/>
  <c r="AF7" i="23"/>
  <c r="AJ69" i="23"/>
  <c r="AH13" i="23"/>
  <c r="AH67" i="11"/>
  <c r="AH92" i="24"/>
  <c r="AH126" i="11"/>
  <c r="AD10" i="11"/>
  <c r="AH80" i="11"/>
  <c r="AD97" i="11"/>
  <c r="AF26" i="24"/>
  <c r="AM35" i="24"/>
  <c r="AD67" i="23"/>
  <c r="AH101" i="23"/>
  <c r="AD13" i="11"/>
  <c r="AD27" i="24"/>
  <c r="AD81" i="11"/>
  <c r="AH42" i="11"/>
  <c r="AM37" i="11"/>
  <c r="AD84" i="11"/>
  <c r="AM100" i="11"/>
  <c r="AD8" i="24"/>
  <c r="AJ50" i="23"/>
  <c r="AJ43" i="23"/>
  <c r="AJ96" i="23"/>
  <c r="AJ20" i="23"/>
  <c r="AM121" i="24"/>
  <c r="AD101" i="24"/>
  <c r="AD61" i="11"/>
  <c r="AH89" i="24"/>
  <c r="AH91" i="24"/>
  <c r="AJ90" i="23"/>
  <c r="AH137" i="23"/>
  <c r="AD139" i="11"/>
  <c r="AH86" i="23"/>
  <c r="AM30" i="23"/>
  <c r="AD15" i="23"/>
  <c r="AD91" i="23"/>
  <c r="AF33" i="23"/>
  <c r="AM83" i="23"/>
  <c r="AD130" i="11"/>
  <c r="AM14" i="23"/>
  <c r="AD44" i="24"/>
  <c r="AH93" i="23"/>
  <c r="AH58" i="23"/>
  <c r="AH64" i="23"/>
  <c r="AM12" i="11"/>
  <c r="AD18" i="11"/>
  <c r="AM108" i="11"/>
  <c r="AM78" i="24"/>
  <c r="AF27" i="24"/>
  <c r="AJ150" i="23"/>
  <c r="AH120" i="23"/>
  <c r="AM30" i="24"/>
  <c r="AH50" i="11"/>
  <c r="AF139" i="23"/>
  <c r="AJ75" i="23"/>
  <c r="AJ92" i="23"/>
  <c r="AH33" i="24"/>
  <c r="AM43" i="24"/>
  <c r="AH147" i="24"/>
  <c r="AH97" i="24"/>
  <c r="AH96" i="24"/>
  <c r="AM143" i="24"/>
  <c r="AD111" i="24"/>
  <c r="AD94" i="24"/>
  <c r="AJ71" i="23"/>
  <c r="AH129" i="23"/>
  <c r="AJ151" i="23"/>
  <c r="AH123" i="23"/>
  <c r="AJ91" i="23"/>
  <c r="AH131" i="23"/>
  <c r="AM106" i="11"/>
  <c r="AD129" i="11"/>
  <c r="AF55" i="23"/>
  <c r="AM85" i="23"/>
  <c r="AF127" i="23"/>
  <c r="AH136" i="11"/>
  <c r="AF10" i="23"/>
  <c r="AF114" i="24"/>
  <c r="AJ65" i="24"/>
  <c r="AJ127" i="24"/>
  <c r="AJ151" i="24"/>
  <c r="AD62" i="11"/>
  <c r="AH62" i="11"/>
  <c r="AJ62" i="11"/>
  <c r="AF21" i="24"/>
  <c r="AM27" i="24"/>
  <c r="AJ26" i="11"/>
  <c r="AM23" i="24"/>
  <c r="AJ35" i="24"/>
  <c r="AD37" i="11"/>
  <c r="AD80" i="11"/>
  <c r="AM29" i="11"/>
  <c r="AH8" i="24"/>
  <c r="AH32" i="23"/>
  <c r="AF54" i="24"/>
  <c r="AH65" i="23"/>
  <c r="AJ148" i="11"/>
  <c r="AD148" i="11"/>
  <c r="AM40" i="24"/>
  <c r="AM120" i="24"/>
  <c r="AD120" i="24"/>
  <c r="AF96" i="24"/>
  <c r="AF136" i="24"/>
  <c r="AM79" i="24"/>
  <c r="AF79" i="24"/>
  <c r="AM150" i="24"/>
  <c r="AJ150" i="24"/>
  <c r="AD27" i="23"/>
  <c r="AH128" i="11"/>
  <c r="AM128" i="11"/>
  <c r="AD128" i="11"/>
  <c r="AH131" i="11"/>
  <c r="AD131" i="11"/>
  <c r="AH106" i="11"/>
  <c r="AM113" i="11"/>
  <c r="AD113" i="11"/>
  <c r="AH127" i="11"/>
  <c r="AD127" i="11"/>
  <c r="AM119" i="23"/>
  <c r="AJ119" i="23"/>
  <c r="AD119" i="23"/>
  <c r="AF119" i="23"/>
  <c r="AM93" i="23"/>
  <c r="AJ93" i="23"/>
  <c r="AF93" i="23"/>
  <c r="AJ80" i="23"/>
  <c r="AD79" i="23"/>
  <c r="AM79" i="23"/>
  <c r="AJ79" i="23"/>
  <c r="AJ146" i="23"/>
  <c r="AJ126" i="23"/>
  <c r="AJ148" i="23"/>
  <c r="AJ122" i="23"/>
  <c r="AM95" i="11"/>
  <c r="AH101" i="24"/>
  <c r="AM104" i="11"/>
  <c r="AF130" i="23"/>
  <c r="P22" i="1"/>
  <c r="AD29" i="11"/>
  <c r="AM7" i="11"/>
  <c r="AM21" i="23"/>
  <c r="AH37" i="11"/>
  <c r="AJ54" i="24"/>
  <c r="AD6" i="11"/>
  <c r="AF12" i="24"/>
  <c r="AD26" i="24"/>
  <c r="AD21" i="23"/>
  <c r="AF20" i="24"/>
  <c r="AF24" i="23"/>
  <c r="AD135" i="24"/>
  <c r="AM116" i="11"/>
  <c r="AJ74" i="11"/>
  <c r="AH74" i="11"/>
  <c r="AM53" i="24"/>
  <c r="AD115" i="24"/>
  <c r="AM115" i="24"/>
  <c r="AF116" i="24"/>
  <c r="AF137" i="11"/>
  <c r="AH40" i="23"/>
  <c r="AD40" i="23"/>
  <c r="AM40" i="23"/>
  <c r="AM26" i="11"/>
  <c r="AM23" i="11"/>
  <c r="AF13" i="11"/>
  <c r="AM6" i="11"/>
  <c r="AJ23" i="11"/>
  <c r="AD22" i="24"/>
  <c r="AM27" i="23"/>
  <c r="AD17" i="24"/>
  <c r="AM26" i="24"/>
  <c r="AM7" i="24"/>
  <c r="AM18" i="23"/>
  <c r="AH10" i="11"/>
  <c r="AJ26" i="24"/>
  <c r="AD39" i="11"/>
  <c r="AD35" i="24"/>
  <c r="AH43" i="24"/>
  <c r="AD43" i="23"/>
  <c r="AD43" i="24"/>
  <c r="AD54" i="24"/>
  <c r="AF76" i="24"/>
  <c r="AF78" i="23"/>
  <c r="AM134" i="24"/>
  <c r="AF124" i="24"/>
  <c r="AD45" i="23"/>
  <c r="AF45" i="23"/>
  <c r="AJ63" i="11"/>
  <c r="AM63" i="11"/>
  <c r="AD66" i="23"/>
  <c r="AM66" i="23"/>
  <c r="AD66" i="11"/>
  <c r="AH66" i="11"/>
  <c r="AJ66" i="11"/>
  <c r="AM66" i="11"/>
  <c r="AM147" i="11"/>
  <c r="AJ28" i="23"/>
  <c r="AM28" i="23"/>
  <c r="AH81" i="23"/>
  <c r="AJ81" i="23"/>
  <c r="AM62" i="23"/>
  <c r="AD62" i="23"/>
  <c r="AJ62" i="23"/>
  <c r="AH62" i="23"/>
  <c r="AJ46" i="24"/>
  <c r="AF46" i="24"/>
  <c r="AM46" i="24"/>
  <c r="AJ41" i="24"/>
  <c r="AD41" i="24"/>
  <c r="AJ153" i="24"/>
  <c r="AD43" i="11"/>
  <c r="AH43" i="11"/>
  <c r="AM43" i="11"/>
  <c r="AH72" i="11"/>
  <c r="AM72" i="11"/>
  <c r="AD72" i="11"/>
  <c r="AD113" i="24"/>
  <c r="AD46" i="24"/>
  <c r="AM62" i="11"/>
  <c r="AF115" i="23"/>
  <c r="AM48" i="23"/>
  <c r="AF48" i="23"/>
  <c r="AF104" i="23"/>
  <c r="AF105" i="23"/>
  <c r="AD101" i="23"/>
  <c r="AM149" i="23"/>
  <c r="AF149" i="23"/>
  <c r="AD149" i="23"/>
  <c r="AF108" i="23"/>
  <c r="AM70" i="23"/>
  <c r="AD70" i="23"/>
  <c r="AF70" i="23"/>
  <c r="AJ115" i="11"/>
  <c r="AH19" i="11"/>
  <c r="AD19" i="11"/>
  <c r="AJ19" i="11"/>
  <c r="AJ105" i="11"/>
  <c r="AH105" i="11"/>
  <c r="AH102" i="11"/>
  <c r="AM102" i="11"/>
  <c r="AJ102" i="11"/>
  <c r="AD102" i="11"/>
  <c r="AJ104" i="11"/>
  <c r="AJ107" i="11"/>
  <c r="AH107" i="11"/>
  <c r="AJ99" i="11"/>
  <c r="AD99" i="11"/>
  <c r="AH99" i="11"/>
  <c r="AM99" i="11"/>
  <c r="AD29" i="24"/>
  <c r="AM29" i="24"/>
  <c r="AD80" i="24"/>
  <c r="AM80" i="24"/>
  <c r="AF80" i="24"/>
  <c r="AD14" i="24"/>
  <c r="AF14" i="24"/>
  <c r="AH20" i="23"/>
  <c r="AH110" i="23"/>
  <c r="AJ104" i="23"/>
  <c r="AH104" i="23"/>
  <c r="AH94" i="23"/>
  <c r="AJ94" i="23"/>
  <c r="AH121" i="23"/>
  <c r="AM121" i="23"/>
  <c r="AD121" i="23"/>
  <c r="AM135" i="11"/>
  <c r="AH135" i="11"/>
  <c r="AD112" i="11"/>
  <c r="AH112" i="11"/>
  <c r="AM112" i="11"/>
  <c r="AJ140" i="23"/>
  <c r="AH140" i="23"/>
  <c r="AM109" i="24"/>
  <c r="AJ109" i="24"/>
  <c r="AM138" i="24"/>
  <c r="AF138" i="24"/>
  <c r="AJ138" i="24"/>
  <c r="AD138" i="24"/>
  <c r="AJ84" i="24"/>
  <c r="AM84" i="24"/>
  <c r="AD84" i="24"/>
  <c r="AF84" i="24"/>
  <c r="AF122" i="24"/>
  <c r="AM122" i="24"/>
  <c r="AJ122" i="24"/>
  <c r="AD78" i="24"/>
  <c r="AF78" i="24"/>
  <c r="AJ106" i="24"/>
  <c r="AD106" i="24"/>
  <c r="AF106" i="24"/>
  <c r="AM23" i="23"/>
  <c r="AJ23" i="23"/>
  <c r="AH118" i="11"/>
  <c r="AM118" i="11"/>
  <c r="AD118" i="11"/>
  <c r="AH103" i="11"/>
  <c r="AD103" i="11"/>
  <c r="AJ49" i="23"/>
  <c r="AJ152" i="23"/>
  <c r="AF155" i="23"/>
  <c r="AF147" i="23"/>
  <c r="AD54" i="23"/>
  <c r="AF54" i="23"/>
  <c r="AJ54" i="23"/>
  <c r="AM54" i="23"/>
  <c r="AD144" i="23"/>
  <c r="AD150" i="23"/>
  <c r="AD24" i="11"/>
  <c r="AM24" i="11"/>
  <c r="AD94" i="11"/>
  <c r="AM94" i="11"/>
  <c r="AD95" i="11"/>
  <c r="AH95" i="11"/>
  <c r="AH153" i="11"/>
  <c r="AJ125" i="11"/>
  <c r="AM125" i="11"/>
  <c r="AD45" i="24"/>
  <c r="AM45" i="24"/>
  <c r="AF128" i="24"/>
  <c r="AD128" i="24"/>
  <c r="AF147" i="24"/>
  <c r="AM147" i="24"/>
  <c r="AH128" i="23"/>
  <c r="AJ115" i="23"/>
  <c r="AH73" i="11"/>
  <c r="AD73" i="11"/>
  <c r="AH75" i="11"/>
  <c r="AM75" i="11"/>
  <c r="AF71" i="24"/>
  <c r="AM71" i="24"/>
  <c r="AJ93" i="24"/>
  <c r="AF93" i="24"/>
  <c r="AD82" i="24"/>
  <c r="AM82" i="24"/>
  <c r="AF82" i="24"/>
  <c r="AJ82" i="24"/>
  <c r="AJ69" i="24"/>
  <c r="AD69" i="24"/>
  <c r="AM69" i="24"/>
  <c r="AF69" i="24"/>
  <c r="AM17" i="11"/>
  <c r="AD17" i="11"/>
  <c r="AH138" i="11"/>
  <c r="AD138" i="11"/>
  <c r="AH100" i="11"/>
  <c r="AD100" i="11"/>
  <c r="AH101" i="11"/>
  <c r="AD101" i="11"/>
  <c r="AM101" i="11"/>
  <c r="AD84" i="23"/>
  <c r="AM84" i="23"/>
  <c r="AF84" i="23"/>
  <c r="AJ86" i="23"/>
  <c r="AM86" i="23"/>
  <c r="AD86" i="23"/>
  <c r="AJ123" i="23"/>
  <c r="AJ116" i="23"/>
  <c r="AF147" i="11"/>
  <c r="AH146" i="24"/>
  <c r="AH115" i="24"/>
  <c r="AJ70" i="23"/>
  <c r="AM25" i="23"/>
  <c r="AH81" i="11"/>
  <c r="AJ95" i="11"/>
  <c r="AM34" i="23"/>
  <c r="AF34" i="23"/>
  <c r="AF117" i="23"/>
  <c r="AD117" i="23"/>
  <c r="AM117" i="23"/>
  <c r="AF81" i="23"/>
  <c r="AD81" i="23"/>
  <c r="AM81" i="23"/>
  <c r="AF50" i="23"/>
  <c r="AM50" i="23"/>
  <c r="AD50" i="23"/>
  <c r="AF65" i="23"/>
  <c r="AM65" i="23"/>
  <c r="AD65" i="23"/>
  <c r="AM122" i="23"/>
  <c r="AF6" i="24"/>
  <c r="AD6" i="24"/>
  <c r="AM55" i="11"/>
  <c r="AH55" i="11"/>
  <c r="AJ55" i="11"/>
  <c r="AH88" i="11"/>
  <c r="AM88" i="11"/>
  <c r="AD88" i="11"/>
  <c r="AM130" i="11"/>
  <c r="AD56" i="24"/>
  <c r="AD77" i="24"/>
  <c r="AM77" i="24"/>
  <c r="AM75" i="24"/>
  <c r="AD75" i="24"/>
  <c r="AF75" i="24"/>
  <c r="AM140" i="24"/>
  <c r="AD140" i="24"/>
  <c r="AF140" i="24"/>
  <c r="AJ12" i="23"/>
  <c r="AH12" i="23"/>
  <c r="AJ145" i="23"/>
  <c r="AH145" i="23"/>
  <c r="AJ135" i="23"/>
  <c r="AH135" i="23"/>
  <c r="AJ109" i="23"/>
  <c r="AH109" i="23"/>
  <c r="AD12" i="11"/>
  <c r="AH12" i="11"/>
  <c r="AM34" i="11"/>
  <c r="AD34" i="11"/>
  <c r="AH34" i="11"/>
  <c r="AH133" i="11"/>
  <c r="AM133" i="11"/>
  <c r="AD133" i="11"/>
  <c r="AM87" i="11"/>
  <c r="AD87" i="11"/>
  <c r="AH87" i="11"/>
  <c r="AD60" i="24"/>
  <c r="AF60" i="24"/>
  <c r="AJ60" i="24"/>
  <c r="AD40" i="24"/>
  <c r="AF40" i="24"/>
  <c r="AJ40" i="24"/>
  <c r="AF48" i="24"/>
  <c r="AJ48" i="24"/>
  <c r="AM48" i="24"/>
  <c r="AD105" i="24"/>
  <c r="AM105" i="24"/>
  <c r="AF105" i="24"/>
  <c r="AJ105" i="24"/>
  <c r="AF144" i="24"/>
  <c r="AM144" i="24"/>
  <c r="AJ144" i="24"/>
  <c r="AD144" i="24"/>
  <c r="AJ110" i="24"/>
  <c r="AF110" i="24"/>
  <c r="AD110" i="24"/>
  <c r="AM110" i="24"/>
  <c r="AD121" i="24"/>
  <c r="AF121" i="24"/>
  <c r="AM90" i="11"/>
  <c r="AD90" i="11"/>
  <c r="AH90" i="11"/>
  <c r="AF82" i="23"/>
  <c r="AD82" i="23"/>
  <c r="AJ82" i="23"/>
  <c r="AM82" i="23"/>
  <c r="AJ64" i="23"/>
  <c r="AJ110" i="23"/>
  <c r="AF112" i="23"/>
  <c r="AJ101" i="23"/>
  <c r="AM126" i="24"/>
  <c r="AD126" i="24"/>
  <c r="AH126" i="24"/>
  <c r="AH118" i="24"/>
  <c r="AM118" i="24"/>
  <c r="AM111" i="11"/>
  <c r="AM105" i="11"/>
  <c r="AD30" i="24"/>
  <c r="AF10" i="24"/>
  <c r="AD25" i="24"/>
  <c r="AM7" i="23"/>
  <c r="AM29" i="23"/>
  <c r="AM20" i="23"/>
  <c r="AH26" i="11"/>
  <c r="AH23" i="24"/>
  <c r="AM12" i="23"/>
  <c r="AD30" i="23"/>
  <c r="AH17" i="11"/>
  <c r="AJ14" i="23"/>
  <c r="AM33" i="23"/>
  <c r="AF45" i="24"/>
  <c r="AH52" i="11"/>
  <c r="AD50" i="24"/>
  <c r="AF83" i="23"/>
  <c r="AJ71" i="24"/>
  <c r="AM62" i="24"/>
  <c r="AM103" i="11"/>
  <c r="AM130" i="24"/>
  <c r="AM146" i="24"/>
  <c r="AH144" i="24"/>
  <c r="AJ108" i="24"/>
  <c r="AH51" i="23"/>
  <c r="AJ51" i="23"/>
  <c r="AF88" i="23"/>
  <c r="AM88" i="23"/>
  <c r="AD88" i="23"/>
  <c r="AJ34" i="24"/>
  <c r="AD34" i="24"/>
  <c r="AF34" i="24"/>
  <c r="AD49" i="23"/>
  <c r="AM49" i="23"/>
  <c r="AF49" i="23"/>
  <c r="AF35" i="23"/>
  <c r="AD35" i="23"/>
  <c r="AM126" i="23"/>
  <c r="AH7" i="11"/>
  <c r="AD7" i="11"/>
  <c r="AJ20" i="11"/>
  <c r="AD20" i="11"/>
  <c r="AM32" i="24"/>
  <c r="AF32" i="24"/>
  <c r="AM139" i="24"/>
  <c r="AF139" i="24"/>
  <c r="AD139" i="24"/>
  <c r="AH136" i="23"/>
  <c r="AH53" i="11"/>
  <c r="AM53" i="11"/>
  <c r="AF33" i="24"/>
  <c r="AD33" i="24"/>
  <c r="AF11" i="24"/>
  <c r="AD11" i="24"/>
  <c r="AM11" i="24"/>
  <c r="AD124" i="24"/>
  <c r="AJ124" i="24"/>
  <c r="AM124" i="24"/>
  <c r="AJ141" i="24"/>
  <c r="AD42" i="11"/>
  <c r="AM42" i="11"/>
  <c r="AJ59" i="23"/>
  <c r="AM59" i="23"/>
  <c r="AJ137" i="23"/>
  <c r="AJ72" i="23"/>
  <c r="AF72" i="23"/>
  <c r="AJ45" i="23"/>
  <c r="AH45" i="23"/>
  <c r="AH150" i="24"/>
  <c r="AH145" i="24"/>
  <c r="AH121" i="24"/>
  <c r="AH105" i="24"/>
  <c r="AH154" i="24"/>
  <c r="AD28" i="23"/>
  <c r="AD25" i="11"/>
  <c r="AH25" i="11"/>
  <c r="AJ33" i="24"/>
  <c r="AF86" i="23"/>
  <c r="AM97" i="11"/>
  <c r="AJ109" i="11"/>
  <c r="AD124" i="23"/>
  <c r="AF124" i="23"/>
  <c r="AD142" i="23"/>
  <c r="AF142" i="23"/>
  <c r="AF71" i="23"/>
  <c r="AD71" i="23"/>
  <c r="AM110" i="23"/>
  <c r="AM83" i="11"/>
  <c r="AJ83" i="11"/>
  <c r="AD83" i="11"/>
  <c r="AH111" i="11"/>
  <c r="AJ111" i="11"/>
  <c r="AJ133" i="23"/>
  <c r="AJ113" i="23"/>
  <c r="AD20" i="23"/>
  <c r="AM81" i="11"/>
  <c r="AD8" i="11"/>
  <c r="AM21" i="11"/>
  <c r="AM10" i="11"/>
  <c r="AJ24" i="11"/>
  <c r="AM16" i="24"/>
  <c r="AF16" i="23"/>
  <c r="AH21" i="11"/>
  <c r="AM19" i="11"/>
  <c r="AH25" i="23"/>
  <c r="AF12" i="23"/>
  <c r="AD31" i="23"/>
  <c r="AD25" i="23"/>
  <c r="AJ29" i="23"/>
  <c r="AF44" i="24"/>
  <c r="AD34" i="23"/>
  <c r="AH39" i="11"/>
  <c r="AJ43" i="11"/>
  <c r="AM33" i="24"/>
  <c r="AM45" i="23"/>
  <c r="AD54" i="11"/>
  <c r="AM56" i="24"/>
  <c r="AD55" i="11"/>
  <c r="AD59" i="23"/>
  <c r="AM80" i="11"/>
  <c r="AD87" i="24"/>
  <c r="AD62" i="24"/>
  <c r="AF67" i="23"/>
  <c r="AM6" i="24"/>
  <c r="AJ130" i="11"/>
  <c r="AD122" i="24"/>
  <c r="AF19" i="24"/>
  <c r="AM21" i="24"/>
  <c r="AD16" i="24"/>
  <c r="AD23" i="23"/>
  <c r="AD24" i="23"/>
  <c r="AJ20" i="24"/>
  <c r="AD31" i="11"/>
  <c r="AM31" i="23"/>
  <c r="AH20" i="11"/>
  <c r="AJ15" i="23"/>
  <c r="AM36" i="11"/>
  <c r="AM41" i="24"/>
  <c r="AD48" i="24"/>
  <c r="AF56" i="24"/>
  <c r="AM87" i="24"/>
  <c r="AF66" i="23"/>
  <c r="AH84" i="11"/>
  <c r="AM76" i="11"/>
  <c r="AD93" i="23"/>
  <c r="AM109" i="11"/>
  <c r="AM144" i="11"/>
  <c r="AD155" i="11"/>
  <c r="AD106" i="11"/>
  <c r="AD108" i="11"/>
  <c r="AJ121" i="23"/>
  <c r="AH113" i="24"/>
  <c r="AF123" i="23"/>
  <c r="AH141" i="24"/>
  <c r="AM100" i="24"/>
  <c r="AD100" i="24"/>
  <c r="AD148" i="24"/>
  <c r="AH153" i="24"/>
  <c r="AH151" i="24"/>
  <c r="AF109" i="23"/>
  <c r="AF153" i="23"/>
  <c r="AM153" i="23"/>
  <c r="AD153" i="23"/>
  <c r="AM129" i="23"/>
  <c r="AD129" i="23"/>
  <c r="AD123" i="23"/>
  <c r="AD128" i="23"/>
  <c r="AD104" i="23"/>
  <c r="AJ113" i="24"/>
  <c r="AH108" i="11"/>
  <c r="AH113" i="11"/>
  <c r="AD117" i="24"/>
  <c r="AD69" i="11"/>
  <c r="AM85" i="11"/>
  <c r="AM84" i="11"/>
  <c r="AM127" i="11"/>
  <c r="AH124" i="24"/>
  <c r="AH119" i="23"/>
  <c r="AM129" i="11"/>
  <c r="AD132" i="11"/>
  <c r="AM139" i="11"/>
  <c r="AD107" i="11"/>
  <c r="AD129" i="24"/>
  <c r="AH138" i="24"/>
  <c r="AH125" i="23"/>
  <c r="AM123" i="23"/>
  <c r="AD141" i="23"/>
  <c r="AF129" i="23"/>
  <c r="AM104" i="23"/>
  <c r="AM89" i="24"/>
  <c r="AM94" i="24"/>
  <c r="AD104" i="11"/>
  <c r="AF127" i="11"/>
  <c r="AM113" i="24"/>
  <c r="AH111" i="24"/>
  <c r="AH102" i="23"/>
  <c r="AH138" i="23"/>
  <c r="AD143" i="11"/>
  <c r="AF129" i="11"/>
  <c r="AF139" i="11"/>
  <c r="AD105" i="11"/>
  <c r="AM129" i="24"/>
  <c r="AH143" i="24"/>
  <c r="AH146" i="23"/>
  <c r="AH143" i="11"/>
  <c r="AF111" i="23"/>
  <c r="AF141" i="11"/>
  <c r="AM131" i="11"/>
  <c r="AH127" i="24"/>
  <c r="AH120" i="24"/>
  <c r="AH141" i="23"/>
  <c r="AF119" i="11"/>
  <c r="AM132" i="11"/>
  <c r="AF134" i="11"/>
  <c r="AH129" i="24"/>
  <c r="AJ149" i="23"/>
  <c r="AM109" i="23"/>
  <c r="AJ102" i="23"/>
  <c r="AD118" i="24"/>
  <c r="AH148" i="24"/>
  <c r="AH149" i="23"/>
  <c r="AF128" i="23"/>
  <c r="AF152" i="24"/>
  <c r="AH129" i="11"/>
  <c r="AJ103" i="23"/>
  <c r="AD90" i="23"/>
  <c r="AF32" i="23"/>
  <c r="AH30" i="11"/>
  <c r="AM75" i="23"/>
  <c r="AF41" i="23"/>
  <c r="AM120" i="23"/>
  <c r="AD26" i="23"/>
  <c r="AD13" i="23"/>
  <c r="AD89" i="23"/>
  <c r="AM102" i="23"/>
  <c r="AM96" i="23"/>
  <c r="AM63" i="23"/>
  <c r="AF137" i="23"/>
  <c r="AM57" i="24"/>
  <c r="AF8" i="23"/>
  <c r="AM17" i="23"/>
  <c r="AF138" i="23"/>
  <c r="AD61" i="23"/>
  <c r="AF37" i="23"/>
  <c r="AM42" i="23"/>
  <c r="AF15" i="23"/>
  <c r="AM114" i="23"/>
  <c r="AM94" i="23"/>
  <c r="AD69" i="23"/>
  <c r="AF131" i="23"/>
  <c r="AM98" i="23"/>
  <c r="AD50" i="11"/>
  <c r="AH31" i="11"/>
  <c r="AD142" i="11"/>
  <c r="AM124" i="11"/>
  <c r="AM123" i="11"/>
  <c r="AH114" i="11"/>
  <c r="AD85" i="24"/>
  <c r="AD42" i="24"/>
  <c r="AM66" i="24"/>
  <c r="AM91" i="24"/>
  <c r="AM102" i="24"/>
  <c r="AD145" i="24"/>
  <c r="AD141" i="24"/>
  <c r="AD89" i="24"/>
  <c r="AD22" i="11"/>
  <c r="AH36" i="23"/>
  <c r="AJ78" i="23"/>
  <c r="AH37" i="23"/>
  <c r="AH26" i="23"/>
  <c r="AJ112" i="23"/>
  <c r="AJ83" i="23"/>
  <c r="AJ120" i="23"/>
  <c r="AH95" i="23"/>
  <c r="AH130" i="23"/>
  <c r="AH61" i="11"/>
  <c r="AF6" i="23"/>
  <c r="AD33" i="11"/>
  <c r="AM154" i="11"/>
  <c r="AH46" i="11"/>
  <c r="AM28" i="11"/>
  <c r="AM32" i="11"/>
  <c r="AD11" i="11"/>
  <c r="AD89" i="11"/>
  <c r="AH82" i="11"/>
  <c r="AH98" i="11"/>
  <c r="AD92" i="11"/>
  <c r="AH120" i="11"/>
  <c r="AH57" i="11"/>
  <c r="AM37" i="24"/>
  <c r="AF72" i="24"/>
  <c r="AD67" i="24"/>
  <c r="AM95" i="24"/>
  <c r="AD38" i="24"/>
  <c r="AF61" i="24"/>
  <c r="AF70" i="24"/>
  <c r="AM64" i="24"/>
  <c r="AD46" i="23"/>
  <c r="AD16" i="23"/>
  <c r="AD56" i="23"/>
  <c r="AD80" i="23"/>
  <c r="AF53" i="23"/>
  <c r="AD16" i="11"/>
  <c r="AD30" i="11"/>
  <c r="AF31" i="24"/>
  <c r="AD8" i="23"/>
  <c r="AM15" i="23"/>
  <c r="AM31" i="11"/>
  <c r="AD28" i="24"/>
  <c r="AM26" i="23"/>
  <c r="AM6" i="23"/>
  <c r="AJ16" i="23"/>
  <c r="AF42" i="24"/>
  <c r="AJ37" i="23"/>
  <c r="AM33" i="11"/>
  <c r="AF46" i="23"/>
  <c r="AD36" i="23"/>
  <c r="AH33" i="11"/>
  <c r="AJ38" i="24"/>
  <c r="AM55" i="23"/>
  <c r="AM48" i="11"/>
  <c r="AD51" i="24"/>
  <c r="AD55" i="24"/>
  <c r="AF57" i="24"/>
  <c r="AD66" i="24"/>
  <c r="AF89" i="24"/>
  <c r="AF89" i="23"/>
  <c r="AD78" i="23"/>
  <c r="AM61" i="11"/>
  <c r="AM82" i="11"/>
  <c r="AM73" i="11"/>
  <c r="AM61" i="24"/>
  <c r="AM90" i="23"/>
  <c r="AD63" i="23"/>
  <c r="AH92" i="11"/>
  <c r="AM123" i="24"/>
  <c r="AD125" i="24"/>
  <c r="AM151" i="24"/>
  <c r="AF127" i="24"/>
  <c r="AJ31" i="11"/>
  <c r="AM30" i="11"/>
  <c r="AM8" i="23"/>
  <c r="AH16" i="11"/>
  <c r="AM11" i="11"/>
  <c r="AM28" i="24"/>
  <c r="AD17" i="23"/>
  <c r="AH11" i="11"/>
  <c r="AJ37" i="24"/>
  <c r="AF37" i="24"/>
  <c r="AD32" i="23"/>
  <c r="AH40" i="11"/>
  <c r="AF51" i="24"/>
  <c r="AF66" i="24"/>
  <c r="AD75" i="23"/>
  <c r="AD61" i="24"/>
  <c r="AJ93" i="11"/>
  <c r="AJ142" i="11"/>
  <c r="AD154" i="24"/>
  <c r="AF123" i="24"/>
  <c r="AM133" i="24"/>
  <c r="AH112" i="23"/>
  <c r="AD120" i="11"/>
  <c r="AD146" i="11"/>
  <c r="AD127" i="24"/>
  <c r="AH54" i="11"/>
  <c r="AF17" i="23"/>
  <c r="AH56" i="23"/>
  <c r="AM53" i="23"/>
  <c r="AJ50" i="11"/>
  <c r="AH83" i="23"/>
  <c r="AF75" i="23"/>
  <c r="AJ61" i="24"/>
  <c r="AF65" i="24"/>
  <c r="AD85" i="23"/>
  <c r="AM61" i="23"/>
  <c r="AH89" i="11"/>
  <c r="AJ64" i="24"/>
  <c r="AM93" i="11"/>
  <c r="AF95" i="24"/>
  <c r="AJ95" i="24"/>
  <c r="AD137" i="11"/>
  <c r="AJ124" i="11"/>
  <c r="AM154" i="24"/>
  <c r="AF133" i="24"/>
  <c r="AJ137" i="11"/>
  <c r="AD99" i="24"/>
  <c r="AM16" i="11"/>
  <c r="AF28" i="24"/>
  <c r="AD10" i="23"/>
  <c r="AH28" i="11"/>
  <c r="AD48" i="11"/>
  <c r="AF13" i="23"/>
  <c r="AD35" i="11"/>
  <c r="AD40" i="11"/>
  <c r="AD37" i="24"/>
  <c r="AF38" i="24"/>
  <c r="AM32" i="23"/>
  <c r="AM50" i="11"/>
  <c r="AJ56" i="23"/>
  <c r="AM67" i="24"/>
  <c r="AF85" i="24"/>
  <c r="AD70" i="24"/>
  <c r="AM65" i="24"/>
  <c r="AF85" i="23"/>
  <c r="AF61" i="23"/>
  <c r="AD95" i="24"/>
  <c r="AM92" i="11"/>
  <c r="AD154" i="11"/>
  <c r="AM98" i="11"/>
  <c r="AJ123" i="11"/>
  <c r="AF141" i="24"/>
  <c r="AD123" i="24"/>
  <c r="AM146" i="11"/>
  <c r="AM127" i="24"/>
  <c r="AH143" i="23"/>
  <c r="AM37" i="23"/>
  <c r="AH35" i="11"/>
  <c r="AD46" i="11"/>
  <c r="AD42" i="23"/>
  <c r="AD28" i="11"/>
  <c r="AM10" i="23"/>
  <c r="AM13" i="23"/>
  <c r="AD37" i="23"/>
  <c r="AM41" i="23"/>
  <c r="AH32" i="11"/>
  <c r="AM46" i="11"/>
  <c r="AM40" i="11"/>
  <c r="AM38" i="24"/>
  <c r="AF42" i="23"/>
  <c r="AD58" i="11"/>
  <c r="AM89" i="11"/>
  <c r="AF67" i="24"/>
  <c r="AM70" i="24"/>
  <c r="AH78" i="23"/>
  <c r="AH80" i="23"/>
  <c r="AD77" i="11"/>
  <c r="AD65" i="24"/>
  <c r="AF69" i="23"/>
  <c r="AH77" i="11"/>
  <c r="AD93" i="11"/>
  <c r="AF91" i="24"/>
  <c r="AF94" i="23"/>
  <c r="AJ95" i="23"/>
  <c r="AD136" i="11"/>
  <c r="AM137" i="11"/>
  <c r="AD124" i="11"/>
  <c r="AF151" i="24"/>
  <c r="AM36" i="23"/>
  <c r="AM22" i="11"/>
  <c r="AH22" i="11"/>
  <c r="AD41" i="23"/>
  <c r="AM58" i="11"/>
  <c r="AH58" i="11"/>
  <c r="AD83" i="23"/>
  <c r="AM80" i="23"/>
  <c r="AJ72" i="24"/>
  <c r="AM77" i="11"/>
  <c r="AD64" i="24"/>
  <c r="AM72" i="24"/>
  <c r="AM69" i="23"/>
  <c r="AD91" i="24"/>
  <c r="AD94" i="23"/>
  <c r="AD98" i="11"/>
  <c r="AM141" i="24"/>
  <c r="AH154" i="23"/>
  <c r="AM125" i="24"/>
  <c r="AD151" i="24"/>
  <c r="AM31" i="24"/>
  <c r="AH16" i="23"/>
  <c r="AM136" i="11"/>
  <c r="AF137" i="24"/>
  <c r="AM120" i="11"/>
  <c r="AF125" i="24"/>
  <c r="AF153" i="24"/>
  <c r="AM137" i="23"/>
  <c r="AD137" i="23"/>
  <c r="AM153" i="24"/>
  <c r="AM145" i="24"/>
  <c r="AD153" i="24"/>
  <c r="AM130" i="23"/>
  <c r="AH142" i="11"/>
  <c r="AD143" i="23"/>
  <c r="AM140" i="23"/>
  <c r="AM71" i="23"/>
  <c r="AF126" i="23"/>
  <c r="AD114" i="11"/>
  <c r="AJ136" i="11"/>
  <c r="AD114" i="24"/>
  <c r="AF98" i="23"/>
  <c r="AJ139" i="23"/>
  <c r="AM142" i="11"/>
  <c r="AF146" i="23"/>
  <c r="AM114" i="11"/>
  <c r="AJ114" i="11"/>
  <c r="AF102" i="24"/>
  <c r="AD98" i="23"/>
  <c r="AM143" i="23"/>
  <c r="AH137" i="11"/>
  <c r="AJ130" i="23"/>
  <c r="AM146" i="23"/>
  <c r="AD131" i="23"/>
  <c r="AD112" i="23"/>
  <c r="AD146" i="23"/>
  <c r="AM131" i="23"/>
  <c r="AH146" i="11"/>
  <c r="AJ125" i="24"/>
  <c r="AJ154" i="24"/>
  <c r="AM35" i="11"/>
  <c r="AF47" i="23"/>
  <c r="AM34" i="24"/>
  <c r="AM72" i="23"/>
  <c r="AH48" i="11"/>
  <c r="AH63" i="11"/>
  <c r="AM50" i="24"/>
  <c r="AM112" i="23"/>
  <c r="AD111" i="23"/>
  <c r="AD120" i="23"/>
  <c r="AF140" i="23"/>
  <c r="AJ111" i="23"/>
  <c r="AD138" i="23"/>
  <c r="AF63" i="23"/>
  <c r="AM95" i="23"/>
  <c r="AF110" i="23"/>
  <c r="AM134" i="23"/>
  <c r="AD102" i="23"/>
  <c r="AD137" i="24"/>
  <c r="AM127" i="23"/>
  <c r="AH124" i="11"/>
  <c r="AH97" i="11"/>
  <c r="AH130" i="11"/>
  <c r="AD98" i="24"/>
  <c r="AD119" i="11"/>
  <c r="AD102" i="24"/>
  <c r="AM114" i="24"/>
  <c r="AF145" i="24"/>
  <c r="AD130" i="23"/>
  <c r="AF96" i="23"/>
  <c r="AD139" i="23"/>
  <c r="AF141" i="23"/>
  <c r="AM111" i="23"/>
  <c r="AD140" i="23"/>
  <c r="AH119" i="11"/>
  <c r="AH111" i="23"/>
  <c r="AM138" i="23"/>
  <c r="AD96" i="23"/>
  <c r="AM139" i="23"/>
  <c r="AM141" i="23"/>
  <c r="AF120" i="23"/>
  <c r="AM119" i="11"/>
  <c r="AM97" i="23"/>
  <c r="AF97" i="23"/>
  <c r="AD97" i="23"/>
  <c r="AF76" i="23"/>
  <c r="AD76" i="23"/>
  <c r="AF92" i="23"/>
  <c r="AD92" i="23"/>
  <c r="AD154" i="23"/>
  <c r="AF154" i="23"/>
  <c r="AM154" i="23"/>
  <c r="AF73" i="23"/>
  <c r="AM73" i="23"/>
  <c r="AM135" i="23"/>
  <c r="AD135" i="23"/>
  <c r="AD99" i="23"/>
  <c r="AF99" i="23"/>
  <c r="AM99" i="23"/>
  <c r="AM91" i="23"/>
  <c r="AF91" i="23"/>
  <c r="AF118" i="23"/>
  <c r="AD118" i="23"/>
  <c r="AF114" i="23"/>
  <c r="AD114" i="23"/>
  <c r="AD103" i="23"/>
  <c r="AM103" i="23"/>
  <c r="AD148" i="23"/>
  <c r="AM148" i="23"/>
  <c r="AF148" i="23"/>
  <c r="AD132" i="23"/>
  <c r="AF132" i="23"/>
  <c r="AM20" i="24"/>
  <c r="AD20" i="24"/>
  <c r="AM56" i="23"/>
  <c r="AF56" i="23"/>
  <c r="AF44" i="23"/>
  <c r="AD44" i="23"/>
  <c r="AF125" i="23"/>
  <c r="AF58" i="23"/>
  <c r="AD58" i="23"/>
  <c r="AM58" i="23"/>
  <c r="AD74" i="23"/>
  <c r="AF74" i="23"/>
  <c r="AM145" i="23"/>
  <c r="AF145" i="23"/>
  <c r="AD145" i="23"/>
  <c r="AF106" i="23"/>
  <c r="AM106" i="23"/>
  <c r="AD106" i="23"/>
  <c r="AM151" i="23"/>
  <c r="AF151" i="23"/>
  <c r="AD151" i="23"/>
  <c r="AF64" i="23"/>
  <c r="AM64" i="23"/>
  <c r="AF77" i="23"/>
  <c r="AD77" i="23"/>
  <c r="AM113" i="23"/>
  <c r="AD113" i="23"/>
  <c r="AM136" i="23"/>
  <c r="AF136" i="23"/>
  <c r="AM152" i="23"/>
  <c r="AD152" i="23"/>
  <c r="AF152" i="23"/>
  <c r="AM135" i="24"/>
  <c r="AF135" i="24"/>
  <c r="AH71" i="11"/>
  <c r="AM71" i="11"/>
  <c r="AJ71" i="11"/>
  <c r="AH59" i="11"/>
  <c r="AD59" i="11"/>
  <c r="AM59" i="11"/>
  <c r="AJ57" i="11"/>
  <c r="AM57" i="11"/>
  <c r="AD57" i="11"/>
  <c r="AH91" i="11"/>
  <c r="AM91" i="11"/>
  <c r="AJ91" i="11"/>
  <c r="AJ65" i="11"/>
  <c r="AM65" i="11"/>
  <c r="AH65" i="11"/>
  <c r="AJ68" i="11"/>
  <c r="AM68" i="11"/>
  <c r="AD68" i="11"/>
  <c r="AH68" i="11"/>
  <c r="AD86" i="11"/>
  <c r="AJ86" i="11"/>
  <c r="AH154" i="11"/>
  <c r="AJ154" i="11"/>
  <c r="AH116" i="11"/>
  <c r="AD116" i="11"/>
  <c r="AJ116" i="11"/>
  <c r="AM110" i="11"/>
  <c r="AD110" i="11"/>
  <c r="AJ110" i="11"/>
  <c r="AM74" i="11"/>
  <c r="AD74" i="11"/>
  <c r="AH144" i="11"/>
  <c r="AD144" i="11"/>
  <c r="AD134" i="11"/>
  <c r="AM134" i="11"/>
  <c r="AH148" i="11"/>
  <c r="AM148" i="11"/>
  <c r="AM79" i="11"/>
  <c r="AH79" i="11"/>
  <c r="AD79" i="11"/>
  <c r="AD93" i="24"/>
  <c r="AM93" i="24"/>
  <c r="AD24" i="24"/>
  <c r="AM24" i="24"/>
  <c r="AF120" i="24"/>
  <c r="AM59" i="24"/>
  <c r="AF59" i="24"/>
  <c r="AF99" i="24"/>
  <c r="AM99" i="24"/>
  <c r="AM88" i="24"/>
  <c r="AF88" i="24"/>
  <c r="AD88" i="24"/>
  <c r="AD81" i="24"/>
  <c r="AM81" i="24"/>
  <c r="AF149" i="24"/>
  <c r="AD149" i="24"/>
  <c r="AD136" i="24"/>
  <c r="AM136" i="24"/>
  <c r="AM101" i="24"/>
  <c r="AD108" i="24"/>
  <c r="AF108" i="24"/>
  <c r="AD112" i="24"/>
  <c r="AM112" i="24"/>
  <c r="AF112" i="24"/>
  <c r="AJ57" i="23"/>
  <c r="AH57" i="23"/>
  <c r="AM57" i="23"/>
  <c r="AH132" i="23"/>
  <c r="AJ89" i="23"/>
  <c r="AM89" i="23"/>
  <c r="AH89" i="23"/>
  <c r="AM108" i="23"/>
  <c r="AJ108" i="23"/>
  <c r="AD108" i="23"/>
  <c r="AD53" i="23"/>
  <c r="AJ53" i="23"/>
  <c r="AM105" i="23"/>
  <c r="AH105" i="23"/>
  <c r="AJ105" i="23"/>
  <c r="AD105" i="23"/>
  <c r="AJ67" i="23"/>
  <c r="AM67" i="23"/>
  <c r="AH67" i="23"/>
  <c r="AJ106" i="23"/>
  <c r="AH106" i="23"/>
  <c r="AJ155" i="23"/>
  <c r="AD155" i="23"/>
  <c r="AH155" i="23"/>
  <c r="AJ68" i="23"/>
  <c r="AM68" i="23"/>
  <c r="AH68" i="23"/>
  <c r="AH114" i="23"/>
  <c r="AH147" i="23"/>
  <c r="AJ147" i="23"/>
  <c r="AM147" i="23"/>
  <c r="AD147" i="23"/>
  <c r="AD51" i="23"/>
  <c r="AM51" i="23"/>
  <c r="AF51" i="23"/>
  <c r="AH109" i="11"/>
  <c r="AD109" i="11"/>
  <c r="AD85" i="11"/>
  <c r="AH85" i="11"/>
  <c r="AH47" i="11"/>
  <c r="AD47" i="11"/>
  <c r="AH44" i="11"/>
  <c r="AM44" i="11"/>
  <c r="AD44" i="11"/>
  <c r="AH70" i="11"/>
  <c r="AD70" i="11"/>
  <c r="AH140" i="11"/>
  <c r="AD140" i="11"/>
  <c r="AH104" i="11"/>
  <c r="AD121" i="11"/>
  <c r="AH121" i="11"/>
  <c r="AM121" i="11"/>
  <c r="AD123" i="11"/>
  <c r="AH123" i="11"/>
  <c r="AH145" i="11"/>
  <c r="AM145" i="11"/>
  <c r="AD145" i="11"/>
  <c r="AF53" i="24"/>
  <c r="AD53" i="24"/>
  <c r="AJ53" i="24"/>
  <c r="AF155" i="24"/>
  <c r="AJ155" i="24"/>
  <c r="AD155" i="24"/>
  <c r="AJ97" i="24"/>
  <c r="AD97" i="24"/>
  <c r="AF97" i="24"/>
  <c r="AM97" i="24"/>
  <c r="AM83" i="24"/>
  <c r="AJ83" i="24"/>
  <c r="AF83" i="24"/>
  <c r="AD83" i="24"/>
  <c r="AF150" i="24"/>
  <c r="AD150" i="24"/>
  <c r="AF115" i="24"/>
  <c r="AM116" i="24"/>
  <c r="AD116" i="24"/>
  <c r="AJ85" i="24"/>
  <c r="AM85" i="24"/>
  <c r="AJ130" i="24"/>
  <c r="AF130" i="24"/>
  <c r="AD130" i="24"/>
  <c r="AF134" i="24"/>
  <c r="AD134" i="24"/>
  <c r="AJ134" i="24"/>
  <c r="AM90" i="24"/>
  <c r="AF90" i="24"/>
  <c r="AD96" i="24"/>
  <c r="AJ116" i="24"/>
  <c r="AD136" i="23"/>
  <c r="AH134" i="11"/>
  <c r="AM149" i="24"/>
  <c r="AM155" i="23"/>
  <c r="AM125" i="23"/>
  <c r="AF103" i="23"/>
  <c r="AH110" i="11"/>
  <c r="AD125" i="23"/>
  <c r="AD73" i="23"/>
  <c r="AM92" i="23"/>
  <c r="AJ144" i="11"/>
  <c r="AM108" i="24"/>
  <c r="AF135" i="23"/>
  <c r="AD64" i="23"/>
  <c r="AJ115" i="24"/>
  <c r="AF113" i="23"/>
  <c r="AM132" i="23"/>
  <c r="AJ114" i="23"/>
  <c r="AD63" i="11"/>
  <c r="AJ94" i="11"/>
  <c r="AH94" i="11"/>
  <c r="AM141" i="11"/>
  <c r="AD147" i="24"/>
  <c r="AD125" i="11"/>
  <c r="AD115" i="11"/>
  <c r="AJ155" i="11"/>
  <c r="AH115" i="23"/>
  <c r="AF134" i="23"/>
  <c r="AM133" i="23"/>
  <c r="AM142" i="23"/>
  <c r="AF102" i="23"/>
  <c r="AH141" i="11"/>
  <c r="AJ128" i="23"/>
  <c r="AD116" i="23"/>
  <c r="AM107" i="23"/>
  <c r="AH125" i="11"/>
  <c r="AH147" i="11"/>
  <c r="AJ98" i="24"/>
  <c r="AJ122" i="11"/>
  <c r="AM152" i="11"/>
  <c r="AD151" i="11"/>
  <c r="AM115" i="11"/>
  <c r="AM128" i="24"/>
  <c r="AF109" i="24"/>
  <c r="AD133" i="23"/>
  <c r="AH115" i="11"/>
  <c r="AF107" i="23"/>
  <c r="AD122" i="23"/>
  <c r="AD115" i="23"/>
  <c r="AF144" i="23"/>
  <c r="AD95" i="23"/>
  <c r="AM137" i="24"/>
  <c r="AM153" i="11"/>
  <c r="AD147" i="11"/>
  <c r="AD109" i="24"/>
  <c r="AJ127" i="23"/>
  <c r="AF122" i="23"/>
  <c r="AM115" i="23"/>
  <c r="AM124" i="23"/>
  <c r="AM144" i="23"/>
  <c r="AH122" i="11"/>
  <c r="AH152" i="11"/>
  <c r="AD122" i="11"/>
  <c r="AJ147" i="11"/>
  <c r="AH113" i="23"/>
  <c r="AD111" i="11"/>
  <c r="AM151" i="11"/>
  <c r="AM98" i="24"/>
  <c r="AH127" i="23"/>
  <c r="AH97" i="23"/>
  <c r="AD100" i="23"/>
  <c r="AF116" i="23"/>
  <c r="AM128" i="23"/>
  <c r="AM150" i="23"/>
  <c r="AJ153" i="11"/>
  <c r="AM100" i="23"/>
  <c r="AD134" i="23"/>
  <c r="AH155" i="11"/>
  <c r="AJ136" i="23"/>
  <c r="AD126" i="23"/>
  <c r="AD110" i="23"/>
  <c r="AF150" i="23"/>
  <c r="AD127" i="23"/>
  <c r="AH151" i="11"/>
  <c r="AD141" i="11"/>
  <c r="AM155" i="11"/>
  <c r="AD153" i="11"/>
  <c r="Q22" i="1"/>
  <c r="P11" i="15"/>
  <c r="O22" i="1"/>
  <c r="R199" i="21"/>
  <c r="R201" i="21"/>
  <c r="R205" i="21"/>
  <c r="N199" i="21"/>
  <c r="P203" i="21"/>
  <c r="P204" i="21"/>
  <c r="P200" i="21"/>
  <c r="R197" i="21"/>
  <c r="P205" i="21"/>
  <c r="N205" i="21"/>
  <c r="P201" i="21"/>
  <c r="N201" i="21"/>
  <c r="N203" i="21"/>
  <c r="R203" i="21"/>
  <c r="P197" i="21"/>
  <c r="N197" i="21"/>
  <c r="N200" i="21"/>
  <c r="R200" i="21"/>
  <c r="N204" i="21"/>
  <c r="R204" i="21"/>
  <c r="N195" i="21"/>
  <c r="R195" i="21"/>
  <c r="L205" i="21"/>
  <c r="L201" i="21"/>
  <c r="L203" i="21"/>
  <c r="L197" i="21"/>
  <c r="L200" i="21"/>
  <c r="L204" i="21"/>
  <c r="L195" i="21"/>
  <c r="P202" i="21"/>
  <c r="N202" i="21"/>
  <c r="R202" i="21"/>
  <c r="L202" i="21"/>
  <c r="R196" i="21"/>
  <c r="P196" i="21"/>
  <c r="N196" i="21"/>
  <c r="L196" i="21"/>
  <c r="P198" i="21"/>
  <c r="N198" i="21"/>
  <c r="R198" i="21"/>
  <c r="L198" i="21"/>
  <c r="AC170" i="11"/>
  <c r="E169" i="21" s="1"/>
  <c r="N176" i="21"/>
  <c r="P176" i="21"/>
  <c r="R176" i="21"/>
  <c r="L176" i="21"/>
  <c r="N180" i="21"/>
  <c r="P180" i="21"/>
  <c r="R180" i="21"/>
  <c r="L180" i="21"/>
  <c r="N184" i="21"/>
  <c r="P184" i="21"/>
  <c r="R184" i="21"/>
  <c r="L184" i="21"/>
  <c r="N187" i="21"/>
  <c r="P187" i="21"/>
  <c r="R187" i="21"/>
  <c r="L187" i="21"/>
  <c r="N191" i="21"/>
  <c r="P191" i="21"/>
  <c r="R191" i="21"/>
  <c r="L191" i="21"/>
  <c r="AI175" i="11"/>
  <c r="AK175" i="23"/>
  <c r="AK175" i="24"/>
  <c r="P129" i="21"/>
  <c r="R129" i="21"/>
  <c r="AE172" i="11"/>
  <c r="AK172" i="23"/>
  <c r="AK172" i="24"/>
  <c r="N147" i="21"/>
  <c r="P147" i="21"/>
  <c r="R147" i="21"/>
  <c r="L147" i="21"/>
  <c r="R158" i="21"/>
  <c r="N158" i="21"/>
  <c r="P158" i="21"/>
  <c r="L158" i="21"/>
  <c r="AK174" i="24"/>
  <c r="AK174" i="23"/>
  <c r="P130" i="21"/>
  <c r="R130" i="21"/>
  <c r="N175" i="21"/>
  <c r="P175" i="21"/>
  <c r="R175" i="21"/>
  <c r="L175" i="21"/>
  <c r="N179" i="21"/>
  <c r="P179" i="21"/>
  <c r="R179" i="21"/>
  <c r="L179" i="21"/>
  <c r="N183" i="21"/>
  <c r="P183" i="21"/>
  <c r="R183" i="21"/>
  <c r="L183" i="21"/>
  <c r="R190" i="21"/>
  <c r="N190" i="21"/>
  <c r="P190" i="21"/>
  <c r="L190" i="21"/>
  <c r="N192" i="21"/>
  <c r="P192" i="21"/>
  <c r="R192" i="21"/>
  <c r="L192" i="21"/>
  <c r="R142" i="21"/>
  <c r="P142" i="21"/>
  <c r="AC173" i="11"/>
  <c r="AK173" i="23"/>
  <c r="AK173" i="24"/>
  <c r="AG168" i="11"/>
  <c r="AK168" i="24"/>
  <c r="AK168" i="23"/>
  <c r="P127" i="21"/>
  <c r="R127" i="21"/>
  <c r="P145" i="21"/>
  <c r="R145" i="21"/>
  <c r="N145" i="21"/>
  <c r="L145" i="21"/>
  <c r="N152" i="21"/>
  <c r="P152" i="21"/>
  <c r="R152" i="21"/>
  <c r="L152" i="21"/>
  <c r="C17" i="32"/>
  <c r="E17" i="32" s="1"/>
  <c r="F17" i="32" s="1"/>
  <c r="G17" i="32" s="1"/>
  <c r="H17" i="32" s="1"/>
  <c r="I17" i="32" s="1"/>
  <c r="J17" i="32" s="1"/>
  <c r="K17" i="32" s="1"/>
  <c r="C16" i="32"/>
  <c r="E16" i="32" s="1"/>
  <c r="F16" i="32" s="1"/>
  <c r="G16" i="32" s="1"/>
  <c r="H16" i="32" s="1"/>
  <c r="C19" i="32"/>
  <c r="E19" i="32" s="1"/>
  <c r="F19" i="32" s="1"/>
  <c r="G19" i="32" s="1"/>
  <c r="H19" i="32" s="1"/>
  <c r="C21" i="32"/>
  <c r="E21" i="32" s="1"/>
  <c r="F21" i="32" s="1"/>
  <c r="G21" i="32" s="1"/>
  <c r="H21" i="32" s="1"/>
  <c r="I21" i="32" s="1"/>
  <c r="J21" i="32" s="1"/>
  <c r="K21" i="32" s="1"/>
  <c r="C18" i="32"/>
  <c r="E18" i="32" s="1"/>
  <c r="F18" i="32" s="1"/>
  <c r="G18" i="32" s="1"/>
  <c r="H18" i="32" s="1"/>
  <c r="I18" i="32" s="1"/>
  <c r="J18" i="32" s="1"/>
  <c r="K18" i="32" s="1"/>
  <c r="R178" i="21"/>
  <c r="N178" i="21"/>
  <c r="P178" i="21"/>
  <c r="L178" i="21"/>
  <c r="R182" i="21"/>
  <c r="N182" i="21"/>
  <c r="P182" i="21"/>
  <c r="L182" i="21"/>
  <c r="R186" i="21"/>
  <c r="N186" i="21"/>
  <c r="P186" i="21"/>
  <c r="L186" i="21"/>
  <c r="P189" i="21"/>
  <c r="R189" i="21"/>
  <c r="N189" i="21"/>
  <c r="L189" i="21"/>
  <c r="R194" i="21"/>
  <c r="N194" i="21"/>
  <c r="P194" i="21"/>
  <c r="L194" i="21"/>
  <c r="P149" i="21"/>
  <c r="R149" i="21"/>
  <c r="N149" i="21"/>
  <c r="L149" i="21"/>
  <c r="AG170" i="11"/>
  <c r="AK170" i="23"/>
  <c r="AK170" i="24"/>
  <c r="P177" i="21"/>
  <c r="R177" i="21"/>
  <c r="N177" i="21"/>
  <c r="L177" i="21"/>
  <c r="P181" i="21"/>
  <c r="R181" i="21"/>
  <c r="N181" i="21"/>
  <c r="L181" i="21"/>
  <c r="P185" i="21"/>
  <c r="R185" i="21"/>
  <c r="N185" i="21"/>
  <c r="L185" i="21"/>
  <c r="P193" i="21"/>
  <c r="R193" i="21"/>
  <c r="N193" i="21"/>
  <c r="L193" i="21"/>
  <c r="N188" i="21"/>
  <c r="P188" i="21"/>
  <c r="R188" i="21"/>
  <c r="L188" i="21"/>
  <c r="R128" i="21"/>
  <c r="P128" i="21"/>
  <c r="AC171" i="11"/>
  <c r="E170" i="21" s="1"/>
  <c r="AK171" i="23"/>
  <c r="AK171" i="24"/>
  <c r="AE169" i="11"/>
  <c r="AK169" i="23"/>
  <c r="AK169" i="24"/>
  <c r="AE175" i="11"/>
  <c r="AE174" i="11"/>
  <c r="AI172" i="11"/>
  <c r="AI170" i="11"/>
  <c r="C20" i="32"/>
  <c r="E20" i="32" s="1"/>
  <c r="F20" i="32" s="1"/>
  <c r="G20" i="32" s="1"/>
  <c r="H20" i="32" s="1"/>
  <c r="I20" i="32" s="1"/>
  <c r="J20" i="32" s="1"/>
  <c r="K20" i="32" s="1"/>
  <c r="AE173" i="11"/>
  <c r="AC168" i="11"/>
  <c r="E167" i="21" s="1"/>
  <c r="AI174" i="11"/>
  <c r="AG172" i="11"/>
  <c r="AG173" i="11"/>
  <c r="AG169" i="11"/>
  <c r="AG175" i="11"/>
  <c r="AG174" i="11"/>
  <c r="AG171" i="11"/>
  <c r="R48" i="21"/>
  <c r="R53" i="21"/>
  <c r="R46" i="21"/>
  <c r="R60" i="21"/>
  <c r="R42" i="21"/>
  <c r="R69" i="21"/>
  <c r="R45" i="21"/>
  <c r="P69" i="21"/>
  <c r="P42" i="21"/>
  <c r="P45" i="21"/>
  <c r="P48" i="21"/>
  <c r="P53" i="21"/>
  <c r="P46" i="21"/>
  <c r="P60" i="21"/>
  <c r="C7" i="32" l="1"/>
  <c r="E7" i="32" s="1"/>
  <c r="F7" i="32" s="1"/>
  <c r="G7" i="32" s="1"/>
  <c r="H7" i="32" s="1"/>
  <c r="I7" i="32" s="1"/>
  <c r="J7" i="32" s="1"/>
  <c r="K7" i="32" s="1"/>
  <c r="C10" i="32"/>
  <c r="E10" i="32" s="1"/>
  <c r="F10" i="32" s="1"/>
  <c r="G10" i="32" s="1"/>
  <c r="H10" i="32" s="1"/>
  <c r="I10" i="32" s="1"/>
  <c r="J10" i="32" s="1"/>
  <c r="K10" i="32" s="1"/>
  <c r="C6" i="32"/>
  <c r="E6" i="32" s="1"/>
  <c r="F6" i="32" s="1"/>
  <c r="G6" i="32" s="1"/>
  <c r="H6" i="32" s="1"/>
  <c r="I6" i="32" s="1"/>
  <c r="J6" i="32" s="1"/>
  <c r="K6" i="32" s="1"/>
  <c r="C9" i="32"/>
  <c r="E9" i="32" s="1"/>
  <c r="F9" i="32" s="1"/>
  <c r="G9" i="32" s="1"/>
  <c r="H9" i="32" s="1"/>
  <c r="I9" i="32" s="1"/>
  <c r="J9" i="32" s="1"/>
  <c r="K9" i="32" s="1"/>
  <c r="C12" i="32"/>
  <c r="E12" i="32" s="1"/>
  <c r="F12" i="32" s="1"/>
  <c r="G12" i="32" s="1"/>
  <c r="H12" i="32" s="1"/>
  <c r="C13" i="32"/>
  <c r="E13" i="32" s="1"/>
  <c r="F13" i="32" s="1"/>
  <c r="G13" i="32" s="1"/>
  <c r="H13" i="32" s="1"/>
  <c r="C15" i="32"/>
  <c r="E15" i="32" s="1"/>
  <c r="F15" i="32" s="1"/>
  <c r="G15" i="32" s="1"/>
  <c r="H15" i="32" s="1"/>
  <c r="I15" i="32" s="1"/>
  <c r="J15" i="32" s="1"/>
  <c r="K15" i="32" s="1"/>
  <c r="C8" i="32"/>
  <c r="E8" i="32" s="1"/>
  <c r="F8" i="32" s="1"/>
  <c r="G8" i="32" s="1"/>
  <c r="H8" i="32" s="1"/>
  <c r="I8" i="32" s="1"/>
  <c r="J8" i="32" s="1"/>
  <c r="K8" i="32" s="1"/>
  <c r="C14" i="32"/>
  <c r="E14" i="32" s="1"/>
  <c r="F14" i="32" s="1"/>
  <c r="G14" i="32" s="1"/>
  <c r="H14" i="32" s="1"/>
  <c r="I14" i="32" s="1"/>
  <c r="J14" i="32" s="1"/>
  <c r="K14" i="32" s="1"/>
  <c r="AM3" i="24"/>
  <c r="AM3" i="11"/>
  <c r="C11" i="32"/>
  <c r="E11" i="32" s="1"/>
  <c r="F11" i="32" s="1"/>
  <c r="G11" i="32" s="1"/>
  <c r="H11" i="32" s="1"/>
  <c r="I11" i="32" s="1"/>
  <c r="J11" i="32" s="1"/>
  <c r="K11" i="32" s="1"/>
  <c r="D183" i="21"/>
  <c r="E181" i="17" s="1"/>
  <c r="F181" i="17" s="1"/>
  <c r="D191" i="21"/>
  <c r="E189" i="17" s="1"/>
  <c r="F189" i="17" s="1"/>
  <c r="D182" i="21"/>
  <c r="E180" i="17" s="1"/>
  <c r="F180" i="17" s="1"/>
  <c r="D192" i="21"/>
  <c r="E190" i="17" s="1"/>
  <c r="F190" i="17" s="1"/>
  <c r="D190" i="21"/>
  <c r="E188" i="17" s="1"/>
  <c r="F188" i="17" s="1"/>
  <c r="D199" i="21"/>
  <c r="F199" i="21" s="1"/>
  <c r="H199" i="21" s="1"/>
  <c r="J199" i="21" s="1"/>
  <c r="S196" i="21"/>
  <c r="S202" i="21"/>
  <c r="S195" i="21"/>
  <c r="S200" i="21"/>
  <c r="S203" i="21"/>
  <c r="S205" i="21"/>
  <c r="S199" i="21"/>
  <c r="S198" i="21"/>
  <c r="S204" i="21"/>
  <c r="S197" i="21"/>
  <c r="S201" i="21"/>
  <c r="D193" i="21"/>
  <c r="E191" i="17" s="1"/>
  <c r="F191" i="17" s="1"/>
  <c r="D185" i="21"/>
  <c r="E183" i="17" s="1"/>
  <c r="F183" i="17" s="1"/>
  <c r="D177" i="21"/>
  <c r="E175" i="17" s="1"/>
  <c r="F175" i="17" s="1"/>
  <c r="D196" i="21"/>
  <c r="F196" i="21" s="1"/>
  <c r="H196" i="21" s="1"/>
  <c r="J196" i="21" s="1"/>
  <c r="D205" i="21"/>
  <c r="D189" i="21"/>
  <c r="E187" i="17" s="1"/>
  <c r="F187" i="17" s="1"/>
  <c r="D186" i="21"/>
  <c r="E184" i="17" s="1"/>
  <c r="F184" i="17" s="1"/>
  <c r="D198" i="21"/>
  <c r="F198" i="21" s="1"/>
  <c r="H198" i="21" s="1"/>
  <c r="J198" i="21" s="1"/>
  <c r="D202" i="21"/>
  <c r="E200" i="17" s="1"/>
  <c r="F200" i="17" s="1"/>
  <c r="D195" i="21"/>
  <c r="D204" i="21"/>
  <c r="D200" i="21"/>
  <c r="D197" i="21"/>
  <c r="D203" i="21"/>
  <c r="D201" i="21"/>
  <c r="D181" i="21"/>
  <c r="E179" i="17" s="1"/>
  <c r="F179" i="17" s="1"/>
  <c r="D175" i="21"/>
  <c r="E173" i="17" s="1"/>
  <c r="F173" i="17" s="1"/>
  <c r="D184" i="21"/>
  <c r="E182" i="17" s="1"/>
  <c r="F182" i="17" s="1"/>
  <c r="D180" i="21"/>
  <c r="E178" i="17" s="1"/>
  <c r="F178" i="17" s="1"/>
  <c r="D176" i="21"/>
  <c r="E174" i="17" s="1"/>
  <c r="F174" i="17" s="1"/>
  <c r="D158" i="21"/>
  <c r="E156" i="17" s="1"/>
  <c r="F156" i="17" s="1"/>
  <c r="S187" i="21"/>
  <c r="S178" i="21"/>
  <c r="S179" i="21"/>
  <c r="S191" i="21"/>
  <c r="S177" i="21"/>
  <c r="S182" i="21"/>
  <c r="S194" i="21"/>
  <c r="S189" i="21"/>
  <c r="S185" i="21"/>
  <c r="S192" i="21"/>
  <c r="S183" i="21"/>
  <c r="D188" i="21"/>
  <c r="S193" i="21"/>
  <c r="S181" i="21"/>
  <c r="D194" i="21"/>
  <c r="S186" i="21"/>
  <c r="D178" i="21"/>
  <c r="S190" i="21"/>
  <c r="D179" i="21"/>
  <c r="S175" i="21"/>
  <c r="S158" i="21"/>
  <c r="D187" i="21"/>
  <c r="E185" i="17" s="1"/>
  <c r="F185" i="17" s="1"/>
  <c r="S184" i="21"/>
  <c r="S180" i="21"/>
  <c r="S176" i="21"/>
  <c r="S188" i="21"/>
  <c r="AI169" i="23"/>
  <c r="AC169" i="23"/>
  <c r="I168" i="21" s="1"/>
  <c r="AG169" i="23"/>
  <c r="AE169" i="23"/>
  <c r="AI171" i="24"/>
  <c r="AG171" i="24"/>
  <c r="AE171" i="24"/>
  <c r="AC171" i="24"/>
  <c r="G170" i="21" s="1"/>
  <c r="AI170" i="23"/>
  <c r="AE170" i="23"/>
  <c r="AG170" i="23"/>
  <c r="AC170" i="23"/>
  <c r="I169" i="21" s="1"/>
  <c r="AI168" i="23"/>
  <c r="AE168" i="23"/>
  <c r="AG168" i="23"/>
  <c r="AC168" i="23"/>
  <c r="I167" i="21" s="1"/>
  <c r="AI173" i="23"/>
  <c r="AE173" i="23"/>
  <c r="AG173" i="23"/>
  <c r="AC173" i="23"/>
  <c r="I172" i="21" s="1"/>
  <c r="AI174" i="24"/>
  <c r="AG174" i="24"/>
  <c r="AC174" i="24"/>
  <c r="G173" i="21" s="1"/>
  <c r="AE174" i="24"/>
  <c r="AI172" i="24"/>
  <c r="AG172" i="24"/>
  <c r="AC172" i="24"/>
  <c r="G171" i="21" s="1"/>
  <c r="AE172" i="24"/>
  <c r="AI175" i="24"/>
  <c r="AG175" i="24"/>
  <c r="AE175" i="24"/>
  <c r="AC175" i="24"/>
  <c r="G174" i="21" s="1"/>
  <c r="AI169" i="24"/>
  <c r="AG169" i="24"/>
  <c r="AE169" i="24"/>
  <c r="AC169" i="24"/>
  <c r="G168" i="21" s="1"/>
  <c r="AI171" i="23"/>
  <c r="AE171" i="23"/>
  <c r="AG171" i="23"/>
  <c r="AC171" i="23"/>
  <c r="I170" i="21" s="1"/>
  <c r="AI170" i="24"/>
  <c r="AG170" i="24"/>
  <c r="AC170" i="24"/>
  <c r="G169" i="21" s="1"/>
  <c r="AE170" i="24"/>
  <c r="AI168" i="24"/>
  <c r="AC168" i="24"/>
  <c r="G167" i="21" s="1"/>
  <c r="AG168" i="24"/>
  <c r="AE168" i="24"/>
  <c r="AI173" i="24"/>
  <c r="AE173" i="24"/>
  <c r="AG173" i="24"/>
  <c r="AC173" i="24"/>
  <c r="G172" i="21" s="1"/>
  <c r="AI174" i="23"/>
  <c r="AC174" i="23"/>
  <c r="I173" i="21" s="1"/>
  <c r="AG174" i="23"/>
  <c r="AE174" i="23"/>
  <c r="AI175" i="23"/>
  <c r="AC175" i="23"/>
  <c r="I174" i="21" s="1"/>
  <c r="AG175" i="23"/>
  <c r="AE175" i="23"/>
  <c r="F190" i="21" l="1"/>
  <c r="H190" i="21" s="1"/>
  <c r="J190" i="21" s="1"/>
  <c r="F183" i="21"/>
  <c r="H183" i="21" s="1"/>
  <c r="J183" i="21" s="1"/>
  <c r="F192" i="21"/>
  <c r="H192" i="21" s="1"/>
  <c r="J192" i="21" s="1"/>
  <c r="E194" i="17"/>
  <c r="F194" i="17" s="1"/>
  <c r="F191" i="21"/>
  <c r="H191" i="21" s="1"/>
  <c r="J191" i="21" s="1"/>
  <c r="F182" i="21"/>
  <c r="H182" i="21" s="1"/>
  <c r="J182" i="21" s="1"/>
  <c r="E197" i="17"/>
  <c r="F197" i="17" s="1"/>
  <c r="F180" i="21"/>
  <c r="H180" i="21" s="1"/>
  <c r="J180" i="21" s="1"/>
  <c r="F176" i="21"/>
  <c r="H176" i="21" s="1"/>
  <c r="J176" i="21" s="1"/>
  <c r="F184" i="21"/>
  <c r="H184" i="21" s="1"/>
  <c r="J184" i="21" s="1"/>
  <c r="F189" i="21"/>
  <c r="H189" i="21" s="1"/>
  <c r="J189" i="21" s="1"/>
  <c r="F202" i="21"/>
  <c r="H202" i="21" s="1"/>
  <c r="J202" i="21" s="1"/>
  <c r="E196" i="17"/>
  <c r="F196" i="17" s="1"/>
  <c r="F181" i="21"/>
  <c r="H181" i="21" s="1"/>
  <c r="J181" i="21" s="1"/>
  <c r="F175" i="21"/>
  <c r="H175" i="21" s="1"/>
  <c r="J175" i="21" s="1"/>
  <c r="F186" i="21"/>
  <c r="H186" i="21" s="1"/>
  <c r="J186" i="21" s="1"/>
  <c r="F177" i="21"/>
  <c r="H177" i="21" s="1"/>
  <c r="J177" i="21" s="1"/>
  <c r="F185" i="21"/>
  <c r="H185" i="21" s="1"/>
  <c r="J185" i="21" s="1"/>
  <c r="N170" i="21"/>
  <c r="F193" i="21"/>
  <c r="H193" i="21" s="1"/>
  <c r="J193" i="21" s="1"/>
  <c r="E203" i="17"/>
  <c r="F203" i="17" s="1"/>
  <c r="F205" i="21"/>
  <c r="H205" i="21" s="1"/>
  <c r="J205" i="21" s="1"/>
  <c r="E201" i="17"/>
  <c r="F201" i="17" s="1"/>
  <c r="F203" i="21"/>
  <c r="H203" i="21" s="1"/>
  <c r="J203" i="21" s="1"/>
  <c r="E198" i="17"/>
  <c r="F198" i="17" s="1"/>
  <c r="F200" i="21"/>
  <c r="H200" i="21" s="1"/>
  <c r="J200" i="21" s="1"/>
  <c r="E193" i="17"/>
  <c r="F193" i="17" s="1"/>
  <c r="F195" i="21"/>
  <c r="H195" i="21" s="1"/>
  <c r="J195" i="21" s="1"/>
  <c r="E199" i="17"/>
  <c r="F199" i="17" s="1"/>
  <c r="F201" i="21"/>
  <c r="H201" i="21" s="1"/>
  <c r="J201" i="21" s="1"/>
  <c r="E195" i="17"/>
  <c r="F195" i="17" s="1"/>
  <c r="F197" i="21"/>
  <c r="H197" i="21" s="1"/>
  <c r="J197" i="21" s="1"/>
  <c r="E202" i="17"/>
  <c r="F202" i="17" s="1"/>
  <c r="F204" i="21"/>
  <c r="H204" i="21" s="1"/>
  <c r="J204" i="21" s="1"/>
  <c r="F188" i="21"/>
  <c r="H188" i="21" s="1"/>
  <c r="J188" i="21" s="1"/>
  <c r="E186" i="17"/>
  <c r="F186" i="17" s="1"/>
  <c r="F179" i="21"/>
  <c r="H179" i="21" s="1"/>
  <c r="J179" i="21" s="1"/>
  <c r="E177" i="17"/>
  <c r="F177" i="17" s="1"/>
  <c r="F178" i="21"/>
  <c r="H178" i="21" s="1"/>
  <c r="J178" i="21" s="1"/>
  <c r="E176" i="17"/>
  <c r="F176" i="17" s="1"/>
  <c r="F194" i="21"/>
  <c r="H194" i="21" s="1"/>
  <c r="J194" i="21" s="1"/>
  <c r="E192" i="17"/>
  <c r="F192" i="17" s="1"/>
  <c r="N167" i="21"/>
  <c r="F158" i="21"/>
  <c r="H158" i="21" s="1"/>
  <c r="J158" i="21" s="1"/>
  <c r="F187" i="21"/>
  <c r="H187" i="21" s="1"/>
  <c r="J187" i="21" s="1"/>
  <c r="R170" i="21"/>
  <c r="L170" i="21"/>
  <c r="L167" i="21"/>
  <c r="P167" i="21"/>
  <c r="P169" i="21"/>
  <c r="N169" i="21"/>
  <c r="R169" i="21"/>
  <c r="L169" i="21"/>
  <c r="P170" i="21"/>
  <c r="R167" i="21"/>
  <c r="D167" i="21" l="1"/>
  <c r="E165" i="17" s="1"/>
  <c r="D169" i="21"/>
  <c r="E167" i="17" s="1"/>
  <c r="D170" i="21"/>
  <c r="E168" i="17" s="1"/>
  <c r="S167" i="21"/>
  <c r="S170" i="21"/>
  <c r="S169" i="21"/>
  <c r="F169" i="21" l="1"/>
  <c r="H169" i="21" s="1"/>
  <c r="J169" i="21" s="1"/>
  <c r="F167" i="21"/>
  <c r="H167" i="21" s="1"/>
  <c r="J167" i="21" s="1"/>
  <c r="F170" i="21"/>
  <c r="H170" i="21" s="1"/>
  <c r="J170" i="21" s="1"/>
  <c r="C5" i="21" l="1"/>
  <c r="C121" i="21"/>
  <c r="E173" i="21"/>
  <c r="C58" i="21"/>
  <c r="C93" i="21"/>
  <c r="C38" i="21"/>
  <c r="C66" i="21"/>
  <c r="C68" i="21"/>
  <c r="C104" i="21"/>
  <c r="C52" i="21"/>
  <c r="C63" i="21"/>
  <c r="C67" i="21"/>
  <c r="C113" i="21"/>
  <c r="C157" i="21"/>
  <c r="E157" i="21" s="1"/>
  <c r="C115" i="21"/>
  <c r="C116" i="21"/>
  <c r="C150" i="21"/>
  <c r="C49" i="21"/>
  <c r="C100" i="21"/>
  <c r="C102" i="21"/>
  <c r="C125" i="21"/>
  <c r="C76" i="21"/>
  <c r="C143" i="21"/>
  <c r="C144" i="21"/>
  <c r="C110" i="21"/>
  <c r="C126" i="21"/>
  <c r="E168" i="21"/>
  <c r="C32" i="21"/>
  <c r="C59" i="21"/>
  <c r="C92" i="21"/>
  <c r="C35" i="21"/>
  <c r="C114" i="21"/>
  <c r="C163" i="21"/>
  <c r="E163" i="21" s="1"/>
  <c r="C82" i="21"/>
  <c r="C112" i="21"/>
  <c r="C14" i="21"/>
  <c r="E174" i="21"/>
  <c r="E155" i="21"/>
  <c r="E162" i="21"/>
  <c r="E159" i="21"/>
  <c r="E161" i="21"/>
  <c r="E164" i="21"/>
  <c r="E156" i="21"/>
  <c r="E165" i="21"/>
  <c r="E172" i="21"/>
  <c r="E166" i="21"/>
  <c r="E160" i="21"/>
  <c r="G172" i="23"/>
  <c r="G307" i="23" s="1"/>
  <c r="I157" i="21" l="1"/>
  <c r="G157" i="21"/>
  <c r="L157" i="21" s="1"/>
  <c r="G163" i="21"/>
  <c r="I163" i="21"/>
  <c r="P131" i="21"/>
  <c r="R131" i="21"/>
  <c r="N160" i="21"/>
  <c r="P160" i="21"/>
  <c r="R160" i="21"/>
  <c r="P139" i="21"/>
  <c r="R139" i="21"/>
  <c r="R166" i="21"/>
  <c r="N166" i="21"/>
  <c r="P166" i="21"/>
  <c r="P135" i="21"/>
  <c r="P165" i="21"/>
  <c r="R165" i="21"/>
  <c r="N165" i="21"/>
  <c r="P140" i="21"/>
  <c r="R140" i="21"/>
  <c r="P133" i="21"/>
  <c r="R133" i="21"/>
  <c r="N164" i="21"/>
  <c r="P164" i="21"/>
  <c r="R164" i="21"/>
  <c r="P161" i="21"/>
  <c r="R161" i="21"/>
  <c r="N161" i="21"/>
  <c r="R162" i="21"/>
  <c r="N162" i="21"/>
  <c r="P162" i="21"/>
  <c r="R146" i="21"/>
  <c r="N146" i="21"/>
  <c r="P146" i="21"/>
  <c r="R174" i="21"/>
  <c r="N174" i="21"/>
  <c r="P174" i="21"/>
  <c r="R138" i="21"/>
  <c r="P138" i="21"/>
  <c r="N168" i="21"/>
  <c r="P168" i="21"/>
  <c r="R168" i="21"/>
  <c r="P173" i="21"/>
  <c r="R173" i="21"/>
  <c r="N173" i="21"/>
  <c r="N148" i="21"/>
  <c r="P148" i="21"/>
  <c r="R148" i="21"/>
  <c r="P134" i="21"/>
  <c r="N151" i="21"/>
  <c r="P151" i="21"/>
  <c r="R151" i="21"/>
  <c r="N172" i="21"/>
  <c r="P172" i="21"/>
  <c r="R172" i="21"/>
  <c r="P153" i="21"/>
  <c r="R153" i="21"/>
  <c r="N153" i="21"/>
  <c r="N156" i="21"/>
  <c r="P156" i="21"/>
  <c r="R156" i="21"/>
  <c r="P141" i="21"/>
  <c r="R141" i="21"/>
  <c r="N159" i="21"/>
  <c r="P159" i="21"/>
  <c r="R159" i="21"/>
  <c r="R132" i="21"/>
  <c r="P132" i="21"/>
  <c r="P137" i="21"/>
  <c r="R137" i="21"/>
  <c r="N155" i="21"/>
  <c r="P155" i="21"/>
  <c r="R155" i="21"/>
  <c r="P136" i="21"/>
  <c r="R136" i="21"/>
  <c r="R154" i="21"/>
  <c r="N154" i="21"/>
  <c r="P154" i="21"/>
  <c r="P126" i="21"/>
  <c r="P144" i="21"/>
  <c r="R58" i="21"/>
  <c r="R49" i="21"/>
  <c r="P62" i="21"/>
  <c r="P44" i="21"/>
  <c r="P56" i="21"/>
  <c r="P41" i="21"/>
  <c r="P65" i="21"/>
  <c r="P43" i="21"/>
  <c r="P37" i="21"/>
  <c r="P36" i="21"/>
  <c r="P39" i="21"/>
  <c r="P40" i="21"/>
  <c r="P50" i="21"/>
  <c r="P51" i="21"/>
  <c r="P61" i="21"/>
  <c r="P55" i="21"/>
  <c r="P47" i="21"/>
  <c r="P54" i="21"/>
  <c r="P64" i="21"/>
  <c r="P57" i="21"/>
  <c r="W172" i="23"/>
  <c r="T172" i="23"/>
  <c r="Z172" i="23"/>
  <c r="M172" i="23"/>
  <c r="L172" i="23"/>
  <c r="R172" i="23"/>
  <c r="N172" i="23"/>
  <c r="AB172" i="23"/>
  <c r="U172" i="23"/>
  <c r="K172" i="23"/>
  <c r="L162" i="21"/>
  <c r="L155" i="21"/>
  <c r="L174" i="21"/>
  <c r="L154" i="21"/>
  <c r="L160" i="21"/>
  <c r="L166" i="21"/>
  <c r="L153" i="21"/>
  <c r="L164" i="21"/>
  <c r="L161" i="21"/>
  <c r="L159" i="21"/>
  <c r="L148" i="21"/>
  <c r="L151" i="21"/>
  <c r="L172" i="21"/>
  <c r="L165" i="21"/>
  <c r="L156" i="21"/>
  <c r="L146" i="21"/>
  <c r="L168" i="21"/>
  <c r="L173" i="21"/>
  <c r="V172" i="23"/>
  <c r="AA172" i="23"/>
  <c r="S172" i="23"/>
  <c r="Q172" i="23"/>
  <c r="I172" i="23"/>
  <c r="X172" i="23"/>
  <c r="Y172" i="23"/>
  <c r="P172" i="23"/>
  <c r="O172" i="23"/>
  <c r="J172" i="23"/>
  <c r="H172" i="23"/>
  <c r="P52" i="21" l="1"/>
  <c r="R52" i="21"/>
  <c r="R67" i="21"/>
  <c r="R157" i="21"/>
  <c r="P58" i="21"/>
  <c r="P38" i="21"/>
  <c r="R144" i="21"/>
  <c r="R126" i="21"/>
  <c r="R68" i="21"/>
  <c r="P67" i="21"/>
  <c r="N157" i="21"/>
  <c r="P157" i="21"/>
  <c r="P59" i="21"/>
  <c r="R66" i="21"/>
  <c r="L163" i="21"/>
  <c r="R59" i="21"/>
  <c r="R143" i="21"/>
  <c r="P66" i="21"/>
  <c r="R150" i="21"/>
  <c r="P163" i="21"/>
  <c r="R63" i="21"/>
  <c r="R125" i="21"/>
  <c r="N163" i="21"/>
  <c r="L150" i="21"/>
  <c r="R163" i="21"/>
  <c r="N150" i="21"/>
  <c r="P150" i="21"/>
  <c r="S159" i="21"/>
  <c r="D159" i="21"/>
  <c r="S160" i="21"/>
  <c r="D160" i="21"/>
  <c r="E158" i="17" s="1"/>
  <c r="S164" i="21"/>
  <c r="D162" i="21"/>
  <c r="S173" i="21"/>
  <c r="S168" i="21"/>
  <c r="S156" i="21"/>
  <c r="S165" i="21"/>
  <c r="D164" i="21"/>
  <c r="S174" i="21"/>
  <c r="D174" i="21"/>
  <c r="S162" i="21"/>
  <c r="D165" i="21"/>
  <c r="E163" i="17" s="1"/>
  <c r="D156" i="21"/>
  <c r="E154" i="17" s="1"/>
  <c r="F154" i="17" s="1"/>
  <c r="D173" i="21"/>
  <c r="E171" i="17" s="1"/>
  <c r="S172" i="21"/>
  <c r="D172" i="21"/>
  <c r="S161" i="21"/>
  <c r="D161" i="21"/>
  <c r="E159" i="17" s="1"/>
  <c r="S166" i="21"/>
  <c r="D166" i="21"/>
  <c r="E164" i="17" s="1"/>
  <c r="S155" i="21"/>
  <c r="D168" i="21"/>
  <c r="E166" i="17" s="1"/>
  <c r="D155" i="21"/>
  <c r="E153" i="17" s="1"/>
  <c r="F153" i="17" s="1"/>
  <c r="AH172" i="23"/>
  <c r="AG172" i="23"/>
  <c r="AM172" i="23"/>
  <c r="AM3" i="23" s="1"/>
  <c r="AE172" i="23"/>
  <c r="AC172" i="23"/>
  <c r="I171" i="21" s="1"/>
  <c r="AD172" i="23"/>
  <c r="AF172" i="23"/>
  <c r="AI172" i="23"/>
  <c r="AJ172" i="23"/>
  <c r="G5" i="27"/>
  <c r="G4" i="27"/>
  <c r="D157" i="21" l="1"/>
  <c r="E155" i="17" s="1"/>
  <c r="F155" i="17" s="1"/>
  <c r="S157" i="21"/>
  <c r="I13" i="32"/>
  <c r="J13" i="32" s="1"/>
  <c r="K13" i="32" s="1"/>
  <c r="I12" i="32"/>
  <c r="J12" i="32" s="1"/>
  <c r="K12" i="32" s="1"/>
  <c r="S163" i="21"/>
  <c r="D163" i="21"/>
  <c r="E161" i="17" s="1"/>
  <c r="F172" i="21"/>
  <c r="H172" i="21" s="1"/>
  <c r="J172" i="21" s="1"/>
  <c r="E170" i="17"/>
  <c r="F174" i="21"/>
  <c r="H174" i="21" s="1"/>
  <c r="J174" i="21" s="1"/>
  <c r="E172" i="17"/>
  <c r="F164" i="21"/>
  <c r="H164" i="21" s="1"/>
  <c r="J164" i="21" s="1"/>
  <c r="E162" i="17"/>
  <c r="F162" i="21"/>
  <c r="H162" i="21" s="1"/>
  <c r="J162" i="21" s="1"/>
  <c r="E160" i="17"/>
  <c r="F159" i="21"/>
  <c r="H159" i="21" s="1"/>
  <c r="J159" i="21" s="1"/>
  <c r="E157" i="17"/>
  <c r="F157" i="17" s="1"/>
  <c r="N171" i="21"/>
  <c r="P171" i="21"/>
  <c r="R171" i="21"/>
  <c r="I16" i="32"/>
  <c r="J16" i="32" s="1"/>
  <c r="K16" i="32" s="1"/>
  <c r="I19" i="32"/>
  <c r="J19" i="32" s="1"/>
  <c r="K19" i="32" s="1"/>
  <c r="J2" i="27"/>
  <c r="F160" i="21"/>
  <c r="H160" i="21" s="1"/>
  <c r="J160" i="21" s="1"/>
  <c r="F161" i="21"/>
  <c r="H161" i="21" s="1"/>
  <c r="J161" i="21" s="1"/>
  <c r="F166" i="21"/>
  <c r="H166" i="21" s="1"/>
  <c r="J166" i="21" s="1"/>
  <c r="L171" i="21"/>
  <c r="F155" i="21"/>
  <c r="H155" i="21" s="1"/>
  <c r="J155" i="21" s="1"/>
  <c r="F168" i="21"/>
  <c r="H168" i="21" s="1"/>
  <c r="J168" i="21" s="1"/>
  <c r="F173" i="21"/>
  <c r="H173" i="21" s="1"/>
  <c r="J173" i="21" s="1"/>
  <c r="F156" i="21"/>
  <c r="H156" i="21" s="1"/>
  <c r="J156" i="21" s="1"/>
  <c r="F165" i="21"/>
  <c r="H165" i="21" s="1"/>
  <c r="J165" i="21" s="1"/>
  <c r="F157" i="21" l="1"/>
  <c r="H157" i="21" s="1"/>
  <c r="J157" i="21" s="1"/>
  <c r="F163" i="21"/>
  <c r="H163" i="21" s="1"/>
  <c r="J163" i="21" s="1"/>
  <c r="D171" i="21"/>
  <c r="E169" i="17" s="1"/>
  <c r="S171" i="21"/>
  <c r="F171" i="21" l="1"/>
  <c r="H171" i="21" l="1"/>
  <c r="J171" i="21" s="1"/>
  <c r="W5" i="10" l="1"/>
  <c r="G5" i="10" s="1"/>
  <c r="V5" i="10" s="1"/>
  <c r="W6" i="10"/>
  <c r="G6" i="10" s="1"/>
  <c r="V6" i="10" s="1"/>
  <c r="W7" i="10"/>
  <c r="G7" i="10" s="1"/>
  <c r="V7" i="10" s="1"/>
  <c r="W8" i="10"/>
  <c r="G8" i="10" s="1"/>
  <c r="V8" i="10" s="1"/>
  <c r="W9" i="10"/>
  <c r="G9" i="10" s="1"/>
  <c r="V9" i="10" s="1"/>
  <c r="W10" i="10"/>
  <c r="G10" i="10" s="1"/>
  <c r="V10" i="10" s="1"/>
  <c r="W11" i="10"/>
  <c r="G11" i="10" s="1"/>
  <c r="V11" i="10" s="1"/>
  <c r="W12" i="10"/>
  <c r="G12" i="10" s="1"/>
  <c r="V12" i="10" s="1"/>
  <c r="W13" i="10"/>
  <c r="G13" i="10" s="1"/>
  <c r="V13" i="10" s="1"/>
  <c r="W14" i="10"/>
  <c r="G14" i="10" s="1"/>
  <c r="V14" i="10" s="1"/>
  <c r="W15" i="10"/>
  <c r="G15" i="10" s="1"/>
  <c r="V15" i="10" s="1"/>
  <c r="W16" i="10"/>
  <c r="G16" i="10" s="1"/>
  <c r="V16" i="10" s="1"/>
  <c r="W17" i="10"/>
  <c r="G17" i="10" s="1"/>
  <c r="V17" i="10" s="1"/>
  <c r="W18" i="10"/>
  <c r="G18" i="10" s="1"/>
  <c r="V18" i="10" s="1"/>
  <c r="W19" i="10"/>
  <c r="G19" i="10" s="1"/>
  <c r="V19" i="10" s="1"/>
  <c r="W20" i="10"/>
  <c r="G20" i="10" s="1"/>
  <c r="V20" i="10" s="1"/>
  <c r="W21" i="10"/>
  <c r="G21" i="10" s="1"/>
  <c r="V21" i="10" s="1"/>
  <c r="W22" i="10"/>
  <c r="G22" i="10" s="1"/>
  <c r="V22" i="10" s="1"/>
  <c r="W23" i="10"/>
  <c r="G23" i="10" s="1"/>
  <c r="V23" i="10" s="1"/>
  <c r="W24" i="10"/>
  <c r="G24" i="10" s="1"/>
  <c r="V24" i="10" s="1"/>
  <c r="W25" i="10"/>
  <c r="G25" i="10" s="1"/>
  <c r="V25" i="10" s="1"/>
  <c r="W64" i="10"/>
  <c r="G64" i="10" s="1"/>
  <c r="V64" i="10" s="1"/>
  <c r="W65" i="10"/>
  <c r="G65" i="10" s="1"/>
  <c r="V65" i="10" s="1"/>
  <c r="W66" i="10"/>
  <c r="G66" i="10" s="1"/>
  <c r="V66" i="10" s="1"/>
  <c r="W67" i="10"/>
  <c r="G67" i="10" s="1"/>
  <c r="V67" i="10" s="1"/>
  <c r="W68" i="10"/>
  <c r="G68" i="10" s="1"/>
  <c r="V68" i="10" s="1"/>
  <c r="W69" i="10"/>
  <c r="G69" i="10" s="1"/>
  <c r="V69" i="10" s="1"/>
  <c r="W70" i="10"/>
  <c r="G70" i="10" s="1"/>
  <c r="V70" i="10" s="1"/>
  <c r="W71" i="10"/>
  <c r="G71" i="10" s="1"/>
  <c r="V71" i="10" s="1"/>
  <c r="W72" i="10"/>
  <c r="G72" i="10" s="1"/>
  <c r="V72" i="10" s="1"/>
  <c r="W73" i="10"/>
  <c r="G73" i="10" s="1"/>
  <c r="V73" i="10" s="1"/>
  <c r="W74" i="10"/>
  <c r="G74" i="10" s="1"/>
  <c r="V74" i="10" s="1"/>
  <c r="W75" i="10"/>
  <c r="G75" i="10" s="1"/>
  <c r="V75" i="10" s="1"/>
  <c r="W76" i="10"/>
  <c r="G76" i="10" s="1"/>
  <c r="V76" i="10" s="1"/>
  <c r="W77" i="10"/>
  <c r="G77" i="10" s="1"/>
  <c r="V77" i="10" s="1"/>
  <c r="W78" i="10"/>
  <c r="G78" i="10" s="1"/>
  <c r="V78" i="10" s="1"/>
  <c r="W79" i="10"/>
  <c r="G79" i="10" s="1"/>
  <c r="V79" i="10" s="1"/>
  <c r="W80" i="10"/>
  <c r="G80" i="10" s="1"/>
  <c r="V80" i="10" s="1"/>
  <c r="W81" i="10"/>
  <c r="G81" i="10" s="1"/>
  <c r="V81" i="10" s="1"/>
  <c r="W82" i="10"/>
  <c r="G82" i="10" s="1"/>
  <c r="V82" i="10" s="1"/>
  <c r="W83" i="10"/>
  <c r="G83" i="10" s="1"/>
  <c r="V83" i="10" s="1"/>
  <c r="W84" i="10"/>
  <c r="G84" i="10" s="1"/>
  <c r="V84" i="10" s="1"/>
  <c r="W85" i="10"/>
  <c r="W86" i="10"/>
  <c r="W87" i="10"/>
  <c r="W88" i="10"/>
  <c r="W89" i="10"/>
  <c r="W90" i="10"/>
  <c r="W91" i="10"/>
  <c r="W92" i="10"/>
  <c r="W93" i="10"/>
  <c r="W94" i="10"/>
  <c r="W95" i="10"/>
  <c r="W96" i="10"/>
  <c r="W97" i="10"/>
  <c r="W98" i="10"/>
  <c r="W99" i="10"/>
  <c r="W100" i="10"/>
  <c r="W101" i="10"/>
  <c r="W102" i="10"/>
  <c r="W103" i="10"/>
  <c r="W104" i="10"/>
  <c r="W105" i="10"/>
  <c r="W106" i="10"/>
  <c r="W114" i="10"/>
  <c r="X89" i="10" l="1"/>
  <c r="G89" i="10" s="1"/>
  <c r="V89" i="10" s="1"/>
  <c r="X94" i="10"/>
  <c r="G94" i="10" s="1"/>
  <c r="V94" i="10" s="1"/>
  <c r="X88" i="10"/>
  <c r="G88" i="10" s="1"/>
  <c r="V88" i="10" s="1"/>
  <c r="X95" i="10"/>
  <c r="G95" i="10" s="1"/>
  <c r="V95" i="10" s="1"/>
  <c r="X106" i="10"/>
  <c r="G106" i="10" s="1"/>
  <c r="V106" i="10" s="1"/>
  <c r="X97" i="10"/>
  <c r="G97" i="10" s="1"/>
  <c r="V97" i="10" s="1"/>
  <c r="X90" i="10"/>
  <c r="G90" i="10" s="1"/>
  <c r="V90" i="10" s="1"/>
  <c r="X91" i="10"/>
  <c r="G91" i="10" s="1"/>
  <c r="V91" i="10" s="1"/>
  <c r="X100" i="10"/>
  <c r="G100" i="10" s="1"/>
  <c r="V100" i="10" s="1"/>
  <c r="X98" i="10"/>
  <c r="G98" i="10" s="1"/>
  <c r="V98" i="10" s="1"/>
  <c r="X102" i="10"/>
  <c r="G102" i="10" s="1"/>
  <c r="V102" i="10" s="1"/>
  <c r="X86" i="10"/>
  <c r="G86" i="10" s="1"/>
  <c r="V86" i="10" s="1"/>
  <c r="X93" i="10"/>
  <c r="G93" i="10" s="1"/>
  <c r="V93" i="10" s="1"/>
  <c r="X96" i="10"/>
  <c r="G96" i="10" s="1"/>
  <c r="V96" i="10" s="1"/>
  <c r="X104" i="10"/>
  <c r="G104" i="10" s="1"/>
  <c r="V104" i="10" s="1"/>
  <c r="X85" i="10"/>
  <c r="G85" i="10" s="1"/>
  <c r="V85" i="10" s="1"/>
  <c r="X87" i="10"/>
  <c r="G87" i="10" s="1"/>
  <c r="V87" i="10" s="1"/>
  <c r="X92" i="10"/>
  <c r="G92" i="10" s="1"/>
  <c r="V92" i="10" s="1"/>
  <c r="X105" i="10"/>
  <c r="G105" i="10" s="1"/>
  <c r="V105" i="10" s="1"/>
  <c r="X99" i="10"/>
  <c r="G99" i="10" s="1"/>
  <c r="V99" i="10" s="1"/>
  <c r="X101" i="10"/>
  <c r="G101" i="10" s="1"/>
  <c r="V101" i="10" s="1"/>
  <c r="X103" i="10"/>
  <c r="G103" i="10" s="1"/>
  <c r="V103" i="10" s="1"/>
  <c r="X107" i="10"/>
  <c r="G107" i="10" s="1"/>
  <c r="V107" i="10" s="1"/>
  <c r="X109" i="10" l="1"/>
  <c r="G109" i="10" s="1"/>
  <c r="V109" i="10" s="1"/>
  <c r="X111" i="10"/>
  <c r="G111" i="10" s="1"/>
  <c r="V111" i="10" s="1"/>
  <c r="X113" i="10"/>
  <c r="G113" i="10" s="1"/>
  <c r="V113" i="10" s="1"/>
  <c r="X114" i="10"/>
  <c r="G114" i="10" s="1"/>
  <c r="V114" i="10" s="1"/>
  <c r="X116" i="10"/>
  <c r="G116" i="10" s="1"/>
  <c r="V116" i="10" s="1"/>
  <c r="X118" i="10"/>
  <c r="G118" i="10" s="1"/>
  <c r="V118" i="10" s="1"/>
  <c r="X120" i="10"/>
  <c r="G120" i="10" s="1"/>
  <c r="V120" i="10" s="1"/>
  <c r="X122" i="10"/>
  <c r="G122" i="10" s="1"/>
  <c r="V122" i="10" s="1"/>
  <c r="X124" i="10"/>
  <c r="G124" i="10" s="1"/>
  <c r="V124" i="10" s="1"/>
  <c r="X136" i="10"/>
  <c r="G136" i="10" s="1"/>
  <c r="V136" i="10" s="1"/>
  <c r="X138" i="10"/>
  <c r="G138" i="10" s="1"/>
  <c r="V138" i="10" s="1"/>
  <c r="X140" i="10"/>
  <c r="G140" i="10" s="1"/>
  <c r="V140" i="10" s="1"/>
  <c r="X142" i="10"/>
  <c r="G142" i="10" s="1"/>
  <c r="V142" i="10" s="1"/>
  <c r="X144" i="10"/>
  <c r="G144" i="10" s="1"/>
  <c r="V144" i="10" s="1"/>
  <c r="X108" i="10"/>
  <c r="G108" i="10" s="1"/>
  <c r="V108" i="10" s="1"/>
  <c r="X110" i="10"/>
  <c r="G110" i="10" s="1"/>
  <c r="V110" i="10" s="1"/>
  <c r="X112" i="10"/>
  <c r="G112" i="10" s="1"/>
  <c r="V112" i="10" s="1"/>
  <c r="X115" i="10"/>
  <c r="G115" i="10" s="1"/>
  <c r="V115" i="10" s="1"/>
  <c r="X117" i="10"/>
  <c r="G117" i="10" s="1"/>
  <c r="V117" i="10" s="1"/>
  <c r="X119" i="10"/>
  <c r="G119" i="10" s="1"/>
  <c r="V119" i="10" s="1"/>
  <c r="X121" i="10"/>
  <c r="G121" i="10" s="1"/>
  <c r="V121" i="10" s="1"/>
  <c r="X123" i="10"/>
  <c r="G123" i="10" s="1"/>
  <c r="V123" i="10" s="1"/>
  <c r="X135" i="10"/>
  <c r="G135" i="10" s="1"/>
  <c r="V135" i="10" s="1"/>
  <c r="X137" i="10"/>
  <c r="G137" i="10" s="1"/>
  <c r="V137" i="10" s="1"/>
  <c r="X139" i="10"/>
  <c r="G139" i="10" s="1"/>
  <c r="V139" i="10" s="1"/>
  <c r="X141" i="10"/>
  <c r="G141" i="10" s="1"/>
  <c r="V141" i="10" s="1"/>
  <c r="X143" i="10"/>
  <c r="G143" i="10" s="1"/>
  <c r="V143" i="10" s="1"/>
  <c r="X162" i="10" l="1"/>
  <c r="G162" i="10" s="1"/>
  <c r="V162" i="10" s="1"/>
  <c r="F160" i="17" s="1"/>
  <c r="X164" i="10"/>
  <c r="G164" i="10" s="1"/>
  <c r="V164" i="10" s="1"/>
  <c r="F162" i="17" s="1"/>
  <c r="X166" i="10"/>
  <c r="G166" i="10" s="1"/>
  <c r="V166" i="10" s="1"/>
  <c r="F164" i="17" s="1"/>
  <c r="X168" i="10"/>
  <c r="G168" i="10" s="1"/>
  <c r="V168" i="10" s="1"/>
  <c r="F166" i="17" s="1"/>
  <c r="X170" i="10"/>
  <c r="G170" i="10" s="1"/>
  <c r="V170" i="10" s="1"/>
  <c r="F168" i="17" s="1"/>
  <c r="X172" i="10"/>
  <c r="G172" i="10" s="1"/>
  <c r="V172" i="10" s="1"/>
  <c r="F170" i="17" s="1"/>
  <c r="X174" i="10"/>
  <c r="G174" i="10" s="1"/>
  <c r="V174" i="10" s="1"/>
  <c r="F172" i="17" s="1"/>
  <c r="X161" i="10"/>
  <c r="G161" i="10" s="1"/>
  <c r="V161" i="10" s="1"/>
  <c r="F159" i="17" s="1"/>
  <c r="X163" i="10"/>
  <c r="G163" i="10" s="1"/>
  <c r="V163" i="10" s="1"/>
  <c r="F161" i="17" s="1"/>
  <c r="X165" i="10"/>
  <c r="G165" i="10" s="1"/>
  <c r="V165" i="10" s="1"/>
  <c r="F163" i="17" s="1"/>
  <c r="X167" i="10"/>
  <c r="G167" i="10" s="1"/>
  <c r="V167" i="10" s="1"/>
  <c r="F165" i="17" s="1"/>
  <c r="X169" i="10"/>
  <c r="G169" i="10" s="1"/>
  <c r="V169" i="10" s="1"/>
  <c r="F167" i="17" s="1"/>
  <c r="X171" i="10"/>
  <c r="G171" i="10" s="1"/>
  <c r="V171" i="10" s="1"/>
  <c r="F169" i="17" s="1"/>
  <c r="X173" i="10"/>
  <c r="G173" i="10" s="1"/>
  <c r="V173" i="10" s="1"/>
  <c r="F171" i="17" s="1"/>
  <c r="X160" i="10"/>
  <c r="G160" i="10" s="1"/>
  <c r="V160" i="10" s="1"/>
  <c r="F158" i="17" s="1"/>
  <c r="J39" i="32" l="1"/>
  <c r="J38" i="32"/>
  <c r="J37" i="32"/>
  <c r="J40" i="32"/>
  <c r="K37" i="32" l="1"/>
  <c r="L37" i="32" s="1"/>
  <c r="M37" i="32" s="1"/>
  <c r="K39" i="32"/>
  <c r="L39" i="32" s="1"/>
  <c r="M39" i="32" s="1"/>
  <c r="K40" i="32"/>
  <c r="L40" i="32" s="1"/>
  <c r="M40" i="32" s="1"/>
  <c r="O40" i="32" s="1"/>
  <c r="N40" i="32" s="1"/>
  <c r="K38" i="32"/>
  <c r="L38" i="32" s="1"/>
  <c r="M38" i="32" s="1"/>
  <c r="M42" i="32" l="1"/>
  <c r="N42" i="32" s="1"/>
  <c r="O37" i="32"/>
  <c r="O38" i="32"/>
  <c r="N38" i="32"/>
  <c r="N39" i="32"/>
  <c r="O39" i="32"/>
  <c r="N37" i="32"/>
  <c r="O42" i="32"/>
  <c r="O43" i="32" s="1"/>
  <c r="E223" i="21" l="1"/>
  <c r="E224" i="21"/>
  <c r="E212" i="21"/>
  <c r="E211" i="21"/>
  <c r="E218" i="21"/>
  <c r="E213" i="21"/>
  <c r="E210" i="21"/>
  <c r="E207" i="21"/>
  <c r="E215" i="21"/>
  <c r="E219" i="21"/>
  <c r="E220" i="21"/>
  <c r="E209" i="21"/>
  <c r="E214" i="21"/>
  <c r="E217" i="21"/>
  <c r="E222" i="21"/>
  <c r="E221" i="21"/>
  <c r="E206" i="21"/>
  <c r="E208" i="21"/>
  <c r="E216" i="21"/>
  <c r="R216" i="21" l="1"/>
  <c r="P216" i="21"/>
  <c r="N216" i="21"/>
  <c r="L216" i="21"/>
  <c r="P206" i="21"/>
  <c r="N206" i="21"/>
  <c r="R206" i="21"/>
  <c r="L206" i="21"/>
  <c r="P222" i="21"/>
  <c r="N222" i="21"/>
  <c r="R222" i="21"/>
  <c r="L222" i="21"/>
  <c r="P214" i="21"/>
  <c r="N214" i="21"/>
  <c r="R214" i="21"/>
  <c r="L214" i="21"/>
  <c r="R220" i="21"/>
  <c r="P220" i="21"/>
  <c r="N220" i="21"/>
  <c r="L220" i="21"/>
  <c r="R215" i="21"/>
  <c r="P215" i="21"/>
  <c r="N215" i="21"/>
  <c r="L215" i="21"/>
  <c r="P210" i="21"/>
  <c r="N210" i="21"/>
  <c r="R210" i="21"/>
  <c r="L210" i="21"/>
  <c r="P218" i="21"/>
  <c r="N218" i="21"/>
  <c r="R218" i="21"/>
  <c r="L218" i="21"/>
  <c r="R212" i="21"/>
  <c r="P212" i="21"/>
  <c r="N212" i="21"/>
  <c r="L212" i="21"/>
  <c r="R223" i="21"/>
  <c r="P223" i="21"/>
  <c r="N223" i="21"/>
  <c r="L223" i="21"/>
  <c r="R208" i="21"/>
  <c r="P208" i="21"/>
  <c r="N208" i="21"/>
  <c r="L208" i="21"/>
  <c r="N221" i="21"/>
  <c r="R221" i="21"/>
  <c r="P221" i="21"/>
  <c r="L221" i="21"/>
  <c r="N217" i="21"/>
  <c r="R217" i="21"/>
  <c r="P217" i="21"/>
  <c r="L217" i="21"/>
  <c r="N209" i="21"/>
  <c r="R209" i="21"/>
  <c r="P209" i="21"/>
  <c r="L209" i="21"/>
  <c r="R219" i="21"/>
  <c r="P219" i="21"/>
  <c r="N219" i="21"/>
  <c r="L219" i="21"/>
  <c r="R207" i="21"/>
  <c r="P207" i="21"/>
  <c r="N207" i="21"/>
  <c r="L207" i="21"/>
  <c r="N213" i="21"/>
  <c r="R213" i="21"/>
  <c r="P213" i="21"/>
  <c r="L213" i="21"/>
  <c r="R211" i="21"/>
  <c r="P211" i="21"/>
  <c r="N211" i="21"/>
  <c r="L211" i="21"/>
  <c r="R224" i="21"/>
  <c r="N224" i="21"/>
  <c r="P224" i="21"/>
  <c r="L224" i="21"/>
  <c r="S218" i="21" l="1"/>
  <c r="S210" i="21"/>
  <c r="S215" i="21"/>
  <c r="S220" i="21"/>
  <c r="S214" i="21"/>
  <c r="S222" i="21"/>
  <c r="S206" i="21"/>
  <c r="J22" i="15" s="1"/>
  <c r="S224" i="21"/>
  <c r="S211" i="21"/>
  <c r="S207" i="21"/>
  <c r="J23" i="15" s="1"/>
  <c r="S219" i="21"/>
  <c r="S209" i="21"/>
  <c r="J25" i="15" s="1"/>
  <c r="D217" i="21"/>
  <c r="E215" i="17" s="1"/>
  <c r="F215" i="17" s="1"/>
  <c r="S208" i="21"/>
  <c r="J24" i="15" s="1"/>
  <c r="S223" i="21"/>
  <c r="D218" i="21"/>
  <c r="E216" i="17" s="1"/>
  <c r="F216" i="17" s="1"/>
  <c r="D214" i="21"/>
  <c r="F214" i="21" s="1"/>
  <c r="H214" i="21" s="1"/>
  <c r="J214" i="21" s="1"/>
  <c r="D216" i="21"/>
  <c r="E214" i="17" s="1"/>
  <c r="F214" i="17" s="1"/>
  <c r="D215" i="21"/>
  <c r="E213" i="17" s="1"/>
  <c r="F213" i="17" s="1"/>
  <c r="D206" i="21"/>
  <c r="F206" i="21" s="1"/>
  <c r="S212" i="21"/>
  <c r="J26" i="15" s="1"/>
  <c r="D223" i="21"/>
  <c r="F223" i="21" s="1"/>
  <c r="H223" i="21" s="1"/>
  <c r="J223" i="21" s="1"/>
  <c r="D207" i="21"/>
  <c r="D209" i="21"/>
  <c r="S217" i="21"/>
  <c r="S216" i="21"/>
  <c r="D208" i="21"/>
  <c r="D213" i="21"/>
  <c r="S213" i="21"/>
  <c r="J27" i="15" s="1"/>
  <c r="D221" i="21"/>
  <c r="S221" i="21"/>
  <c r="D212" i="21"/>
  <c r="F212" i="21" s="1"/>
  <c r="H212" i="21" s="1"/>
  <c r="J212" i="21" s="1"/>
  <c r="D210" i="21"/>
  <c r="F210" i="21" s="1"/>
  <c r="H210" i="21" s="1"/>
  <c r="J210" i="21" s="1"/>
  <c r="D220" i="21"/>
  <c r="F220" i="21" s="1"/>
  <c r="H220" i="21" s="1"/>
  <c r="J220" i="21" s="1"/>
  <c r="D222" i="21"/>
  <c r="E220" i="17" s="1"/>
  <c r="F220" i="17" s="1"/>
  <c r="D219" i="21"/>
  <c r="D211" i="21"/>
  <c r="D224" i="21"/>
  <c r="E204" i="17"/>
  <c r="F204" i="17" s="1"/>
  <c r="E208" i="17"/>
  <c r="F208" i="17" s="1"/>
  <c r="E221" i="17" l="1"/>
  <c r="F221" i="17" s="1"/>
  <c r="F217" i="21"/>
  <c r="H217" i="21" s="1"/>
  <c r="J217" i="21" s="1"/>
  <c r="F216" i="21"/>
  <c r="H216" i="21" s="1"/>
  <c r="J216" i="21" s="1"/>
  <c r="F222" i="21"/>
  <c r="H222" i="21" s="1"/>
  <c r="J222" i="21" s="1"/>
  <c r="F215" i="21"/>
  <c r="H215" i="21" s="1"/>
  <c r="J215" i="21" s="1"/>
  <c r="F218" i="21"/>
  <c r="H218" i="21" s="1"/>
  <c r="J218" i="21" s="1"/>
  <c r="E212" i="17"/>
  <c r="F212" i="17" s="1"/>
  <c r="E218" i="17"/>
  <c r="F218" i="17" s="1"/>
  <c r="E210" i="17"/>
  <c r="F210" i="17" s="1"/>
  <c r="F224" i="21"/>
  <c r="H224" i="21" s="1"/>
  <c r="J224" i="21" s="1"/>
  <c r="E222" i="17"/>
  <c r="F222" i="17" s="1"/>
  <c r="F219" i="21"/>
  <c r="H219" i="21" s="1"/>
  <c r="J219" i="21" s="1"/>
  <c r="E217" i="17"/>
  <c r="F217" i="17" s="1"/>
  <c r="F208" i="21"/>
  <c r="H208" i="21" s="1"/>
  <c r="J208" i="21" s="1"/>
  <c r="E206" i="17"/>
  <c r="F206" i="17" s="1"/>
  <c r="F209" i="21"/>
  <c r="H209" i="21" s="1"/>
  <c r="J209" i="21" s="1"/>
  <c r="E207" i="17"/>
  <c r="F207" i="17" s="1"/>
  <c r="H206" i="21"/>
  <c r="J206" i="21" s="1"/>
  <c r="F211" i="21"/>
  <c r="H211" i="21" s="1"/>
  <c r="J211" i="21" s="1"/>
  <c r="E209" i="17"/>
  <c r="F209" i="17" s="1"/>
  <c r="F221" i="21"/>
  <c r="H221" i="21" s="1"/>
  <c r="J221" i="21" s="1"/>
  <c r="E219" i="17"/>
  <c r="F219" i="17" s="1"/>
  <c r="F213" i="21"/>
  <c r="H213" i="21" s="1"/>
  <c r="J213" i="21" s="1"/>
  <c r="E211" i="17"/>
  <c r="F211" i="17" s="1"/>
  <c r="F207" i="21"/>
  <c r="H207" i="21" s="1"/>
  <c r="J207" i="21" s="1"/>
  <c r="E205" i="17"/>
  <c r="F205" i="17" s="1"/>
  <c r="E291" i="21" l="1"/>
  <c r="D291" i="21" s="1"/>
  <c r="F291" i="21" s="1"/>
  <c r="H291" i="21" s="1"/>
  <c r="J291" i="21" s="1"/>
  <c r="E276" i="21"/>
  <c r="D276" i="21" s="1"/>
  <c r="F276" i="21" s="1"/>
  <c r="H276" i="21" s="1"/>
  <c r="J276" i="21" s="1"/>
  <c r="E264" i="21"/>
  <c r="S264" i="21" s="1"/>
  <c r="E252" i="21"/>
  <c r="D252" i="21" s="1"/>
  <c r="F252" i="21" s="1"/>
  <c r="H252" i="21" s="1"/>
  <c r="J252" i="21" s="1"/>
  <c r="E244" i="21"/>
  <c r="S244" i="21" s="1"/>
  <c r="E236" i="21"/>
  <c r="D236" i="21" s="1"/>
  <c r="F236" i="21" s="1"/>
  <c r="H236" i="21" s="1"/>
  <c r="J236" i="21" s="1"/>
  <c r="E228" i="21"/>
  <c r="S228" i="21" s="1"/>
  <c r="D228" i="21"/>
  <c r="F228" i="21" s="1"/>
  <c r="H228" i="21" s="1"/>
  <c r="J228" i="21" s="1"/>
  <c r="E275" i="21"/>
  <c r="D275" i="21" s="1"/>
  <c r="F275" i="21" s="1"/>
  <c r="H275" i="21" s="1"/>
  <c r="J275" i="21" s="1"/>
  <c r="E253" i="21"/>
  <c r="S253" i="21" s="1"/>
  <c r="E225" i="21"/>
  <c r="S225" i="21" s="1"/>
  <c r="E287" i="21"/>
  <c r="D287" i="21" s="1"/>
  <c r="F287" i="21" s="1"/>
  <c r="H287" i="21" s="1"/>
  <c r="J287" i="21" s="1"/>
  <c r="E270" i="21"/>
  <c r="D270" i="21" s="1"/>
  <c r="F270" i="21" s="1"/>
  <c r="H270" i="21" s="1"/>
  <c r="J270" i="21" s="1"/>
  <c r="E250" i="21"/>
  <c r="D250" i="21" s="1"/>
  <c r="F250" i="21" s="1"/>
  <c r="H250" i="21" s="1"/>
  <c r="J250" i="21" s="1"/>
  <c r="E234" i="21"/>
  <c r="D234" i="21" s="1"/>
  <c r="F234" i="21" s="1"/>
  <c r="H234" i="21" s="1"/>
  <c r="J234" i="21" s="1"/>
  <c r="E284" i="21"/>
  <c r="D284" i="21" s="1"/>
  <c r="F284" i="21" s="1"/>
  <c r="H284" i="21" s="1"/>
  <c r="J284" i="21" s="1"/>
  <c r="E254" i="21"/>
  <c r="D254" i="21" s="1"/>
  <c r="F254" i="21" s="1"/>
  <c r="H254" i="21" s="1"/>
  <c r="J254" i="21" s="1"/>
  <c r="E277" i="21"/>
  <c r="D277" i="21" s="1"/>
  <c r="F277" i="21" s="1"/>
  <c r="H277" i="21" s="1"/>
  <c r="J277" i="21" s="1"/>
  <c r="E296" i="21"/>
  <c r="D296" i="21" s="1"/>
  <c r="F296" i="21" s="1"/>
  <c r="H296" i="21" s="1"/>
  <c r="J296" i="21" s="1"/>
  <c r="E295" i="21"/>
  <c r="D295" i="21" s="1"/>
  <c r="F295" i="21" s="1"/>
  <c r="H295" i="21" s="1"/>
  <c r="J295" i="21" s="1"/>
  <c r="E266" i="21"/>
  <c r="D266" i="21" s="1"/>
  <c r="F266" i="21" s="1"/>
  <c r="H266" i="21" s="1"/>
  <c r="J266" i="21" s="1"/>
  <c r="E230" i="21"/>
  <c r="D230" i="21" s="1"/>
  <c r="F230" i="21" s="1"/>
  <c r="H230" i="21" s="1"/>
  <c r="J230" i="21" s="1"/>
  <c r="E265" i="21"/>
  <c r="D265" i="21" s="1"/>
  <c r="F265" i="21" s="1"/>
  <c r="H265" i="21" s="1"/>
  <c r="J265" i="21" s="1"/>
  <c r="E298" i="21"/>
  <c r="D298" i="21" s="1"/>
  <c r="F298" i="21" s="1"/>
  <c r="H298" i="21" s="1"/>
  <c r="J298" i="21" s="1"/>
  <c r="E300" i="21"/>
  <c r="D300" i="21" s="1"/>
  <c r="F300" i="21" s="1"/>
  <c r="H300" i="21" s="1"/>
  <c r="J300" i="21" s="1"/>
  <c r="E293" i="21"/>
  <c r="D293" i="21" s="1"/>
  <c r="F293" i="21" s="1"/>
  <c r="H293" i="21" s="1"/>
  <c r="J293" i="21" s="1"/>
  <c r="E229" i="21"/>
  <c r="D229" i="21" s="1"/>
  <c r="F229" i="21" s="1"/>
  <c r="H229" i="21" s="1"/>
  <c r="J229" i="21" s="1"/>
  <c r="E286" i="21"/>
  <c r="D286" i="21" s="1"/>
  <c r="F286" i="21" s="1"/>
  <c r="H286" i="21" s="1"/>
  <c r="J286" i="21" s="1"/>
  <c r="E274" i="21"/>
  <c r="D274" i="21" s="1"/>
  <c r="F274" i="21" s="1"/>
  <c r="H274" i="21" s="1"/>
  <c r="J274" i="21" s="1"/>
  <c r="E272" i="21"/>
  <c r="D272" i="21" s="1"/>
  <c r="F272" i="21" s="1"/>
  <c r="H272" i="21" s="1"/>
  <c r="J272" i="21" s="1"/>
  <c r="E285" i="21"/>
  <c r="D285" i="21" s="1"/>
  <c r="F285" i="21" s="1"/>
  <c r="H285" i="21" s="1"/>
  <c r="J285" i="21" s="1"/>
  <c r="E279" i="21"/>
  <c r="D279" i="21" s="1"/>
  <c r="F279" i="21" s="1"/>
  <c r="H279" i="21" s="1"/>
  <c r="J279" i="21" s="1"/>
  <c r="E299" i="21"/>
  <c r="D299" i="21" s="1"/>
  <c r="F299" i="21" s="1"/>
  <c r="H299" i="21" s="1"/>
  <c r="J299" i="21" s="1"/>
  <c r="E282" i="21"/>
  <c r="D282" i="21" s="1"/>
  <c r="F282" i="21" s="1"/>
  <c r="H282" i="21" s="1"/>
  <c r="J282" i="21" s="1"/>
  <c r="E268" i="21"/>
  <c r="D268" i="21" s="1"/>
  <c r="F268" i="21" s="1"/>
  <c r="H268" i="21" s="1"/>
  <c r="J268" i="21" s="1"/>
  <c r="E256" i="21"/>
  <c r="D256" i="21" s="1"/>
  <c r="F256" i="21" s="1"/>
  <c r="H256" i="21" s="1"/>
  <c r="J256" i="21" s="1"/>
  <c r="E248" i="21"/>
  <c r="D248" i="21" s="1"/>
  <c r="F248" i="21" s="1"/>
  <c r="H248" i="21" s="1"/>
  <c r="J248" i="21" s="1"/>
  <c r="E240" i="21"/>
  <c r="D240" i="21" s="1"/>
  <c r="F240" i="21" s="1"/>
  <c r="H240" i="21" s="1"/>
  <c r="J240" i="21" s="1"/>
  <c r="E232" i="21"/>
  <c r="D232" i="21" s="1"/>
  <c r="F232" i="21" s="1"/>
  <c r="H232" i="21" s="1"/>
  <c r="J232" i="21" s="1"/>
  <c r="E261" i="21"/>
  <c r="D261" i="21" s="1"/>
  <c r="F261" i="21" s="1"/>
  <c r="H261" i="21" s="1"/>
  <c r="J261" i="21" s="1"/>
  <c r="E227" i="21"/>
  <c r="D227" i="21" s="1"/>
  <c r="F227" i="21" s="1"/>
  <c r="H227" i="21" s="1"/>
  <c r="J227" i="21" s="1"/>
  <c r="E297" i="21"/>
  <c r="D297" i="21" s="1"/>
  <c r="F297" i="21" s="1"/>
  <c r="H297" i="21" s="1"/>
  <c r="J297" i="21" s="1"/>
  <c r="E290" i="21"/>
  <c r="D290" i="21" s="1"/>
  <c r="F290" i="21" s="1"/>
  <c r="H290" i="21" s="1"/>
  <c r="J290" i="21" s="1"/>
  <c r="E258" i="21"/>
  <c r="D258" i="21" s="1"/>
  <c r="F258" i="21" s="1"/>
  <c r="H258" i="21" s="1"/>
  <c r="J258" i="21" s="1"/>
  <c r="E242" i="21"/>
  <c r="S242" i="21" s="1"/>
  <c r="E226" i="21"/>
  <c r="D226" i="21" s="1"/>
  <c r="E278" i="21"/>
  <c r="D278" i="21" s="1"/>
  <c r="E238" i="21"/>
  <c r="D238" i="21" s="1"/>
  <c r="E273" i="21"/>
  <c r="D273" i="21" s="1"/>
  <c r="E260" i="21"/>
  <c r="D260" i="21" s="1"/>
  <c r="E292" i="21"/>
  <c r="D292" i="21" s="1"/>
  <c r="E246" i="21"/>
  <c r="D246" i="21" s="1"/>
  <c r="E245" i="21"/>
  <c r="D245" i="21" s="1"/>
  <c r="E289" i="21"/>
  <c r="D289" i="21" s="1"/>
  <c r="E280" i="21"/>
  <c r="D280" i="21" s="1"/>
  <c r="E303" i="21"/>
  <c r="D303" i="21" s="1"/>
  <c r="E281" i="21"/>
  <c r="D281" i="21" s="1"/>
  <c r="E294" i="21"/>
  <c r="D294" i="21" s="1"/>
  <c r="E301" i="21"/>
  <c r="D301" i="21" s="1"/>
  <c r="E302" i="21"/>
  <c r="D302" i="21" s="1"/>
  <c r="E288" i="21"/>
  <c r="D288" i="21" s="1"/>
  <c r="E262" i="21"/>
  <c r="D262" i="21" s="1"/>
  <c r="E237" i="21"/>
  <c r="D237" i="21" s="1"/>
  <c r="E233" i="21"/>
  <c r="D233" i="21" s="1"/>
  <c r="E249" i="21"/>
  <c r="D249" i="21" s="1"/>
  <c r="E241" i="21"/>
  <c r="D241" i="21" s="1"/>
  <c r="E298" i="17"/>
  <c r="E297" i="17"/>
  <c r="E296" i="17"/>
  <c r="F296" i="17" s="1"/>
  <c r="E295" i="17"/>
  <c r="E294" i="17"/>
  <c r="E293" i="17"/>
  <c r="E291" i="17"/>
  <c r="F291" i="17" s="1"/>
  <c r="E289" i="17"/>
  <c r="E288" i="17"/>
  <c r="E285" i="17"/>
  <c r="E284" i="17"/>
  <c r="F284" i="17" s="1"/>
  <c r="E283" i="17"/>
  <c r="E282" i="17"/>
  <c r="F282" i="17" s="1"/>
  <c r="E280" i="17"/>
  <c r="E277" i="17"/>
  <c r="F277" i="17" s="1"/>
  <c r="E275" i="17"/>
  <c r="E274" i="17"/>
  <c r="E273" i="17"/>
  <c r="E270" i="17"/>
  <c r="E268" i="17"/>
  <c r="E266" i="17"/>
  <c r="E264" i="17"/>
  <c r="F264" i="17" s="1"/>
  <c r="E263" i="17"/>
  <c r="E259" i="17"/>
  <c r="E256" i="17"/>
  <c r="F256" i="17" s="1"/>
  <c r="E254" i="17"/>
  <c r="E252" i="17"/>
  <c r="F252" i="17" s="1"/>
  <c r="E250" i="17"/>
  <c r="F250" i="17" s="1"/>
  <c r="E248" i="17"/>
  <c r="E238" i="17"/>
  <c r="E234" i="17"/>
  <c r="F234" i="17" s="1"/>
  <c r="E232" i="17"/>
  <c r="E230" i="17"/>
  <c r="F230" i="17" s="1"/>
  <c r="E228" i="17"/>
  <c r="E227" i="17"/>
  <c r="E226" i="17"/>
  <c r="E225" i="17"/>
  <c r="F298" i="17"/>
  <c r="F294" i="17"/>
  <c r="F288" i="17"/>
  <c r="F280" i="17"/>
  <c r="F274" i="17"/>
  <c r="F270" i="17"/>
  <c r="F268" i="17"/>
  <c r="F266" i="17"/>
  <c r="F297" i="17"/>
  <c r="F293" i="17"/>
  <c r="F289" i="17"/>
  <c r="F285" i="17"/>
  <c r="F273" i="17"/>
  <c r="F225" i="17"/>
  <c r="F254" i="17"/>
  <c r="F248" i="17"/>
  <c r="F238" i="17"/>
  <c r="F232" i="17"/>
  <c r="F228" i="17"/>
  <c r="F226" i="17"/>
  <c r="F295" i="17"/>
  <c r="F283" i="17"/>
  <c r="F275" i="17"/>
  <c r="F263" i="17"/>
  <c r="F259" i="17"/>
  <c r="F227" i="17"/>
  <c r="S292" i="21" l="1"/>
  <c r="S285" i="21"/>
  <c r="S240" i="21"/>
  <c r="D244" i="21"/>
  <c r="D253" i="21"/>
  <c r="E272" i="17"/>
  <c r="F272" i="17" s="1"/>
  <c r="D264" i="21"/>
  <c r="E246" i="17"/>
  <c r="F246" i="17" s="1"/>
  <c r="D242" i="21"/>
  <c r="S252" i="21"/>
  <c r="S277" i="21"/>
  <c r="S237" i="21"/>
  <c r="S291" i="21"/>
  <c r="S272" i="21"/>
  <c r="S297" i="21"/>
  <c r="S230" i="21"/>
  <c r="S245" i="21"/>
  <c r="S256" i="21"/>
  <c r="S275" i="21"/>
  <c r="S282" i="21"/>
  <c r="S286" i="21"/>
  <c r="S249" i="21"/>
  <c r="S281" i="21"/>
  <c r="S270" i="21"/>
  <c r="S234" i="21"/>
  <c r="S241" i="21"/>
  <c r="S229" i="21"/>
  <c r="S236" i="21"/>
  <c r="S238" i="21"/>
  <c r="S299" i="21"/>
  <c r="S226" i="21"/>
  <c r="S274" i="21"/>
  <c r="S258" i="21"/>
  <c r="S261" i="21"/>
  <c r="S279" i="21"/>
  <c r="S287" i="21"/>
  <c r="S295" i="21"/>
  <c r="S278" i="21"/>
  <c r="S298" i="21"/>
  <c r="S250" i="21"/>
  <c r="S273" i="21"/>
  <c r="S280" i="21"/>
  <c r="S293" i="21"/>
  <c r="S301" i="21"/>
  <c r="S284" i="21"/>
  <c r="S265" i="21"/>
  <c r="S294" i="21"/>
  <c r="S302" i="21"/>
  <c r="S232" i="21"/>
  <c r="S248" i="21"/>
  <c r="S296" i="21"/>
  <c r="S246" i="21"/>
  <c r="S254" i="21"/>
  <c r="S266" i="21"/>
  <c r="S276" i="21"/>
  <c r="S260" i="21"/>
  <c r="S262" i="21"/>
  <c r="S268" i="21"/>
  <c r="S290" i="21"/>
  <c r="S303" i="21"/>
  <c r="S227" i="21"/>
  <c r="S233" i="21"/>
  <c r="S289" i="21"/>
  <c r="S300" i="21"/>
  <c r="S288" i="21"/>
  <c r="D225" i="21"/>
  <c r="E223" i="17" s="1"/>
  <c r="F223" i="17" s="1"/>
  <c r="F241" i="21"/>
  <c r="H241" i="21" s="1"/>
  <c r="J241" i="21" s="1"/>
  <c r="E239" i="17"/>
  <c r="F239" i="17" s="1"/>
  <c r="F233" i="21"/>
  <c r="H233" i="21" s="1"/>
  <c r="J233" i="21" s="1"/>
  <c r="E231" i="17"/>
  <c r="F231" i="17" s="1"/>
  <c r="F262" i="21"/>
  <c r="H262" i="21" s="1"/>
  <c r="J262" i="21" s="1"/>
  <c r="E260" i="17"/>
  <c r="F260" i="17" s="1"/>
  <c r="F302" i="21"/>
  <c r="H302" i="21" s="1"/>
  <c r="J302" i="21" s="1"/>
  <c r="E300" i="17"/>
  <c r="F300" i="17" s="1"/>
  <c r="F294" i="21"/>
  <c r="H294" i="21" s="1"/>
  <c r="J294" i="21" s="1"/>
  <c r="E292" i="17"/>
  <c r="F292" i="17" s="1"/>
  <c r="F303" i="21"/>
  <c r="H303" i="21" s="1"/>
  <c r="J303" i="21" s="1"/>
  <c r="E301" i="17"/>
  <c r="F301" i="17" s="1"/>
  <c r="F289" i="21"/>
  <c r="H289" i="21" s="1"/>
  <c r="J289" i="21" s="1"/>
  <c r="E287" i="17"/>
  <c r="F287" i="17" s="1"/>
  <c r="F246" i="21"/>
  <c r="H246" i="21" s="1"/>
  <c r="J246" i="21" s="1"/>
  <c r="E244" i="17"/>
  <c r="F244" i="17" s="1"/>
  <c r="F260" i="21"/>
  <c r="H260" i="21" s="1"/>
  <c r="J260" i="21" s="1"/>
  <c r="E258" i="17"/>
  <c r="F258" i="17" s="1"/>
  <c r="F238" i="21"/>
  <c r="H238" i="21" s="1"/>
  <c r="J238" i="21" s="1"/>
  <c r="E236" i="17"/>
  <c r="F236" i="17" s="1"/>
  <c r="F226" i="21"/>
  <c r="H226" i="21" s="1"/>
  <c r="J226" i="21" s="1"/>
  <c r="E224" i="17"/>
  <c r="F224" i="17" s="1"/>
  <c r="F249" i="21"/>
  <c r="H249" i="21" s="1"/>
  <c r="J249" i="21" s="1"/>
  <c r="E247" i="17"/>
  <c r="F247" i="17" s="1"/>
  <c r="E235" i="17"/>
  <c r="F235" i="17" s="1"/>
  <c r="F237" i="21"/>
  <c r="H237" i="21" s="1"/>
  <c r="J237" i="21" s="1"/>
  <c r="F288" i="21"/>
  <c r="H288" i="21" s="1"/>
  <c r="J288" i="21" s="1"/>
  <c r="E286" i="17"/>
  <c r="F286" i="17" s="1"/>
  <c r="E299" i="17"/>
  <c r="F299" i="17" s="1"/>
  <c r="F301" i="21"/>
  <c r="H301" i="21" s="1"/>
  <c r="J301" i="21" s="1"/>
  <c r="F281" i="21"/>
  <c r="H281" i="21" s="1"/>
  <c r="J281" i="21" s="1"/>
  <c r="E279" i="17"/>
  <c r="F279" i="17" s="1"/>
  <c r="E278" i="17"/>
  <c r="F278" i="17" s="1"/>
  <c r="F280" i="21"/>
  <c r="H280" i="21" s="1"/>
  <c r="J280" i="21" s="1"/>
  <c r="E243" i="17"/>
  <c r="F243" i="17" s="1"/>
  <c r="F245" i="21"/>
  <c r="H245" i="21" s="1"/>
  <c r="J245" i="21" s="1"/>
  <c r="F292" i="21"/>
  <c r="H292" i="21" s="1"/>
  <c r="J292" i="21" s="1"/>
  <c r="E290" i="17"/>
  <c r="F290" i="17" s="1"/>
  <c r="F273" i="21"/>
  <c r="H273" i="21" s="1"/>
  <c r="J273" i="21" s="1"/>
  <c r="E271" i="17"/>
  <c r="F271" i="17" s="1"/>
  <c r="E276" i="17"/>
  <c r="F276" i="17" s="1"/>
  <c r="F278" i="21"/>
  <c r="H278" i="21" s="1"/>
  <c r="J278" i="21" s="1"/>
  <c r="F242" i="21" l="1"/>
  <c r="H242" i="21" s="1"/>
  <c r="J242" i="21" s="1"/>
  <c r="E240" i="17"/>
  <c r="F240" i="17" s="1"/>
  <c r="F264" i="21"/>
  <c r="H264" i="21" s="1"/>
  <c r="J264" i="21" s="1"/>
  <c r="E262" i="17"/>
  <c r="F262" i="17" s="1"/>
  <c r="F253" i="21"/>
  <c r="H253" i="21" s="1"/>
  <c r="J253" i="21" s="1"/>
  <c r="E251" i="17"/>
  <c r="F251" i="17" s="1"/>
  <c r="F244" i="21"/>
  <c r="H244" i="21" s="1"/>
  <c r="J244" i="21" s="1"/>
  <c r="E242" i="17"/>
  <c r="F242" i="17" s="1"/>
  <c r="F225" i="21"/>
  <c r="H225" i="21" l="1"/>
  <c r="J225" i="21" s="1"/>
  <c r="AC20" i="15" l="1"/>
  <c r="AC24" i="15"/>
  <c r="AC28" i="15"/>
  <c r="AC32" i="15"/>
  <c r="AC36" i="15"/>
  <c r="AC40" i="15"/>
  <c r="AC44" i="15"/>
  <c r="AC48" i="15"/>
  <c r="AC52" i="15"/>
  <c r="AC21" i="15"/>
  <c r="AC25" i="15"/>
  <c r="AC29" i="15"/>
  <c r="AC33" i="15"/>
  <c r="AC37" i="15"/>
  <c r="AC41" i="15"/>
  <c r="AC45" i="15"/>
  <c r="AC49" i="15"/>
  <c r="AC53" i="15"/>
  <c r="AB25" i="15"/>
  <c r="BR20" i="2" s="1"/>
  <c r="AB24" i="15"/>
  <c r="BR19" i="2" s="1"/>
  <c r="AB28" i="15"/>
  <c r="BR23" i="2" s="1"/>
  <c r="AB32" i="15"/>
  <c r="BR27" i="2" s="1"/>
  <c r="AB22" i="15"/>
  <c r="BR17" i="2" s="1"/>
  <c r="AC22" i="15"/>
  <c r="AC26" i="15"/>
  <c r="AC30" i="15"/>
  <c r="AB34" i="15"/>
  <c r="BR29" i="2" s="1"/>
  <c r="AC34" i="15"/>
  <c r="AB38" i="15"/>
  <c r="BR33" i="2" s="1"/>
  <c r="AC38" i="15"/>
  <c r="AC42" i="15"/>
  <c r="AC46" i="15"/>
  <c r="AC50" i="15"/>
  <c r="AC54" i="15"/>
  <c r="AC23" i="15"/>
  <c r="AC27" i="15"/>
  <c r="AC31" i="15"/>
  <c r="AC35" i="15"/>
  <c r="AC39" i="15"/>
  <c r="AC43" i="15"/>
  <c r="AC51" i="15"/>
  <c r="AB41" i="15"/>
  <c r="BR36" i="2" s="1"/>
  <c r="AB37" i="15"/>
  <c r="BR32" i="2" s="1"/>
  <c r="AC19" i="15"/>
  <c r="AB49" i="15"/>
  <c r="BR44" i="2" s="1"/>
  <c r="AB35" i="15"/>
  <c r="BR30" i="2" s="1"/>
  <c r="AB39" i="15"/>
  <c r="BR34" i="2" s="1"/>
  <c r="AB23" i="15"/>
  <c r="BR18" i="2" s="1"/>
  <c r="AB54" i="15"/>
  <c r="BR49" i="2" s="1"/>
  <c r="AB27" i="15"/>
  <c r="BR22" i="2" s="1"/>
  <c r="AB29" i="15"/>
  <c r="BR24" i="2" s="1"/>
  <c r="AB50" i="15"/>
  <c r="BR45" i="2" s="1"/>
  <c r="AB44" i="15"/>
  <c r="BR39" i="2" s="1"/>
  <c r="AB51" i="15"/>
  <c r="BR46" i="2" s="1"/>
  <c r="AB40" i="15"/>
  <c r="BR35" i="2" s="1"/>
  <c r="AB21" i="15"/>
  <c r="BR16" i="2" s="1"/>
  <c r="AB48" i="15"/>
  <c r="BR43" i="2" s="1"/>
  <c r="AB53" i="15"/>
  <c r="BR48" i="2" s="1"/>
  <c r="AB20" i="15"/>
  <c r="BR15" i="2" s="1"/>
  <c r="AB46" i="15"/>
  <c r="BR41" i="2" s="1"/>
  <c r="AB45" i="15"/>
  <c r="BR40" i="2" s="1"/>
  <c r="AB47" i="15"/>
  <c r="BR42" i="2" s="1"/>
  <c r="AC47" i="15"/>
  <c r="AB30" i="15"/>
  <c r="BR25" i="2" s="1"/>
  <c r="AB26" i="15"/>
  <c r="BR21" i="2" s="1"/>
  <c r="AB31" i="15"/>
  <c r="BR26" i="2" s="1"/>
  <c r="AB52" i="15"/>
  <c r="BR47" i="2" s="1"/>
  <c r="AB36" i="15"/>
  <c r="BR31" i="2" s="1"/>
  <c r="AB42" i="15"/>
  <c r="BR37" i="2" s="1"/>
  <c r="AB33" i="15"/>
  <c r="BR28" i="2" s="1"/>
  <c r="AB43" i="15"/>
  <c r="BR38" i="2" s="1"/>
  <c r="AX130" i="11" l="1"/>
  <c r="AX128" i="11"/>
  <c r="AX129" i="11"/>
  <c r="AX127" i="11"/>
  <c r="AX126" i="11"/>
  <c r="AX101" i="11"/>
  <c r="AX103" i="11"/>
  <c r="AX102" i="11"/>
  <c r="AX105" i="11"/>
  <c r="AX104" i="11"/>
  <c r="AX152" i="11"/>
  <c r="AX154" i="11"/>
  <c r="AX151" i="11"/>
  <c r="AX153" i="11"/>
  <c r="AX155" i="11"/>
  <c r="AU104" i="11"/>
  <c r="AU112" i="11"/>
  <c r="AU120" i="11"/>
  <c r="AU128" i="11"/>
  <c r="AU136" i="11"/>
  <c r="AU144" i="11"/>
  <c r="AU152" i="11"/>
  <c r="AU105" i="11"/>
  <c r="AU113" i="11"/>
  <c r="AU121" i="11"/>
  <c r="AU129" i="11"/>
  <c r="AU137" i="11"/>
  <c r="AU145" i="11"/>
  <c r="AU153" i="11"/>
  <c r="AU119" i="11"/>
  <c r="AU143" i="11"/>
  <c r="AU106" i="11"/>
  <c r="AU114" i="11"/>
  <c r="AU122" i="11"/>
  <c r="AU130" i="11"/>
  <c r="AU138" i="11"/>
  <c r="AU146" i="11"/>
  <c r="AU154" i="11"/>
  <c r="AU107" i="11"/>
  <c r="AU115" i="11"/>
  <c r="AU123" i="11"/>
  <c r="AU131" i="11"/>
  <c r="AU139" i="11"/>
  <c r="AU147" i="11"/>
  <c r="AU155" i="11"/>
  <c r="AU103" i="11"/>
  <c r="AU108" i="11"/>
  <c r="AU116" i="11"/>
  <c r="AU124" i="11"/>
  <c r="AU132" i="11"/>
  <c r="AU140" i="11"/>
  <c r="AU148" i="11"/>
  <c r="AU127" i="11"/>
  <c r="AU101" i="11"/>
  <c r="AU109" i="11"/>
  <c r="AU117" i="11"/>
  <c r="AU125" i="11"/>
  <c r="AU133" i="11"/>
  <c r="AU141" i="11"/>
  <c r="AU149" i="11"/>
  <c r="AU151" i="11"/>
  <c r="AU102" i="11"/>
  <c r="AU110" i="11"/>
  <c r="AU118" i="11"/>
  <c r="AU126" i="11"/>
  <c r="AU134" i="11"/>
  <c r="AU142" i="11"/>
  <c r="AU150" i="11"/>
  <c r="AU111" i="11"/>
  <c r="AU135" i="11"/>
  <c r="AX131" i="11"/>
  <c r="AX147" i="11"/>
  <c r="AX136" i="11"/>
  <c r="AX133" i="11"/>
  <c r="AX149" i="11"/>
  <c r="AX138" i="11"/>
  <c r="AX135" i="11"/>
  <c r="AX140" i="11"/>
  <c r="AX137" i="11"/>
  <c r="AX142" i="11"/>
  <c r="AX139" i="11"/>
  <c r="AX144" i="11"/>
  <c r="AX141" i="11"/>
  <c r="AX146" i="11"/>
  <c r="AX143" i="11"/>
  <c r="AX132" i="11"/>
  <c r="AX148" i="11"/>
  <c r="AX145" i="11"/>
  <c r="AX134" i="11"/>
  <c r="AX150" i="11"/>
  <c r="AW107" i="11"/>
  <c r="AV107" i="11" s="1"/>
  <c r="AK107" i="11" s="1"/>
  <c r="AW115" i="11"/>
  <c r="AV115" i="11" s="1"/>
  <c r="AK115" i="11" s="1"/>
  <c r="AW123" i="11"/>
  <c r="AV123" i="11" s="1"/>
  <c r="AK123" i="11" s="1"/>
  <c r="AW131" i="11"/>
  <c r="AV131" i="11" s="1"/>
  <c r="AK131" i="11" s="1"/>
  <c r="AW139" i="11"/>
  <c r="AV139" i="11" s="1"/>
  <c r="AK139" i="11" s="1"/>
  <c r="AW147" i="11"/>
  <c r="AV147" i="11" s="1"/>
  <c r="AK147" i="11" s="1"/>
  <c r="AW155" i="11"/>
  <c r="AV155" i="11" s="1"/>
  <c r="AK155" i="11" s="1"/>
  <c r="AW122" i="11"/>
  <c r="AV122" i="11" s="1"/>
  <c r="AK122" i="11" s="1"/>
  <c r="AW108" i="11"/>
  <c r="AV108" i="11" s="1"/>
  <c r="AK108" i="11" s="1"/>
  <c r="AW116" i="11"/>
  <c r="AV116" i="11" s="1"/>
  <c r="AK116" i="11" s="1"/>
  <c r="AW124" i="11"/>
  <c r="AV124" i="11" s="1"/>
  <c r="AK124" i="11" s="1"/>
  <c r="AW132" i="11"/>
  <c r="AV132" i="11" s="1"/>
  <c r="AK132" i="11" s="1"/>
  <c r="AW140" i="11"/>
  <c r="AV140" i="11" s="1"/>
  <c r="AK140" i="11" s="1"/>
  <c r="AW148" i="11"/>
  <c r="AV148" i="11" s="1"/>
  <c r="AK148" i="11" s="1"/>
  <c r="AW114" i="11"/>
  <c r="AV114" i="11" s="1"/>
  <c r="AK114" i="11" s="1"/>
  <c r="AW138" i="11"/>
  <c r="AV138" i="11" s="1"/>
  <c r="AK138" i="11" s="1"/>
  <c r="AW154" i="11"/>
  <c r="AV154" i="11" s="1"/>
  <c r="AK154" i="11" s="1"/>
  <c r="AW101" i="11"/>
  <c r="AV101" i="11" s="1"/>
  <c r="AK101" i="11" s="1"/>
  <c r="AW109" i="11"/>
  <c r="AV109" i="11" s="1"/>
  <c r="AK109" i="11" s="1"/>
  <c r="AW117" i="11"/>
  <c r="AV117" i="11" s="1"/>
  <c r="AK117" i="11" s="1"/>
  <c r="AW125" i="11"/>
  <c r="AV125" i="11" s="1"/>
  <c r="AK125" i="11" s="1"/>
  <c r="AW133" i="11"/>
  <c r="AV133" i="11" s="1"/>
  <c r="AK133" i="11" s="1"/>
  <c r="AW141" i="11"/>
  <c r="AV141" i="11" s="1"/>
  <c r="AK141" i="11" s="1"/>
  <c r="AW149" i="11"/>
  <c r="AV149" i="11" s="1"/>
  <c r="AK149" i="11" s="1"/>
  <c r="AW130" i="11"/>
  <c r="AV130" i="11" s="1"/>
  <c r="AK130" i="11" s="1"/>
  <c r="AW102" i="11"/>
  <c r="AV102" i="11" s="1"/>
  <c r="AK102" i="11" s="1"/>
  <c r="AW110" i="11"/>
  <c r="AV110" i="11" s="1"/>
  <c r="AK110" i="11" s="1"/>
  <c r="AW118" i="11"/>
  <c r="AV118" i="11" s="1"/>
  <c r="AK118" i="11" s="1"/>
  <c r="AW126" i="11"/>
  <c r="AV126" i="11" s="1"/>
  <c r="AK126" i="11" s="1"/>
  <c r="AW134" i="11"/>
  <c r="AV134" i="11" s="1"/>
  <c r="AK134" i="11" s="1"/>
  <c r="AW142" i="11"/>
  <c r="AV142" i="11" s="1"/>
  <c r="AK142" i="11" s="1"/>
  <c r="AW150" i="11"/>
  <c r="AV150" i="11" s="1"/>
  <c r="AK150" i="11" s="1"/>
  <c r="AW103" i="11"/>
  <c r="AV103" i="11" s="1"/>
  <c r="AK103" i="11" s="1"/>
  <c r="AW111" i="11"/>
  <c r="AV111" i="11" s="1"/>
  <c r="AK111" i="11" s="1"/>
  <c r="AW119" i="11"/>
  <c r="AV119" i="11" s="1"/>
  <c r="AK119" i="11" s="1"/>
  <c r="AW127" i="11"/>
  <c r="AV127" i="11" s="1"/>
  <c r="AK127" i="11" s="1"/>
  <c r="AW135" i="11"/>
  <c r="AV135" i="11" s="1"/>
  <c r="AK135" i="11" s="1"/>
  <c r="AW143" i="11"/>
  <c r="AV143" i="11" s="1"/>
  <c r="AK143" i="11" s="1"/>
  <c r="AW151" i="11"/>
  <c r="AV151" i="11" s="1"/>
  <c r="AK151" i="11" s="1"/>
  <c r="AW106" i="11"/>
  <c r="AV106" i="11" s="1"/>
  <c r="AK106" i="11" s="1"/>
  <c r="AW104" i="11"/>
  <c r="AV104" i="11" s="1"/>
  <c r="AK104" i="11" s="1"/>
  <c r="AW112" i="11"/>
  <c r="AV112" i="11" s="1"/>
  <c r="AK112" i="11" s="1"/>
  <c r="AW120" i="11"/>
  <c r="AV120" i="11" s="1"/>
  <c r="AK120" i="11" s="1"/>
  <c r="AW128" i="11"/>
  <c r="AV128" i="11" s="1"/>
  <c r="AK128" i="11" s="1"/>
  <c r="AW136" i="11"/>
  <c r="AV136" i="11" s="1"/>
  <c r="AK136" i="11" s="1"/>
  <c r="AW144" i="11"/>
  <c r="AV144" i="11" s="1"/>
  <c r="AK144" i="11" s="1"/>
  <c r="AW152" i="11"/>
  <c r="AV152" i="11" s="1"/>
  <c r="AK152" i="11" s="1"/>
  <c r="AW105" i="11"/>
  <c r="AV105" i="11" s="1"/>
  <c r="AK105" i="11" s="1"/>
  <c r="AW113" i="11"/>
  <c r="AV113" i="11" s="1"/>
  <c r="AK113" i="11" s="1"/>
  <c r="AW121" i="11"/>
  <c r="AV121" i="11" s="1"/>
  <c r="AK121" i="11" s="1"/>
  <c r="AW129" i="11"/>
  <c r="AV129" i="11" s="1"/>
  <c r="AK129" i="11" s="1"/>
  <c r="AW137" i="11"/>
  <c r="AV137" i="11" s="1"/>
  <c r="AK137" i="11" s="1"/>
  <c r="AW145" i="11"/>
  <c r="AV145" i="11" s="1"/>
  <c r="AK145" i="11" s="1"/>
  <c r="AW153" i="11"/>
  <c r="AV153" i="11" s="1"/>
  <c r="AK153" i="11" s="1"/>
  <c r="AW146" i="11"/>
  <c r="AV146" i="11" s="1"/>
  <c r="AK146" i="11" s="1"/>
  <c r="AX39" i="11"/>
  <c r="AX43" i="11"/>
  <c r="AX47" i="11"/>
  <c r="AX36" i="11"/>
  <c r="AX40" i="11"/>
  <c r="AX44" i="11"/>
  <c r="AX48" i="11"/>
  <c r="AX37" i="11"/>
  <c r="AX41" i="11"/>
  <c r="AX45" i="11"/>
  <c r="AX49" i="11"/>
  <c r="AX38" i="11"/>
  <c r="AX42" i="11"/>
  <c r="AX46" i="11"/>
  <c r="AX50" i="11"/>
  <c r="AV51" i="11"/>
  <c r="AK51" i="11" s="1"/>
  <c r="AV52" i="11"/>
  <c r="AK52" i="11" s="1"/>
  <c r="AV53" i="11"/>
  <c r="AK53" i="11" s="1"/>
  <c r="AV54" i="11"/>
  <c r="AK54" i="11" s="1"/>
  <c r="AV55" i="11"/>
  <c r="AK55" i="11" s="1"/>
  <c r="AV56" i="11"/>
  <c r="AK56" i="11" s="1"/>
  <c r="AV57" i="11"/>
  <c r="AK57" i="11" s="1"/>
  <c r="AV58" i="11"/>
  <c r="AK58" i="11" s="1"/>
  <c r="AV59" i="11"/>
  <c r="AK59" i="11" s="1"/>
  <c r="AV60" i="11"/>
  <c r="AK60" i="11" s="1"/>
  <c r="AV61" i="11"/>
  <c r="AK61" i="11" s="1"/>
  <c r="AV62" i="11"/>
  <c r="AK62" i="11" s="1"/>
  <c r="AV63" i="11"/>
  <c r="AK63" i="11" s="1"/>
  <c r="AV64" i="11"/>
  <c r="AK64" i="11" s="1"/>
  <c r="AV65" i="11"/>
  <c r="AK65" i="11" s="1"/>
  <c r="AV66" i="11"/>
  <c r="AK66" i="11" s="1"/>
  <c r="AV67" i="11"/>
  <c r="AK67" i="11" s="1"/>
  <c r="AV68" i="11"/>
  <c r="AK68" i="11" s="1"/>
  <c r="AV69" i="11"/>
  <c r="AK69" i="11" s="1"/>
  <c r="AV70" i="11"/>
  <c r="AK70" i="11" s="1"/>
  <c r="AV71" i="11"/>
  <c r="AK71" i="11" s="1"/>
  <c r="AV72" i="11"/>
  <c r="AK72" i="11" s="1"/>
  <c r="AV73" i="11"/>
  <c r="AK73" i="11" s="1"/>
  <c r="AV74" i="11"/>
  <c r="AK74" i="11" s="1"/>
  <c r="AV75" i="11"/>
  <c r="AK75" i="11" s="1"/>
  <c r="AV76" i="11"/>
  <c r="AK76" i="11" s="1"/>
  <c r="AV77" i="11"/>
  <c r="AK77" i="11" s="1"/>
  <c r="AV78" i="11"/>
  <c r="AK78" i="11" s="1"/>
  <c r="AV79" i="11"/>
  <c r="AK79" i="11" s="1"/>
  <c r="AV80" i="11"/>
  <c r="AK80" i="11" s="1"/>
  <c r="AV81" i="11"/>
  <c r="AK81" i="11" s="1"/>
  <c r="AV82" i="11"/>
  <c r="AK82" i="11" s="1"/>
  <c r="AV11" i="11"/>
  <c r="AK11" i="11" s="1"/>
  <c r="AV15" i="11"/>
  <c r="AK15" i="11" s="1"/>
  <c r="AV19" i="11"/>
  <c r="AK19" i="11" s="1"/>
  <c r="AV23" i="11"/>
  <c r="AK23" i="11" s="1"/>
  <c r="AV22" i="11"/>
  <c r="AK22" i="11" s="1"/>
  <c r="AV12" i="11"/>
  <c r="AK12" i="11" s="1"/>
  <c r="AV14" i="11"/>
  <c r="AK14" i="11" s="1"/>
  <c r="AV13" i="11"/>
  <c r="AK13" i="11" s="1"/>
  <c r="AV17" i="11"/>
  <c r="AK17" i="11" s="1"/>
  <c r="AV21" i="11"/>
  <c r="AK21" i="11" s="1"/>
  <c r="AV25" i="11"/>
  <c r="AK25" i="11" s="1"/>
  <c r="AV18" i="11"/>
  <c r="AK18" i="11" s="1"/>
  <c r="AV24" i="11"/>
  <c r="AK24" i="11" s="1"/>
  <c r="AV26" i="11"/>
  <c r="AK26" i="11" s="1"/>
  <c r="AV16" i="11"/>
  <c r="AK16" i="11" s="1"/>
  <c r="AV27" i="11"/>
  <c r="AK27" i="11" s="1"/>
  <c r="AV28" i="11"/>
  <c r="AK28" i="11" s="1"/>
  <c r="AV29" i="11"/>
  <c r="AK29" i="11" s="1"/>
  <c r="AV30" i="11"/>
  <c r="AK30" i="11" s="1"/>
  <c r="AV31" i="11"/>
  <c r="AK31" i="11" s="1"/>
  <c r="AV32" i="11"/>
  <c r="AK32" i="11" s="1"/>
  <c r="AV33" i="11"/>
  <c r="AK33" i="11" s="1"/>
  <c r="AV34" i="11"/>
  <c r="AK34" i="11" s="1"/>
  <c r="AV35" i="11"/>
  <c r="AK35" i="11" s="1"/>
  <c r="AV20" i="11"/>
  <c r="AK20" i="11" s="1"/>
  <c r="AV9" i="11"/>
  <c r="AK9" i="11" s="1"/>
  <c r="AV10" i="11"/>
  <c r="AK10" i="11" s="1"/>
  <c r="AV8" i="11"/>
  <c r="AK8" i="11" s="1"/>
  <c r="AV7" i="11"/>
  <c r="AK7" i="11" s="1"/>
  <c r="AV6" i="11"/>
  <c r="AK6" i="11" s="1"/>
  <c r="AU15" i="11"/>
  <c r="AU22" i="11"/>
  <c r="AU24" i="11"/>
  <c r="AU12" i="11"/>
  <c r="AU18" i="11"/>
  <c r="AU28" i="11"/>
  <c r="AU31" i="11"/>
  <c r="AU33" i="11"/>
  <c r="AU35" i="11"/>
  <c r="AU37" i="11"/>
  <c r="AU39" i="11"/>
  <c r="AU41" i="11"/>
  <c r="AU43" i="11"/>
  <c r="AU45" i="11"/>
  <c r="AU47" i="11"/>
  <c r="AU49" i="11"/>
  <c r="AU51" i="11"/>
  <c r="AU53" i="11"/>
  <c r="AU55" i="11"/>
  <c r="AU57" i="11"/>
  <c r="AU59" i="11"/>
  <c r="AU61" i="11"/>
  <c r="AU63" i="11"/>
  <c r="AU65" i="11"/>
  <c r="AU67" i="11"/>
  <c r="AU69" i="11"/>
  <c r="AU71" i="11"/>
  <c r="AU73" i="11"/>
  <c r="AU75" i="11"/>
  <c r="AU77" i="11"/>
  <c r="AU79" i="11"/>
  <c r="AU81" i="11"/>
  <c r="AU19" i="11"/>
  <c r="AU26" i="11"/>
  <c r="AU84" i="11"/>
  <c r="AU86" i="11"/>
  <c r="AU88" i="11"/>
  <c r="AU90" i="11"/>
  <c r="AU92" i="11"/>
  <c r="AU94" i="11"/>
  <c r="AU96" i="11"/>
  <c r="AU98" i="11"/>
  <c r="AU100" i="11"/>
  <c r="AU6" i="11"/>
  <c r="AU8" i="11"/>
  <c r="AU14" i="11"/>
  <c r="AU13" i="11"/>
  <c r="AU21" i="11"/>
  <c r="AU23" i="11"/>
  <c r="AU25" i="11"/>
  <c r="AU27" i="11"/>
  <c r="AU29" i="11"/>
  <c r="AU11" i="11"/>
  <c r="AU20" i="11"/>
  <c r="AU30" i="11"/>
  <c r="AU32" i="11"/>
  <c r="AU34" i="11"/>
  <c r="AU36" i="11"/>
  <c r="AU38" i="11"/>
  <c r="AU40" i="11"/>
  <c r="AU42" i="11"/>
  <c r="AU44" i="11"/>
  <c r="AU46" i="11"/>
  <c r="AU48" i="11"/>
  <c r="AU50" i="11"/>
  <c r="AU52" i="11"/>
  <c r="AU54" i="11"/>
  <c r="AU56" i="11"/>
  <c r="AU58" i="11"/>
  <c r="AU60" i="11"/>
  <c r="AU62" i="11"/>
  <c r="AU64" i="11"/>
  <c r="AU66" i="11"/>
  <c r="AU68" i="11"/>
  <c r="AU70" i="11"/>
  <c r="AU72" i="11"/>
  <c r="AU74" i="11"/>
  <c r="AU76" i="11"/>
  <c r="AU78" i="11"/>
  <c r="AU80" i="11"/>
  <c r="AU82" i="11"/>
  <c r="AU17" i="11"/>
  <c r="AU85" i="11"/>
  <c r="AU89" i="11"/>
  <c r="AU93" i="11"/>
  <c r="AU97" i="11"/>
  <c r="AU83" i="11"/>
  <c r="AU87" i="11"/>
  <c r="AU91" i="11"/>
  <c r="AU95" i="11"/>
  <c r="AU99" i="11"/>
  <c r="AU16" i="11"/>
  <c r="AU7" i="11"/>
  <c r="AU10" i="11"/>
  <c r="AU9" i="11"/>
  <c r="AW20" i="11"/>
  <c r="AW11" i="11"/>
  <c r="AW19" i="11"/>
  <c r="AW30" i="11"/>
  <c r="AW32" i="11"/>
  <c r="AW34" i="11"/>
  <c r="AW36" i="11"/>
  <c r="AW38" i="11"/>
  <c r="AW40" i="11"/>
  <c r="AW42" i="11"/>
  <c r="AW44" i="11"/>
  <c r="AW46" i="11"/>
  <c r="AW48" i="11"/>
  <c r="AW50" i="11"/>
  <c r="AW52" i="11"/>
  <c r="AW54" i="11"/>
  <c r="AW56" i="11"/>
  <c r="AW58" i="11"/>
  <c r="AW60" i="11"/>
  <c r="AW62" i="11"/>
  <c r="AW64" i="11"/>
  <c r="AW66" i="11"/>
  <c r="AW68" i="11"/>
  <c r="AW70" i="11"/>
  <c r="AW72" i="11"/>
  <c r="AW74" i="11"/>
  <c r="AW76" i="11"/>
  <c r="AW78" i="11"/>
  <c r="AW80" i="11"/>
  <c r="AW82" i="11"/>
  <c r="AW84" i="11"/>
  <c r="AV84" i="11" s="1"/>
  <c r="AK84" i="11" s="1"/>
  <c r="AW86" i="11"/>
  <c r="AV86" i="11" s="1"/>
  <c r="AK86" i="11" s="1"/>
  <c r="AW88" i="11"/>
  <c r="AV88" i="11" s="1"/>
  <c r="AK88" i="11" s="1"/>
  <c r="AW90" i="11"/>
  <c r="AV90" i="11" s="1"/>
  <c r="AK90" i="11" s="1"/>
  <c r="AW92" i="11"/>
  <c r="AV92" i="11" s="1"/>
  <c r="AK92" i="11" s="1"/>
  <c r="AW94" i="11"/>
  <c r="AV94" i="11" s="1"/>
  <c r="AK94" i="11" s="1"/>
  <c r="AW96" i="11"/>
  <c r="AV96" i="11" s="1"/>
  <c r="AK96" i="11" s="1"/>
  <c r="AW98" i="11"/>
  <c r="AV98" i="11" s="1"/>
  <c r="AK98" i="11" s="1"/>
  <c r="AW100" i="11"/>
  <c r="AV100" i="11" s="1"/>
  <c r="AK100" i="11" s="1"/>
  <c r="AW26" i="11"/>
  <c r="AW13" i="11"/>
  <c r="AW22" i="11"/>
  <c r="AW29" i="11"/>
  <c r="AW15" i="11"/>
  <c r="AW23" i="11"/>
  <c r="AW12" i="11"/>
  <c r="AW18" i="11"/>
  <c r="AW10" i="11"/>
  <c r="AW6" i="11"/>
  <c r="AW8" i="11"/>
  <c r="AW17" i="11"/>
  <c r="AW16" i="11"/>
  <c r="AW31" i="11"/>
  <c r="AW33" i="11"/>
  <c r="AW35" i="11"/>
  <c r="AW37" i="11"/>
  <c r="AW39" i="11"/>
  <c r="AW41" i="11"/>
  <c r="AW43" i="11"/>
  <c r="AW45" i="11"/>
  <c r="AW47" i="11"/>
  <c r="AW49" i="11"/>
  <c r="AW51" i="11"/>
  <c r="AW53" i="11"/>
  <c r="AW55" i="11"/>
  <c r="AW57" i="11"/>
  <c r="AW59" i="11"/>
  <c r="AW61" i="11"/>
  <c r="AW63" i="11"/>
  <c r="AW65" i="11"/>
  <c r="AW67" i="11"/>
  <c r="AW69" i="11"/>
  <c r="AW71" i="11"/>
  <c r="AW73" i="11"/>
  <c r="AW75" i="11"/>
  <c r="AW77" i="11"/>
  <c r="AW79" i="11"/>
  <c r="AW81" i="11"/>
  <c r="AW83" i="11"/>
  <c r="AV83" i="11" s="1"/>
  <c r="AK83" i="11" s="1"/>
  <c r="AW85" i="11"/>
  <c r="AV85" i="11" s="1"/>
  <c r="AK85" i="11" s="1"/>
  <c r="AW87" i="11"/>
  <c r="AV87" i="11" s="1"/>
  <c r="AK87" i="11" s="1"/>
  <c r="AW89" i="11"/>
  <c r="AV89" i="11" s="1"/>
  <c r="AK89" i="11" s="1"/>
  <c r="AW91" i="11"/>
  <c r="AV91" i="11" s="1"/>
  <c r="AK91" i="11" s="1"/>
  <c r="AW93" i="11"/>
  <c r="AV93" i="11" s="1"/>
  <c r="AK93" i="11" s="1"/>
  <c r="AW95" i="11"/>
  <c r="AV95" i="11" s="1"/>
  <c r="AK95" i="11" s="1"/>
  <c r="AW97" i="11"/>
  <c r="AV97" i="11" s="1"/>
  <c r="AK97" i="11" s="1"/>
  <c r="AW99" i="11"/>
  <c r="AV99" i="11" s="1"/>
  <c r="AK99" i="11" s="1"/>
  <c r="AW24" i="11"/>
  <c r="AW27" i="11"/>
  <c r="AW25" i="11"/>
  <c r="AW28" i="11"/>
  <c r="AW9" i="11"/>
  <c r="AW7" i="11"/>
  <c r="AW14" i="11"/>
  <c r="AW21" i="11"/>
  <c r="AX27" i="11"/>
  <c r="AX31" i="11"/>
  <c r="AX35" i="11"/>
  <c r="AX99" i="11"/>
  <c r="AX28" i="11"/>
  <c r="AX32" i="11"/>
  <c r="AX96" i="11"/>
  <c r="AX100" i="11"/>
  <c r="AX21" i="11"/>
  <c r="AX22" i="11"/>
  <c r="AX23" i="11"/>
  <c r="AX24" i="11"/>
  <c r="AX11" i="11"/>
  <c r="AX12" i="11"/>
  <c r="AX16" i="11"/>
  <c r="AX17" i="11"/>
  <c r="AX25" i="11"/>
  <c r="AX20" i="11"/>
  <c r="AX29" i="11"/>
  <c r="AX33" i="11"/>
  <c r="AX97" i="11"/>
  <c r="AX30" i="11"/>
  <c r="AX34" i="11"/>
  <c r="AX98" i="11"/>
  <c r="AX15" i="11"/>
  <c r="AX18" i="11"/>
  <c r="AX19" i="11"/>
  <c r="AX14" i="11"/>
  <c r="AX13" i="11"/>
  <c r="AX26" i="11"/>
  <c r="AX10" i="11"/>
  <c r="AX9" i="11"/>
  <c r="AX6" i="11"/>
  <c r="AX8" i="11"/>
  <c r="AX7" i="11"/>
  <c r="AV36" i="11"/>
  <c r="AV37" i="11"/>
  <c r="AV38" i="11"/>
  <c r="AV39" i="11"/>
  <c r="AV40" i="11"/>
  <c r="AK40" i="11" s="1"/>
  <c r="AV41" i="11"/>
  <c r="AV42" i="11"/>
  <c r="AV43" i="11"/>
  <c r="AV44" i="11"/>
  <c r="AV45" i="11"/>
  <c r="AK45" i="11" s="1"/>
  <c r="AV46" i="11"/>
  <c r="AV47" i="11"/>
  <c r="AV48" i="11"/>
  <c r="AK48" i="11" s="1"/>
  <c r="AV49" i="11"/>
  <c r="AV50" i="11"/>
  <c r="AX51" i="11"/>
  <c r="AX55" i="11"/>
  <c r="AX59" i="11"/>
  <c r="AX63" i="11"/>
  <c r="AX67" i="11"/>
  <c r="AX71" i="11"/>
  <c r="AX75" i="11"/>
  <c r="AX79" i="11"/>
  <c r="AX83" i="11"/>
  <c r="AX87" i="11"/>
  <c r="AX91" i="11"/>
  <c r="AX95" i="11"/>
  <c r="AX52" i="11"/>
  <c r="AX56" i="11"/>
  <c r="AX60" i="11"/>
  <c r="AX64" i="11"/>
  <c r="AX68" i="11"/>
  <c r="AX72" i="11"/>
  <c r="AX76" i="11"/>
  <c r="AX80" i="11"/>
  <c r="AX84" i="11"/>
  <c r="AX88" i="11"/>
  <c r="AX92" i="11"/>
  <c r="AX53" i="11"/>
  <c r="AX57" i="11"/>
  <c r="AX61" i="11"/>
  <c r="AX65" i="11"/>
  <c r="AX69" i="11"/>
  <c r="AX73" i="11"/>
  <c r="AX77" i="11"/>
  <c r="AX81" i="11"/>
  <c r="AX85" i="11"/>
  <c r="AX89" i="11"/>
  <c r="AX93" i="11"/>
  <c r="AX58" i="11"/>
  <c r="AX66" i="11"/>
  <c r="AX74" i="11"/>
  <c r="AX82" i="11"/>
  <c r="AX90" i="11"/>
  <c r="AX54" i="11"/>
  <c r="AX62" i="11"/>
  <c r="AX70" i="11"/>
  <c r="AX78" i="11"/>
  <c r="AX86" i="11"/>
  <c r="AX94" i="11"/>
  <c r="AK138" i="23" l="1"/>
  <c r="AK138" i="24"/>
  <c r="AI138" i="11"/>
  <c r="AC138" i="11"/>
  <c r="E137" i="21" s="1"/>
  <c r="AE138" i="11"/>
  <c r="AG138" i="11"/>
  <c r="AK146" i="23"/>
  <c r="AK146" i="24"/>
  <c r="AE146" i="11"/>
  <c r="AI146" i="11"/>
  <c r="AC146" i="11"/>
  <c r="E145" i="21" s="1"/>
  <c r="AG146" i="11"/>
  <c r="AK152" i="23"/>
  <c r="AK152" i="24"/>
  <c r="AE152" i="11"/>
  <c r="AI152" i="11"/>
  <c r="AC152" i="11"/>
  <c r="E151" i="21" s="1"/>
  <c r="AG152" i="11"/>
  <c r="AK151" i="23"/>
  <c r="AK151" i="24"/>
  <c r="AE151" i="11"/>
  <c r="AC151" i="11"/>
  <c r="E150" i="21" s="1"/>
  <c r="AI151" i="11"/>
  <c r="AG151" i="11"/>
  <c r="AK142" i="23"/>
  <c r="AK142" i="24"/>
  <c r="AC142" i="11"/>
  <c r="E141" i="21" s="1"/>
  <c r="AG142" i="11"/>
  <c r="AE142" i="11"/>
  <c r="AI142" i="11"/>
  <c r="AK141" i="23"/>
  <c r="AK141" i="24"/>
  <c r="AE141" i="11"/>
  <c r="AG141" i="11"/>
  <c r="AI141" i="11"/>
  <c r="AC141" i="11"/>
  <c r="E140" i="21" s="1"/>
  <c r="AK114" i="23"/>
  <c r="AK114" i="24"/>
  <c r="AI114" i="11"/>
  <c r="AC114" i="11"/>
  <c r="E113" i="21" s="1"/>
  <c r="AG114" i="11"/>
  <c r="AE114" i="11"/>
  <c r="AK155" i="24"/>
  <c r="AK155" i="23"/>
  <c r="AE155" i="11"/>
  <c r="AI155" i="11"/>
  <c r="AC155" i="11"/>
  <c r="E154" i="21" s="1"/>
  <c r="AG155" i="11"/>
  <c r="AK150" i="23"/>
  <c r="AK150" i="24"/>
  <c r="AE150" i="11"/>
  <c r="AC150" i="11"/>
  <c r="E149" i="21" s="1"/>
  <c r="AI150" i="11"/>
  <c r="AG150" i="11"/>
  <c r="AK153" i="23"/>
  <c r="AK153" i="24"/>
  <c r="AG153" i="11"/>
  <c r="AC153" i="11"/>
  <c r="E152" i="21" s="1"/>
  <c r="AE153" i="11"/>
  <c r="AI153" i="11"/>
  <c r="AK144" i="23"/>
  <c r="AK144" i="24"/>
  <c r="AE144" i="11"/>
  <c r="AI144" i="11"/>
  <c r="AG144" i="11"/>
  <c r="AC144" i="11"/>
  <c r="E143" i="21" s="1"/>
  <c r="AK143" i="23"/>
  <c r="AK143" i="24"/>
  <c r="AI143" i="11"/>
  <c r="AE143" i="11"/>
  <c r="AG143" i="11"/>
  <c r="AC143" i="11"/>
  <c r="E142" i="21" s="1"/>
  <c r="AK134" i="23"/>
  <c r="AK134" i="24"/>
  <c r="AE134" i="11"/>
  <c r="AI134" i="11"/>
  <c r="AG134" i="11"/>
  <c r="AC134" i="11"/>
  <c r="E133" i="21" s="1"/>
  <c r="AK133" i="23"/>
  <c r="AK133" i="24"/>
  <c r="AI133" i="11"/>
  <c r="AG133" i="11"/>
  <c r="AE133" i="11"/>
  <c r="AC133" i="11"/>
  <c r="E132" i="21" s="1"/>
  <c r="AK148" i="24"/>
  <c r="AK148" i="23"/>
  <c r="AG148" i="11"/>
  <c r="AE148" i="11"/>
  <c r="AC148" i="11"/>
  <c r="E147" i="21" s="1"/>
  <c r="AI148" i="11"/>
  <c r="AK147" i="24"/>
  <c r="AK147" i="23"/>
  <c r="AC147" i="11"/>
  <c r="E146" i="21" s="1"/>
  <c r="AI147" i="11"/>
  <c r="AG147" i="11"/>
  <c r="AE147" i="11"/>
  <c r="AK122" i="23"/>
  <c r="AK122" i="24"/>
  <c r="AE122" i="11"/>
  <c r="AC122" i="11"/>
  <c r="E121" i="21" s="1"/>
  <c r="AG122" i="11"/>
  <c r="AI122" i="11"/>
  <c r="AK145" i="23"/>
  <c r="AK145" i="24"/>
  <c r="AI145" i="11"/>
  <c r="AE145" i="11"/>
  <c r="AC145" i="11"/>
  <c r="E144" i="21" s="1"/>
  <c r="AG145" i="11"/>
  <c r="AK136" i="23"/>
  <c r="AK136" i="24"/>
  <c r="AE136" i="11"/>
  <c r="AC136" i="11"/>
  <c r="E135" i="21" s="1"/>
  <c r="AI136" i="11"/>
  <c r="AG136" i="11"/>
  <c r="AK135" i="23"/>
  <c r="AK135" i="24"/>
  <c r="AI135" i="11"/>
  <c r="AG135" i="11"/>
  <c r="AC135" i="11"/>
  <c r="E134" i="21" s="1"/>
  <c r="AE135" i="11"/>
  <c r="AK126" i="23"/>
  <c r="AK126" i="24"/>
  <c r="AE126" i="11"/>
  <c r="AC126" i="11"/>
  <c r="E125" i="21" s="1"/>
  <c r="AI126" i="11"/>
  <c r="AG126" i="11"/>
  <c r="AK125" i="23"/>
  <c r="AK125" i="24"/>
  <c r="AG125" i="11"/>
  <c r="AI125" i="11"/>
  <c r="AE125" i="11"/>
  <c r="AC125" i="11"/>
  <c r="E124" i="21" s="1"/>
  <c r="AK140" i="24"/>
  <c r="AK140" i="23"/>
  <c r="AI140" i="11"/>
  <c r="AG140" i="11"/>
  <c r="AC140" i="11"/>
  <c r="E139" i="21" s="1"/>
  <c r="AE140" i="11"/>
  <c r="AK139" i="24"/>
  <c r="AK139" i="23"/>
  <c r="AI139" i="11"/>
  <c r="AC139" i="11"/>
  <c r="E138" i="21" s="1"/>
  <c r="AG139" i="11"/>
  <c r="AE139" i="11"/>
  <c r="AK106" i="23"/>
  <c r="AK106" i="24"/>
  <c r="AE106" i="11"/>
  <c r="AG106" i="11"/>
  <c r="AI106" i="11"/>
  <c r="AC106" i="11"/>
  <c r="E105" i="21" s="1"/>
  <c r="AK137" i="23"/>
  <c r="AK137" i="24"/>
  <c r="AE137" i="11"/>
  <c r="AC137" i="11"/>
  <c r="E136" i="21" s="1"/>
  <c r="AI137" i="11"/>
  <c r="AG137" i="11"/>
  <c r="AK128" i="23"/>
  <c r="AK128" i="24"/>
  <c r="AE128" i="11"/>
  <c r="AG128" i="11"/>
  <c r="AI128" i="11"/>
  <c r="AC128" i="11"/>
  <c r="E127" i="21" s="1"/>
  <c r="AK127" i="23"/>
  <c r="AK127" i="24"/>
  <c r="AI127" i="11"/>
  <c r="AE127" i="11"/>
  <c r="AC127" i="11"/>
  <c r="E126" i="21" s="1"/>
  <c r="AG127" i="11"/>
  <c r="AK118" i="23"/>
  <c r="AK118" i="24"/>
  <c r="AE118" i="11"/>
  <c r="AI118" i="11"/>
  <c r="AC118" i="11"/>
  <c r="E117" i="21" s="1"/>
  <c r="AG118" i="11"/>
  <c r="AK117" i="23"/>
  <c r="AK117" i="24"/>
  <c r="AE117" i="11"/>
  <c r="AG117" i="11"/>
  <c r="AI117" i="11"/>
  <c r="AC117" i="11"/>
  <c r="E116" i="21" s="1"/>
  <c r="AK132" i="24"/>
  <c r="AK132" i="23"/>
  <c r="AI132" i="11"/>
  <c r="AE132" i="11"/>
  <c r="AC132" i="11"/>
  <c r="E131" i="21" s="1"/>
  <c r="AG132" i="11"/>
  <c r="AK131" i="24"/>
  <c r="AK131" i="23"/>
  <c r="AI131" i="11"/>
  <c r="AE131" i="11"/>
  <c r="AC131" i="11"/>
  <c r="E130" i="21" s="1"/>
  <c r="AG131" i="11"/>
  <c r="AK105" i="23"/>
  <c r="AK105" i="24"/>
  <c r="AC105" i="11"/>
  <c r="E104" i="21" s="1"/>
  <c r="AI105" i="11"/>
  <c r="AE105" i="11"/>
  <c r="AG105" i="11"/>
  <c r="AK129" i="24"/>
  <c r="AK129" i="23"/>
  <c r="AI129" i="11"/>
  <c r="AG129" i="11"/>
  <c r="AC129" i="11"/>
  <c r="E128" i="21" s="1"/>
  <c r="AE129" i="11"/>
  <c r="AK120" i="23"/>
  <c r="AK120" i="24"/>
  <c r="AE120" i="11"/>
  <c r="AC120" i="11"/>
  <c r="E119" i="21" s="1"/>
  <c r="AI120" i="11"/>
  <c r="AG120" i="11"/>
  <c r="AK119" i="23"/>
  <c r="AK119" i="24"/>
  <c r="AI119" i="11"/>
  <c r="AC119" i="11"/>
  <c r="E118" i="21" s="1"/>
  <c r="AE119" i="11"/>
  <c r="AG119" i="11"/>
  <c r="AK110" i="23"/>
  <c r="AK110" i="24"/>
  <c r="AC110" i="11"/>
  <c r="E109" i="21" s="1"/>
  <c r="AI110" i="11"/>
  <c r="AE110" i="11"/>
  <c r="AG110" i="11"/>
  <c r="AK109" i="23"/>
  <c r="AK109" i="24"/>
  <c r="AE109" i="11"/>
  <c r="AC109" i="11"/>
  <c r="E108" i="21" s="1"/>
  <c r="AI109" i="11"/>
  <c r="AG109" i="11"/>
  <c r="AK124" i="24"/>
  <c r="AK124" i="23"/>
  <c r="AE124" i="11"/>
  <c r="AI124" i="11"/>
  <c r="AG124" i="11"/>
  <c r="AC124" i="11"/>
  <c r="E123" i="21" s="1"/>
  <c r="AK123" i="24"/>
  <c r="AK123" i="23"/>
  <c r="AE123" i="11"/>
  <c r="AC123" i="11"/>
  <c r="E122" i="21" s="1"/>
  <c r="AI123" i="11"/>
  <c r="AG123" i="11"/>
  <c r="AK149" i="23"/>
  <c r="AK149" i="24"/>
  <c r="AE149" i="11"/>
  <c r="AI149" i="11"/>
  <c r="AC149" i="11"/>
  <c r="E148" i="21" s="1"/>
  <c r="AG149" i="11"/>
  <c r="AK121" i="23"/>
  <c r="AK121" i="24"/>
  <c r="AE121" i="11"/>
  <c r="AG121" i="11"/>
  <c r="AI121" i="11"/>
  <c r="AC121" i="11"/>
  <c r="E120" i="21" s="1"/>
  <c r="AK112" i="23"/>
  <c r="AK112" i="24"/>
  <c r="AE112" i="11"/>
  <c r="AC112" i="11"/>
  <c r="E111" i="21" s="1"/>
  <c r="AI112" i="11"/>
  <c r="AG112" i="11"/>
  <c r="AK111" i="23"/>
  <c r="AK111" i="24"/>
  <c r="AE111" i="11"/>
  <c r="AG111" i="11"/>
  <c r="AI111" i="11"/>
  <c r="AC111" i="11"/>
  <c r="E110" i="21" s="1"/>
  <c r="AK102" i="23"/>
  <c r="AK102" i="24"/>
  <c r="AE102" i="11"/>
  <c r="AI102" i="11"/>
  <c r="AC102" i="11"/>
  <c r="E101" i="21" s="1"/>
  <c r="AG102" i="11"/>
  <c r="AK101" i="23"/>
  <c r="AK101" i="24"/>
  <c r="AE101" i="11"/>
  <c r="AI101" i="11"/>
  <c r="AC101" i="11"/>
  <c r="E100" i="21" s="1"/>
  <c r="AG101" i="11"/>
  <c r="AK116" i="24"/>
  <c r="AK116" i="23"/>
  <c r="AE116" i="11"/>
  <c r="AI116" i="11"/>
  <c r="AG116" i="11"/>
  <c r="AC116" i="11"/>
  <c r="E115" i="21" s="1"/>
  <c r="AK115" i="24"/>
  <c r="AK115" i="23"/>
  <c r="AE115" i="11"/>
  <c r="AI115" i="11"/>
  <c r="AC115" i="11"/>
  <c r="E114" i="21" s="1"/>
  <c r="AG115" i="11"/>
  <c r="AK113" i="23"/>
  <c r="AK113" i="24"/>
  <c r="AE113" i="11"/>
  <c r="AG113" i="11"/>
  <c r="AC113" i="11"/>
  <c r="E112" i="21" s="1"/>
  <c r="AI113" i="11"/>
  <c r="AK104" i="23"/>
  <c r="AK104" i="24"/>
  <c r="AI104" i="11"/>
  <c r="AC104" i="11"/>
  <c r="E103" i="21" s="1"/>
  <c r="AE104" i="11"/>
  <c r="AG104" i="11"/>
  <c r="AK103" i="23"/>
  <c r="AK103" i="24"/>
  <c r="AI103" i="11"/>
  <c r="AC103" i="11"/>
  <c r="E102" i="21" s="1"/>
  <c r="AE103" i="11"/>
  <c r="AG103" i="11"/>
  <c r="AK130" i="23"/>
  <c r="AK130" i="24"/>
  <c r="AE130" i="11"/>
  <c r="AG130" i="11"/>
  <c r="AC130" i="11"/>
  <c r="E129" i="21" s="1"/>
  <c r="AI130" i="11"/>
  <c r="AK154" i="23"/>
  <c r="AK154" i="24"/>
  <c r="AG154" i="11"/>
  <c r="AE154" i="11"/>
  <c r="AI154" i="11"/>
  <c r="AC154" i="11"/>
  <c r="E153" i="21" s="1"/>
  <c r="AK108" i="24"/>
  <c r="AK108" i="23"/>
  <c r="AE108" i="11"/>
  <c r="AG108" i="11"/>
  <c r="AI108" i="11"/>
  <c r="AC108" i="11"/>
  <c r="E107" i="21" s="1"/>
  <c r="AK107" i="24"/>
  <c r="AK107" i="23"/>
  <c r="AE107" i="11"/>
  <c r="AG107" i="11"/>
  <c r="AC107" i="11"/>
  <c r="E106" i="21" s="1"/>
  <c r="AI107" i="11"/>
  <c r="AK46" i="11"/>
  <c r="AK46" i="23" s="1"/>
  <c r="AK38" i="11"/>
  <c r="AK38" i="23" s="1"/>
  <c r="AK37" i="11"/>
  <c r="AK37" i="23" s="1"/>
  <c r="AK43" i="11"/>
  <c r="AK43" i="24" s="1"/>
  <c r="AK50" i="11"/>
  <c r="AK50" i="23" s="1"/>
  <c r="AK42" i="11"/>
  <c r="AK42" i="23" s="1"/>
  <c r="AK49" i="11"/>
  <c r="AK49" i="23" s="1"/>
  <c r="AK47" i="11"/>
  <c r="AK47" i="24" s="1"/>
  <c r="AK39" i="11"/>
  <c r="AK39" i="24" s="1"/>
  <c r="AK41" i="11"/>
  <c r="AK41" i="23" s="1"/>
  <c r="AK45" i="23"/>
  <c r="AK45" i="24"/>
  <c r="AI45" i="11"/>
  <c r="AC45" i="11"/>
  <c r="E44" i="21" s="1"/>
  <c r="AG45" i="11"/>
  <c r="AE45" i="11"/>
  <c r="AK97" i="23"/>
  <c r="AK97" i="24"/>
  <c r="AG97" i="11"/>
  <c r="AE97" i="11"/>
  <c r="AC97" i="11"/>
  <c r="E96" i="21" s="1"/>
  <c r="AI97" i="11"/>
  <c r="AK93" i="23"/>
  <c r="AK93" i="24"/>
  <c r="AE93" i="11"/>
  <c r="AC93" i="11"/>
  <c r="E92" i="21" s="1"/>
  <c r="AI93" i="11"/>
  <c r="AG93" i="11"/>
  <c r="AK89" i="23"/>
  <c r="AK89" i="24"/>
  <c r="AG89" i="11"/>
  <c r="AI89" i="11"/>
  <c r="AE89" i="11"/>
  <c r="AC89" i="11"/>
  <c r="E88" i="21" s="1"/>
  <c r="AK85" i="23"/>
  <c r="AK85" i="24"/>
  <c r="AG85" i="11"/>
  <c r="AE85" i="11"/>
  <c r="AC85" i="11"/>
  <c r="E84" i="21" s="1"/>
  <c r="AI85" i="11"/>
  <c r="AK98" i="23"/>
  <c r="AK98" i="24"/>
  <c r="AG98" i="11"/>
  <c r="AE98" i="11"/>
  <c r="AC98" i="11"/>
  <c r="E97" i="21" s="1"/>
  <c r="AI98" i="11"/>
  <c r="AK94" i="23"/>
  <c r="AK94" i="24"/>
  <c r="AC94" i="11"/>
  <c r="E93" i="21" s="1"/>
  <c r="AI94" i="11"/>
  <c r="AE94" i="11"/>
  <c r="AG94" i="11"/>
  <c r="AK90" i="23"/>
  <c r="AK90" i="24"/>
  <c r="AI90" i="11"/>
  <c r="AE90" i="11"/>
  <c r="AG90" i="11"/>
  <c r="AC90" i="11"/>
  <c r="E89" i="21" s="1"/>
  <c r="AK86" i="23"/>
  <c r="AK86" i="24"/>
  <c r="AE86" i="11"/>
  <c r="AC86" i="11"/>
  <c r="E85" i="21" s="1"/>
  <c r="AG86" i="11"/>
  <c r="AI86" i="11"/>
  <c r="AG7" i="11"/>
  <c r="AC7" i="11"/>
  <c r="E6" i="21" s="1"/>
  <c r="AK7" i="24"/>
  <c r="AI7" i="11"/>
  <c r="AE7" i="11"/>
  <c r="AK7" i="23"/>
  <c r="AK10" i="23"/>
  <c r="AK10" i="24"/>
  <c r="AG10" i="11"/>
  <c r="AI10" i="11"/>
  <c r="AE10" i="11"/>
  <c r="AC10" i="11"/>
  <c r="E9" i="21" s="1"/>
  <c r="AK20" i="23"/>
  <c r="AK20" i="24"/>
  <c r="AI20" i="11"/>
  <c r="AG20" i="11"/>
  <c r="AC20" i="11"/>
  <c r="E19" i="21" s="1"/>
  <c r="AE20" i="11"/>
  <c r="AK34" i="24"/>
  <c r="AK34" i="23"/>
  <c r="AG34" i="11"/>
  <c r="AI34" i="11"/>
  <c r="AE34" i="11"/>
  <c r="AC34" i="11"/>
  <c r="E33" i="21" s="1"/>
  <c r="AK32" i="23"/>
  <c r="AK32" i="24"/>
  <c r="AI32" i="11"/>
  <c r="AC32" i="11"/>
  <c r="E31" i="21" s="1"/>
  <c r="AG32" i="11"/>
  <c r="AE32" i="11"/>
  <c r="AK30" i="24"/>
  <c r="AK30" i="23"/>
  <c r="AG30" i="11"/>
  <c r="AE30" i="11"/>
  <c r="AC30" i="11"/>
  <c r="E29" i="21" s="1"/>
  <c r="AI30" i="11"/>
  <c r="AK28" i="24"/>
  <c r="AK28" i="23"/>
  <c r="AC28" i="11"/>
  <c r="E27" i="21" s="1"/>
  <c r="AE28" i="11"/>
  <c r="AI28" i="11"/>
  <c r="AG28" i="11"/>
  <c r="AK16" i="23"/>
  <c r="AK16" i="24"/>
  <c r="AI16" i="11"/>
  <c r="AG16" i="11"/>
  <c r="AC16" i="11"/>
  <c r="E15" i="21" s="1"/>
  <c r="AE16" i="11"/>
  <c r="AK24" i="23"/>
  <c r="AK24" i="24"/>
  <c r="AC24" i="11"/>
  <c r="E23" i="21" s="1"/>
  <c r="AI24" i="11"/>
  <c r="AG24" i="11"/>
  <c r="AE24" i="11"/>
  <c r="AK25" i="23"/>
  <c r="AK25" i="24"/>
  <c r="AG25" i="11"/>
  <c r="AC25" i="11"/>
  <c r="E24" i="21" s="1"/>
  <c r="AI25" i="11"/>
  <c r="AE25" i="11"/>
  <c r="AK17" i="24"/>
  <c r="AK17" i="23"/>
  <c r="AC17" i="11"/>
  <c r="E16" i="21" s="1"/>
  <c r="AI17" i="11"/>
  <c r="AG17" i="11"/>
  <c r="AE17" i="11"/>
  <c r="AK14" i="24"/>
  <c r="AK14" i="23"/>
  <c r="AC14" i="11"/>
  <c r="E13" i="21" s="1"/>
  <c r="AG14" i="11"/>
  <c r="AI14" i="11"/>
  <c r="AE14" i="11"/>
  <c r="AK22" i="24"/>
  <c r="AK22" i="23"/>
  <c r="AI22" i="11"/>
  <c r="AG22" i="11"/>
  <c r="AC22" i="11"/>
  <c r="E21" i="21" s="1"/>
  <c r="AE22" i="11"/>
  <c r="AK19" i="24"/>
  <c r="AK19" i="23"/>
  <c r="AI19" i="11"/>
  <c r="AE19" i="11"/>
  <c r="AC19" i="11"/>
  <c r="E18" i="21" s="1"/>
  <c r="AG19" i="11"/>
  <c r="AK11" i="24"/>
  <c r="AK11" i="23"/>
  <c r="AI11" i="11"/>
  <c r="AG11" i="11"/>
  <c r="AE11" i="11"/>
  <c r="AC11" i="11"/>
  <c r="E10" i="21" s="1"/>
  <c r="AK81" i="23"/>
  <c r="AK81" i="24"/>
  <c r="AC81" i="11"/>
  <c r="E80" i="21" s="1"/>
  <c r="AE81" i="11"/>
  <c r="AG81" i="11"/>
  <c r="AI81" i="11"/>
  <c r="AK79" i="23"/>
  <c r="AK79" i="24"/>
  <c r="AG79" i="11"/>
  <c r="AI79" i="11"/>
  <c r="AC79" i="11"/>
  <c r="E78" i="21" s="1"/>
  <c r="AE79" i="11"/>
  <c r="AK77" i="23"/>
  <c r="AK77" i="24"/>
  <c r="AG77" i="11"/>
  <c r="AE77" i="11"/>
  <c r="AI77" i="11"/>
  <c r="AC77" i="11"/>
  <c r="E76" i="21" s="1"/>
  <c r="AK75" i="23"/>
  <c r="AK75" i="24"/>
  <c r="AI75" i="11"/>
  <c r="AC75" i="11"/>
  <c r="E74" i="21" s="1"/>
  <c r="AG75" i="11"/>
  <c r="AE75" i="11"/>
  <c r="AK73" i="23"/>
  <c r="AK73" i="24"/>
  <c r="AE73" i="11"/>
  <c r="AC73" i="11"/>
  <c r="E72" i="21" s="1"/>
  <c r="AG73" i="11"/>
  <c r="AI73" i="11"/>
  <c r="AK71" i="23"/>
  <c r="AK71" i="24"/>
  <c r="AI71" i="11"/>
  <c r="AC71" i="11"/>
  <c r="E70" i="21" s="1"/>
  <c r="AE71" i="11"/>
  <c r="AG71" i="11"/>
  <c r="AK69" i="23"/>
  <c r="AK69" i="24"/>
  <c r="AG69" i="11"/>
  <c r="AI69" i="11"/>
  <c r="AC69" i="11"/>
  <c r="E68" i="21" s="1"/>
  <c r="AE69" i="11"/>
  <c r="AK67" i="23"/>
  <c r="AK67" i="24"/>
  <c r="AC67" i="11"/>
  <c r="E66" i="21" s="1"/>
  <c r="AG67" i="11"/>
  <c r="AI67" i="11"/>
  <c r="AE67" i="11"/>
  <c r="AK65" i="23"/>
  <c r="AK65" i="24"/>
  <c r="AE65" i="11"/>
  <c r="AG65" i="11"/>
  <c r="AI65" i="11"/>
  <c r="AC65" i="11"/>
  <c r="E64" i="21" s="1"/>
  <c r="AK63" i="23"/>
  <c r="AK63" i="24"/>
  <c r="AI63" i="11"/>
  <c r="AC63" i="11"/>
  <c r="E62" i="21" s="1"/>
  <c r="AE63" i="11"/>
  <c r="AG63" i="11"/>
  <c r="AK61" i="23"/>
  <c r="AK61" i="24"/>
  <c r="AE61" i="11"/>
  <c r="AG61" i="11"/>
  <c r="AI61" i="11"/>
  <c r="AC61" i="11"/>
  <c r="E60" i="21" s="1"/>
  <c r="AK59" i="23"/>
  <c r="AK59" i="24"/>
  <c r="AG59" i="11"/>
  <c r="AI59" i="11"/>
  <c r="AC59" i="11"/>
  <c r="E58" i="21" s="1"/>
  <c r="AE59" i="11"/>
  <c r="AK57" i="23"/>
  <c r="AK57" i="24"/>
  <c r="AG57" i="11"/>
  <c r="AI57" i="11"/>
  <c r="AC57" i="11"/>
  <c r="E56" i="21" s="1"/>
  <c r="AE57" i="11"/>
  <c r="AK55" i="23"/>
  <c r="AK55" i="24"/>
  <c r="AE55" i="11"/>
  <c r="AC55" i="11"/>
  <c r="E54" i="21" s="1"/>
  <c r="AG55" i="11"/>
  <c r="AI55" i="11"/>
  <c r="AK53" i="23"/>
  <c r="AK53" i="24"/>
  <c r="AG53" i="11"/>
  <c r="AI53" i="11"/>
  <c r="AC53" i="11"/>
  <c r="E52" i="21" s="1"/>
  <c r="AE53" i="11"/>
  <c r="AK51" i="23"/>
  <c r="AK51" i="24"/>
  <c r="AE51" i="11"/>
  <c r="AG51" i="11"/>
  <c r="AI51" i="11"/>
  <c r="AC51" i="11"/>
  <c r="E50" i="21" s="1"/>
  <c r="AE37" i="11"/>
  <c r="AI37" i="11"/>
  <c r="AK48" i="23"/>
  <c r="AK48" i="24"/>
  <c r="AE48" i="11"/>
  <c r="AG48" i="11"/>
  <c r="AI48" i="11"/>
  <c r="AC48" i="11"/>
  <c r="E47" i="21" s="1"/>
  <c r="AK44" i="11"/>
  <c r="AK40" i="23"/>
  <c r="AK40" i="24"/>
  <c r="AE40" i="11"/>
  <c r="AC40" i="11"/>
  <c r="E39" i="21" s="1"/>
  <c r="AI40" i="11"/>
  <c r="AG40" i="11"/>
  <c r="AK36" i="11"/>
  <c r="AK99" i="23"/>
  <c r="AK99" i="24"/>
  <c r="AG99" i="11"/>
  <c r="AI99" i="11"/>
  <c r="AE99" i="11"/>
  <c r="AC99" i="11"/>
  <c r="E98" i="21" s="1"/>
  <c r="AK95" i="23"/>
  <c r="AK95" i="24"/>
  <c r="AI95" i="11"/>
  <c r="AG95" i="11"/>
  <c r="AC95" i="11"/>
  <c r="E94" i="21" s="1"/>
  <c r="AE95" i="11"/>
  <c r="AK91" i="23"/>
  <c r="AK91" i="24"/>
  <c r="AI91" i="11"/>
  <c r="AG91" i="11"/>
  <c r="AE91" i="11"/>
  <c r="AC91" i="11"/>
  <c r="E90" i="21" s="1"/>
  <c r="AK87" i="23"/>
  <c r="AK87" i="24"/>
  <c r="AE87" i="11"/>
  <c r="AG87" i="11"/>
  <c r="AI87" i="11"/>
  <c r="AC87" i="11"/>
  <c r="E86" i="21" s="1"/>
  <c r="AK83" i="23"/>
  <c r="AK83" i="24"/>
  <c r="AI83" i="11"/>
  <c r="AE83" i="11"/>
  <c r="AC83" i="11"/>
  <c r="E82" i="21" s="1"/>
  <c r="AG83" i="11"/>
  <c r="AK100" i="23"/>
  <c r="AK100" i="24"/>
  <c r="AC100" i="11"/>
  <c r="E99" i="21" s="1"/>
  <c r="AI100" i="11"/>
  <c r="AG100" i="11"/>
  <c r="AE100" i="11"/>
  <c r="AK96" i="23"/>
  <c r="AK96" i="24"/>
  <c r="AG96" i="11"/>
  <c r="AC96" i="11"/>
  <c r="E95" i="21" s="1"/>
  <c r="AI96" i="11"/>
  <c r="AE96" i="11"/>
  <c r="AK92" i="23"/>
  <c r="AK92" i="24"/>
  <c r="AG92" i="11"/>
  <c r="AE92" i="11"/>
  <c r="AC92" i="11"/>
  <c r="E91" i="21" s="1"/>
  <c r="AI92" i="11"/>
  <c r="AK88" i="23"/>
  <c r="AK88" i="24"/>
  <c r="AI88" i="11"/>
  <c r="AC88" i="11"/>
  <c r="E87" i="21" s="1"/>
  <c r="AE88" i="11"/>
  <c r="AG88" i="11"/>
  <c r="AK84" i="23"/>
  <c r="AK84" i="24"/>
  <c r="AI84" i="11"/>
  <c r="AC84" i="11"/>
  <c r="E83" i="21" s="1"/>
  <c r="AE84" i="11"/>
  <c r="AG84" i="11"/>
  <c r="AK6" i="23"/>
  <c r="AK6" i="24"/>
  <c r="AC6" i="11"/>
  <c r="E5" i="21" s="1"/>
  <c r="AG6" i="11"/>
  <c r="AE6" i="11"/>
  <c r="AI6" i="11"/>
  <c r="AK8" i="23"/>
  <c r="AK8" i="24"/>
  <c r="AE8" i="11"/>
  <c r="AG8" i="11"/>
  <c r="AI8" i="11"/>
  <c r="AC8" i="11"/>
  <c r="E7" i="21" s="1"/>
  <c r="AK9" i="23"/>
  <c r="AK9" i="24"/>
  <c r="AG9" i="11"/>
  <c r="AC9" i="11"/>
  <c r="E8" i="21" s="1"/>
  <c r="AE9" i="11"/>
  <c r="AI9" i="11"/>
  <c r="AK35" i="23"/>
  <c r="AK35" i="24"/>
  <c r="AG35" i="11"/>
  <c r="AC35" i="11"/>
  <c r="E34" i="21" s="1"/>
  <c r="AE35" i="11"/>
  <c r="AI35" i="11"/>
  <c r="AK33" i="23"/>
  <c r="AK33" i="24"/>
  <c r="AG33" i="11"/>
  <c r="AE33" i="11"/>
  <c r="AC33" i="11"/>
  <c r="E32" i="21" s="1"/>
  <c r="AI33" i="11"/>
  <c r="AK31" i="23"/>
  <c r="AK31" i="24"/>
  <c r="AI31" i="11"/>
  <c r="AG31" i="11"/>
  <c r="AC31" i="11"/>
  <c r="E30" i="21" s="1"/>
  <c r="AE31" i="11"/>
  <c r="AK29" i="23"/>
  <c r="AK29" i="24"/>
  <c r="AG29" i="11"/>
  <c r="AI29" i="11"/>
  <c r="AE29" i="11"/>
  <c r="AC29" i="11"/>
  <c r="E28" i="21" s="1"/>
  <c r="AK27" i="24"/>
  <c r="AK27" i="23"/>
  <c r="AE27" i="11"/>
  <c r="AG27" i="11"/>
  <c r="AI27" i="11"/>
  <c r="AC27" i="11"/>
  <c r="E26" i="21" s="1"/>
  <c r="AK26" i="23"/>
  <c r="AK26" i="24"/>
  <c r="AI26" i="11"/>
  <c r="AG26" i="11"/>
  <c r="AC26" i="11"/>
  <c r="E25" i="21" s="1"/>
  <c r="AE26" i="11"/>
  <c r="AK18" i="24"/>
  <c r="AK18" i="23"/>
  <c r="AI18" i="11"/>
  <c r="AG18" i="11"/>
  <c r="AC18" i="11"/>
  <c r="E17" i="21" s="1"/>
  <c r="AE18" i="11"/>
  <c r="AK21" i="23"/>
  <c r="AK21" i="24"/>
  <c r="AI21" i="11"/>
  <c r="AE21" i="11"/>
  <c r="AC21" i="11"/>
  <c r="E20" i="21" s="1"/>
  <c r="AG21" i="11"/>
  <c r="AK13" i="24"/>
  <c r="AK13" i="23"/>
  <c r="AI13" i="11"/>
  <c r="AC13" i="11"/>
  <c r="E12" i="21" s="1"/>
  <c r="AE13" i="11"/>
  <c r="AG13" i="11"/>
  <c r="AK12" i="24"/>
  <c r="AK12" i="23"/>
  <c r="AE12" i="11"/>
  <c r="AC12" i="11"/>
  <c r="E11" i="21" s="1"/>
  <c r="AI12" i="11"/>
  <c r="AG12" i="11"/>
  <c r="AK23" i="24"/>
  <c r="AK23" i="23"/>
  <c r="AG23" i="11"/>
  <c r="AC23" i="11"/>
  <c r="E22" i="21" s="1"/>
  <c r="AE23" i="11"/>
  <c r="AI23" i="11"/>
  <c r="AK15" i="24"/>
  <c r="AK15" i="23"/>
  <c r="AI15" i="11"/>
  <c r="AG15" i="11"/>
  <c r="AC15" i="11"/>
  <c r="E14" i="21" s="1"/>
  <c r="AE15" i="11"/>
  <c r="AK82" i="24"/>
  <c r="AK82" i="23"/>
  <c r="AG82" i="11"/>
  <c r="AE82" i="11"/>
  <c r="AI82" i="11"/>
  <c r="AC82" i="11"/>
  <c r="E81" i="21" s="1"/>
  <c r="AK80" i="23"/>
  <c r="AK80" i="24"/>
  <c r="AE80" i="11"/>
  <c r="AC80" i="11"/>
  <c r="E79" i="21" s="1"/>
  <c r="AG80" i="11"/>
  <c r="AI80" i="11"/>
  <c r="AK78" i="24"/>
  <c r="AK78" i="23"/>
  <c r="AI78" i="11"/>
  <c r="AC78" i="11"/>
  <c r="E77" i="21" s="1"/>
  <c r="AE78" i="11"/>
  <c r="AG78" i="11"/>
  <c r="AK76" i="23"/>
  <c r="AK76" i="24"/>
  <c r="AG76" i="11"/>
  <c r="AE76" i="11"/>
  <c r="AC76" i="11"/>
  <c r="E75" i="21" s="1"/>
  <c r="AI76" i="11"/>
  <c r="AK74" i="24"/>
  <c r="AK74" i="23"/>
  <c r="AI74" i="11"/>
  <c r="AG74" i="11"/>
  <c r="AE74" i="11"/>
  <c r="AC74" i="11"/>
  <c r="E73" i="21" s="1"/>
  <c r="AK72" i="23"/>
  <c r="AK72" i="24"/>
  <c r="AC72" i="11"/>
  <c r="E71" i="21" s="1"/>
  <c r="AG72" i="11"/>
  <c r="AI72" i="11"/>
  <c r="AE72" i="11"/>
  <c r="AK70" i="24"/>
  <c r="AK70" i="23"/>
  <c r="AG70" i="11"/>
  <c r="AI70" i="11"/>
  <c r="AE70" i="11"/>
  <c r="AC70" i="11"/>
  <c r="E69" i="21" s="1"/>
  <c r="AK68" i="23"/>
  <c r="AK68" i="24"/>
  <c r="AI68" i="11"/>
  <c r="AC68" i="11"/>
  <c r="E67" i="21" s="1"/>
  <c r="AG68" i="11"/>
  <c r="AE68" i="11"/>
  <c r="AK66" i="24"/>
  <c r="AK66" i="23"/>
  <c r="AG66" i="11"/>
  <c r="AC66" i="11"/>
  <c r="E65" i="21" s="1"/>
  <c r="AI66" i="11"/>
  <c r="AE66" i="11"/>
  <c r="AK64" i="23"/>
  <c r="AK64" i="24"/>
  <c r="AE64" i="11"/>
  <c r="AC64" i="11"/>
  <c r="E63" i="21" s="1"/>
  <c r="AG64" i="11"/>
  <c r="AI64" i="11"/>
  <c r="AK62" i="24"/>
  <c r="AK62" i="23"/>
  <c r="AI62" i="11"/>
  <c r="AE62" i="11"/>
  <c r="AC62" i="11"/>
  <c r="E61" i="21" s="1"/>
  <c r="AG62" i="11"/>
  <c r="AK60" i="23"/>
  <c r="AK60" i="24"/>
  <c r="AG60" i="11"/>
  <c r="AI60" i="11"/>
  <c r="AE60" i="11"/>
  <c r="AC60" i="11"/>
  <c r="E59" i="21" s="1"/>
  <c r="AK58" i="24"/>
  <c r="AK58" i="23"/>
  <c r="AG58" i="11"/>
  <c r="AI58" i="11"/>
  <c r="AE58" i="11"/>
  <c r="AC58" i="11"/>
  <c r="E57" i="21" s="1"/>
  <c r="AK56" i="23"/>
  <c r="AK56" i="24"/>
  <c r="AE56" i="11"/>
  <c r="AC56" i="11"/>
  <c r="E55" i="21" s="1"/>
  <c r="AG56" i="11"/>
  <c r="AI56" i="11"/>
  <c r="AK54" i="24"/>
  <c r="AK54" i="23"/>
  <c r="AG54" i="11"/>
  <c r="AI54" i="11"/>
  <c r="AE54" i="11"/>
  <c r="AC54" i="11"/>
  <c r="E53" i="21" s="1"/>
  <c r="AK52" i="23"/>
  <c r="AK52" i="24"/>
  <c r="AG52" i="11"/>
  <c r="AI52" i="11"/>
  <c r="AE52" i="11"/>
  <c r="AC52" i="11"/>
  <c r="E51" i="21" s="1"/>
  <c r="AE39" i="11"/>
  <c r="P102" i="21" l="1"/>
  <c r="N102" i="21"/>
  <c r="P101" i="21"/>
  <c r="R101" i="21"/>
  <c r="N101" i="21"/>
  <c r="N100" i="21"/>
  <c r="P100" i="21"/>
  <c r="N104" i="21"/>
  <c r="R104" i="21"/>
  <c r="P104" i="21"/>
  <c r="R103" i="21"/>
  <c r="N103" i="21"/>
  <c r="P103" i="21"/>
  <c r="AE50" i="11"/>
  <c r="AG50" i="11"/>
  <c r="AG39" i="11"/>
  <c r="AI46" i="11"/>
  <c r="AE46" i="11"/>
  <c r="AG43" i="11"/>
  <c r="AK50" i="24"/>
  <c r="AC50" i="24" s="1"/>
  <c r="G49" i="21" s="1"/>
  <c r="AK39" i="23"/>
  <c r="AG39" i="23" s="1"/>
  <c r="AK37" i="24"/>
  <c r="AE37" i="24" s="1"/>
  <c r="AK38" i="24"/>
  <c r="AI108" i="23"/>
  <c r="AE108" i="23"/>
  <c r="AG108" i="23"/>
  <c r="AC108" i="23"/>
  <c r="I107" i="21" s="1"/>
  <c r="AC104" i="24"/>
  <c r="G103" i="21" s="1"/>
  <c r="AI104" i="24"/>
  <c r="AE104" i="24"/>
  <c r="AG104" i="24"/>
  <c r="AI101" i="24"/>
  <c r="AC101" i="24"/>
  <c r="G100" i="21" s="1"/>
  <c r="R100" i="21" s="1"/>
  <c r="AE101" i="24"/>
  <c r="AG101" i="24"/>
  <c r="AG121" i="24"/>
  <c r="AE121" i="24"/>
  <c r="AI121" i="24"/>
  <c r="AC121" i="24"/>
  <c r="G120" i="21" s="1"/>
  <c r="AG109" i="24"/>
  <c r="AC109" i="24"/>
  <c r="G108" i="21" s="1"/>
  <c r="AE109" i="24"/>
  <c r="AI109" i="24"/>
  <c r="AG129" i="23"/>
  <c r="AE129" i="23"/>
  <c r="AC129" i="23"/>
  <c r="I128" i="21" s="1"/>
  <c r="AI129" i="23"/>
  <c r="AI117" i="24"/>
  <c r="AE117" i="24"/>
  <c r="AC117" i="24"/>
  <c r="G116" i="21" s="1"/>
  <c r="AG117" i="24"/>
  <c r="AI137" i="24"/>
  <c r="AC137" i="24"/>
  <c r="G136" i="21" s="1"/>
  <c r="AG137" i="24"/>
  <c r="AE137" i="24"/>
  <c r="AC125" i="24"/>
  <c r="G124" i="21" s="1"/>
  <c r="AG125" i="24"/>
  <c r="AE125" i="24"/>
  <c r="AI125" i="24"/>
  <c r="R135" i="21"/>
  <c r="AE145" i="24"/>
  <c r="AC145" i="24"/>
  <c r="G144" i="21" s="1"/>
  <c r="AI145" i="24"/>
  <c r="AG145" i="24"/>
  <c r="AI133" i="24"/>
  <c r="AC133" i="24"/>
  <c r="G132" i="21" s="1"/>
  <c r="AE133" i="24"/>
  <c r="AG133" i="24"/>
  <c r="AC153" i="24"/>
  <c r="G152" i="21" s="1"/>
  <c r="AG153" i="24"/>
  <c r="AI153" i="24"/>
  <c r="AE153" i="24"/>
  <c r="AG141" i="24"/>
  <c r="AI141" i="24"/>
  <c r="AE141" i="24"/>
  <c r="AC141" i="24"/>
  <c r="G140" i="21" s="1"/>
  <c r="AI146" i="24"/>
  <c r="AG146" i="24"/>
  <c r="AE146" i="24"/>
  <c r="AC146" i="24"/>
  <c r="G145" i="21" s="1"/>
  <c r="AI108" i="24"/>
  <c r="AE108" i="24"/>
  <c r="AG108" i="24"/>
  <c r="AC108" i="24"/>
  <c r="G107" i="21" s="1"/>
  <c r="AG104" i="23"/>
  <c r="AI104" i="23"/>
  <c r="AE104" i="23"/>
  <c r="AC104" i="23"/>
  <c r="I103" i="21" s="1"/>
  <c r="AG101" i="23"/>
  <c r="AC101" i="23"/>
  <c r="I100" i="21" s="1"/>
  <c r="AE101" i="23"/>
  <c r="AI101" i="23"/>
  <c r="AE121" i="23"/>
  <c r="AG121" i="23"/>
  <c r="AC121" i="23"/>
  <c r="I120" i="21" s="1"/>
  <c r="AI121" i="23"/>
  <c r="AI109" i="23"/>
  <c r="AE109" i="23"/>
  <c r="AG109" i="23"/>
  <c r="AC109" i="23"/>
  <c r="I108" i="21" s="1"/>
  <c r="AG129" i="24"/>
  <c r="AI129" i="24"/>
  <c r="AC129" i="24"/>
  <c r="G128" i="21" s="1"/>
  <c r="AE129" i="24"/>
  <c r="AG117" i="23"/>
  <c r="AI117" i="23"/>
  <c r="AE117" i="23"/>
  <c r="AC117" i="23"/>
  <c r="I116" i="21" s="1"/>
  <c r="AG137" i="23"/>
  <c r="AC137" i="23"/>
  <c r="I136" i="21" s="1"/>
  <c r="AE137" i="23"/>
  <c r="AI137" i="23"/>
  <c r="AC125" i="23"/>
  <c r="I124" i="21" s="1"/>
  <c r="AI125" i="23"/>
  <c r="AG125" i="23"/>
  <c r="AE125" i="23"/>
  <c r="R134" i="21"/>
  <c r="AG145" i="23"/>
  <c r="AE145" i="23"/>
  <c r="AI145" i="23"/>
  <c r="AC145" i="23"/>
  <c r="I144" i="21" s="1"/>
  <c r="AE133" i="23"/>
  <c r="AC133" i="23"/>
  <c r="I132" i="21" s="1"/>
  <c r="AI133" i="23"/>
  <c r="AG133" i="23"/>
  <c r="AI153" i="23"/>
  <c r="AG153" i="23"/>
  <c r="AC153" i="23"/>
  <c r="I152" i="21" s="1"/>
  <c r="AE153" i="23"/>
  <c r="D154" i="21"/>
  <c r="AE141" i="23"/>
  <c r="AC141" i="23"/>
  <c r="I140" i="21" s="1"/>
  <c r="AI141" i="23"/>
  <c r="AG141" i="23"/>
  <c r="AG146" i="23"/>
  <c r="AE146" i="23"/>
  <c r="AI146" i="23"/>
  <c r="AC146" i="23"/>
  <c r="I145" i="21" s="1"/>
  <c r="AE107" i="23"/>
  <c r="AC107" i="23"/>
  <c r="I106" i="21" s="1"/>
  <c r="AG107" i="23"/>
  <c r="AI107" i="23"/>
  <c r="D153" i="21"/>
  <c r="AI103" i="24"/>
  <c r="AE103" i="24"/>
  <c r="AC103" i="24"/>
  <c r="G102" i="21" s="1"/>
  <c r="R102" i="21" s="1"/>
  <c r="AG103" i="24"/>
  <c r="AC116" i="23"/>
  <c r="I115" i="21" s="1"/>
  <c r="AI116" i="23"/>
  <c r="AG116" i="23"/>
  <c r="AE116" i="23"/>
  <c r="AI112" i="24"/>
  <c r="AG112" i="24"/>
  <c r="AC112" i="24"/>
  <c r="G111" i="21" s="1"/>
  <c r="AE112" i="24"/>
  <c r="AI124" i="23"/>
  <c r="AG124" i="23"/>
  <c r="AE124" i="23"/>
  <c r="AC124" i="23"/>
  <c r="I123" i="21" s="1"/>
  <c r="AI120" i="24"/>
  <c r="AG120" i="24"/>
  <c r="AC120" i="24"/>
  <c r="G119" i="21" s="1"/>
  <c r="AE120" i="24"/>
  <c r="AC132" i="23"/>
  <c r="I131" i="21" s="1"/>
  <c r="AI132" i="23"/>
  <c r="AE132" i="23"/>
  <c r="AG132" i="23"/>
  <c r="AG128" i="24"/>
  <c r="AE128" i="24"/>
  <c r="AC128" i="24"/>
  <c r="G127" i="21" s="1"/>
  <c r="AI128" i="24"/>
  <c r="AI140" i="23"/>
  <c r="AG140" i="23"/>
  <c r="AE140" i="23"/>
  <c r="AC140" i="23"/>
  <c r="I139" i="21" s="1"/>
  <c r="AI136" i="24"/>
  <c r="AG136" i="24"/>
  <c r="AC136" i="24"/>
  <c r="G135" i="21" s="1"/>
  <c r="AE136" i="24"/>
  <c r="AG148" i="23"/>
  <c r="AI148" i="23"/>
  <c r="AC148" i="23"/>
  <c r="I147" i="21" s="1"/>
  <c r="AE148" i="23"/>
  <c r="AG144" i="24"/>
  <c r="AC144" i="24"/>
  <c r="G143" i="21" s="1"/>
  <c r="AE144" i="24"/>
  <c r="AI144" i="24"/>
  <c r="AI114" i="24"/>
  <c r="AE114" i="24"/>
  <c r="AG114" i="24"/>
  <c r="AC114" i="24"/>
  <c r="G113" i="21" s="1"/>
  <c r="D150" i="21"/>
  <c r="AI152" i="24"/>
  <c r="AG152" i="24"/>
  <c r="AE152" i="24"/>
  <c r="AC152" i="24"/>
  <c r="G151" i="21" s="1"/>
  <c r="AC107" i="24"/>
  <c r="G106" i="21" s="1"/>
  <c r="AG107" i="24"/>
  <c r="AI107" i="24"/>
  <c r="AE107" i="24"/>
  <c r="AI103" i="23"/>
  <c r="AG103" i="23"/>
  <c r="AC103" i="23"/>
  <c r="I102" i="21" s="1"/>
  <c r="AE103" i="23"/>
  <c r="AC116" i="24"/>
  <c r="G115" i="21" s="1"/>
  <c r="AG116" i="24"/>
  <c r="AE116" i="24"/>
  <c r="AI116" i="24"/>
  <c r="AG112" i="23"/>
  <c r="AC112" i="23"/>
  <c r="I111" i="21" s="1"/>
  <c r="AI112" i="23"/>
  <c r="AE112" i="23"/>
  <c r="D148" i="21"/>
  <c r="AG124" i="24"/>
  <c r="AC124" i="24"/>
  <c r="G123" i="21" s="1"/>
  <c r="L123" i="21" s="1"/>
  <c r="AE124" i="24"/>
  <c r="AI124" i="24"/>
  <c r="AG120" i="23"/>
  <c r="AI120" i="23"/>
  <c r="AE120" i="23"/>
  <c r="AC120" i="23"/>
  <c r="I119" i="21" s="1"/>
  <c r="AC132" i="24"/>
  <c r="G131" i="21" s="1"/>
  <c r="AI132" i="24"/>
  <c r="AE132" i="24"/>
  <c r="AG132" i="24"/>
  <c r="AI128" i="23"/>
  <c r="AE128" i="23"/>
  <c r="AC128" i="23"/>
  <c r="I127" i="21" s="1"/>
  <c r="AG128" i="23"/>
  <c r="AI140" i="24"/>
  <c r="AG140" i="24"/>
  <c r="AE140" i="24"/>
  <c r="AC140" i="24"/>
  <c r="G139" i="21" s="1"/>
  <c r="AE136" i="23"/>
  <c r="AG136" i="23"/>
  <c r="AC136" i="23"/>
  <c r="I135" i="21" s="1"/>
  <c r="AI136" i="23"/>
  <c r="D146" i="21"/>
  <c r="AI148" i="24"/>
  <c r="AG148" i="24"/>
  <c r="AE148" i="24"/>
  <c r="AC148" i="24"/>
  <c r="G147" i="21" s="1"/>
  <c r="AE144" i="23"/>
  <c r="AI144" i="23"/>
  <c r="AG144" i="23"/>
  <c r="AC144" i="23"/>
  <c r="I143" i="21" s="1"/>
  <c r="P143" i="21" s="1"/>
  <c r="AI114" i="23"/>
  <c r="AC114" i="23"/>
  <c r="I113" i="21" s="1"/>
  <c r="AG114" i="23"/>
  <c r="AE114" i="23"/>
  <c r="AC152" i="23"/>
  <c r="I151" i="21" s="1"/>
  <c r="AI152" i="23"/>
  <c r="AG152" i="23"/>
  <c r="AE152" i="23"/>
  <c r="AC130" i="24"/>
  <c r="G129" i="21" s="1"/>
  <c r="AI130" i="24"/>
  <c r="AG130" i="24"/>
  <c r="AE130" i="24"/>
  <c r="AC115" i="23"/>
  <c r="I114" i="21" s="1"/>
  <c r="AE115" i="23"/>
  <c r="AG115" i="23"/>
  <c r="AI115" i="23"/>
  <c r="AI111" i="24"/>
  <c r="AE111" i="24"/>
  <c r="AG111" i="24"/>
  <c r="AC111" i="24"/>
  <c r="G110" i="21" s="1"/>
  <c r="AG123" i="23"/>
  <c r="AC123" i="23"/>
  <c r="I122" i="21" s="1"/>
  <c r="AE123" i="23"/>
  <c r="AI123" i="23"/>
  <c r="AG119" i="24"/>
  <c r="AI119" i="24"/>
  <c r="AE119" i="24"/>
  <c r="AC119" i="24"/>
  <c r="G118" i="21" s="1"/>
  <c r="AG131" i="23"/>
  <c r="AC131" i="23"/>
  <c r="I130" i="21" s="1"/>
  <c r="AE131" i="23"/>
  <c r="AI131" i="23"/>
  <c r="AE127" i="24"/>
  <c r="AG127" i="24"/>
  <c r="AC127" i="24"/>
  <c r="G126" i="21" s="1"/>
  <c r="AI127" i="24"/>
  <c r="AG139" i="23"/>
  <c r="AC139" i="23"/>
  <c r="I138" i="21" s="1"/>
  <c r="AE139" i="23"/>
  <c r="AI139" i="23"/>
  <c r="AG135" i="24"/>
  <c r="AE135" i="24"/>
  <c r="AC135" i="24"/>
  <c r="G134" i="21" s="1"/>
  <c r="AI135" i="24"/>
  <c r="AI147" i="23"/>
  <c r="AG147" i="23"/>
  <c r="AE147" i="23"/>
  <c r="AC147" i="23"/>
  <c r="I146" i="21" s="1"/>
  <c r="AI143" i="24"/>
  <c r="AE143" i="24"/>
  <c r="AC143" i="24"/>
  <c r="G142" i="21" s="1"/>
  <c r="AG143" i="24"/>
  <c r="D149" i="21"/>
  <c r="AI155" i="23"/>
  <c r="AC155" i="23"/>
  <c r="I154" i="21" s="1"/>
  <c r="AE155" i="23"/>
  <c r="AG155" i="23"/>
  <c r="AI151" i="24"/>
  <c r="AG151" i="24"/>
  <c r="AC151" i="24"/>
  <c r="G150" i="21" s="1"/>
  <c r="AE151" i="24"/>
  <c r="AE130" i="23"/>
  <c r="AC130" i="23"/>
  <c r="I129" i="21" s="1"/>
  <c r="AG130" i="23"/>
  <c r="AI130" i="23"/>
  <c r="AE115" i="24"/>
  <c r="AI115" i="24"/>
  <c r="AG115" i="24"/>
  <c r="AC115" i="24"/>
  <c r="G114" i="21" s="1"/>
  <c r="AC111" i="23"/>
  <c r="I110" i="21" s="1"/>
  <c r="AI111" i="23"/>
  <c r="AE111" i="23"/>
  <c r="AG111" i="23"/>
  <c r="AC123" i="24"/>
  <c r="G122" i="21" s="1"/>
  <c r="AG123" i="24"/>
  <c r="AE123" i="24"/>
  <c r="AI123" i="24"/>
  <c r="AC119" i="23"/>
  <c r="I118" i="21" s="1"/>
  <c r="AG119" i="23"/>
  <c r="AE119" i="23"/>
  <c r="AI119" i="23"/>
  <c r="AC131" i="24"/>
  <c r="G130" i="21" s="1"/>
  <c r="AG131" i="24"/>
  <c r="AE131" i="24"/>
  <c r="AI131" i="24"/>
  <c r="AC127" i="23"/>
  <c r="I126" i="21" s="1"/>
  <c r="AE127" i="23"/>
  <c r="AI127" i="23"/>
  <c r="AG127" i="23"/>
  <c r="AI139" i="24"/>
  <c r="AE139" i="24"/>
  <c r="AG139" i="24"/>
  <c r="AC139" i="24"/>
  <c r="G138" i="21" s="1"/>
  <c r="AG135" i="23"/>
  <c r="AI135" i="23"/>
  <c r="AE135" i="23"/>
  <c r="AC135" i="23"/>
  <c r="I134" i="21" s="1"/>
  <c r="AI147" i="24"/>
  <c r="AG147" i="24"/>
  <c r="AE147" i="24"/>
  <c r="AC147" i="24"/>
  <c r="G146" i="21" s="1"/>
  <c r="AE143" i="23"/>
  <c r="AG143" i="23"/>
  <c r="AI143" i="23"/>
  <c r="AC143" i="23"/>
  <c r="I142" i="21" s="1"/>
  <c r="AI155" i="24"/>
  <c r="AE155" i="24"/>
  <c r="AG155" i="24"/>
  <c r="AC155" i="24"/>
  <c r="G154" i="21" s="1"/>
  <c r="AE151" i="23"/>
  <c r="AI151" i="23"/>
  <c r="AG151" i="23"/>
  <c r="AC151" i="23"/>
  <c r="I150" i="21" s="1"/>
  <c r="D145" i="21"/>
  <c r="AG154" i="24"/>
  <c r="AI154" i="24"/>
  <c r="AC154" i="24"/>
  <c r="G153" i="21" s="1"/>
  <c r="AE154" i="24"/>
  <c r="AE113" i="24"/>
  <c r="AG113" i="24"/>
  <c r="AI113" i="24"/>
  <c r="AC113" i="24"/>
  <c r="G112" i="21" s="1"/>
  <c r="AI102" i="24"/>
  <c r="AG102" i="24"/>
  <c r="AC102" i="24"/>
  <c r="G101" i="21" s="1"/>
  <c r="AE102" i="24"/>
  <c r="AI149" i="24"/>
  <c r="AC149" i="24"/>
  <c r="G148" i="21" s="1"/>
  <c r="AG149" i="24"/>
  <c r="AE149" i="24"/>
  <c r="AG110" i="24"/>
  <c r="AI110" i="24"/>
  <c r="AC110" i="24"/>
  <c r="G109" i="21" s="1"/>
  <c r="AE110" i="24"/>
  <c r="AI105" i="24"/>
  <c r="AG105" i="24"/>
  <c r="AC105" i="24"/>
  <c r="G104" i="21" s="1"/>
  <c r="AE105" i="24"/>
  <c r="AI118" i="24"/>
  <c r="AC118" i="24"/>
  <c r="G117" i="21" s="1"/>
  <c r="AG118" i="24"/>
  <c r="AE118" i="24"/>
  <c r="AE106" i="24"/>
  <c r="AG106" i="24"/>
  <c r="AI106" i="24"/>
  <c r="AC106" i="24"/>
  <c r="G105" i="21" s="1"/>
  <c r="AC126" i="24"/>
  <c r="G125" i="21" s="1"/>
  <c r="AI126" i="24"/>
  <c r="AE126" i="24"/>
  <c r="AG126" i="24"/>
  <c r="AI122" i="24"/>
  <c r="AE122" i="24"/>
  <c r="AG122" i="24"/>
  <c r="AC122" i="24"/>
  <c r="G121" i="21" s="1"/>
  <c r="AI134" i="24"/>
  <c r="AC134" i="24"/>
  <c r="G133" i="21" s="1"/>
  <c r="AG134" i="24"/>
  <c r="AE134" i="24"/>
  <c r="D152" i="21"/>
  <c r="AE150" i="24"/>
  <c r="AG150" i="24"/>
  <c r="AC150" i="24"/>
  <c r="G149" i="21" s="1"/>
  <c r="AI150" i="24"/>
  <c r="AC142" i="24"/>
  <c r="G141" i="21" s="1"/>
  <c r="AI142" i="24"/>
  <c r="AE142" i="24"/>
  <c r="AG142" i="24"/>
  <c r="AE138" i="24"/>
  <c r="AG138" i="24"/>
  <c r="AI138" i="24"/>
  <c r="AC138" i="24"/>
  <c r="G137" i="21" s="1"/>
  <c r="AI154" i="23"/>
  <c r="AC154" i="23"/>
  <c r="I153" i="21" s="1"/>
  <c r="AE154" i="23"/>
  <c r="AG154" i="23"/>
  <c r="AI113" i="23"/>
  <c r="AG113" i="23"/>
  <c r="AE113" i="23"/>
  <c r="AC113" i="23"/>
  <c r="I112" i="21" s="1"/>
  <c r="AI102" i="23"/>
  <c r="AG102" i="23"/>
  <c r="AC102" i="23"/>
  <c r="I101" i="21" s="1"/>
  <c r="AE102" i="23"/>
  <c r="AE149" i="23"/>
  <c r="AG149" i="23"/>
  <c r="AI149" i="23"/>
  <c r="AC149" i="23"/>
  <c r="I148" i="21" s="1"/>
  <c r="AI110" i="23"/>
  <c r="AG110" i="23"/>
  <c r="AE110" i="23"/>
  <c r="AC110" i="23"/>
  <c r="I109" i="21" s="1"/>
  <c r="AI105" i="23"/>
  <c r="AE105" i="23"/>
  <c r="AG105" i="23"/>
  <c r="AC105" i="23"/>
  <c r="I104" i="21" s="1"/>
  <c r="AC118" i="23"/>
  <c r="I117" i="21" s="1"/>
  <c r="AG118" i="23"/>
  <c r="AE118" i="23"/>
  <c r="AI118" i="23"/>
  <c r="AE106" i="23"/>
  <c r="AI106" i="23"/>
  <c r="AG106" i="23"/>
  <c r="AC106" i="23"/>
  <c r="I105" i="21" s="1"/>
  <c r="AC126" i="23"/>
  <c r="I125" i="21" s="1"/>
  <c r="P125" i="21" s="1"/>
  <c r="AG126" i="23"/>
  <c r="AI126" i="23"/>
  <c r="AE126" i="23"/>
  <c r="AE122" i="23"/>
  <c r="AI122" i="23"/>
  <c r="AG122" i="23"/>
  <c r="AC122" i="23"/>
  <c r="I121" i="21" s="1"/>
  <c r="D147" i="21"/>
  <c r="AG134" i="23"/>
  <c r="AI134" i="23"/>
  <c r="AE134" i="23"/>
  <c r="AC134" i="23"/>
  <c r="I133" i="21" s="1"/>
  <c r="AG150" i="23"/>
  <c r="AE150" i="23"/>
  <c r="AC150" i="23"/>
  <c r="I149" i="21" s="1"/>
  <c r="AI150" i="23"/>
  <c r="AC142" i="23"/>
  <c r="I141" i="21" s="1"/>
  <c r="AG142" i="23"/>
  <c r="AI142" i="23"/>
  <c r="AE142" i="23"/>
  <c r="D151" i="21"/>
  <c r="AG138" i="23"/>
  <c r="AI138" i="23"/>
  <c r="AC138" i="23"/>
  <c r="I137" i="21" s="1"/>
  <c r="AE138" i="23"/>
  <c r="AI49" i="11"/>
  <c r="AC47" i="11"/>
  <c r="E46" i="21" s="1"/>
  <c r="AC49" i="11"/>
  <c r="E48" i="21" s="1"/>
  <c r="AK46" i="24"/>
  <c r="AE46" i="24" s="1"/>
  <c r="AK42" i="24"/>
  <c r="AE42" i="24" s="1"/>
  <c r="AK49" i="24"/>
  <c r="AG49" i="24" s="1"/>
  <c r="AK47" i="23"/>
  <c r="AI47" i="23" s="1"/>
  <c r="AC42" i="11"/>
  <c r="E41" i="21" s="1"/>
  <c r="AK43" i="23"/>
  <c r="AE43" i="23" s="1"/>
  <c r="AG38" i="11"/>
  <c r="AG47" i="11"/>
  <c r="AG42" i="11"/>
  <c r="AI43" i="11"/>
  <c r="AI38" i="11"/>
  <c r="AI39" i="11"/>
  <c r="AC39" i="11"/>
  <c r="E38" i="21" s="1"/>
  <c r="AE49" i="11"/>
  <c r="AG49" i="11"/>
  <c r="AC50" i="11"/>
  <c r="E49" i="21" s="1"/>
  <c r="AI50" i="11"/>
  <c r="AC37" i="11"/>
  <c r="E36" i="21" s="1"/>
  <c r="AG37" i="11"/>
  <c r="AG46" i="11"/>
  <c r="AC46" i="11"/>
  <c r="E45" i="21" s="1"/>
  <c r="AE47" i="11"/>
  <c r="AI47" i="11"/>
  <c r="AI42" i="11"/>
  <c r="AE42" i="11"/>
  <c r="AE43" i="11"/>
  <c r="AC43" i="11"/>
  <c r="E42" i="21" s="1"/>
  <c r="AE38" i="11"/>
  <c r="AC38" i="11"/>
  <c r="E37" i="21" s="1"/>
  <c r="AE41" i="11"/>
  <c r="AG41" i="11"/>
  <c r="AK41" i="24"/>
  <c r="AI41" i="24" s="1"/>
  <c r="AC41" i="11"/>
  <c r="E40" i="21" s="1"/>
  <c r="AI41" i="11"/>
  <c r="AG39" i="24"/>
  <c r="AE39" i="24"/>
  <c r="AC39" i="24"/>
  <c r="G38" i="21" s="1"/>
  <c r="AI39" i="24"/>
  <c r="AE47" i="24"/>
  <c r="AI47" i="24"/>
  <c r="AG47" i="24"/>
  <c r="AC47" i="24"/>
  <c r="G46" i="21" s="1"/>
  <c r="AC49" i="24"/>
  <c r="G48" i="21" s="1"/>
  <c r="AC42" i="23"/>
  <c r="I41" i="21" s="1"/>
  <c r="AE42" i="23"/>
  <c r="AG42" i="23"/>
  <c r="AI42" i="23"/>
  <c r="AE50" i="23"/>
  <c r="AC50" i="23"/>
  <c r="I49" i="21" s="1"/>
  <c r="P49" i="21" s="1"/>
  <c r="AI50" i="23"/>
  <c r="AG50" i="23"/>
  <c r="R51" i="21"/>
  <c r="AI52" i="24"/>
  <c r="AE52" i="24"/>
  <c r="AC52" i="24"/>
  <c r="G51" i="21" s="1"/>
  <c r="AG52" i="24"/>
  <c r="AI54" i="23"/>
  <c r="AG54" i="23"/>
  <c r="AE54" i="23"/>
  <c r="AC54" i="23"/>
  <c r="I53" i="21" s="1"/>
  <c r="R55" i="21"/>
  <c r="AC56" i="24"/>
  <c r="G55" i="21" s="1"/>
  <c r="AI56" i="24"/>
  <c r="AG56" i="24"/>
  <c r="AE56" i="24"/>
  <c r="R57" i="21"/>
  <c r="AC58" i="23"/>
  <c r="I57" i="21" s="1"/>
  <c r="AG58" i="23"/>
  <c r="AI58" i="23"/>
  <c r="AE58" i="23"/>
  <c r="AI60" i="24"/>
  <c r="AC60" i="24"/>
  <c r="G59" i="21" s="1"/>
  <c r="AE60" i="24"/>
  <c r="AG60" i="24"/>
  <c r="AI62" i="23"/>
  <c r="AC62" i="23"/>
  <c r="I61" i="21" s="1"/>
  <c r="AE62" i="23"/>
  <c r="AG62" i="23"/>
  <c r="AI64" i="24"/>
  <c r="AG64" i="24"/>
  <c r="AC64" i="24"/>
  <c r="G63" i="21" s="1"/>
  <c r="AE64" i="24"/>
  <c r="R65" i="21"/>
  <c r="AI66" i="23"/>
  <c r="AE66" i="23"/>
  <c r="AC66" i="23"/>
  <c r="I65" i="21" s="1"/>
  <c r="AG66" i="23"/>
  <c r="AI68" i="24"/>
  <c r="AG68" i="24"/>
  <c r="AC68" i="24"/>
  <c r="G67" i="21" s="1"/>
  <c r="AE68" i="24"/>
  <c r="AC70" i="23"/>
  <c r="I69" i="21" s="1"/>
  <c r="AG70" i="23"/>
  <c r="AI70" i="23"/>
  <c r="AE70" i="23"/>
  <c r="AC72" i="24"/>
  <c r="G71" i="21" s="1"/>
  <c r="AE72" i="24"/>
  <c r="AI72" i="24"/>
  <c r="AG72" i="24"/>
  <c r="AI74" i="23"/>
  <c r="AC74" i="23"/>
  <c r="I73" i="21" s="1"/>
  <c r="AE74" i="23"/>
  <c r="AG74" i="23"/>
  <c r="AG76" i="24"/>
  <c r="AC76" i="24"/>
  <c r="G75" i="21" s="1"/>
  <c r="AI76" i="24"/>
  <c r="AE76" i="24"/>
  <c r="AI78" i="23"/>
  <c r="AE78" i="23"/>
  <c r="AC78" i="23"/>
  <c r="I77" i="21" s="1"/>
  <c r="AG78" i="23"/>
  <c r="AG80" i="24"/>
  <c r="AI80" i="24"/>
  <c r="AC80" i="24"/>
  <c r="G79" i="21" s="1"/>
  <c r="AE80" i="24"/>
  <c r="AI82" i="23"/>
  <c r="AC82" i="23"/>
  <c r="I81" i="21" s="1"/>
  <c r="AE82" i="23"/>
  <c r="AG82" i="23"/>
  <c r="AE15" i="23"/>
  <c r="AI15" i="23"/>
  <c r="AC15" i="23"/>
  <c r="I14" i="21" s="1"/>
  <c r="AG15" i="23"/>
  <c r="AI23" i="23"/>
  <c r="AE23" i="23"/>
  <c r="AC23" i="23"/>
  <c r="I22" i="21" s="1"/>
  <c r="AG23" i="23"/>
  <c r="AG12" i="23"/>
  <c r="AI12" i="23"/>
  <c r="AE12" i="23"/>
  <c r="AC12" i="23"/>
  <c r="I11" i="21" s="1"/>
  <c r="AE13" i="23"/>
  <c r="AG13" i="23"/>
  <c r="AI13" i="23"/>
  <c r="AC13" i="23"/>
  <c r="I12" i="21" s="1"/>
  <c r="AC21" i="24"/>
  <c r="G20" i="21" s="1"/>
  <c r="AI21" i="24"/>
  <c r="AE21" i="24"/>
  <c r="AG21" i="24"/>
  <c r="AC18" i="23"/>
  <c r="I17" i="21" s="1"/>
  <c r="AE18" i="23"/>
  <c r="AI18" i="23"/>
  <c r="AG18" i="23"/>
  <c r="AI26" i="24"/>
  <c r="AG26" i="24"/>
  <c r="AC26" i="24"/>
  <c r="G25" i="21" s="1"/>
  <c r="AE26" i="24"/>
  <c r="AI27" i="23"/>
  <c r="AC27" i="23"/>
  <c r="I26" i="21" s="1"/>
  <c r="AE27" i="23"/>
  <c r="AG27" i="23"/>
  <c r="AG29" i="24"/>
  <c r="AC29" i="24"/>
  <c r="G28" i="21" s="1"/>
  <c r="AE29" i="24"/>
  <c r="AI29" i="24"/>
  <c r="AI31" i="24"/>
  <c r="AC31" i="24"/>
  <c r="G30" i="21" s="1"/>
  <c r="AG31" i="24"/>
  <c r="AE31" i="24"/>
  <c r="AI33" i="24"/>
  <c r="AC33" i="24"/>
  <c r="G32" i="21" s="1"/>
  <c r="AG33" i="24"/>
  <c r="AE33" i="24"/>
  <c r="AG35" i="24"/>
  <c r="AI35" i="24"/>
  <c r="AE35" i="24"/>
  <c r="AC35" i="24"/>
  <c r="G34" i="21" s="1"/>
  <c r="AE9" i="24"/>
  <c r="AC9" i="24"/>
  <c r="G8" i="21" s="1"/>
  <c r="AI9" i="24"/>
  <c r="AG9" i="24"/>
  <c r="AI8" i="24"/>
  <c r="AE8" i="24"/>
  <c r="AC8" i="24"/>
  <c r="G7" i="21" s="1"/>
  <c r="AG8" i="24"/>
  <c r="AI6" i="24"/>
  <c r="AC6" i="24"/>
  <c r="G5" i="21" s="1"/>
  <c r="AG6" i="24"/>
  <c r="AE6" i="24"/>
  <c r="AI84" i="24"/>
  <c r="AC84" i="24"/>
  <c r="G83" i="21" s="1"/>
  <c r="AE84" i="24"/>
  <c r="AG84" i="24"/>
  <c r="AG88" i="24"/>
  <c r="AC88" i="24"/>
  <c r="G87" i="21" s="1"/>
  <c r="AI88" i="24"/>
  <c r="AE88" i="24"/>
  <c r="AI92" i="24"/>
  <c r="AG92" i="24"/>
  <c r="AC92" i="24"/>
  <c r="G91" i="21" s="1"/>
  <c r="AE92" i="24"/>
  <c r="AG96" i="24"/>
  <c r="AE96" i="24"/>
  <c r="AI96" i="24"/>
  <c r="AC96" i="24"/>
  <c r="G95" i="21" s="1"/>
  <c r="AG100" i="24"/>
  <c r="AC100" i="24"/>
  <c r="G99" i="21" s="1"/>
  <c r="AE100" i="24"/>
  <c r="AI100" i="24"/>
  <c r="AE83" i="24"/>
  <c r="AC83" i="24"/>
  <c r="G82" i="21" s="1"/>
  <c r="AI83" i="24"/>
  <c r="AG83" i="24"/>
  <c r="AG87" i="24"/>
  <c r="AC87" i="24"/>
  <c r="G86" i="21" s="1"/>
  <c r="AE87" i="24"/>
  <c r="AI87" i="24"/>
  <c r="AE91" i="24"/>
  <c r="AI91" i="24"/>
  <c r="AC91" i="24"/>
  <c r="G90" i="21" s="1"/>
  <c r="AG91" i="24"/>
  <c r="AI95" i="24"/>
  <c r="AE95" i="24"/>
  <c r="AG95" i="24"/>
  <c r="AC95" i="24"/>
  <c r="G94" i="21" s="1"/>
  <c r="AI99" i="24"/>
  <c r="AG99" i="24"/>
  <c r="AC99" i="24"/>
  <c r="G98" i="21" s="1"/>
  <c r="AE99" i="24"/>
  <c r="AK36" i="23"/>
  <c r="AK36" i="24"/>
  <c r="AI36" i="11"/>
  <c r="AC36" i="11"/>
  <c r="E35" i="21" s="1"/>
  <c r="AG36" i="11"/>
  <c r="AE36" i="11"/>
  <c r="AC40" i="23"/>
  <c r="I39" i="21" s="1"/>
  <c r="AE40" i="23"/>
  <c r="AI40" i="23"/>
  <c r="AG40" i="23"/>
  <c r="R47" i="21"/>
  <c r="AG48" i="24"/>
  <c r="AI48" i="24"/>
  <c r="AE48" i="24"/>
  <c r="AC48" i="24"/>
  <c r="G47" i="21" s="1"/>
  <c r="AE43" i="24"/>
  <c r="AC43" i="24"/>
  <c r="G42" i="21" s="1"/>
  <c r="AI43" i="24"/>
  <c r="AG43" i="24"/>
  <c r="R37" i="21"/>
  <c r="AI38" i="23"/>
  <c r="AE38" i="23"/>
  <c r="AG38" i="23"/>
  <c r="AC38" i="23"/>
  <c r="I37" i="21" s="1"/>
  <c r="AI46" i="23"/>
  <c r="AC46" i="23"/>
  <c r="I45" i="21" s="1"/>
  <c r="AG46" i="23"/>
  <c r="AE46" i="23"/>
  <c r="R50" i="21"/>
  <c r="AC51" i="24"/>
  <c r="G50" i="21" s="1"/>
  <c r="AI51" i="24"/>
  <c r="AE51" i="24"/>
  <c r="AG51" i="24"/>
  <c r="AI53" i="24"/>
  <c r="AC53" i="24"/>
  <c r="G52" i="21" s="1"/>
  <c r="AG53" i="24"/>
  <c r="AE53" i="24"/>
  <c r="R54" i="21"/>
  <c r="AI55" i="24"/>
  <c r="AC55" i="24"/>
  <c r="G54" i="21" s="1"/>
  <c r="AG55" i="24"/>
  <c r="AE55" i="24"/>
  <c r="AI57" i="24"/>
  <c r="AE57" i="24"/>
  <c r="AC57" i="24"/>
  <c r="G56" i="21" s="1"/>
  <c r="AG57" i="24"/>
  <c r="AC59" i="24"/>
  <c r="G58" i="21" s="1"/>
  <c r="AI59" i="24"/>
  <c r="AG59" i="24"/>
  <c r="AE59" i="24"/>
  <c r="AI61" i="24"/>
  <c r="AC61" i="24"/>
  <c r="G60" i="21" s="1"/>
  <c r="AE61" i="24"/>
  <c r="AG61" i="24"/>
  <c r="R62" i="21"/>
  <c r="AI63" i="24"/>
  <c r="AE63" i="24"/>
  <c r="AG63" i="24"/>
  <c r="AC63" i="24"/>
  <c r="G62" i="21" s="1"/>
  <c r="R64" i="21"/>
  <c r="AI65" i="24"/>
  <c r="AE65" i="24"/>
  <c r="AG65" i="24"/>
  <c r="AC65" i="24"/>
  <c r="G64" i="21" s="1"/>
  <c r="AC67" i="24"/>
  <c r="G66" i="21" s="1"/>
  <c r="AG67" i="24"/>
  <c r="AE67" i="24"/>
  <c r="AI67" i="24"/>
  <c r="AE69" i="24"/>
  <c r="AI69" i="24"/>
  <c r="AC69" i="24"/>
  <c r="G68" i="21" s="1"/>
  <c r="AG69" i="24"/>
  <c r="AE71" i="24"/>
  <c r="AC71" i="24"/>
  <c r="G70" i="21" s="1"/>
  <c r="AI71" i="24"/>
  <c r="AG71" i="24"/>
  <c r="AG73" i="24"/>
  <c r="AE73" i="24"/>
  <c r="AI73" i="24"/>
  <c r="AC73" i="24"/>
  <c r="G72" i="21" s="1"/>
  <c r="AE75" i="24"/>
  <c r="AI75" i="24"/>
  <c r="AC75" i="24"/>
  <c r="G74" i="21" s="1"/>
  <c r="AG75" i="24"/>
  <c r="AG77" i="24"/>
  <c r="AI77" i="24"/>
  <c r="AC77" i="24"/>
  <c r="G76" i="21" s="1"/>
  <c r="AE77" i="24"/>
  <c r="AI79" i="24"/>
  <c r="AE79" i="24"/>
  <c r="AC79" i="24"/>
  <c r="G78" i="21" s="1"/>
  <c r="AG79" i="24"/>
  <c r="AC81" i="24"/>
  <c r="G80" i="21" s="1"/>
  <c r="AG81" i="24"/>
  <c r="AI81" i="24"/>
  <c r="AE81" i="24"/>
  <c r="AE11" i="23"/>
  <c r="AI11" i="23"/>
  <c r="AG11" i="23"/>
  <c r="AC11" i="23"/>
  <c r="I10" i="21" s="1"/>
  <c r="AI19" i="23"/>
  <c r="AC19" i="23"/>
  <c r="I18" i="21" s="1"/>
  <c r="AE19" i="23"/>
  <c r="AG19" i="23"/>
  <c r="AG22" i="23"/>
  <c r="AI22" i="23"/>
  <c r="AE22" i="23"/>
  <c r="AC22" i="23"/>
  <c r="I21" i="21" s="1"/>
  <c r="AI14" i="23"/>
  <c r="AG14" i="23"/>
  <c r="AE14" i="23"/>
  <c r="AC14" i="23"/>
  <c r="I13" i="21" s="1"/>
  <c r="AI17" i="23"/>
  <c r="AE17" i="23"/>
  <c r="AC17" i="23"/>
  <c r="I16" i="21" s="1"/>
  <c r="AG17" i="23"/>
  <c r="AG25" i="24"/>
  <c r="AE25" i="24"/>
  <c r="AI25" i="24"/>
  <c r="AC25" i="24"/>
  <c r="G24" i="21" s="1"/>
  <c r="AI24" i="24"/>
  <c r="AG24" i="24"/>
  <c r="AE24" i="24"/>
  <c r="AC24" i="24"/>
  <c r="G23" i="21" s="1"/>
  <c r="AC16" i="24"/>
  <c r="G15" i="21" s="1"/>
  <c r="AI16" i="24"/>
  <c r="AG16" i="24"/>
  <c r="AE16" i="24"/>
  <c r="AG28" i="23"/>
  <c r="AI28" i="23"/>
  <c r="AE28" i="23"/>
  <c r="AC28" i="23"/>
  <c r="I27" i="21" s="1"/>
  <c r="AG30" i="23"/>
  <c r="AE30" i="23"/>
  <c r="AC30" i="23"/>
  <c r="I29" i="21" s="1"/>
  <c r="AI30" i="23"/>
  <c r="AI32" i="24"/>
  <c r="AC32" i="24"/>
  <c r="G31" i="21" s="1"/>
  <c r="AE32" i="24"/>
  <c r="AG32" i="24"/>
  <c r="AI34" i="23"/>
  <c r="AG34" i="23"/>
  <c r="AE34" i="23"/>
  <c r="AC34" i="23"/>
  <c r="I33" i="21" s="1"/>
  <c r="AC20" i="24"/>
  <c r="G19" i="21" s="1"/>
  <c r="AE20" i="24"/>
  <c r="AG20" i="24"/>
  <c r="AI20" i="24"/>
  <c r="AC10" i="24"/>
  <c r="G9" i="21" s="1"/>
  <c r="AE10" i="24"/>
  <c r="AI10" i="24"/>
  <c r="AG10" i="24"/>
  <c r="AG7" i="23"/>
  <c r="AC7" i="23"/>
  <c r="I6" i="21" s="1"/>
  <c r="AE7" i="23"/>
  <c r="AI7" i="23"/>
  <c r="AG86" i="24"/>
  <c r="AC86" i="24"/>
  <c r="G85" i="21" s="1"/>
  <c r="AE86" i="24"/>
  <c r="AI86" i="24"/>
  <c r="AE90" i="24"/>
  <c r="AI90" i="24"/>
  <c r="AG90" i="24"/>
  <c r="AC90" i="24"/>
  <c r="G89" i="21" s="1"/>
  <c r="AI94" i="24"/>
  <c r="AC94" i="24"/>
  <c r="G93" i="21" s="1"/>
  <c r="AE94" i="24"/>
  <c r="AG94" i="24"/>
  <c r="AI98" i="24"/>
  <c r="AC98" i="24"/>
  <c r="G97" i="21" s="1"/>
  <c r="AG98" i="24"/>
  <c r="AE98" i="24"/>
  <c r="AI85" i="24"/>
  <c r="AG85" i="24"/>
  <c r="AE85" i="24"/>
  <c r="AC85" i="24"/>
  <c r="G84" i="21" s="1"/>
  <c r="AI89" i="24"/>
  <c r="AG89" i="24"/>
  <c r="AC89" i="24"/>
  <c r="G88" i="21" s="1"/>
  <c r="AE89" i="24"/>
  <c r="AI93" i="24"/>
  <c r="AG93" i="24"/>
  <c r="AC93" i="24"/>
  <c r="G92" i="21" s="1"/>
  <c r="AE93" i="24"/>
  <c r="AG97" i="24"/>
  <c r="AE97" i="24"/>
  <c r="AI97" i="24"/>
  <c r="AC97" i="24"/>
  <c r="G96" i="21" s="1"/>
  <c r="R44" i="21"/>
  <c r="AC45" i="24"/>
  <c r="G44" i="21" s="1"/>
  <c r="AI45" i="24"/>
  <c r="AE45" i="24"/>
  <c r="AG45" i="24"/>
  <c r="AI49" i="23"/>
  <c r="AE49" i="23"/>
  <c r="AC49" i="23"/>
  <c r="I48" i="21" s="1"/>
  <c r="AG49" i="23"/>
  <c r="R41" i="21"/>
  <c r="AI52" i="23"/>
  <c r="AE52" i="23"/>
  <c r="AG52" i="23"/>
  <c r="AC52" i="23"/>
  <c r="I51" i="21" s="1"/>
  <c r="AI54" i="24"/>
  <c r="AG54" i="24"/>
  <c r="AC54" i="24"/>
  <c r="G53" i="21" s="1"/>
  <c r="AE54" i="24"/>
  <c r="AE56" i="23"/>
  <c r="AC56" i="23"/>
  <c r="I55" i="21" s="1"/>
  <c r="AG56" i="23"/>
  <c r="AI56" i="23"/>
  <c r="AG58" i="24"/>
  <c r="AI58" i="24"/>
  <c r="AC58" i="24"/>
  <c r="G57" i="21" s="1"/>
  <c r="AE58" i="24"/>
  <c r="AE60" i="23"/>
  <c r="AG60" i="23"/>
  <c r="AC60" i="23"/>
  <c r="I59" i="21" s="1"/>
  <c r="AI60" i="23"/>
  <c r="R61" i="21"/>
  <c r="AI62" i="24"/>
  <c r="AE62" i="24"/>
  <c r="AG62" i="24"/>
  <c r="AC62" i="24"/>
  <c r="G61" i="21" s="1"/>
  <c r="N61" i="21" s="1"/>
  <c r="AI64" i="23"/>
  <c r="AE64" i="23"/>
  <c r="AC64" i="23"/>
  <c r="I63" i="21" s="1"/>
  <c r="P63" i="21" s="1"/>
  <c r="AG64" i="23"/>
  <c r="AG66" i="24"/>
  <c r="AE66" i="24"/>
  <c r="AI66" i="24"/>
  <c r="AC66" i="24"/>
  <c r="G65" i="21" s="1"/>
  <c r="AI68" i="23"/>
  <c r="AE68" i="23"/>
  <c r="AC68" i="23"/>
  <c r="I67" i="21" s="1"/>
  <c r="AG68" i="23"/>
  <c r="AI70" i="24"/>
  <c r="AC70" i="24"/>
  <c r="G69" i="21" s="1"/>
  <c r="N69" i="21" s="1"/>
  <c r="AE70" i="24"/>
  <c r="AG70" i="24"/>
  <c r="AI72" i="23"/>
  <c r="AG72" i="23"/>
  <c r="AE72" i="23"/>
  <c r="AC72" i="23"/>
  <c r="I71" i="21" s="1"/>
  <c r="N71" i="21" s="1"/>
  <c r="AI74" i="24"/>
  <c r="AE74" i="24"/>
  <c r="AC74" i="24"/>
  <c r="G73" i="21" s="1"/>
  <c r="AG74" i="24"/>
  <c r="AG76" i="23"/>
  <c r="AE76" i="23"/>
  <c r="AI76" i="23"/>
  <c r="AC76" i="23"/>
  <c r="I75" i="21" s="1"/>
  <c r="AG78" i="24"/>
  <c r="AC78" i="24"/>
  <c r="G77" i="21" s="1"/>
  <c r="AE78" i="24"/>
  <c r="AI78" i="24"/>
  <c r="AC80" i="23"/>
  <c r="I79" i="21" s="1"/>
  <c r="R79" i="21" s="1"/>
  <c r="AI80" i="23"/>
  <c r="AE80" i="23"/>
  <c r="AG80" i="23"/>
  <c r="AG82" i="24"/>
  <c r="AI82" i="24"/>
  <c r="AE82" i="24"/>
  <c r="AC82" i="24"/>
  <c r="G81" i="21" s="1"/>
  <c r="AI15" i="24"/>
  <c r="AC15" i="24"/>
  <c r="G14" i="21" s="1"/>
  <c r="AE15" i="24"/>
  <c r="AG15" i="24"/>
  <c r="AG23" i="24"/>
  <c r="AC23" i="24"/>
  <c r="G22" i="21" s="1"/>
  <c r="AE23" i="24"/>
  <c r="AI23" i="24"/>
  <c r="AI12" i="24"/>
  <c r="AG12" i="24"/>
  <c r="AC12" i="24"/>
  <c r="G11" i="21" s="1"/>
  <c r="AE12" i="24"/>
  <c r="AC13" i="24"/>
  <c r="G12" i="21" s="1"/>
  <c r="AG13" i="24"/>
  <c r="AE13" i="24"/>
  <c r="AI13" i="24"/>
  <c r="AI21" i="23"/>
  <c r="AE21" i="23"/>
  <c r="AC21" i="23"/>
  <c r="I20" i="21" s="1"/>
  <c r="L20" i="21" s="1"/>
  <c r="AG21" i="23"/>
  <c r="AC18" i="24"/>
  <c r="G17" i="21" s="1"/>
  <c r="R17" i="21" s="1"/>
  <c r="AE18" i="24"/>
  <c r="AI18" i="24"/>
  <c r="AG18" i="24"/>
  <c r="AE26" i="23"/>
  <c r="AC26" i="23"/>
  <c r="I25" i="21" s="1"/>
  <c r="AG26" i="23"/>
  <c r="AI26" i="23"/>
  <c r="AI27" i="24"/>
  <c r="AC27" i="24"/>
  <c r="G26" i="21" s="1"/>
  <c r="AG27" i="24"/>
  <c r="AE27" i="24"/>
  <c r="AI29" i="23"/>
  <c r="AE29" i="23"/>
  <c r="AC29" i="23"/>
  <c r="I28" i="21" s="1"/>
  <c r="AG29" i="23"/>
  <c r="AE31" i="23"/>
  <c r="AC31" i="23"/>
  <c r="I30" i="21" s="1"/>
  <c r="AI31" i="23"/>
  <c r="AG31" i="23"/>
  <c r="AI33" i="23"/>
  <c r="AG33" i="23"/>
  <c r="AE33" i="23"/>
  <c r="AC33" i="23"/>
  <c r="I32" i="21" s="1"/>
  <c r="AI35" i="23"/>
  <c r="AG35" i="23"/>
  <c r="AC35" i="23"/>
  <c r="I34" i="21" s="1"/>
  <c r="AE35" i="23"/>
  <c r="AI9" i="23"/>
  <c r="AC9" i="23"/>
  <c r="I8" i="21" s="1"/>
  <c r="AG9" i="23"/>
  <c r="AE9" i="23"/>
  <c r="AI8" i="23"/>
  <c r="AC8" i="23"/>
  <c r="I7" i="21" s="1"/>
  <c r="AE8" i="23"/>
  <c r="AG8" i="23"/>
  <c r="AE6" i="23"/>
  <c r="AG6" i="23"/>
  <c r="AC6" i="23"/>
  <c r="I5" i="21" s="1"/>
  <c r="AI6" i="23"/>
  <c r="AI84" i="23"/>
  <c r="AG84" i="23"/>
  <c r="AE84" i="23"/>
  <c r="AC84" i="23"/>
  <c r="I83" i="21" s="1"/>
  <c r="AG88" i="23"/>
  <c r="AE88" i="23"/>
  <c r="AC88" i="23"/>
  <c r="I87" i="21" s="1"/>
  <c r="AI88" i="23"/>
  <c r="AI92" i="23"/>
  <c r="AE92" i="23"/>
  <c r="AC92" i="23"/>
  <c r="I91" i="21" s="1"/>
  <c r="R91" i="21" s="1"/>
  <c r="AG92" i="23"/>
  <c r="AE96" i="23"/>
  <c r="AC96" i="23"/>
  <c r="I95" i="21" s="1"/>
  <c r="AI96" i="23"/>
  <c r="AG96" i="23"/>
  <c r="AI100" i="23"/>
  <c r="AC100" i="23"/>
  <c r="I99" i="21" s="1"/>
  <c r="AG100" i="23"/>
  <c r="AE100" i="23"/>
  <c r="AI83" i="23"/>
  <c r="AE83" i="23"/>
  <c r="AG83" i="23"/>
  <c r="AC83" i="23"/>
  <c r="I82" i="21" s="1"/>
  <c r="AI87" i="23"/>
  <c r="AE87" i="23"/>
  <c r="AC87" i="23"/>
  <c r="I86" i="21" s="1"/>
  <c r="AG87" i="23"/>
  <c r="AC91" i="23"/>
  <c r="I90" i="21" s="1"/>
  <c r="AI91" i="23"/>
  <c r="AG91" i="23"/>
  <c r="AE91" i="23"/>
  <c r="AI95" i="23"/>
  <c r="AE95" i="23"/>
  <c r="AC95" i="23"/>
  <c r="I94" i="21" s="1"/>
  <c r="AG95" i="23"/>
  <c r="AI99" i="23"/>
  <c r="AE99" i="23"/>
  <c r="AC99" i="23"/>
  <c r="I98" i="21" s="1"/>
  <c r="AG99" i="23"/>
  <c r="R39" i="21"/>
  <c r="AI40" i="24"/>
  <c r="AG40" i="24"/>
  <c r="AC40" i="24"/>
  <c r="G39" i="21" s="1"/>
  <c r="AE40" i="24"/>
  <c r="AK44" i="23"/>
  <c r="AK44" i="24"/>
  <c r="AE44" i="11"/>
  <c r="AC44" i="11"/>
  <c r="E43" i="21" s="1"/>
  <c r="AI44" i="11"/>
  <c r="AG44" i="11"/>
  <c r="AC48" i="23"/>
  <c r="I47" i="21" s="1"/>
  <c r="AG48" i="23"/>
  <c r="AE48" i="23"/>
  <c r="AI48" i="23"/>
  <c r="R36" i="21"/>
  <c r="AI37" i="23"/>
  <c r="AE37" i="23"/>
  <c r="AG37" i="23"/>
  <c r="AC37" i="23"/>
  <c r="I36" i="21" s="1"/>
  <c r="AI38" i="24"/>
  <c r="AG38" i="24"/>
  <c r="AE38" i="24"/>
  <c r="AC38" i="24"/>
  <c r="G37" i="21" s="1"/>
  <c r="AG46" i="24"/>
  <c r="AI46" i="24"/>
  <c r="AC51" i="23"/>
  <c r="I50" i="21" s="1"/>
  <c r="AG51" i="23"/>
  <c r="AE51" i="23"/>
  <c r="AI51" i="23"/>
  <c r="AI53" i="23"/>
  <c r="AE53" i="23"/>
  <c r="AC53" i="23"/>
  <c r="I52" i="21" s="1"/>
  <c r="AG53" i="23"/>
  <c r="AI55" i="23"/>
  <c r="AE55" i="23"/>
  <c r="AC55" i="23"/>
  <c r="I54" i="21" s="1"/>
  <c r="AG55" i="23"/>
  <c r="R56" i="21"/>
  <c r="AI57" i="23"/>
  <c r="AE57" i="23"/>
  <c r="AC57" i="23"/>
  <c r="I56" i="21" s="1"/>
  <c r="AG57" i="23"/>
  <c r="AE59" i="23"/>
  <c r="AC59" i="23"/>
  <c r="I58" i="21" s="1"/>
  <c r="N58" i="21" s="1"/>
  <c r="AG59" i="23"/>
  <c r="AI59" i="23"/>
  <c r="AI61" i="23"/>
  <c r="AE61" i="23"/>
  <c r="AC61" i="23"/>
  <c r="I60" i="21" s="1"/>
  <c r="AG61" i="23"/>
  <c r="AI63" i="23"/>
  <c r="AG63" i="23"/>
  <c r="AC63" i="23"/>
  <c r="I62" i="21" s="1"/>
  <c r="N62" i="21" s="1"/>
  <c r="AE63" i="23"/>
  <c r="AE65" i="23"/>
  <c r="AI65" i="23"/>
  <c r="AC65" i="23"/>
  <c r="I64" i="21" s="1"/>
  <c r="AG65" i="23"/>
  <c r="AI67" i="23"/>
  <c r="AC67" i="23"/>
  <c r="I66" i="21" s="1"/>
  <c r="N66" i="21" s="1"/>
  <c r="AE67" i="23"/>
  <c r="AG67" i="23"/>
  <c r="AG69" i="23"/>
  <c r="AI69" i="23"/>
  <c r="AE69" i="23"/>
  <c r="AC69" i="23"/>
  <c r="I68" i="21" s="1"/>
  <c r="P68" i="21" s="1"/>
  <c r="AE71" i="23"/>
  <c r="AG71" i="23"/>
  <c r="AC71" i="23"/>
  <c r="I70" i="21" s="1"/>
  <c r="AI71" i="23"/>
  <c r="AI73" i="23"/>
  <c r="AE73" i="23"/>
  <c r="AG73" i="23"/>
  <c r="AC73" i="23"/>
  <c r="I72" i="21" s="1"/>
  <c r="AI75" i="23"/>
  <c r="AE75" i="23"/>
  <c r="AC75" i="23"/>
  <c r="I74" i="21" s="1"/>
  <c r="AG75" i="23"/>
  <c r="AI77" i="23"/>
  <c r="AC77" i="23"/>
  <c r="I76" i="21" s="1"/>
  <c r="AG77" i="23"/>
  <c r="AE77" i="23"/>
  <c r="AI79" i="23"/>
  <c r="AE79" i="23"/>
  <c r="AG79" i="23"/>
  <c r="AC79" i="23"/>
  <c r="I78" i="21" s="1"/>
  <c r="R78" i="21" s="1"/>
  <c r="AE81" i="23"/>
  <c r="AI81" i="23"/>
  <c r="AC81" i="23"/>
  <c r="I80" i="21" s="1"/>
  <c r="R80" i="21" s="1"/>
  <c r="AG81" i="23"/>
  <c r="AC11" i="24"/>
  <c r="G10" i="21" s="1"/>
  <c r="AG11" i="24"/>
  <c r="AE11" i="24"/>
  <c r="AI11" i="24"/>
  <c r="AG19" i="24"/>
  <c r="AC19" i="24"/>
  <c r="G18" i="21" s="1"/>
  <c r="AE19" i="24"/>
  <c r="AI19" i="24"/>
  <c r="AI22" i="24"/>
  <c r="AC22" i="24"/>
  <c r="G21" i="21" s="1"/>
  <c r="AE22" i="24"/>
  <c r="AG22" i="24"/>
  <c r="AG14" i="24"/>
  <c r="AI14" i="24"/>
  <c r="AE14" i="24"/>
  <c r="AC14" i="24"/>
  <c r="G13" i="21" s="1"/>
  <c r="AG17" i="24"/>
  <c r="AE17" i="24"/>
  <c r="AC17" i="24"/>
  <c r="G16" i="21" s="1"/>
  <c r="AI17" i="24"/>
  <c r="AE25" i="23"/>
  <c r="AC25" i="23"/>
  <c r="I24" i="21" s="1"/>
  <c r="AI25" i="23"/>
  <c r="AG25" i="23"/>
  <c r="AI24" i="23"/>
  <c r="AC24" i="23"/>
  <c r="I23" i="21" s="1"/>
  <c r="R23" i="21" s="1"/>
  <c r="AE24" i="23"/>
  <c r="AG24" i="23"/>
  <c r="AE16" i="23"/>
  <c r="AC16" i="23"/>
  <c r="I15" i="21" s="1"/>
  <c r="R15" i="21" s="1"/>
  <c r="AG16" i="23"/>
  <c r="AI16" i="23"/>
  <c r="AI28" i="24"/>
  <c r="AE28" i="24"/>
  <c r="AC28" i="24"/>
  <c r="G27" i="21" s="1"/>
  <c r="AG28" i="24"/>
  <c r="R29" i="21"/>
  <c r="AG30" i="24"/>
  <c r="AE30" i="24"/>
  <c r="AC30" i="24"/>
  <c r="G29" i="21" s="1"/>
  <c r="AI30" i="24"/>
  <c r="AI32" i="23"/>
  <c r="AC32" i="23"/>
  <c r="I31" i="21" s="1"/>
  <c r="AE32" i="23"/>
  <c r="AG32" i="23"/>
  <c r="AI34" i="24"/>
  <c r="AG34" i="24"/>
  <c r="AE34" i="24"/>
  <c r="AC34" i="24"/>
  <c r="G33" i="21" s="1"/>
  <c r="AI20" i="23"/>
  <c r="AG20" i="23"/>
  <c r="AE20" i="23"/>
  <c r="AC20" i="23"/>
  <c r="I19" i="21" s="1"/>
  <c r="R19" i="21" s="1"/>
  <c r="AE10" i="23"/>
  <c r="AC10" i="23"/>
  <c r="I9" i="21" s="1"/>
  <c r="AG10" i="23"/>
  <c r="AI10" i="23"/>
  <c r="AC7" i="24"/>
  <c r="G6" i="21" s="1"/>
  <c r="AE7" i="24"/>
  <c r="AI7" i="24"/>
  <c r="AG7" i="24"/>
  <c r="AI86" i="23"/>
  <c r="AC86" i="23"/>
  <c r="I85" i="21" s="1"/>
  <c r="AG86" i="23"/>
  <c r="AE86" i="23"/>
  <c r="AE90" i="23"/>
  <c r="AI90" i="23"/>
  <c r="AC90" i="23"/>
  <c r="I89" i="21" s="1"/>
  <c r="AG90" i="23"/>
  <c r="AC94" i="23"/>
  <c r="I93" i="21" s="1"/>
  <c r="AG94" i="23"/>
  <c r="AE94" i="23"/>
  <c r="AI94" i="23"/>
  <c r="AE98" i="23"/>
  <c r="AG98" i="23"/>
  <c r="AC98" i="23"/>
  <c r="I97" i="21" s="1"/>
  <c r="AI98" i="23"/>
  <c r="AE85" i="23"/>
  <c r="AG85" i="23"/>
  <c r="AI85" i="23"/>
  <c r="AC85" i="23"/>
  <c r="I84" i="21" s="1"/>
  <c r="AI89" i="23"/>
  <c r="AE89" i="23"/>
  <c r="AC89" i="23"/>
  <c r="I88" i="21" s="1"/>
  <c r="AG89" i="23"/>
  <c r="AG93" i="23"/>
  <c r="AC93" i="23"/>
  <c r="I92" i="21" s="1"/>
  <c r="AE93" i="23"/>
  <c r="AI93" i="23"/>
  <c r="AE97" i="23"/>
  <c r="AC97" i="23"/>
  <c r="I96" i="21" s="1"/>
  <c r="AG97" i="23"/>
  <c r="AI97" i="23"/>
  <c r="R40" i="21"/>
  <c r="AI41" i="23"/>
  <c r="AG41" i="23"/>
  <c r="AE41" i="23"/>
  <c r="AC41" i="23"/>
  <c r="I40" i="21" s="1"/>
  <c r="AE45" i="23"/>
  <c r="AC45" i="23"/>
  <c r="I44" i="21" s="1"/>
  <c r="AG45" i="23"/>
  <c r="AI45" i="23"/>
  <c r="L32" i="21" l="1"/>
  <c r="L75" i="21"/>
  <c r="L87" i="21"/>
  <c r="L85" i="21"/>
  <c r="AC46" i="24"/>
  <c r="G45" i="21" s="1"/>
  <c r="L45" i="21" s="1"/>
  <c r="N109" i="21"/>
  <c r="R120" i="21"/>
  <c r="L59" i="21"/>
  <c r="L129" i="21"/>
  <c r="L128" i="21"/>
  <c r="N142" i="21"/>
  <c r="N134" i="21"/>
  <c r="N113" i="21"/>
  <c r="AG50" i="24"/>
  <c r="AE50" i="24"/>
  <c r="L67" i="21"/>
  <c r="L115" i="21"/>
  <c r="L106" i="21"/>
  <c r="L136" i="21"/>
  <c r="L139" i="21"/>
  <c r="L30" i="21"/>
  <c r="AI50" i="24"/>
  <c r="L31" i="21"/>
  <c r="AC39" i="23"/>
  <c r="I38" i="21" s="1"/>
  <c r="R38" i="21" s="1"/>
  <c r="N141" i="21"/>
  <c r="L133" i="21"/>
  <c r="L102" i="21"/>
  <c r="D102" i="21" s="1"/>
  <c r="F102" i="21" s="1"/>
  <c r="H102" i="21" s="1"/>
  <c r="J102" i="21" s="1"/>
  <c r="L84" i="21"/>
  <c r="AI39" i="23"/>
  <c r="L101" i="21"/>
  <c r="D101" i="21" s="1"/>
  <c r="E99" i="17" s="1"/>
  <c r="F99" i="17" s="1"/>
  <c r="L138" i="21"/>
  <c r="N114" i="21"/>
  <c r="L107" i="21"/>
  <c r="L140" i="21"/>
  <c r="L103" i="21"/>
  <c r="D103" i="21" s="1"/>
  <c r="E101" i="17" s="1"/>
  <c r="F101" i="17" s="1"/>
  <c r="L118" i="21"/>
  <c r="L125" i="21"/>
  <c r="L135" i="21"/>
  <c r="L127" i="21"/>
  <c r="L119" i="21"/>
  <c r="N111" i="21"/>
  <c r="N132" i="21"/>
  <c r="L116" i="21"/>
  <c r="N121" i="21"/>
  <c r="P105" i="21"/>
  <c r="L112" i="21"/>
  <c r="L130" i="21"/>
  <c r="N122" i="21"/>
  <c r="L143" i="21"/>
  <c r="L108" i="21"/>
  <c r="L104" i="21"/>
  <c r="D104" i="21" s="1"/>
  <c r="N124" i="21"/>
  <c r="L117" i="21"/>
  <c r="AE47" i="23"/>
  <c r="AE39" i="23"/>
  <c r="N120" i="21"/>
  <c r="L52" i="21"/>
  <c r="N131" i="21"/>
  <c r="N144" i="21"/>
  <c r="L114" i="21"/>
  <c r="N106" i="21"/>
  <c r="R123" i="21"/>
  <c r="R109" i="21"/>
  <c r="R124" i="21"/>
  <c r="L120" i="21"/>
  <c r="N112" i="21"/>
  <c r="R122" i="21"/>
  <c r="R113" i="21"/>
  <c r="L111" i="21"/>
  <c r="L131" i="21"/>
  <c r="L141" i="21"/>
  <c r="L132" i="21"/>
  <c r="L134" i="21"/>
  <c r="L142" i="21"/>
  <c r="R106" i="21"/>
  <c r="N123" i="21"/>
  <c r="P109" i="21"/>
  <c r="L124" i="21"/>
  <c r="P107" i="21"/>
  <c r="P112" i="21"/>
  <c r="P122" i="21"/>
  <c r="L113" i="21"/>
  <c r="P110" i="21"/>
  <c r="N143" i="21"/>
  <c r="N128" i="21"/>
  <c r="D128" i="21" s="1"/>
  <c r="N125" i="21"/>
  <c r="N126" i="21"/>
  <c r="N135" i="21"/>
  <c r="P115" i="21"/>
  <c r="P106" i="21"/>
  <c r="P123" i="21"/>
  <c r="L109" i="21"/>
  <c r="R116" i="21"/>
  <c r="N107" i="21"/>
  <c r="R112" i="21"/>
  <c r="L122" i="21"/>
  <c r="N119" i="21"/>
  <c r="N110" i="21"/>
  <c r="L126" i="21"/>
  <c r="R121" i="21"/>
  <c r="N116" i="21"/>
  <c r="R107" i="21"/>
  <c r="R114" i="21"/>
  <c r="P119" i="21"/>
  <c r="R110" i="21"/>
  <c r="N136" i="21"/>
  <c r="N137" i="21"/>
  <c r="N133" i="21"/>
  <c r="N130" i="21"/>
  <c r="R117" i="21"/>
  <c r="R119" i="21"/>
  <c r="N105" i="21"/>
  <c r="R108" i="21"/>
  <c r="N115" i="21"/>
  <c r="P121" i="21"/>
  <c r="P116" i="21"/>
  <c r="P118" i="21"/>
  <c r="P114" i="21"/>
  <c r="L110" i="21"/>
  <c r="L137" i="21"/>
  <c r="R118" i="21"/>
  <c r="L105" i="21"/>
  <c r="N108" i="21"/>
  <c r="R115" i="21"/>
  <c r="L121" i="21"/>
  <c r="N117" i="21"/>
  <c r="N118" i="21"/>
  <c r="R111" i="21"/>
  <c r="N139" i="21"/>
  <c r="N127" i="21"/>
  <c r="N140" i="21"/>
  <c r="N138" i="21"/>
  <c r="N129" i="21"/>
  <c r="D129" i="21" s="1"/>
  <c r="R105" i="21"/>
  <c r="P108" i="21"/>
  <c r="P124" i="21"/>
  <c r="P120" i="21"/>
  <c r="P117" i="21"/>
  <c r="P113" i="21"/>
  <c r="P111" i="21"/>
  <c r="L100" i="21"/>
  <c r="D100" i="21" s="1"/>
  <c r="E98" i="17" s="1"/>
  <c r="F98" i="17" s="1"/>
  <c r="L144" i="21"/>
  <c r="AC37" i="24"/>
  <c r="G36" i="21" s="1"/>
  <c r="AG37" i="24"/>
  <c r="AI37" i="24"/>
  <c r="S152" i="21"/>
  <c r="S147" i="21"/>
  <c r="S151" i="21"/>
  <c r="S145" i="21"/>
  <c r="S149" i="21"/>
  <c r="S148" i="21"/>
  <c r="S150" i="21"/>
  <c r="S153" i="21"/>
  <c r="S154" i="21"/>
  <c r="S146" i="21"/>
  <c r="AE41" i="24"/>
  <c r="E149" i="17"/>
  <c r="F149" i="17" s="1"/>
  <c r="F151" i="21"/>
  <c r="H151" i="21" s="1"/>
  <c r="J151" i="21" s="1"/>
  <c r="E144" i="17"/>
  <c r="F144" i="17" s="1"/>
  <c r="F146" i="21"/>
  <c r="H146" i="21" s="1"/>
  <c r="J146" i="21" s="1"/>
  <c r="E148" i="17"/>
  <c r="F148" i="17" s="1"/>
  <c r="F150" i="21"/>
  <c r="H150" i="21" s="1"/>
  <c r="J150" i="21" s="1"/>
  <c r="F152" i="21"/>
  <c r="H152" i="21" s="1"/>
  <c r="J152" i="21" s="1"/>
  <c r="E150" i="17"/>
  <c r="F150" i="17" s="1"/>
  <c r="E152" i="17"/>
  <c r="F152" i="17" s="1"/>
  <c r="F154" i="21"/>
  <c r="H154" i="21" s="1"/>
  <c r="J154" i="21" s="1"/>
  <c r="E147" i="17"/>
  <c r="F147" i="17" s="1"/>
  <c r="F149" i="21"/>
  <c r="H149" i="21" s="1"/>
  <c r="J149" i="21" s="1"/>
  <c r="E143" i="17"/>
  <c r="F143" i="17" s="1"/>
  <c r="F145" i="21"/>
  <c r="H145" i="21" s="1"/>
  <c r="J145" i="21" s="1"/>
  <c r="F153" i="21"/>
  <c r="H153" i="21" s="1"/>
  <c r="J153" i="21" s="1"/>
  <c r="E151" i="17"/>
  <c r="F151" i="17" s="1"/>
  <c r="F147" i="21"/>
  <c r="H147" i="21" s="1"/>
  <c r="J147" i="21" s="1"/>
  <c r="E145" i="17"/>
  <c r="F145" i="17" s="1"/>
  <c r="F148" i="21"/>
  <c r="H148" i="21" s="1"/>
  <c r="J148" i="21" s="1"/>
  <c r="E146" i="17"/>
  <c r="F146" i="17" s="1"/>
  <c r="AG42" i="24"/>
  <c r="AI42" i="24"/>
  <c r="AC42" i="24"/>
  <c r="G41" i="21" s="1"/>
  <c r="L41" i="21" s="1"/>
  <c r="AI49" i="24"/>
  <c r="AE49" i="24"/>
  <c r="AG41" i="24"/>
  <c r="AC47" i="23"/>
  <c r="I46" i="21" s="1"/>
  <c r="L46" i="21" s="1"/>
  <c r="AG47" i="23"/>
  <c r="AC43" i="23"/>
  <c r="I42" i="21" s="1"/>
  <c r="L42" i="21" s="1"/>
  <c r="AI43" i="23"/>
  <c r="AG43" i="23"/>
  <c r="R9" i="21"/>
  <c r="R74" i="21"/>
  <c r="N6" i="21"/>
  <c r="P6" i="21"/>
  <c r="P33" i="21"/>
  <c r="N33" i="21"/>
  <c r="P27" i="21"/>
  <c r="N27" i="21"/>
  <c r="L13" i="21"/>
  <c r="R13" i="21"/>
  <c r="P13" i="21"/>
  <c r="D13" i="21" s="1"/>
  <c r="E11" i="17" s="1"/>
  <c r="F11" i="17" s="1"/>
  <c r="N13" i="21"/>
  <c r="N21" i="21"/>
  <c r="P21" i="21"/>
  <c r="R21" i="21"/>
  <c r="L90" i="21"/>
  <c r="R90" i="21"/>
  <c r="N26" i="21"/>
  <c r="R26" i="21"/>
  <c r="P26" i="21"/>
  <c r="P22" i="21"/>
  <c r="N22" i="21"/>
  <c r="R22" i="21"/>
  <c r="N14" i="21"/>
  <c r="P14" i="21"/>
  <c r="N81" i="21"/>
  <c r="R81" i="21"/>
  <c r="P81" i="21"/>
  <c r="L77" i="21"/>
  <c r="R77" i="21"/>
  <c r="P77" i="21"/>
  <c r="R75" i="21"/>
  <c r="P73" i="21"/>
  <c r="R73" i="21"/>
  <c r="R92" i="21"/>
  <c r="P92" i="21"/>
  <c r="N88" i="21"/>
  <c r="P88" i="21"/>
  <c r="N84" i="21"/>
  <c r="P84" i="21"/>
  <c r="P97" i="21"/>
  <c r="R97" i="21"/>
  <c r="N97" i="21"/>
  <c r="L97" i="21"/>
  <c r="P93" i="21"/>
  <c r="R93" i="21"/>
  <c r="N93" i="21"/>
  <c r="R89" i="21"/>
  <c r="N89" i="21"/>
  <c r="P89" i="21"/>
  <c r="P85" i="21"/>
  <c r="N85" i="21"/>
  <c r="R85" i="21"/>
  <c r="P19" i="21"/>
  <c r="N19" i="21"/>
  <c r="R31" i="21"/>
  <c r="N31" i="21"/>
  <c r="P31" i="21"/>
  <c r="N23" i="21"/>
  <c r="P23" i="21"/>
  <c r="N24" i="21"/>
  <c r="P24" i="21"/>
  <c r="R24" i="21"/>
  <c r="P70" i="21"/>
  <c r="R70" i="21"/>
  <c r="N47" i="21"/>
  <c r="L98" i="21"/>
  <c r="P90" i="21"/>
  <c r="N91" i="21"/>
  <c r="P7" i="21"/>
  <c r="R25" i="21"/>
  <c r="N20" i="21"/>
  <c r="P79" i="21"/>
  <c r="P71" i="21"/>
  <c r="L48" i="21"/>
  <c r="R84" i="21"/>
  <c r="N29" i="21"/>
  <c r="P29" i="21"/>
  <c r="R27" i="21"/>
  <c r="N16" i="21"/>
  <c r="R16" i="21"/>
  <c r="P16" i="21"/>
  <c r="L18" i="21"/>
  <c r="P18" i="21"/>
  <c r="N18" i="21"/>
  <c r="R18" i="21"/>
  <c r="N10" i="21"/>
  <c r="P10" i="21"/>
  <c r="N39" i="21"/>
  <c r="L39" i="21"/>
  <c r="P17" i="21"/>
  <c r="N17" i="21"/>
  <c r="R20" i="21"/>
  <c r="N12" i="21"/>
  <c r="P12" i="21"/>
  <c r="R12" i="21"/>
  <c r="R11" i="21"/>
  <c r="N11" i="21"/>
  <c r="P11" i="21"/>
  <c r="R71" i="21"/>
  <c r="N41" i="21"/>
  <c r="L44" i="21"/>
  <c r="N44" i="21"/>
  <c r="P96" i="21"/>
  <c r="N96" i="21"/>
  <c r="L96" i="21"/>
  <c r="R96" i="21"/>
  <c r="R88" i="21"/>
  <c r="R6" i="21"/>
  <c r="P9" i="21"/>
  <c r="N9" i="21"/>
  <c r="R33" i="21"/>
  <c r="P15" i="21"/>
  <c r="N15" i="21"/>
  <c r="R10" i="21"/>
  <c r="N80" i="21"/>
  <c r="P80" i="21"/>
  <c r="P78" i="21"/>
  <c r="P76" i="21"/>
  <c r="R76" i="21"/>
  <c r="P74" i="21"/>
  <c r="P72" i="21"/>
  <c r="R72" i="21"/>
  <c r="N94" i="21"/>
  <c r="P94" i="21"/>
  <c r="R94" i="21"/>
  <c r="P86" i="21"/>
  <c r="P99" i="21"/>
  <c r="L95" i="21"/>
  <c r="R87" i="21"/>
  <c r="N83" i="21"/>
  <c r="R5" i="21"/>
  <c r="P8" i="21"/>
  <c r="N34" i="21"/>
  <c r="P32" i="21"/>
  <c r="R30" i="21"/>
  <c r="P28" i="21"/>
  <c r="P75" i="21"/>
  <c r="N46" i="21"/>
  <c r="R82" i="21"/>
  <c r="R83" i="21"/>
  <c r="R8" i="21"/>
  <c r="R28" i="21"/>
  <c r="R14" i="21"/>
  <c r="P5" i="21"/>
  <c r="N32" i="21"/>
  <c r="R32" i="21"/>
  <c r="P30" i="21"/>
  <c r="P25" i="21"/>
  <c r="N25" i="21"/>
  <c r="P20" i="21"/>
  <c r="P34" i="21"/>
  <c r="N7" i="21"/>
  <c r="N8" i="21"/>
  <c r="N28" i="21"/>
  <c r="N48" i="21"/>
  <c r="L47" i="21"/>
  <c r="D47" i="21" s="1"/>
  <c r="N38" i="21"/>
  <c r="N82" i="21"/>
  <c r="R99" i="21"/>
  <c r="L99" i="21"/>
  <c r="P91" i="21"/>
  <c r="R98" i="21"/>
  <c r="N98" i="21"/>
  <c r="N90" i="21"/>
  <c r="N86" i="21"/>
  <c r="N95" i="21"/>
  <c r="P95" i="21"/>
  <c r="N87" i="21"/>
  <c r="P83" i="21"/>
  <c r="R86" i="21"/>
  <c r="R7" i="21"/>
  <c r="R34" i="21"/>
  <c r="N5" i="21"/>
  <c r="N30" i="21"/>
  <c r="N36" i="21"/>
  <c r="N49" i="21"/>
  <c r="P82" i="21"/>
  <c r="N99" i="21"/>
  <c r="P98" i="21"/>
  <c r="R95" i="21"/>
  <c r="P87" i="21"/>
  <c r="N45" i="21"/>
  <c r="L49" i="21"/>
  <c r="AC41" i="24"/>
  <c r="G40" i="21" s="1"/>
  <c r="L40" i="21" s="1"/>
  <c r="L37" i="21"/>
  <c r="N37" i="21"/>
  <c r="N42" i="21"/>
  <c r="R35" i="21"/>
  <c r="P35" i="21"/>
  <c r="E305" i="21"/>
  <c r="D7" i="15" s="1"/>
  <c r="L86" i="21"/>
  <c r="N72" i="21"/>
  <c r="L64" i="21"/>
  <c r="N60" i="21"/>
  <c r="L54" i="21"/>
  <c r="L27" i="21"/>
  <c r="L15" i="21"/>
  <c r="L80" i="21"/>
  <c r="L78" i="21"/>
  <c r="L68" i="21"/>
  <c r="L17" i="21"/>
  <c r="D17" i="21" s="1"/>
  <c r="N75" i="21"/>
  <c r="N78" i="21"/>
  <c r="L94" i="21"/>
  <c r="L25" i="21"/>
  <c r="L29" i="21"/>
  <c r="L16" i="21"/>
  <c r="N52" i="21"/>
  <c r="L82" i="21"/>
  <c r="L61" i="21"/>
  <c r="D61" i="21" s="1"/>
  <c r="L89" i="21"/>
  <c r="L62" i="21"/>
  <c r="S62" i="21" s="1"/>
  <c r="N65" i="21"/>
  <c r="N59" i="21"/>
  <c r="L14" i="21"/>
  <c r="L93" i="21"/>
  <c r="L9" i="21"/>
  <c r="L56" i="21"/>
  <c r="N56" i="21"/>
  <c r="L22" i="21"/>
  <c r="L19" i="21"/>
  <c r="L33" i="21"/>
  <c r="L23" i="21"/>
  <c r="L21" i="21"/>
  <c r="N70" i="21"/>
  <c r="L66" i="21"/>
  <c r="D66" i="21" s="1"/>
  <c r="L58" i="21"/>
  <c r="S58" i="21" s="1"/>
  <c r="L91" i="21"/>
  <c r="L5" i="21"/>
  <c r="L71" i="21"/>
  <c r="L70" i="21"/>
  <c r="L7" i="21"/>
  <c r="N67" i="21"/>
  <c r="L55" i="21"/>
  <c r="N55" i="21"/>
  <c r="L10" i="21"/>
  <c r="N76" i="21"/>
  <c r="N68" i="21"/>
  <c r="L26" i="21"/>
  <c r="D26" i="21" s="1"/>
  <c r="F26" i="21" s="1"/>
  <c r="H26" i="21" s="1"/>
  <c r="J26" i="21" s="1"/>
  <c r="L12" i="21"/>
  <c r="L81" i="21"/>
  <c r="D81" i="21" s="1"/>
  <c r="F81" i="21" s="1"/>
  <c r="H81" i="21" s="1"/>
  <c r="J81" i="21" s="1"/>
  <c r="N77" i="21"/>
  <c r="L73" i="21"/>
  <c r="L69" i="21"/>
  <c r="S69" i="21" s="1"/>
  <c r="L65" i="21"/>
  <c r="L57" i="21"/>
  <c r="N53" i="21"/>
  <c r="N92" i="21"/>
  <c r="L92" i="21"/>
  <c r="L88" i="21"/>
  <c r="L6" i="21"/>
  <c r="L24" i="21"/>
  <c r="L76" i="21"/>
  <c r="N74" i="21"/>
  <c r="L74" i="21"/>
  <c r="L72" i="21"/>
  <c r="N64" i="21"/>
  <c r="L60" i="21"/>
  <c r="N54" i="21"/>
  <c r="L50" i="21"/>
  <c r="N50" i="21"/>
  <c r="L83" i="21"/>
  <c r="L8" i="21"/>
  <c r="L34" i="21"/>
  <c r="L28" i="21"/>
  <c r="L11" i="21"/>
  <c r="D11" i="21" s="1"/>
  <c r="L79" i="21"/>
  <c r="N79" i="21"/>
  <c r="N73" i="21"/>
  <c r="L63" i="21"/>
  <c r="N63" i="21"/>
  <c r="N57" i="21"/>
  <c r="L53" i="21"/>
  <c r="N51" i="21"/>
  <c r="L51" i="21"/>
  <c r="R43" i="21"/>
  <c r="AG44" i="24"/>
  <c r="AI44" i="24"/>
  <c r="AC44" i="24"/>
  <c r="G43" i="21" s="1"/>
  <c r="AE44" i="24"/>
  <c r="AI36" i="24"/>
  <c r="AC36" i="24"/>
  <c r="G35" i="21" s="1"/>
  <c r="N35" i="21" s="1"/>
  <c r="AE36" i="24"/>
  <c r="AG36" i="24"/>
  <c r="AE44" i="23"/>
  <c r="AC44" i="23"/>
  <c r="I43" i="21" s="1"/>
  <c r="AG44" i="23"/>
  <c r="AI44" i="23"/>
  <c r="AE36" i="23"/>
  <c r="AG36" i="23"/>
  <c r="AI36" i="23"/>
  <c r="AC36" i="23"/>
  <c r="I35" i="21" s="1"/>
  <c r="D30" i="21" l="1"/>
  <c r="E28" i="17" s="1"/>
  <c r="F28" i="17" s="1"/>
  <c r="D87" i="21"/>
  <c r="E85" i="17" s="1"/>
  <c r="F85" i="17" s="1"/>
  <c r="D142" i="21"/>
  <c r="F142" i="21" s="1"/>
  <c r="H142" i="21" s="1"/>
  <c r="J142" i="21" s="1"/>
  <c r="D59" i="21"/>
  <c r="F59" i="21" s="1"/>
  <c r="H59" i="21" s="1"/>
  <c r="J59" i="21" s="1"/>
  <c r="D134" i="21"/>
  <c r="E132" i="17" s="1"/>
  <c r="F132" i="17" s="1"/>
  <c r="S67" i="21"/>
  <c r="D84" i="21"/>
  <c r="F84" i="21" s="1"/>
  <c r="H84" i="21" s="1"/>
  <c r="J84" i="21" s="1"/>
  <c r="D89" i="21"/>
  <c r="E87" i="17" s="1"/>
  <c r="F87" i="17" s="1"/>
  <c r="D28" i="21"/>
  <c r="E26" i="17" s="1"/>
  <c r="F26" i="17" s="1"/>
  <c r="D27" i="21"/>
  <c r="E25" i="17" s="1"/>
  <c r="F25" i="17" s="1"/>
  <c r="D44" i="21"/>
  <c r="F44" i="21" s="1"/>
  <c r="H44" i="21" s="1"/>
  <c r="J44" i="21" s="1"/>
  <c r="D85" i="21"/>
  <c r="F85" i="21" s="1"/>
  <c r="H85" i="21" s="1"/>
  <c r="J85" i="21" s="1"/>
  <c r="D5" i="21"/>
  <c r="F5" i="21" s="1"/>
  <c r="H5" i="21" s="1"/>
  <c r="J5" i="21" s="1"/>
  <c r="D19" i="21"/>
  <c r="E17" i="17" s="1"/>
  <c r="F17" i="17" s="1"/>
  <c r="D65" i="21"/>
  <c r="F65" i="21" s="1"/>
  <c r="H65" i="21" s="1"/>
  <c r="J65" i="21" s="1"/>
  <c r="D20" i="21"/>
  <c r="E18" i="17" s="1"/>
  <c r="F18" i="17" s="1"/>
  <c r="D80" i="21"/>
  <c r="E78" i="17" s="1"/>
  <c r="F78" i="17" s="1"/>
  <c r="D91" i="21"/>
  <c r="F91" i="21" s="1"/>
  <c r="H91" i="21" s="1"/>
  <c r="J91" i="21" s="1"/>
  <c r="D67" i="21"/>
  <c r="F67" i="21" s="1"/>
  <c r="H67" i="21" s="1"/>
  <c r="J67" i="21" s="1"/>
  <c r="D83" i="21"/>
  <c r="F83" i="21" s="1"/>
  <c r="H83" i="21" s="1"/>
  <c r="J83" i="21" s="1"/>
  <c r="D22" i="21"/>
  <c r="F22" i="21" s="1"/>
  <c r="H22" i="21" s="1"/>
  <c r="J22" i="21" s="1"/>
  <c r="D94" i="21"/>
  <c r="F94" i="21" s="1"/>
  <c r="H94" i="21" s="1"/>
  <c r="J94" i="21" s="1"/>
  <c r="D45" i="21"/>
  <c r="F45" i="21" s="1"/>
  <c r="H45" i="21" s="1"/>
  <c r="J45" i="21" s="1"/>
  <c r="D7" i="21"/>
  <c r="F7" i="21" s="1"/>
  <c r="H7" i="21" s="1"/>
  <c r="J7" i="21" s="1"/>
  <c r="D75" i="21"/>
  <c r="E73" i="17" s="1"/>
  <c r="F73" i="17" s="1"/>
  <c r="D9" i="21"/>
  <c r="F9" i="21" s="1"/>
  <c r="H9" i="21" s="1"/>
  <c r="J9" i="21" s="1"/>
  <c r="D82" i="21"/>
  <c r="F82" i="21" s="1"/>
  <c r="H82" i="21" s="1"/>
  <c r="J82" i="21" s="1"/>
  <c r="D93" i="21"/>
  <c r="E91" i="17" s="1"/>
  <c r="F91" i="17" s="1"/>
  <c r="D33" i="21"/>
  <c r="E31" i="17" s="1"/>
  <c r="F31" i="17" s="1"/>
  <c r="D14" i="21"/>
  <c r="F14" i="21" s="1"/>
  <c r="H14" i="21" s="1"/>
  <c r="J14" i="21" s="1"/>
  <c r="D16" i="21"/>
  <c r="F16" i="21" s="1"/>
  <c r="H16" i="21" s="1"/>
  <c r="J16" i="21" s="1"/>
  <c r="D86" i="21"/>
  <c r="E84" i="17" s="1"/>
  <c r="F84" i="17" s="1"/>
  <c r="D49" i="21"/>
  <c r="F49" i="21" s="1"/>
  <c r="H49" i="21" s="1"/>
  <c r="J49" i="21" s="1"/>
  <c r="S141" i="21"/>
  <c r="S52" i="21"/>
  <c r="S134" i="21"/>
  <c r="D42" i="21"/>
  <c r="F42" i="21" s="1"/>
  <c r="H42" i="21" s="1"/>
  <c r="J42" i="21" s="1"/>
  <c r="D52" i="21"/>
  <c r="F52" i="21" s="1"/>
  <c r="H52" i="21" s="1"/>
  <c r="J52" i="21" s="1"/>
  <c r="D97" i="21"/>
  <c r="E95" i="17" s="1"/>
  <c r="F95" i="17" s="1"/>
  <c r="D46" i="21"/>
  <c r="F46" i="21" s="1"/>
  <c r="H46" i="21" s="1"/>
  <c r="J46" i="21" s="1"/>
  <c r="D37" i="21"/>
  <c r="F37" i="21" s="1"/>
  <c r="H37" i="21" s="1"/>
  <c r="J37" i="21" s="1"/>
  <c r="D18" i="21"/>
  <c r="F18" i="21" s="1"/>
  <c r="H18" i="21" s="1"/>
  <c r="J18" i="21" s="1"/>
  <c r="D48" i="21"/>
  <c r="F48" i="21" s="1"/>
  <c r="H48" i="21" s="1"/>
  <c r="J48" i="21" s="1"/>
  <c r="D31" i="21"/>
  <c r="E29" i="17" s="1"/>
  <c r="F29" i="17" s="1"/>
  <c r="D96" i="21"/>
  <c r="F96" i="21" s="1"/>
  <c r="H96" i="21" s="1"/>
  <c r="J96" i="21" s="1"/>
  <c r="D39" i="21"/>
  <c r="F39" i="21" s="1"/>
  <c r="H39" i="21" s="1"/>
  <c r="J39" i="21" s="1"/>
  <c r="D95" i="21"/>
  <c r="E93" i="17" s="1"/>
  <c r="F93" i="17" s="1"/>
  <c r="D25" i="21"/>
  <c r="F25" i="21" s="1"/>
  <c r="H25" i="21" s="1"/>
  <c r="J25" i="21" s="1"/>
  <c r="D15" i="21"/>
  <c r="E13" i="17" s="1"/>
  <c r="F13" i="17" s="1"/>
  <c r="D62" i="21"/>
  <c r="E60" i="17" s="1"/>
  <c r="F60" i="17" s="1"/>
  <c r="S139" i="21"/>
  <c r="F103" i="21"/>
  <c r="H103" i="21" s="1"/>
  <c r="J103" i="21" s="1"/>
  <c r="D121" i="21"/>
  <c r="E119" i="17" s="1"/>
  <c r="F119" i="17" s="1"/>
  <c r="S104" i="21"/>
  <c r="S103" i="21"/>
  <c r="D136" i="21"/>
  <c r="E134" i="17" s="1"/>
  <c r="F134" i="17" s="1"/>
  <c r="S102" i="21"/>
  <c r="S126" i="21"/>
  <c r="D144" i="21"/>
  <c r="F144" i="21" s="1"/>
  <c r="H144" i="21" s="1"/>
  <c r="J144" i="21" s="1"/>
  <c r="D125" i="21"/>
  <c r="E123" i="17" s="1"/>
  <c r="F123" i="17" s="1"/>
  <c r="S130" i="21"/>
  <c r="J20" i="15" s="1"/>
  <c r="S116" i="21"/>
  <c r="S101" i="21"/>
  <c r="S135" i="21"/>
  <c r="L38" i="21"/>
  <c r="D38" i="21" s="1"/>
  <c r="F38" i="21" s="1"/>
  <c r="H38" i="21" s="1"/>
  <c r="J38" i="21" s="1"/>
  <c r="S120" i="21"/>
  <c r="E100" i="17"/>
  <c r="F100" i="17" s="1"/>
  <c r="S125" i="21"/>
  <c r="S137" i="21"/>
  <c r="S142" i="21"/>
  <c r="D77" i="21"/>
  <c r="F77" i="21" s="1"/>
  <c r="H77" i="21" s="1"/>
  <c r="J77" i="21" s="1"/>
  <c r="F100" i="21"/>
  <c r="H100" i="21" s="1"/>
  <c r="J100" i="21" s="1"/>
  <c r="S127" i="21"/>
  <c r="D138" i="21"/>
  <c r="E136" i="17" s="1"/>
  <c r="F136" i="17" s="1"/>
  <c r="S118" i="21"/>
  <c r="D131" i="21"/>
  <c r="E129" i="17" s="1"/>
  <c r="F129" i="17" s="1"/>
  <c r="S112" i="21"/>
  <c r="J19" i="15" s="1"/>
  <c r="D133" i="21"/>
  <c r="F133" i="21" s="1"/>
  <c r="H133" i="21" s="1"/>
  <c r="J133" i="21" s="1"/>
  <c r="S109" i="21"/>
  <c r="S133" i="21"/>
  <c r="D126" i="21"/>
  <c r="E124" i="17" s="1"/>
  <c r="F124" i="17" s="1"/>
  <c r="D127" i="21"/>
  <c r="F127" i="21" s="1"/>
  <c r="H127" i="21" s="1"/>
  <c r="J127" i="21" s="1"/>
  <c r="D113" i="21"/>
  <c r="F113" i="21" s="1"/>
  <c r="H113" i="21" s="1"/>
  <c r="J113" i="21" s="1"/>
  <c r="S124" i="21"/>
  <c r="D135" i="21"/>
  <c r="F135" i="21" s="1"/>
  <c r="H135" i="21" s="1"/>
  <c r="J135" i="21" s="1"/>
  <c r="S110" i="21"/>
  <c r="S138" i="21"/>
  <c r="S113" i="21"/>
  <c r="S128" i="21"/>
  <c r="S115" i="21"/>
  <c r="S136" i="21"/>
  <c r="D137" i="21"/>
  <c r="E135" i="17" s="1"/>
  <c r="F135" i="17" s="1"/>
  <c r="D105" i="21"/>
  <c r="E103" i="17" s="1"/>
  <c r="F103" i="17" s="1"/>
  <c r="D112" i="21"/>
  <c r="F112" i="21" s="1"/>
  <c r="H112" i="21" s="1"/>
  <c r="J112" i="21" s="1"/>
  <c r="S132" i="21"/>
  <c r="D140" i="21"/>
  <c r="F140" i="21" s="1"/>
  <c r="H140" i="21" s="1"/>
  <c r="J140" i="21" s="1"/>
  <c r="D143" i="21"/>
  <c r="F143" i="21" s="1"/>
  <c r="H143" i="21" s="1"/>
  <c r="J143" i="21" s="1"/>
  <c r="S111" i="21"/>
  <c r="D107" i="21"/>
  <c r="F107" i="21" s="1"/>
  <c r="H107" i="21" s="1"/>
  <c r="J107" i="21" s="1"/>
  <c r="S114" i="21"/>
  <c r="D119" i="21"/>
  <c r="F119" i="21" s="1"/>
  <c r="H119" i="21" s="1"/>
  <c r="J119" i="21" s="1"/>
  <c r="E102" i="17"/>
  <c r="F102" i="17" s="1"/>
  <c r="F104" i="21"/>
  <c r="H104" i="21" s="1"/>
  <c r="J104" i="21" s="1"/>
  <c r="F129" i="21"/>
  <c r="H129" i="21" s="1"/>
  <c r="J129" i="21" s="1"/>
  <c r="E127" i="17"/>
  <c r="F127" i="17" s="1"/>
  <c r="D69" i="21"/>
  <c r="E67" i="17" s="1"/>
  <c r="F67" i="17" s="1"/>
  <c r="S121" i="21"/>
  <c r="D111" i="21"/>
  <c r="E109" i="17" s="1"/>
  <c r="F109" i="17" s="1"/>
  <c r="S123" i="21"/>
  <c r="L36" i="21"/>
  <c r="S119" i="21"/>
  <c r="D118" i="21"/>
  <c r="E116" i="17" s="1"/>
  <c r="F116" i="17" s="1"/>
  <c r="D110" i="21"/>
  <c r="F110" i="21" s="1"/>
  <c r="H110" i="21" s="1"/>
  <c r="J110" i="21" s="1"/>
  <c r="S106" i="21"/>
  <c r="D106" i="21"/>
  <c r="F106" i="21" s="1"/>
  <c r="H106" i="21" s="1"/>
  <c r="J106" i="21" s="1"/>
  <c r="D114" i="21"/>
  <c r="S140" i="21"/>
  <c r="D122" i="21"/>
  <c r="E120" i="17" s="1"/>
  <c r="F120" i="17" s="1"/>
  <c r="D130" i="21"/>
  <c r="S129" i="21"/>
  <c r="S143" i="21"/>
  <c r="S122" i="21"/>
  <c r="E140" i="17"/>
  <c r="F140" i="17" s="1"/>
  <c r="F101" i="21"/>
  <c r="H101" i="21" s="1"/>
  <c r="J101" i="21" s="1"/>
  <c r="F134" i="21"/>
  <c r="H134" i="21" s="1"/>
  <c r="J134" i="21" s="1"/>
  <c r="S144" i="21"/>
  <c r="J21" i="15" s="1"/>
  <c r="S105" i="21"/>
  <c r="D115" i="21"/>
  <c r="E113" i="17" s="1"/>
  <c r="F113" i="17" s="1"/>
  <c r="D116" i="21"/>
  <c r="F116" i="21" s="1"/>
  <c r="H116" i="21" s="1"/>
  <c r="J116" i="21" s="1"/>
  <c r="D132" i="21"/>
  <c r="S117" i="21"/>
  <c r="S107" i="21"/>
  <c r="S108" i="21"/>
  <c r="D123" i="21"/>
  <c r="E121" i="17" s="1"/>
  <c r="F121" i="17" s="1"/>
  <c r="E126" i="17"/>
  <c r="F126" i="17" s="1"/>
  <c r="F128" i="21"/>
  <c r="H128" i="21" s="1"/>
  <c r="J128" i="21" s="1"/>
  <c r="D108" i="21"/>
  <c r="D41" i="21"/>
  <c r="F41" i="21" s="1"/>
  <c r="H41" i="21" s="1"/>
  <c r="J41" i="21" s="1"/>
  <c r="D139" i="21"/>
  <c r="D57" i="21"/>
  <c r="E55" i="17" s="1"/>
  <c r="F55" i="17" s="1"/>
  <c r="D117" i="21"/>
  <c r="D124" i="21"/>
  <c r="D141" i="21"/>
  <c r="D78" i="21"/>
  <c r="F78" i="21" s="1"/>
  <c r="H78" i="21" s="1"/>
  <c r="J78" i="21" s="1"/>
  <c r="S131" i="21"/>
  <c r="D109" i="21"/>
  <c r="S100" i="21"/>
  <c r="D120" i="21"/>
  <c r="S41" i="21"/>
  <c r="S30" i="21"/>
  <c r="S49" i="21"/>
  <c r="S71" i="21"/>
  <c r="S85" i="21"/>
  <c r="S47" i="21"/>
  <c r="S95" i="21"/>
  <c r="S26" i="21"/>
  <c r="S97" i="21"/>
  <c r="S13" i="21"/>
  <c r="S37" i="21"/>
  <c r="S20" i="21"/>
  <c r="S44" i="21"/>
  <c r="S6" i="21"/>
  <c r="S34" i="21"/>
  <c r="S46" i="21"/>
  <c r="S39" i="21"/>
  <c r="S31" i="21"/>
  <c r="S99" i="21"/>
  <c r="S96" i="21"/>
  <c r="S18" i="21"/>
  <c r="S8" i="21"/>
  <c r="S21" i="21"/>
  <c r="S82" i="21"/>
  <c r="S29" i="21"/>
  <c r="S15" i="21"/>
  <c r="S86" i="21"/>
  <c r="S87" i="21"/>
  <c r="S32" i="21"/>
  <c r="S98" i="21"/>
  <c r="S84" i="21"/>
  <c r="S90" i="21"/>
  <c r="S83" i="21"/>
  <c r="S24" i="21"/>
  <c r="S88" i="21"/>
  <c r="S12" i="21"/>
  <c r="S10" i="21"/>
  <c r="S70" i="21"/>
  <c r="S23" i="21"/>
  <c r="S27" i="21"/>
  <c r="S48" i="21"/>
  <c r="S7" i="21"/>
  <c r="S17" i="21"/>
  <c r="L43" i="21"/>
  <c r="D55" i="21"/>
  <c r="F55" i="21" s="1"/>
  <c r="H55" i="21" s="1"/>
  <c r="J55" i="21" s="1"/>
  <c r="D99" i="21"/>
  <c r="F99" i="21" s="1"/>
  <c r="H99" i="21" s="1"/>
  <c r="J99" i="21" s="1"/>
  <c r="S45" i="21"/>
  <c r="D98" i="21"/>
  <c r="F98" i="21" s="1"/>
  <c r="H98" i="21" s="1"/>
  <c r="J98" i="21" s="1"/>
  <c r="S42" i="21"/>
  <c r="D32" i="21"/>
  <c r="F32" i="21" s="1"/>
  <c r="H32" i="21" s="1"/>
  <c r="J32" i="21" s="1"/>
  <c r="E45" i="17"/>
  <c r="F45" i="17" s="1"/>
  <c r="F47" i="21"/>
  <c r="H47" i="21" s="1"/>
  <c r="J47" i="21" s="1"/>
  <c r="L35" i="21"/>
  <c r="S35" i="21" s="1"/>
  <c r="N43" i="21"/>
  <c r="N40" i="21"/>
  <c r="S40" i="21" s="1"/>
  <c r="D90" i="21"/>
  <c r="D8" i="21"/>
  <c r="E6" i="17" s="1"/>
  <c r="F6" i="17" s="1"/>
  <c r="D51" i="21"/>
  <c r="F51" i="21" s="1"/>
  <c r="H51" i="21" s="1"/>
  <c r="J51" i="21" s="1"/>
  <c r="E16" i="17"/>
  <c r="F16" i="17" s="1"/>
  <c r="E89" i="17"/>
  <c r="F89" i="17" s="1"/>
  <c r="S89" i="21"/>
  <c r="S54" i="21"/>
  <c r="S64" i="21"/>
  <c r="I305" i="21"/>
  <c r="F7" i="15" s="1"/>
  <c r="S9" i="21"/>
  <c r="S77" i="21"/>
  <c r="F13" i="21"/>
  <c r="H13" i="21" s="1"/>
  <c r="J13" i="21" s="1"/>
  <c r="S60" i="21"/>
  <c r="S72" i="21"/>
  <c r="S55" i="21"/>
  <c r="S94" i="21"/>
  <c r="S28" i="21"/>
  <c r="S53" i="21"/>
  <c r="S65" i="21"/>
  <c r="S92" i="21"/>
  <c r="S61" i="21"/>
  <c r="S75" i="21"/>
  <c r="S25" i="21"/>
  <c r="S22" i="21"/>
  <c r="E79" i="17"/>
  <c r="F79" i="17" s="1"/>
  <c r="F30" i="21"/>
  <c r="H30" i="21" s="1"/>
  <c r="J30" i="21" s="1"/>
  <c r="E24" i="17"/>
  <c r="F24" i="17" s="1"/>
  <c r="D24" i="21"/>
  <c r="D73" i="21"/>
  <c r="E71" i="17" s="1"/>
  <c r="F71" i="17" s="1"/>
  <c r="S51" i="21"/>
  <c r="D79" i="21"/>
  <c r="E77" i="17" s="1"/>
  <c r="F77" i="17" s="1"/>
  <c r="D12" i="21"/>
  <c r="S50" i="21"/>
  <c r="D74" i="21"/>
  <c r="E72" i="17" s="1"/>
  <c r="F72" i="17" s="1"/>
  <c r="D72" i="21"/>
  <c r="F72" i="21" s="1"/>
  <c r="H72" i="21" s="1"/>
  <c r="J72" i="21" s="1"/>
  <c r="D54" i="21"/>
  <c r="D92" i="21"/>
  <c r="D70" i="21"/>
  <c r="F70" i="21" s="1"/>
  <c r="H70" i="21" s="1"/>
  <c r="J70" i="21" s="1"/>
  <c r="D58" i="21"/>
  <c r="S56" i="21"/>
  <c r="F61" i="21"/>
  <c r="H61" i="21" s="1"/>
  <c r="J61" i="21" s="1"/>
  <c r="E59" i="17"/>
  <c r="F59" i="17" s="1"/>
  <c r="E7" i="17"/>
  <c r="F7" i="17" s="1"/>
  <c r="F17" i="21"/>
  <c r="H17" i="21" s="1"/>
  <c r="J17" i="21" s="1"/>
  <c r="E15" i="17"/>
  <c r="F15" i="17" s="1"/>
  <c r="G305" i="21"/>
  <c r="E7" i="15" s="1"/>
  <c r="S59" i="21"/>
  <c r="D34" i="21"/>
  <c r="D60" i="21"/>
  <c r="E58" i="17" s="1"/>
  <c r="F58" i="17" s="1"/>
  <c r="D10" i="21"/>
  <c r="D68" i="21"/>
  <c r="E66" i="17" s="1"/>
  <c r="F66" i="17" s="1"/>
  <c r="D56" i="21"/>
  <c r="F56" i="21" s="1"/>
  <c r="H56" i="21" s="1"/>
  <c r="J56" i="21" s="1"/>
  <c r="S80" i="21"/>
  <c r="S78" i="21"/>
  <c r="E57" i="17"/>
  <c r="F57" i="17" s="1"/>
  <c r="D29" i="21"/>
  <c r="S79" i="21"/>
  <c r="D50" i="21"/>
  <c r="F50" i="21" s="1"/>
  <c r="H50" i="21" s="1"/>
  <c r="J50" i="21" s="1"/>
  <c r="D64" i="21"/>
  <c r="S66" i="21"/>
  <c r="S14" i="21"/>
  <c r="S16" i="21"/>
  <c r="E9" i="17"/>
  <c r="F9" i="17" s="1"/>
  <c r="F11" i="21"/>
  <c r="H11" i="21" s="1"/>
  <c r="J11" i="21" s="1"/>
  <c r="E64" i="17"/>
  <c r="F64" i="17" s="1"/>
  <c r="F66" i="21"/>
  <c r="H66" i="21" s="1"/>
  <c r="J66" i="21" s="1"/>
  <c r="E63" i="17"/>
  <c r="F63" i="17" s="1"/>
  <c r="S63" i="21"/>
  <c r="S74" i="21"/>
  <c r="S76" i="21"/>
  <c r="D88" i="21"/>
  <c r="S57" i="21"/>
  <c r="D71" i="21"/>
  <c r="S73" i="21"/>
  <c r="S81" i="21"/>
  <c r="S11" i="21"/>
  <c r="S68" i="21"/>
  <c r="D6" i="21"/>
  <c r="D63" i="21"/>
  <c r="S5" i="21"/>
  <c r="S91" i="21"/>
  <c r="S33" i="21"/>
  <c r="S93" i="21"/>
  <c r="D21" i="21"/>
  <c r="D23" i="21"/>
  <c r="S19" i="21"/>
  <c r="D53" i="21"/>
  <c r="D76" i="21"/>
  <c r="F27" i="21" l="1"/>
  <c r="H27" i="21" s="1"/>
  <c r="J27" i="21" s="1"/>
  <c r="F62" i="21"/>
  <c r="H62" i="21" s="1"/>
  <c r="J62" i="21" s="1"/>
  <c r="F87" i="21"/>
  <c r="H87" i="21" s="1"/>
  <c r="J87" i="21" s="1"/>
  <c r="F89" i="21"/>
  <c r="H89" i="21" s="1"/>
  <c r="J89" i="21" s="1"/>
  <c r="E131" i="17"/>
  <c r="F131" i="17" s="1"/>
  <c r="E12" i="17"/>
  <c r="F12" i="17" s="1"/>
  <c r="F19" i="21"/>
  <c r="H19" i="21" s="1"/>
  <c r="J19" i="21" s="1"/>
  <c r="E92" i="17"/>
  <c r="F92" i="17" s="1"/>
  <c r="E50" i="17"/>
  <c r="F50" i="17" s="1"/>
  <c r="E37" i="17"/>
  <c r="F37" i="17" s="1"/>
  <c r="E47" i="17"/>
  <c r="F47" i="17" s="1"/>
  <c r="F80" i="21"/>
  <c r="H80" i="21" s="1"/>
  <c r="J80" i="21" s="1"/>
  <c r="F95" i="21"/>
  <c r="H95" i="21" s="1"/>
  <c r="J95" i="21" s="1"/>
  <c r="F97" i="21"/>
  <c r="H97" i="21" s="1"/>
  <c r="J97" i="21" s="1"/>
  <c r="E43" i="17"/>
  <c r="F43" i="17" s="1"/>
  <c r="E14" i="17"/>
  <c r="F14" i="17" s="1"/>
  <c r="E82" i="17"/>
  <c r="F82" i="17" s="1"/>
  <c r="E76" i="17"/>
  <c r="F76" i="17" s="1"/>
  <c r="F28" i="21"/>
  <c r="H28" i="21" s="1"/>
  <c r="J28" i="21" s="1"/>
  <c r="F75" i="21"/>
  <c r="H75" i="21" s="1"/>
  <c r="J75" i="21" s="1"/>
  <c r="E46" i="17"/>
  <c r="F46" i="17" s="1"/>
  <c r="E65" i="17"/>
  <c r="F65" i="17" s="1"/>
  <c r="E42" i="17"/>
  <c r="F42" i="17" s="1"/>
  <c r="E80" i="17"/>
  <c r="F80" i="17" s="1"/>
  <c r="F93" i="21"/>
  <c r="H93" i="21" s="1"/>
  <c r="J93" i="21" s="1"/>
  <c r="F33" i="21"/>
  <c r="H33" i="21" s="1"/>
  <c r="J33" i="21" s="1"/>
  <c r="E83" i="17"/>
  <c r="F83" i="17" s="1"/>
  <c r="F31" i="21"/>
  <c r="H31" i="21" s="1"/>
  <c r="J31" i="21" s="1"/>
  <c r="E81" i="17"/>
  <c r="F81" i="17" s="1"/>
  <c r="E40" i="17"/>
  <c r="F40" i="17" s="1"/>
  <c r="E20" i="17"/>
  <c r="F20" i="17" s="1"/>
  <c r="E94" i="17"/>
  <c r="F94" i="17" s="1"/>
  <c r="E3" i="17"/>
  <c r="F3" i="17" s="1"/>
  <c r="F121" i="21"/>
  <c r="H121" i="21" s="1"/>
  <c r="J121" i="21" s="1"/>
  <c r="F20" i="21"/>
  <c r="H20" i="21" s="1"/>
  <c r="J20" i="21" s="1"/>
  <c r="E5" i="17"/>
  <c r="F5" i="17" s="1"/>
  <c r="F86" i="21"/>
  <c r="H86" i="21" s="1"/>
  <c r="J86" i="21" s="1"/>
  <c r="E23" i="17"/>
  <c r="F23" i="17" s="1"/>
  <c r="E35" i="17"/>
  <c r="F35" i="17" s="1"/>
  <c r="F15" i="21"/>
  <c r="H15" i="21" s="1"/>
  <c r="J15" i="21" s="1"/>
  <c r="F136" i="21"/>
  <c r="H136" i="21" s="1"/>
  <c r="J136" i="21" s="1"/>
  <c r="E44" i="17"/>
  <c r="F44" i="17" s="1"/>
  <c r="D43" i="21"/>
  <c r="E41" i="17" s="1"/>
  <c r="F41" i="17" s="1"/>
  <c r="S38" i="21"/>
  <c r="F126" i="21"/>
  <c r="H126" i="21" s="1"/>
  <c r="J126" i="21" s="1"/>
  <c r="F69" i="21"/>
  <c r="H69" i="21" s="1"/>
  <c r="J69" i="21" s="1"/>
  <c r="E36" i="17"/>
  <c r="F36" i="17" s="1"/>
  <c r="E125" i="17"/>
  <c r="F125" i="17" s="1"/>
  <c r="F125" i="21"/>
  <c r="H125" i="21" s="1"/>
  <c r="J125" i="21" s="1"/>
  <c r="E105" i="17"/>
  <c r="F105" i="17" s="1"/>
  <c r="E138" i="17"/>
  <c r="F138" i="17" s="1"/>
  <c r="E142" i="17"/>
  <c r="F142" i="17" s="1"/>
  <c r="E111" i="17"/>
  <c r="F111" i="17" s="1"/>
  <c r="E104" i="17"/>
  <c r="F104" i="17" s="1"/>
  <c r="F105" i="21"/>
  <c r="H105" i="21" s="1"/>
  <c r="J105" i="21" s="1"/>
  <c r="E114" i="17"/>
  <c r="F114" i="17" s="1"/>
  <c r="E110" i="17"/>
  <c r="F110" i="17" s="1"/>
  <c r="F115" i="21"/>
  <c r="H115" i="21" s="1"/>
  <c r="J115" i="21" s="1"/>
  <c r="D35" i="21"/>
  <c r="E33" i="17" s="1"/>
  <c r="F33" i="17" s="1"/>
  <c r="E75" i="17"/>
  <c r="F75" i="17" s="1"/>
  <c r="F131" i="21"/>
  <c r="H131" i="21" s="1"/>
  <c r="J131" i="21" s="1"/>
  <c r="E141" i="17"/>
  <c r="F141" i="17" s="1"/>
  <c r="F138" i="21"/>
  <c r="H138" i="21" s="1"/>
  <c r="J138" i="21" s="1"/>
  <c r="F118" i="21"/>
  <c r="H118" i="21" s="1"/>
  <c r="J118" i="21" s="1"/>
  <c r="E117" i="17"/>
  <c r="F117" i="17" s="1"/>
  <c r="E108" i="17"/>
  <c r="F108" i="17" s="1"/>
  <c r="E133" i="17"/>
  <c r="F133" i="17" s="1"/>
  <c r="E39" i="17"/>
  <c r="F39" i="17" s="1"/>
  <c r="F57" i="21"/>
  <c r="H57" i="21" s="1"/>
  <c r="J57" i="21" s="1"/>
  <c r="F122" i="21"/>
  <c r="H122" i="21" s="1"/>
  <c r="J122" i="21" s="1"/>
  <c r="E49" i="17"/>
  <c r="F49" i="17" s="1"/>
  <c r="F137" i="21"/>
  <c r="H137" i="21" s="1"/>
  <c r="J137" i="21" s="1"/>
  <c r="G7" i="15"/>
  <c r="H7" i="15" s="1"/>
  <c r="J15" i="15"/>
  <c r="E130" i="17"/>
  <c r="F130" i="17" s="1"/>
  <c r="F132" i="21"/>
  <c r="H132" i="21" s="1"/>
  <c r="J132" i="21" s="1"/>
  <c r="S36" i="21"/>
  <c r="D36" i="21"/>
  <c r="F123" i="21"/>
  <c r="H123" i="21" s="1"/>
  <c r="J123" i="21" s="1"/>
  <c r="F111" i="21"/>
  <c r="H111" i="21" s="1"/>
  <c r="J111" i="21" s="1"/>
  <c r="E112" i="17"/>
  <c r="F112" i="17" s="1"/>
  <c r="F114" i="21"/>
  <c r="H114" i="21" s="1"/>
  <c r="J114" i="21" s="1"/>
  <c r="E128" i="17"/>
  <c r="F128" i="17" s="1"/>
  <c r="F130" i="21"/>
  <c r="H130" i="21" s="1"/>
  <c r="J130" i="21" s="1"/>
  <c r="E122" i="17"/>
  <c r="F122" i="17" s="1"/>
  <c r="F124" i="21"/>
  <c r="H124" i="21" s="1"/>
  <c r="J124" i="21" s="1"/>
  <c r="E115" i="17"/>
  <c r="F115" i="17" s="1"/>
  <c r="F117" i="21"/>
  <c r="H117" i="21" s="1"/>
  <c r="J117" i="21" s="1"/>
  <c r="F120" i="21"/>
  <c r="H120" i="21" s="1"/>
  <c r="J120" i="21" s="1"/>
  <c r="E118" i="17"/>
  <c r="F118" i="17" s="1"/>
  <c r="F139" i="21"/>
  <c r="H139" i="21" s="1"/>
  <c r="J139" i="21" s="1"/>
  <c r="E137" i="17"/>
  <c r="F137" i="17" s="1"/>
  <c r="E107" i="17"/>
  <c r="F107" i="17" s="1"/>
  <c r="F109" i="21"/>
  <c r="H109" i="21" s="1"/>
  <c r="J109" i="21" s="1"/>
  <c r="E106" i="17"/>
  <c r="F106" i="17" s="1"/>
  <c r="F108" i="21"/>
  <c r="H108" i="21" s="1"/>
  <c r="J108" i="21" s="1"/>
  <c r="E139" i="17"/>
  <c r="F139" i="17" s="1"/>
  <c r="F141" i="21"/>
  <c r="H141" i="21" s="1"/>
  <c r="J141" i="21" s="1"/>
  <c r="J14" i="15"/>
  <c r="E96" i="17"/>
  <c r="F96" i="17" s="1"/>
  <c r="E97" i="17"/>
  <c r="F97" i="17" s="1"/>
  <c r="E53" i="17"/>
  <c r="F53" i="17" s="1"/>
  <c r="E70" i="17"/>
  <c r="F70" i="17" s="1"/>
  <c r="E30" i="17"/>
  <c r="F30" i="17" s="1"/>
  <c r="F8" i="21"/>
  <c r="H8" i="21" s="1"/>
  <c r="J8" i="21" s="1"/>
  <c r="F68" i="21"/>
  <c r="H68" i="21" s="1"/>
  <c r="J68" i="21" s="1"/>
  <c r="F60" i="21"/>
  <c r="H60" i="21" s="1"/>
  <c r="J60" i="21" s="1"/>
  <c r="F79" i="21"/>
  <c r="H79" i="21" s="1"/>
  <c r="J79" i="21" s="1"/>
  <c r="F74" i="21"/>
  <c r="H74" i="21" s="1"/>
  <c r="J74" i="21" s="1"/>
  <c r="S43" i="21"/>
  <c r="J18" i="15"/>
  <c r="E88" i="17"/>
  <c r="F88" i="17" s="1"/>
  <c r="F90" i="21"/>
  <c r="H90" i="21" s="1"/>
  <c r="J90" i="21" s="1"/>
  <c r="D40" i="21"/>
  <c r="E68" i="17"/>
  <c r="F68" i="17" s="1"/>
  <c r="F73" i="21"/>
  <c r="H73" i="21" s="1"/>
  <c r="J73" i="21" s="1"/>
  <c r="E48" i="17"/>
  <c r="F48" i="17" s="1"/>
  <c r="F24" i="21"/>
  <c r="H24" i="21" s="1"/>
  <c r="J24" i="21" s="1"/>
  <c r="E22" i="17"/>
  <c r="F22" i="17" s="1"/>
  <c r="F12" i="21"/>
  <c r="H12" i="21" s="1"/>
  <c r="J12" i="21" s="1"/>
  <c r="E10" i="17"/>
  <c r="F10" i="17" s="1"/>
  <c r="F54" i="21"/>
  <c r="H54" i="21" s="1"/>
  <c r="J54" i="21" s="1"/>
  <c r="E52" i="17"/>
  <c r="F52" i="17" s="1"/>
  <c r="E54" i="17"/>
  <c r="F54" i="17" s="1"/>
  <c r="E56" i="17"/>
  <c r="F56" i="17" s="1"/>
  <c r="F58" i="21"/>
  <c r="H58" i="21" s="1"/>
  <c r="J58" i="21" s="1"/>
  <c r="E90" i="17"/>
  <c r="F90" i="17" s="1"/>
  <c r="F92" i="21"/>
  <c r="H92" i="21" s="1"/>
  <c r="J92" i="21" s="1"/>
  <c r="E8" i="17"/>
  <c r="F8" i="17" s="1"/>
  <c r="F10" i="21"/>
  <c r="H10" i="21" s="1"/>
  <c r="J10" i="21" s="1"/>
  <c r="E32" i="17"/>
  <c r="F32" i="17" s="1"/>
  <c r="F34" i="21"/>
  <c r="H34" i="21" s="1"/>
  <c r="J34" i="21" s="1"/>
  <c r="F29" i="21"/>
  <c r="H29" i="21" s="1"/>
  <c r="J29" i="21" s="1"/>
  <c r="E27" i="17"/>
  <c r="F27" i="17" s="1"/>
  <c r="E62" i="17"/>
  <c r="F62" i="17" s="1"/>
  <c r="F64" i="21"/>
  <c r="H64" i="21" s="1"/>
  <c r="J64" i="21" s="1"/>
  <c r="E51" i="17"/>
  <c r="F51" i="17" s="1"/>
  <c r="F53" i="21"/>
  <c r="H53" i="21" s="1"/>
  <c r="J53" i="21" s="1"/>
  <c r="E21" i="17"/>
  <c r="F21" i="17" s="1"/>
  <c r="F23" i="21"/>
  <c r="H23" i="21" s="1"/>
  <c r="J23" i="21" s="1"/>
  <c r="E61" i="17"/>
  <c r="F61" i="17" s="1"/>
  <c r="F63" i="21"/>
  <c r="H63" i="21" s="1"/>
  <c r="J63" i="21" s="1"/>
  <c r="J17" i="15"/>
  <c r="E69" i="17"/>
  <c r="F69" i="17" s="1"/>
  <c r="F71" i="21"/>
  <c r="H71" i="21" s="1"/>
  <c r="J71" i="21" s="1"/>
  <c r="E86" i="17"/>
  <c r="F86" i="17" s="1"/>
  <c r="F88" i="21"/>
  <c r="H88" i="21" s="1"/>
  <c r="J88" i="21" s="1"/>
  <c r="E74" i="17"/>
  <c r="F74" i="17" s="1"/>
  <c r="F76" i="21"/>
  <c r="H76" i="21" s="1"/>
  <c r="J76" i="21" s="1"/>
  <c r="E19" i="17"/>
  <c r="F19" i="17" s="1"/>
  <c r="F21" i="21"/>
  <c r="H21" i="21" s="1"/>
  <c r="J21" i="21" s="1"/>
  <c r="J12" i="15"/>
  <c r="F6" i="21"/>
  <c r="E4" i="17"/>
  <c r="F4" i="17" s="1"/>
  <c r="J16" i="15"/>
  <c r="F43" i="21" l="1"/>
  <c r="H43" i="21" s="1"/>
  <c r="J43" i="21" s="1"/>
  <c r="B2" i="21"/>
  <c r="F35" i="21"/>
  <c r="H35" i="21" s="1"/>
  <c r="J35" i="21" s="1"/>
  <c r="J13" i="15"/>
  <c r="I7" i="15"/>
  <c r="E34" i="17"/>
  <c r="F34" i="17" s="1"/>
  <c r="F36" i="21"/>
  <c r="H36" i="21" s="1"/>
  <c r="J36" i="21" s="1"/>
  <c r="F40" i="21"/>
  <c r="H40" i="21" s="1"/>
  <c r="J40" i="21" s="1"/>
  <c r="E38" i="17"/>
  <c r="F38" i="17" s="1"/>
  <c r="H6" i="21"/>
  <c r="J6" i="21" s="1"/>
  <c r="F1" i="17" l="1"/>
  <c r="H9" i="15" s="1"/>
  <c r="E2" i="21"/>
  <c r="I2" i="21" s="1"/>
  <c r="G10" i="15" l="1"/>
  <c r="J9" i="15" s="1"/>
  <c r="J5" i="15" s="1"/>
  <c r="G2" i="21"/>
  <c r="M2" i="21" s="1"/>
  <c r="I9"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C41" authorId="0" shapeId="0" xr:uid="{00000000-0006-0000-0F00-000001000000}">
      <text>
        <r>
          <rPr>
            <b/>
            <sz val="8"/>
            <color indexed="81"/>
            <rFont val="Tahoma"/>
            <family val="2"/>
          </rPr>
          <t>1 Motorista por Veículo Titular, em cada Turno.
Seguir quantidade de veículos, conforme a "Tabela por Categoria de Condutor".</t>
        </r>
      </text>
    </comment>
    <comment ref="C42" authorId="0" shapeId="0" xr:uid="{00000000-0006-0000-0F00-000002000000}">
      <text>
        <r>
          <rPr>
            <b/>
            <sz val="8"/>
            <color indexed="81"/>
            <rFont val="Tahoma"/>
            <family val="2"/>
          </rPr>
          <t>1 Motorista por Veículo Titular, em cada Turno.
Seguir quantidade de veículos, conforme a "Tabela por Categoria de Condutor".</t>
        </r>
      </text>
    </comment>
    <comment ref="C43" authorId="0" shapeId="0" xr:uid="{00000000-0006-0000-0F00-000003000000}">
      <text>
        <r>
          <rPr>
            <b/>
            <sz val="8"/>
            <color indexed="81"/>
            <rFont val="Tahoma"/>
            <family val="2"/>
          </rPr>
          <t>1 Motorista por Veículo Titular, em cada Turno.
Seguir quantidade de veículos, conforme a "Tabela por Categoria de Condutor".</t>
        </r>
        <r>
          <rPr>
            <sz val="8"/>
            <color indexed="81"/>
            <rFont val="Tahoma"/>
            <family val="2"/>
          </rPr>
          <t xml:space="preserve">
</t>
        </r>
      </text>
    </comment>
    <comment ref="C44" authorId="0" shapeId="0" xr:uid="{00000000-0006-0000-0F00-000004000000}">
      <text>
        <r>
          <rPr>
            <b/>
            <sz val="8"/>
            <color indexed="81"/>
            <rFont val="Tahoma"/>
            <family val="2"/>
          </rPr>
          <t>1 Motorista por Veículo Titular, em cada Turno.
Seguir quantidade de veículos, conforme a "Tabela por Categoria de Condutor".</t>
        </r>
        <r>
          <rPr>
            <sz val="8"/>
            <color indexed="81"/>
            <rFont val="Tahoma"/>
            <family val="2"/>
          </rPr>
          <t xml:space="preserve">
</t>
        </r>
      </text>
    </comment>
    <comment ref="C46" authorId="0" shapeId="0" xr:uid="{00000000-0006-0000-0F00-000005000000}">
      <text>
        <r>
          <rPr>
            <b/>
            <sz val="8"/>
            <color indexed="81"/>
            <rFont val="Tahoma"/>
            <family val="2"/>
          </rPr>
          <t>1 Cobrador por Veículo Titular em cada Turno.</t>
        </r>
      </text>
    </comment>
  </commentList>
</comments>
</file>

<file path=xl/sharedStrings.xml><?xml version="1.0" encoding="utf-8"?>
<sst xmlns="http://schemas.openxmlformats.org/spreadsheetml/2006/main" count="10467" uniqueCount="2726">
  <si>
    <t>Linha</t>
  </si>
  <si>
    <t>Tipologia</t>
  </si>
  <si>
    <t>20h às 21h</t>
  </si>
  <si>
    <t>Km.</t>
  </si>
  <si>
    <t xml:space="preserve"> </t>
  </si>
  <si>
    <t>MÉDIA IDADE</t>
  </si>
  <si>
    <t>Contendo veículos</t>
  </si>
  <si>
    <t xml:space="preserve">P R O P R I E T Á R I O </t>
  </si>
  <si>
    <t>CAPACIDADE</t>
  </si>
  <si>
    <t>STATUS</t>
  </si>
  <si>
    <t>ALUGADA</t>
  </si>
  <si>
    <t>PLACA
ATUAL</t>
  </si>
  <si>
    <t>TIPO DE 
VEÍCULO</t>
  </si>
  <si>
    <t>CARROCERIA</t>
  </si>
  <si>
    <t>Modelo</t>
  </si>
  <si>
    <t>CHASSI</t>
  </si>
  <si>
    <t>MÊS</t>
  </si>
  <si>
    <t>ANO</t>
  </si>
  <si>
    <t>PREFIXO</t>
  </si>
  <si>
    <t xml:space="preserve">EMPRESA </t>
  </si>
  <si>
    <t>Origem</t>
  </si>
  <si>
    <t>Destino</t>
  </si>
  <si>
    <t>EMPRESA</t>
  </si>
  <si>
    <t>CIDADE</t>
  </si>
  <si>
    <t>Ano</t>
  </si>
  <si>
    <t>LINHA</t>
  </si>
  <si>
    <t>fator 1</t>
  </si>
  <si>
    <t>fator 2</t>
  </si>
  <si>
    <t>fator 3</t>
  </si>
  <si>
    <t>fator 4</t>
  </si>
  <si>
    <t>Atinge % de Manutenção</t>
  </si>
  <si>
    <t>Vl Pago por Passageiro</t>
  </si>
  <si>
    <t>4h às 5h</t>
  </si>
  <si>
    <t>5h às 6h</t>
  </si>
  <si>
    <t>6h às 7h</t>
  </si>
  <si>
    <t>7h às 8h</t>
  </si>
  <si>
    <t>8h às 9h</t>
  </si>
  <si>
    <t>9h às 10h</t>
  </si>
  <si>
    <t>10h às 11h</t>
  </si>
  <si>
    <t>11h às 12h</t>
  </si>
  <si>
    <t>12h às 13h</t>
  </si>
  <si>
    <t>13h às 14h</t>
  </si>
  <si>
    <t>14h às 15h</t>
  </si>
  <si>
    <t>15h às 16h</t>
  </si>
  <si>
    <t>16h às 17h</t>
  </si>
  <si>
    <t>17h às 18h</t>
  </si>
  <si>
    <t>18h às 19h</t>
  </si>
  <si>
    <t>19h às 20h</t>
  </si>
  <si>
    <t>21h às 22h</t>
  </si>
  <si>
    <t>22h às 23h</t>
  </si>
  <si>
    <t>23h às 00h</t>
  </si>
  <si>
    <t>0h às 01h</t>
  </si>
  <si>
    <t>Total</t>
  </si>
  <si>
    <t>Capacidade</t>
  </si>
  <si>
    <t>Micro-ônibus</t>
  </si>
  <si>
    <t>Padron</t>
  </si>
  <si>
    <t>Articulado</t>
  </si>
  <si>
    <t>Bi-Articulado</t>
  </si>
  <si>
    <t>domingo</t>
  </si>
  <si>
    <t>quinta</t>
  </si>
  <si>
    <t>sexta</t>
  </si>
  <si>
    <t>sabado</t>
  </si>
  <si>
    <t>segunda</t>
  </si>
  <si>
    <t>terça</t>
  </si>
  <si>
    <t>quarta</t>
  </si>
  <si>
    <t>feriado</t>
  </si>
  <si>
    <t>Mês de Operação</t>
  </si>
  <si>
    <t>Período</t>
  </si>
  <si>
    <t>Dias Úteis</t>
  </si>
  <si>
    <t>Sabados</t>
  </si>
  <si>
    <t>Dom e Fer</t>
  </si>
  <si>
    <t>Empresa</t>
  </si>
  <si>
    <t>Grupo</t>
  </si>
  <si>
    <t>Despesas
Administrativas</t>
  </si>
  <si>
    <t>01 a 31 Jan</t>
  </si>
  <si>
    <t>01 a 28 Fev</t>
  </si>
  <si>
    <t>Linha Nº</t>
  </si>
  <si>
    <t>01 a 31 Mar</t>
  </si>
  <si>
    <t>01 a 30 Abr</t>
  </si>
  <si>
    <t>01 a 31 Mai</t>
  </si>
  <si>
    <t>01 a 30 Jun</t>
  </si>
  <si>
    <t>01 a 31 Jul</t>
  </si>
  <si>
    <t>01 a 31 Ago</t>
  </si>
  <si>
    <t>01 a 30 Set</t>
  </si>
  <si>
    <t>01 a 31 Out</t>
  </si>
  <si>
    <t>01 a 30 Nov</t>
  </si>
  <si>
    <t>01 a 31 Dez</t>
  </si>
  <si>
    <t>CUSTO MENSAL (Manutenção e Administrativo)</t>
  </si>
  <si>
    <t>Custo Salarial Mensal:</t>
  </si>
  <si>
    <t>CUSTOS DE MANUTENÇÃO DE VEÍCULOS E DE ESTRUTURA PREDIAL</t>
  </si>
  <si>
    <t>Aluguel de Garagem</t>
  </si>
  <si>
    <t>Conta de Água</t>
  </si>
  <si>
    <t>Conta de Luz</t>
  </si>
  <si>
    <t>Conta de Telefone/Internet</t>
  </si>
  <si>
    <t>Materiais / Suprimentos</t>
  </si>
  <si>
    <t>Manutenção Predial</t>
  </si>
  <si>
    <t>Custos Administrativos</t>
  </si>
  <si>
    <t>010</t>
  </si>
  <si>
    <t>011</t>
  </si>
  <si>
    <t>012</t>
  </si>
  <si>
    <t>013</t>
  </si>
  <si>
    <t>014</t>
  </si>
  <si>
    <t>015</t>
  </si>
  <si>
    <t>016</t>
  </si>
  <si>
    <t>017</t>
  </si>
  <si>
    <t>Dispensa (Café / Suco / Água Mineral)</t>
  </si>
  <si>
    <t>PLANILHA SALARIAL</t>
  </si>
  <si>
    <t>Ref.</t>
  </si>
  <si>
    <t>Cargos</t>
  </si>
  <si>
    <t>Turnos</t>
  </si>
  <si>
    <t>Piso Salarial da Categoria</t>
  </si>
  <si>
    <t>Salário Pago pela Empresa</t>
  </si>
  <si>
    <t>Total de Despezas 
com Pagamentos</t>
  </si>
  <si>
    <t>Gerência</t>
  </si>
  <si>
    <t>001</t>
  </si>
  <si>
    <t>Setor Operacional</t>
  </si>
  <si>
    <t>Chefe de Tráfego</t>
  </si>
  <si>
    <t>Fiscal de Linha (Despachante)</t>
  </si>
  <si>
    <t>Fiscal de Pontos</t>
  </si>
  <si>
    <t>Motor.Articulados (Categoria E)</t>
  </si>
  <si>
    <t>Motorista (Categoria D)</t>
  </si>
  <si>
    <t>Motorista de Micro-Ônibus</t>
  </si>
  <si>
    <t>Motorista Reserva</t>
  </si>
  <si>
    <t>Cobrador</t>
  </si>
  <si>
    <t>Cobrador Reserva</t>
  </si>
  <si>
    <t>Setor de Manutenção</t>
  </si>
  <si>
    <t>Mecânico</t>
  </si>
  <si>
    <t>Auxiliar de Mecânico</t>
  </si>
  <si>
    <t>Eletricista</t>
  </si>
  <si>
    <t>Auxiliar de Eletricista</t>
  </si>
  <si>
    <t>Funileiro</t>
  </si>
  <si>
    <t>018</t>
  </si>
  <si>
    <t>Auxiliar de Funileiro</t>
  </si>
  <si>
    <t>Borracheiro</t>
  </si>
  <si>
    <t>Ajudante de Borracheiro</t>
  </si>
  <si>
    <t>Moleiro</t>
  </si>
  <si>
    <t>Ajudante de Moleiro</t>
  </si>
  <si>
    <t>Lavador</t>
  </si>
  <si>
    <t>Manobrista</t>
  </si>
  <si>
    <t>Setor Administrativo</t>
  </si>
  <si>
    <t>Analista de RH</t>
  </si>
  <si>
    <t>Analista de DP</t>
  </si>
  <si>
    <t>Analista Jurídico</t>
  </si>
  <si>
    <t>Secretaria</t>
  </si>
  <si>
    <t>Auxiliar Administrativo</t>
  </si>
  <si>
    <t>Administrador Predial</t>
  </si>
  <si>
    <t>Técnico de Manutenção Predial</t>
  </si>
  <si>
    <t>Assistente Social</t>
  </si>
  <si>
    <t>Psicológa</t>
  </si>
  <si>
    <t>Segurança</t>
  </si>
  <si>
    <t>Porteiro</t>
  </si>
  <si>
    <t>Contabilidade</t>
  </si>
  <si>
    <t>Contador</t>
  </si>
  <si>
    <t>Auxiliar de Contabilidade</t>
  </si>
  <si>
    <t>Tesoureiro</t>
  </si>
  <si>
    <t>Auxiliar de Tesoureiro</t>
  </si>
  <si>
    <t>Comercial</t>
  </si>
  <si>
    <t>Analista Comercial</t>
  </si>
  <si>
    <t>Auxiliar Comercial</t>
  </si>
  <si>
    <t>Informática e Telefonia</t>
  </si>
  <si>
    <t>Técnico em Informática e Telecom</t>
  </si>
  <si>
    <t>Total de Funcionários:</t>
  </si>
  <si>
    <t>IDADE</t>
  </si>
  <si>
    <t>CUSTOS</t>
  </si>
  <si>
    <t>Carro</t>
  </si>
  <si>
    <t>0 km</t>
  </si>
  <si>
    <t>18% de custos + custos de pessoal + custos de administração</t>
  </si>
  <si>
    <t>1 a 3 anos</t>
  </si>
  <si>
    <t>22% de custos + custos de pessoal + custos de administração</t>
  </si>
  <si>
    <t>4 a 7 anos</t>
  </si>
  <si>
    <t>29% de custos + custos de pessoal + custos de administração</t>
  </si>
  <si>
    <t>8 a 12 anos</t>
  </si>
  <si>
    <t>39% de custos + custos de pessoal + custos de administração</t>
  </si>
  <si>
    <t>13 a 17 anos</t>
  </si>
  <si>
    <t>52% de custos + custos de pessoal + custos de administração</t>
  </si>
  <si>
    <t>18 anos pra cima</t>
  </si>
  <si>
    <t>65% de custos + custos de pessoal + custos de administração</t>
  </si>
  <si>
    <t>GRUPO OPERACIONAL</t>
  </si>
  <si>
    <t>PERFIL DE CARROCERIA</t>
  </si>
  <si>
    <t>Midi-Bus</t>
  </si>
  <si>
    <t>Gran-Padron</t>
  </si>
  <si>
    <t>Gran-Articulado</t>
  </si>
  <si>
    <t>Carro operante</t>
  </si>
  <si>
    <t>OP. DIA TODO</t>
  </si>
  <si>
    <t>OP. Hor. PICO</t>
  </si>
  <si>
    <t>Máximo de Pessoas transportadas</t>
  </si>
  <si>
    <t>OP. TARDE / NOITE</t>
  </si>
  <si>
    <t>OP. MANHÃ</t>
  </si>
  <si>
    <t>CAPACIDADE DE TRANSPORTES  - RIO DAS PEDRAS
SISTEMA MUNICIPAL DE TRANSPORTES DE PEDRANTE</t>
  </si>
  <si>
    <t>somatório do mês</t>
  </si>
  <si>
    <t>semana</t>
  </si>
  <si>
    <t>Comprimento</t>
  </si>
  <si>
    <t>Micro-Ônibus</t>
  </si>
  <si>
    <t>Comp. de 9 metros</t>
  </si>
  <si>
    <t>Comp. de 11 metros</t>
  </si>
  <si>
    <t>Comp. de 12 metros</t>
  </si>
  <si>
    <t>Comp. de 12,5 metros</t>
  </si>
  <si>
    <t>Comp. de 13 metros</t>
  </si>
  <si>
    <t>Comp. de 13,5 metros</t>
  </si>
  <si>
    <t>Comp. de 15 metros</t>
  </si>
  <si>
    <t>Comp. de 18,5 metros</t>
  </si>
  <si>
    <t>Comp. de 23 metros</t>
  </si>
  <si>
    <t>Comp. de 26,5 metros</t>
  </si>
  <si>
    <t>Comp. de até 13 metros</t>
  </si>
  <si>
    <t>Receita Total 
Viagens na Semana</t>
  </si>
  <si>
    <t>Receita Total 
Viagens aos Sabados</t>
  </si>
  <si>
    <t>Receita Total 
Viagens aos Dom/Fer</t>
  </si>
  <si>
    <t>Capacidade 
de Transporte</t>
  </si>
  <si>
    <t>Pessoas 
Transp.</t>
  </si>
  <si>
    <t>TOTAL DE VEÍCULOS</t>
  </si>
  <si>
    <t>Operação Semanal</t>
  </si>
  <si>
    <t>Operação Sabados</t>
  </si>
  <si>
    <t>Custo Total Administrativo</t>
  </si>
  <si>
    <t>Coordenador Técnico em TI</t>
  </si>
  <si>
    <t>Encargos Sociais e Trabalhistas</t>
  </si>
  <si>
    <t>Benefícios Trabalhistas</t>
  </si>
  <si>
    <r>
      <t xml:space="preserve">Carros
</t>
    </r>
    <r>
      <rPr>
        <sz val="8"/>
        <rFont val="Trebuchet MS"/>
        <family val="2"/>
      </rPr>
      <t>Necessários
SEMANA</t>
    </r>
  </si>
  <si>
    <r>
      <t xml:space="preserve">Carros
</t>
    </r>
    <r>
      <rPr>
        <sz val="8"/>
        <rFont val="Trebuchet MS"/>
        <family val="2"/>
      </rPr>
      <t>Necessários
SABADO</t>
    </r>
  </si>
  <si>
    <r>
      <t xml:space="preserve">Carros
</t>
    </r>
    <r>
      <rPr>
        <sz val="8"/>
        <rFont val="Trebuchet MS"/>
        <family val="2"/>
      </rPr>
      <t>Necessários
DOM / FER</t>
    </r>
  </si>
  <si>
    <t>VAGAS LIVRES</t>
  </si>
  <si>
    <t>PRÓPRIA</t>
  </si>
  <si>
    <t>Manut.
Feitas</t>
  </si>
  <si>
    <t>--</t>
  </si>
  <si>
    <t>Dif.</t>
  </si>
  <si>
    <t>SIM</t>
  </si>
  <si>
    <t>NÃO</t>
  </si>
  <si>
    <t>POSSUI PORTA 
APD E ELEVADOR</t>
  </si>
  <si>
    <t>POSSUI AR CONDICIONADO 
OU CLIMATIZADO</t>
  </si>
  <si>
    <t>POSSUI SIST. DE ÁUDIO E/OU VIDEO</t>
  </si>
  <si>
    <t>POSSUI 
CONEXÃO WI-FI</t>
  </si>
  <si>
    <t>Atende PERFIL 
DA LINHA?</t>
  </si>
  <si>
    <t>OPCIONAL 2</t>
  </si>
  <si>
    <t>OPCIONAL 3</t>
  </si>
  <si>
    <t>OPCIONAL 4</t>
  </si>
  <si>
    <t>População Total da Cidade</t>
  </si>
  <si>
    <t>PERFIL SOLICITADO</t>
  </si>
  <si>
    <t>SEGUNDA POSSIBILIDADE</t>
  </si>
  <si>
    <t>TERCEIRA POSSIBILIDADE</t>
  </si>
  <si>
    <t>Pessoas por dia 
na semana</t>
  </si>
  <si>
    <t>Pessoas por dia 
aos sabados</t>
  </si>
  <si>
    <t>Custos com Estrutura da Garagem</t>
  </si>
  <si>
    <t>Endereço Garagem</t>
  </si>
  <si>
    <r>
      <t xml:space="preserve">Sugestão de Carros 
</t>
    </r>
    <r>
      <rPr>
        <sz val="7"/>
        <rFont val="Trebuchet MS"/>
        <family val="2"/>
      </rPr>
      <t>Reserva</t>
    </r>
  </si>
  <si>
    <t>EMPRESÁRIO</t>
  </si>
  <si>
    <t>VALOR POR PASSAGEIRO</t>
  </si>
  <si>
    <r>
      <rPr>
        <sz val="8"/>
        <rFont val="Trebuchet MS"/>
        <family val="2"/>
      </rPr>
      <t>Total de Carros</t>
    </r>
    <r>
      <rPr>
        <sz val="10"/>
        <rFont val="Trebuchet MS"/>
        <family val="2"/>
      </rPr>
      <t xml:space="preserve"> Semana</t>
    </r>
  </si>
  <si>
    <t>% que representa na demanda com todos rodando</t>
  </si>
  <si>
    <t>Técnico Eletrônico</t>
  </si>
  <si>
    <t>População por linha</t>
  </si>
  <si>
    <t>sabados</t>
  </si>
  <si>
    <t>dom e fer</t>
  </si>
  <si>
    <t>Pessoas Transportadas 
por dia</t>
  </si>
  <si>
    <t>Motorista (Categoria D) com função Cobrador</t>
  </si>
  <si>
    <t>7h20</t>
  </si>
  <si>
    <t>Carga Horária Diária(h)</t>
  </si>
  <si>
    <t>Dia</t>
  </si>
  <si>
    <t>Sab</t>
  </si>
  <si>
    <t>dom</t>
  </si>
  <si>
    <t>SEMANA</t>
  </si>
  <si>
    <t>SABADO</t>
  </si>
  <si>
    <t>DOM/FER</t>
  </si>
  <si>
    <t>PONTO FINAL</t>
  </si>
  <si>
    <t>PONTO INICIAL</t>
  </si>
  <si>
    <t>PERFIL VEÍCULO</t>
  </si>
  <si>
    <t>Capacidade
de Transporte</t>
  </si>
  <si>
    <t>Urbano</t>
  </si>
  <si>
    <t>LOTE</t>
  </si>
  <si>
    <t xml:space="preserve">Horas Extras Equipe de Rua </t>
  </si>
  <si>
    <t>1 manut. por mês</t>
  </si>
  <si>
    <t>MANUTENÇÕES
 ESCOLHIDAS</t>
  </si>
  <si>
    <t>Necessidade de carros reservas de acordo com as manutenções escolhidas</t>
  </si>
  <si>
    <t>DEFINA A MANUTENÇÃO</t>
  </si>
  <si>
    <t>Manutenções feitas nos carros da linha</t>
  </si>
  <si>
    <t>Qtde carros
Solicitada pela AETURB</t>
  </si>
  <si>
    <t>Total de Carros colocados pelo gestor para a linha</t>
  </si>
  <si>
    <t>DATA DO DIA DE HOJE</t>
  </si>
  <si>
    <t>DEFINA AS ESCALAS DE 
MANUTENÇÃO e OPERAÇÃO</t>
  </si>
  <si>
    <t>DIAS ÚTEIS</t>
  </si>
  <si>
    <t>SABADOS</t>
  </si>
  <si>
    <t>DOMINGOS</t>
  </si>
  <si>
    <t>Receita Total(com $$ pelos acessórios)</t>
  </si>
  <si>
    <t>APD</t>
  </si>
  <si>
    <t>CLIMATIZAÇÃO</t>
  </si>
  <si>
    <t>SOM/VÍDEO</t>
  </si>
  <si>
    <t>CONECTIVIDADE</t>
  </si>
  <si>
    <t>Receita Total pela colocação de Acessórios</t>
  </si>
  <si>
    <t>Total de Receitas</t>
  </si>
  <si>
    <t>REMUNERAÇÃO TOTAL</t>
  </si>
  <si>
    <t>PESSOAS TRANSP. DIAS ÚTEIS</t>
  </si>
  <si>
    <t>PESSOAS TRANSP. SABADOS</t>
  </si>
  <si>
    <t>PESSOAS TRANSP. DOM e FER</t>
  </si>
  <si>
    <t>PESSOAS AO MÊS</t>
  </si>
  <si>
    <t>Dias trabalhados em operação para cada carro</t>
  </si>
  <si>
    <t>MBB</t>
  </si>
  <si>
    <t>VW</t>
  </si>
  <si>
    <t>Scania</t>
  </si>
  <si>
    <t>Volvo</t>
  </si>
  <si>
    <t>Agrale</t>
  </si>
  <si>
    <t>Iveco</t>
  </si>
  <si>
    <t>Percentual Final de Manutenção</t>
  </si>
  <si>
    <t>Chassis</t>
  </si>
  <si>
    <t>VW-Man</t>
  </si>
  <si>
    <t>fator 5</t>
  </si>
  <si>
    <t>fator 6</t>
  </si>
  <si>
    <t>fator 7</t>
  </si>
  <si>
    <t>2 manut. por mês</t>
  </si>
  <si>
    <t>7 manut. por mês</t>
  </si>
  <si>
    <t>6 manut. por mês</t>
  </si>
  <si>
    <t>5 manut. por mês</t>
  </si>
  <si>
    <t>4 manut. por mês</t>
  </si>
  <si>
    <t>3 manut. por mês</t>
  </si>
  <si>
    <t>Linha em Operação 
no mês</t>
  </si>
  <si>
    <t>Endereço</t>
  </si>
  <si>
    <t>E</t>
  </si>
  <si>
    <t>SELETIVO</t>
  </si>
  <si>
    <t>NORMAL</t>
  </si>
  <si>
    <t>Receita Por Linha</t>
  </si>
  <si>
    <t>FATOR MULTIPLICAÇÃO</t>
  </si>
  <si>
    <t>POPULAÇÃO QUE UTILIZARÁ O SISTEMA</t>
  </si>
  <si>
    <t>D</t>
  </si>
  <si>
    <t>C</t>
  </si>
  <si>
    <t>B</t>
  </si>
  <si>
    <t>A</t>
  </si>
  <si>
    <t>AA</t>
  </si>
  <si>
    <t>AAA</t>
  </si>
  <si>
    <t>Aumento de Usuários</t>
  </si>
  <si>
    <t>Status de carros 
operando em dias úteis</t>
  </si>
  <si>
    <t>Investimentos em Patrimônio Humano</t>
  </si>
  <si>
    <t>Economia com Investimento em Patrimônio Humano</t>
  </si>
  <si>
    <t>Custos com a Frota
(com a Economia)</t>
  </si>
  <si>
    <t>Custos com a Frota
(sem a Economia)</t>
  </si>
  <si>
    <t>Saldo a ser Depositado
(Receitas Livre)</t>
  </si>
  <si>
    <t>Convênio Médico</t>
  </si>
  <si>
    <t>Com a opção, o valor investido ao mês é de:</t>
  </si>
  <si>
    <t>Percentual de Melhoria no Comprometimento 
da Equipe de Acordo com Satisfação no Ítem</t>
  </si>
  <si>
    <t>% alcançado para melhoria na empresa</t>
  </si>
  <si>
    <t>Selecione o Vlr.</t>
  </si>
  <si>
    <t>VR Benefício Refeição</t>
  </si>
  <si>
    <t>VR Benefício Alimentação</t>
  </si>
  <si>
    <t>Treinamento Equipe Manutenção</t>
  </si>
  <si>
    <t>Treinamento Equipe Administrativo</t>
  </si>
  <si>
    <t>Implantação de Central de Atendimento</t>
  </si>
  <si>
    <t>Implementação de Mídias Sociais</t>
  </si>
  <si>
    <t>Treinamento CIPA</t>
  </si>
  <si>
    <t>Investimento em Ação Social</t>
  </si>
  <si>
    <t>Conv. Médico</t>
  </si>
  <si>
    <t>VR Refeição</t>
  </si>
  <si>
    <t>VR Alimentação</t>
  </si>
  <si>
    <t>Investimento Humano</t>
  </si>
  <si>
    <t>Treinamento Manutenção</t>
  </si>
  <si>
    <t>Caso opte pelo investimento, Selecione abaixo o valor indicado por Colaborador</t>
  </si>
  <si>
    <t>Central de Atendimento</t>
  </si>
  <si>
    <t>2 pessoas</t>
  </si>
  <si>
    <t>4 pessoas</t>
  </si>
  <si>
    <t>6 pessoas</t>
  </si>
  <si>
    <t>Mídias Sociais</t>
  </si>
  <si>
    <t>Pagina Internet</t>
  </si>
  <si>
    <t>Pagina e Facebook</t>
  </si>
  <si>
    <t>Pagina, Facebook, Ytube, Instagram e Tweeter</t>
  </si>
  <si>
    <t>Investimento em Confraternizações para Colaboradores</t>
  </si>
  <si>
    <t>Confraternização</t>
  </si>
  <si>
    <t>Digite aqui o valor que será investido na confraternização do mês</t>
  </si>
  <si>
    <t>Quanto será Investido?</t>
  </si>
  <si>
    <t>Treinamento para Motoristas - Direção Defensiva, 
Relacionamento com Passageiros</t>
  </si>
  <si>
    <t>Treinamento para Cobradores e Fiscais - 
Verificação do Veículo, Relacionamento com Passageiros</t>
  </si>
  <si>
    <t>Treinamento Administrativo</t>
  </si>
  <si>
    <t>2 dias</t>
  </si>
  <si>
    <t>3 dias</t>
  </si>
  <si>
    <t>5 dias</t>
  </si>
  <si>
    <t>7 dias</t>
  </si>
  <si>
    <t>10 dias</t>
  </si>
  <si>
    <t>14 dias</t>
  </si>
  <si>
    <t>Invstimento em Ação Social</t>
  </si>
  <si>
    <t>Ação de Grande Impacto</t>
  </si>
  <si>
    <t>Ação de Médio Impacto</t>
  </si>
  <si>
    <t>Ação de Pequeno Impacto</t>
  </si>
  <si>
    <t>Pequena Doação Mensal</t>
  </si>
  <si>
    <t>Média Doação mensal</t>
  </si>
  <si>
    <t>Grande Doação Mensal</t>
  </si>
  <si>
    <t>Treinamento Motorista</t>
  </si>
  <si>
    <t>Treinamento Cobradores</t>
  </si>
  <si>
    <t>PROGRAMA DE INCENTIVO E 
MELHORIAS PARA COLABORADORES</t>
  </si>
  <si>
    <t/>
  </si>
  <si>
    <t>13º Salario</t>
  </si>
  <si>
    <t>Férias Proporcionais</t>
  </si>
  <si>
    <t>Recolhimento de FGTS</t>
  </si>
  <si>
    <t>019</t>
  </si>
  <si>
    <t>Custos com Mensalidade de Internet nos Carros</t>
  </si>
  <si>
    <t>Usuários do sistema no Mês</t>
  </si>
  <si>
    <t>Sua empresa possui:</t>
  </si>
  <si>
    <t>VALOR PAGO POR IDADE MÉDIA</t>
  </si>
  <si>
    <t>VALOR PAGO POR ANO DE CARRO</t>
  </si>
  <si>
    <t>D-E-F-I-N-A !!!!!!!</t>
  </si>
  <si>
    <t>Opto por Idade Média</t>
  </si>
  <si>
    <t>Opto pelo Valor aplicado ao  Ano de cada Carro</t>
  </si>
  <si>
    <t>URBANOS</t>
  </si>
  <si>
    <t>SELETIVOS</t>
  </si>
  <si>
    <t>A idade média da sua 
frota nesse lote é</t>
  </si>
  <si>
    <r>
      <t xml:space="preserve">Com isso, qual sua opção? 
</t>
    </r>
    <r>
      <rPr>
        <b/>
        <sz val="20"/>
        <color theme="0"/>
        <rFont val="Arial"/>
        <family val="2"/>
      </rPr>
      <t>CLIQUE abaixo:</t>
    </r>
  </si>
  <si>
    <t>Valor da Passagem Urbana aos usuários</t>
  </si>
  <si>
    <t>Valor  Serviço Seletivo  aos usuários</t>
  </si>
  <si>
    <t>Semi-Urbano</t>
  </si>
  <si>
    <t>Semi-urbano</t>
  </si>
  <si>
    <t>DIAS DA SEMANA</t>
  </si>
  <si>
    <t>DOMINGOS E FERIADOS</t>
  </si>
  <si>
    <t>DEMANDA</t>
  </si>
  <si>
    <t>CARROS</t>
  </si>
  <si>
    <t>MÉDIA DE PASSAGEIROS 
por CARRO por dia</t>
  </si>
  <si>
    <t>combustivel</t>
  </si>
  <si>
    <t>km total</t>
  </si>
  <si>
    <t>litros de diesel</t>
  </si>
  <si>
    <t xml:space="preserve">custo de combustivel </t>
  </si>
  <si>
    <t>km rodado</t>
  </si>
  <si>
    <t>km rodada em dias de semana</t>
  </si>
  <si>
    <t>por dia</t>
  </si>
  <si>
    <t>com 10 viagens</t>
  </si>
  <si>
    <t>3 km litro</t>
  </si>
  <si>
    <t>mês da linha</t>
  </si>
  <si>
    <t>total de litros utilizados</t>
  </si>
  <si>
    <t>litros</t>
  </si>
  <si>
    <t>valr comb</t>
  </si>
  <si>
    <t>percentual</t>
  </si>
  <si>
    <t>km rodada em dias de sabado</t>
  </si>
  <si>
    <t>km rodada em domingos e feriados</t>
  </si>
  <si>
    <t>Nº de Funcionários
Disponibilizados</t>
  </si>
  <si>
    <t>Nº Ideal pela 
frota da empresa</t>
  </si>
  <si>
    <t>Gerente Geral</t>
  </si>
  <si>
    <t>Supervisão</t>
  </si>
  <si>
    <t>Supervisor Operacional</t>
  </si>
  <si>
    <t>Supervisor de Manutenção</t>
  </si>
  <si>
    <t>Supervisor Administrativo</t>
  </si>
  <si>
    <t>Auxiliar de Limpeza Predial</t>
  </si>
  <si>
    <t>Auxiliar Limpeza Veículos</t>
  </si>
  <si>
    <t>Estagiário/Menor Prendiz - Manutenção</t>
  </si>
  <si>
    <t>Estagiário/Menor Prendiz - Administrativo</t>
  </si>
  <si>
    <t>Quando o Percentual está acima de 35%, 
Atinge necessidade de Manutenção</t>
  </si>
  <si>
    <t>(Receitas Livre)</t>
  </si>
  <si>
    <t>$ correspondente ao gasto com manutenção preventiva/corretiva</t>
  </si>
  <si>
    <t>km rodada no mês</t>
  </si>
  <si>
    <t>FATOR DIVISOR</t>
  </si>
  <si>
    <t>População que 
utilizou o sistema</t>
  </si>
  <si>
    <t xml:space="preserve"> POSSUI 
CONEXÃO WI-FI </t>
  </si>
  <si>
    <t>VERSÃO</t>
  </si>
  <si>
    <t>Caio</t>
  </si>
  <si>
    <t>BepoBus</t>
  </si>
  <si>
    <t>Neobus</t>
  </si>
  <si>
    <t>Comil</t>
  </si>
  <si>
    <t>Informe Percentual 
 do Mês Anterior</t>
  </si>
  <si>
    <t>Mascarello</t>
  </si>
  <si>
    <t>AMD</t>
  </si>
  <si>
    <t>EMPRESA POSSUI CERTIFICADO DE TREINAMENTOS?</t>
  </si>
  <si>
    <t>Carrocerias</t>
  </si>
  <si>
    <t>Necessidade de Manutenções</t>
  </si>
  <si>
    <t xml:space="preserve"> no mês de </t>
  </si>
  <si>
    <t>Isso é decorrente da satisfação da população. 
Porém, dê uma atenção ao quadro de colaboradores...Talvez haja sobrecarga de serviços por ter menos pessoas do que as indicadas como necessárias....
Esse percentual acima de 100% se dá quando a população prefere  utilizar o transporte público a utilizar carros, taxi ou serviços de aplicativos, por exemplo. 
A população está contente com o serviço que sua empresa presta. 
Mas atente-se a nossa dica sobre cuidar dos colaboradores....</t>
  </si>
  <si>
    <t>Isso é decorrente da satisfação da população. 
Pode ser por não gostarem da frota que sua empresa possui, 
por não terem acesso a Internet, por não acharem justo motorista com dupla função, etc.
São detalhes que influenciam nessa demanda. Por isso, é importante a gestão presente nas manutenções, na criação de empregos, na melhoria do atendimento.
Essa é a nossa sugestão para melhoria na empresa...</t>
  </si>
  <si>
    <t>Isso é decorrente da satisfação da população.
A população não anda muito contente com a operação de sua empresa, 
mas você pode melhorar esse percentual trabalhando melhor a gestão da empresa, 
colocando acessórios, melhorando os investimentos na equipe da empresa. Talvez seja interessante observar se colaboradores não andam estressados por dupla função...Investigue, melhore seus processos! Boa sorte...</t>
  </si>
  <si>
    <t>Higiene e Limpeza da Garagem e dos processos de Manutenção</t>
  </si>
  <si>
    <t>Sugeridos</t>
  </si>
  <si>
    <t>Disponibilizados</t>
  </si>
  <si>
    <t>CERTIF. DE CHASSIS</t>
  </si>
  <si>
    <t>CERT. de CARROCERIAS</t>
  </si>
  <si>
    <t>---</t>
  </si>
  <si>
    <t>1 - TURQUESA</t>
  </si>
  <si>
    <t>2 - SAFIRA</t>
  </si>
  <si>
    <t>3 - OPALA</t>
  </si>
  <si>
    <t>4 - TURMALINA</t>
  </si>
  <si>
    <t>5 - ESMERALDA</t>
  </si>
  <si>
    <t>6 - RUBI</t>
  </si>
  <si>
    <t>7 - DIAMANTE</t>
  </si>
  <si>
    <t>Isso é decorrente da satisfação da população.
Esse percentual acima se dá quando a população prefere 
utilizar o transporte público à utilização de carros ou de taxi, serviços de aplicativos, por exemplo. 
A população está muito contente com o serviço que sua empresa presta e com a preocupação que ela tem com quadro de funcionários! 
Deve ter muita gente querendo entrar nela para trabalhar!!!!!!
Continue com essa jornada e parabéns pelo atendimento!</t>
  </si>
  <si>
    <t>VL COMBUST</t>
  </si>
  <si>
    <t>Av. Plinio Macedo, 1223 - Jd. Catalão - Barcelona</t>
  </si>
  <si>
    <t>Rua Baltazar Carlos Modenes, 225 - Jd. Savério - Barcelona</t>
  </si>
  <si>
    <t>Rua Guilherme Serafim, 454 - Jd. Estácio - Barcelona</t>
  </si>
  <si>
    <t>Rua Ernesto Farias, 256 - Jd. Industrial - Yporanga</t>
  </si>
  <si>
    <t>Rua dos Transportes, 2331 - Jd. Mariana - Esmeralda</t>
  </si>
  <si>
    <t>Av. Geraldo Antunes, 435 - Jd. D'Avila - Esmeralda</t>
  </si>
  <si>
    <t>Rua Sérgio Alves, 557 - Jd. Dolores - Esmeralda</t>
  </si>
  <si>
    <t>Rua Altamira Fagundes, 321 - Jd. Popular - Esmeralda</t>
  </si>
  <si>
    <t>Rua Moisés Franco, 1150 - Jd. Analice - Tupinambá</t>
  </si>
  <si>
    <t>OBRIGATÓRIO 1</t>
  </si>
  <si>
    <t>Linha 1</t>
  </si>
  <si>
    <t>Linha 2</t>
  </si>
  <si>
    <t>Linha 3</t>
  </si>
  <si>
    <t>Linha 4</t>
  </si>
  <si>
    <t>Linha 5</t>
  </si>
  <si>
    <t>Linha 6</t>
  </si>
  <si>
    <t>Linha 7</t>
  </si>
  <si>
    <t>Linha 8</t>
  </si>
  <si>
    <t>Linha 9</t>
  </si>
  <si>
    <t>Linha 10</t>
  </si>
  <si>
    <t>Linha 11</t>
  </si>
  <si>
    <t>Linha 12</t>
  </si>
  <si>
    <t>Linha 13</t>
  </si>
  <si>
    <t>Linha 14</t>
  </si>
  <si>
    <t>Linha 15</t>
  </si>
  <si>
    <t>Linha 16</t>
  </si>
  <si>
    <t>RS GROUP</t>
  </si>
  <si>
    <t>Rildo Gois</t>
  </si>
  <si>
    <t>PEDRANTE</t>
  </si>
  <si>
    <t>PDT 078</t>
  </si>
  <si>
    <t>JD. DOS PINHEIROS</t>
  </si>
  <si>
    <t>PARQUE PIRAJUSSARA</t>
  </si>
  <si>
    <t>PDT 079</t>
  </si>
  <si>
    <t>JARDIM SÃO JUDAS</t>
  </si>
  <si>
    <t>PDT 090</t>
  </si>
  <si>
    <t>JARDIM SANTA TEREZA</t>
  </si>
  <si>
    <t>PDT 190</t>
  </si>
  <si>
    <t>JD. CONCEIÇÃO</t>
  </si>
  <si>
    <t>PDT 525</t>
  </si>
  <si>
    <t>PEDRANTE - Term. Rodoviário</t>
  </si>
  <si>
    <t>PARQUE NOVA ESPERANÇA</t>
  </si>
  <si>
    <t>PDT 272</t>
  </si>
  <si>
    <t>JARDIM CASA BRANCA</t>
  </si>
  <si>
    <t>PDT 459</t>
  </si>
  <si>
    <t>VILA ITAIM</t>
  </si>
  <si>
    <t>PDT 029</t>
  </si>
  <si>
    <t>JD. MONTE ALEGRE</t>
  </si>
  <si>
    <t>PDT 124</t>
  </si>
  <si>
    <t>HOSPITAL DAS CLINICAS</t>
  </si>
  <si>
    <t>JARDIM SANTO EDUARDO</t>
  </si>
  <si>
    <t>PDT 510</t>
  </si>
  <si>
    <t>JARDIM VAZAME</t>
  </si>
  <si>
    <t>PDT 125</t>
  </si>
  <si>
    <t>JARDIM SÃO MARCOS</t>
  </si>
  <si>
    <t>Nova Xingu</t>
  </si>
  <si>
    <t>PADRE ANCHIETA</t>
  </si>
  <si>
    <t>Sabará do Sul</t>
  </si>
  <si>
    <t>Leopoldina</t>
  </si>
  <si>
    <t>PEDROSO</t>
  </si>
  <si>
    <t>CAMPO VERDE</t>
  </si>
  <si>
    <t>CANAVIAIS</t>
  </si>
  <si>
    <t>PEDRA NOVA</t>
  </si>
  <si>
    <t>FLORILÂNDIA</t>
  </si>
  <si>
    <t>SANTA MARTA</t>
  </si>
  <si>
    <t>Amigos Unidos</t>
  </si>
  <si>
    <t>Andre Vinicius</t>
  </si>
  <si>
    <t>NX 165</t>
  </si>
  <si>
    <t>Circular Centro</t>
  </si>
  <si>
    <t>Jd. Beatriz</t>
  </si>
  <si>
    <t>NX 160</t>
  </si>
  <si>
    <t>Jd. Maneco</t>
  </si>
  <si>
    <t>Term. Centro</t>
  </si>
  <si>
    <t>NX 150</t>
  </si>
  <si>
    <t>Vila Industrial</t>
  </si>
  <si>
    <t>Pque. Ibira</t>
  </si>
  <si>
    <t>NX 155</t>
  </si>
  <si>
    <t>NX 180</t>
  </si>
  <si>
    <t>Jd. Doria</t>
  </si>
  <si>
    <t>NX 170</t>
  </si>
  <si>
    <t>Jd. Tania</t>
  </si>
  <si>
    <t>Vila dos Portugueses</t>
  </si>
  <si>
    <t>NX 175</t>
  </si>
  <si>
    <t>Jd. Thomaz</t>
  </si>
  <si>
    <t>TORRES</t>
  </si>
  <si>
    <t>Edinei Torres</t>
  </si>
  <si>
    <t>PA 185</t>
  </si>
  <si>
    <t>Jd. Felicio</t>
  </si>
  <si>
    <t>PA 190</t>
  </si>
  <si>
    <t>Jd. Oratório</t>
  </si>
  <si>
    <t>PA 195</t>
  </si>
  <si>
    <t>Jd. Da Luz</t>
  </si>
  <si>
    <t>PA 200</t>
  </si>
  <si>
    <t>Vila dos Padres</t>
  </si>
  <si>
    <t>PA 205</t>
  </si>
  <si>
    <t>Jd. São Salvador</t>
  </si>
  <si>
    <t>PA 210</t>
  </si>
  <si>
    <t>Vila Carmosina</t>
  </si>
  <si>
    <t>Jd. Hamburguesa</t>
  </si>
  <si>
    <t>PA 215</t>
  </si>
  <si>
    <t>Jd. Da Felicidade</t>
  </si>
  <si>
    <t>Estações</t>
  </si>
  <si>
    <t>RECORD</t>
  </si>
  <si>
    <t>Rafael Carlos</t>
  </si>
  <si>
    <t>SS 018</t>
  </si>
  <si>
    <t>Várzea</t>
  </si>
  <si>
    <t xml:space="preserve"> Praça XII</t>
  </si>
  <si>
    <t>SS 021</t>
  </si>
  <si>
    <t>Jardim das Flores</t>
  </si>
  <si>
    <t>Morada da Serra via Centro</t>
  </si>
  <si>
    <t>SS 030</t>
  </si>
  <si>
    <t>Circular Sabará do Sul A</t>
  </si>
  <si>
    <t>Centro</t>
  </si>
  <si>
    <t>SS 033</t>
  </si>
  <si>
    <t>Circular Sabará do Sul B</t>
  </si>
  <si>
    <t>SS 003</t>
  </si>
  <si>
    <t xml:space="preserve">Nova Florilândia / Sabarasinho </t>
  </si>
  <si>
    <t>Rodoviária</t>
  </si>
  <si>
    <t>SS 006</t>
  </si>
  <si>
    <t>Divisa Barra das Pedras (Ypiranga)</t>
  </si>
  <si>
    <t>SS 009</t>
  </si>
  <si>
    <t>Parque Cuiabá</t>
  </si>
  <si>
    <t>Rodoviária via Centro</t>
  </si>
  <si>
    <t>SS 012</t>
  </si>
  <si>
    <t>Icaraí</t>
  </si>
  <si>
    <t>Bom Jesus</t>
  </si>
  <si>
    <t>SS 015</t>
  </si>
  <si>
    <t>Vila Suzana</t>
  </si>
  <si>
    <t>Centro via Mandarins</t>
  </si>
  <si>
    <t>SS 024</t>
  </si>
  <si>
    <t>Cachoeira via Emboabas</t>
  </si>
  <si>
    <t>SS 027</t>
  </si>
  <si>
    <t>Distrito Industrial</t>
  </si>
  <si>
    <t>Icaraí via Centro</t>
  </si>
  <si>
    <t>L 115</t>
  </si>
  <si>
    <t>Jd. Das Aves</t>
  </si>
  <si>
    <t>Vila do Correio</t>
  </si>
  <si>
    <t>L 120</t>
  </si>
  <si>
    <t>Padre Gualberto</t>
  </si>
  <si>
    <t>L 125</t>
  </si>
  <si>
    <t>Jd. São Valério</t>
  </si>
  <si>
    <t>L 130</t>
  </si>
  <si>
    <t>Santa Amalia</t>
  </si>
  <si>
    <t>L 135</t>
  </si>
  <si>
    <t>Distrito I</t>
  </si>
  <si>
    <t>Vila dos Bancários</t>
  </si>
  <si>
    <t>L 140</t>
  </si>
  <si>
    <t>Distrito II</t>
  </si>
  <si>
    <t>Sete Lagos</t>
  </si>
  <si>
    <t>L 145</t>
  </si>
  <si>
    <t>Jd. Campestre</t>
  </si>
  <si>
    <t>REBES</t>
  </si>
  <si>
    <t>Thales Rebes</t>
  </si>
  <si>
    <t>P 110</t>
  </si>
  <si>
    <t>Jd. Selma</t>
  </si>
  <si>
    <t>Via Gustavo</t>
  </si>
  <si>
    <t>P 115</t>
  </si>
  <si>
    <t>Sete Irmãos</t>
  </si>
  <si>
    <t>Term. Rodoviário</t>
  </si>
  <si>
    <t>P 120</t>
  </si>
  <si>
    <t>Pque. Das Nações</t>
  </si>
  <si>
    <t>P 125</t>
  </si>
  <si>
    <t>P 130</t>
  </si>
  <si>
    <t>Quadra Nova</t>
  </si>
  <si>
    <t>P 135</t>
  </si>
  <si>
    <t>Vila Nova</t>
  </si>
  <si>
    <t>P 140</t>
  </si>
  <si>
    <t>Circular Norte</t>
  </si>
  <si>
    <t>Rildo Souza</t>
  </si>
  <si>
    <t>CVD 365</t>
  </si>
  <si>
    <t>Jd. Galvão</t>
  </si>
  <si>
    <t>Terminal Caxias</t>
  </si>
  <si>
    <t>CVD 415</t>
  </si>
  <si>
    <t>Guacyra</t>
  </si>
  <si>
    <t>CVD 420</t>
  </si>
  <si>
    <t>Jd. Celeste</t>
  </si>
  <si>
    <t>CVD 370</t>
  </si>
  <si>
    <t>Jd. Pazanese</t>
  </si>
  <si>
    <t>CVD 400</t>
  </si>
  <si>
    <t>Jd. Do Prado</t>
  </si>
  <si>
    <t>CVD 375</t>
  </si>
  <si>
    <t>Vila do Chocolate</t>
  </si>
  <si>
    <t>CVD 405</t>
  </si>
  <si>
    <t>CVD 410</t>
  </si>
  <si>
    <t>CVD 380</t>
  </si>
  <si>
    <t>Vila dos Bombeiros</t>
  </si>
  <si>
    <t>CVD 385</t>
  </si>
  <si>
    <t>CVD 390</t>
  </si>
  <si>
    <t>Prefeitura</t>
  </si>
  <si>
    <t>CVD 395</t>
  </si>
  <si>
    <t>Hospital Central</t>
  </si>
  <si>
    <t>CVD 425</t>
  </si>
  <si>
    <t>CVD 430</t>
  </si>
  <si>
    <t>REBEX</t>
  </si>
  <si>
    <t>CV 216</t>
  </si>
  <si>
    <t>Jd. Antenor</t>
  </si>
  <si>
    <t>Guaraciba</t>
  </si>
  <si>
    <t>CV 217</t>
  </si>
  <si>
    <t>CV 223</t>
  </si>
  <si>
    <t>Santo Albertino</t>
  </si>
  <si>
    <t>Circular Entorno</t>
  </si>
  <si>
    <t>CV 218</t>
  </si>
  <si>
    <t>Vila São José</t>
  </si>
  <si>
    <t>CV 219</t>
  </si>
  <si>
    <t>Padre Muilaerte</t>
  </si>
  <si>
    <t>CV 220</t>
  </si>
  <si>
    <t>Vila Galvão</t>
  </si>
  <si>
    <t>Jd. Centenário</t>
  </si>
  <si>
    <t>CV 221</t>
  </si>
  <si>
    <t>CV 222</t>
  </si>
  <si>
    <t>PDN 003</t>
  </si>
  <si>
    <t>Circular 1</t>
  </si>
  <si>
    <t>Centro Norte</t>
  </si>
  <si>
    <t>PDN 004</t>
  </si>
  <si>
    <t>Circular 2</t>
  </si>
  <si>
    <t>Centro Sul/Terminal</t>
  </si>
  <si>
    <t>PDN 032</t>
  </si>
  <si>
    <t xml:space="preserve">Porto Guarabira </t>
  </si>
  <si>
    <t>Vila Militar</t>
  </si>
  <si>
    <t>PDN 033</t>
  </si>
  <si>
    <t>Circular 5</t>
  </si>
  <si>
    <t>Vila de Oficiais</t>
  </si>
  <si>
    <t>PDN 002</t>
  </si>
  <si>
    <t>Fazenda Mineiros</t>
  </si>
  <si>
    <t>Jardim Catarina Via Alcântara</t>
  </si>
  <si>
    <t>PDN 013</t>
  </si>
  <si>
    <t xml:space="preserve">SGT Roncali </t>
  </si>
  <si>
    <t>Tenorio I</t>
  </si>
  <si>
    <t>PDN 021</t>
  </si>
  <si>
    <t xml:space="preserve">Alcântara </t>
  </si>
  <si>
    <t>Jardim Catarina</t>
  </si>
  <si>
    <t>PDN 001</t>
  </si>
  <si>
    <t>Trindade</t>
  </si>
  <si>
    <t>PDN 011</t>
  </si>
  <si>
    <t xml:space="preserve">Cidade Nova </t>
  </si>
  <si>
    <t>Tenente Jardim</t>
  </si>
  <si>
    <t>PDN 012</t>
  </si>
  <si>
    <t xml:space="preserve">Tenente Jardim </t>
  </si>
  <si>
    <t>Batalhão Carlos Camisão</t>
  </si>
  <si>
    <t>PDN 014</t>
  </si>
  <si>
    <t xml:space="preserve">Almirante Barroso </t>
  </si>
  <si>
    <t>Cidade Nova</t>
  </si>
  <si>
    <t>PDN 024</t>
  </si>
  <si>
    <t xml:space="preserve">Jardim Tenoné </t>
  </si>
  <si>
    <t>PDN 031</t>
  </si>
  <si>
    <t xml:space="preserve">Praia da Brisa </t>
  </si>
  <si>
    <t>PDN 034</t>
  </si>
  <si>
    <t xml:space="preserve">Prefeitura </t>
  </si>
  <si>
    <t>Comércio x Terminal</t>
  </si>
  <si>
    <t>PDN 022</t>
  </si>
  <si>
    <t>Circular 3</t>
  </si>
  <si>
    <t>Alcântara I</t>
  </si>
  <si>
    <t>PDN 023</t>
  </si>
  <si>
    <t>Circular 4</t>
  </si>
  <si>
    <t>Jockey</t>
  </si>
  <si>
    <t>FL 001</t>
  </si>
  <si>
    <t>Term. Jd. São Caetano</t>
  </si>
  <si>
    <t>FL 002</t>
  </si>
  <si>
    <t>Term. Prestes Maia</t>
  </si>
  <si>
    <t>FL 003</t>
  </si>
  <si>
    <t>Term. Oswaldo Cruz</t>
  </si>
  <si>
    <t>FL 004</t>
  </si>
  <si>
    <t>Nova Barcelona</t>
  </si>
  <si>
    <t>FL 005</t>
  </si>
  <si>
    <t>Vila Jaú</t>
  </si>
  <si>
    <t>FL 006</t>
  </si>
  <si>
    <t>Vila Sônia</t>
  </si>
  <si>
    <t>FL 007</t>
  </si>
  <si>
    <t>Nova Gerti</t>
  </si>
  <si>
    <t>Santa Paula</t>
  </si>
  <si>
    <t>FL 008</t>
  </si>
  <si>
    <t>Vila Mendes</t>
  </si>
  <si>
    <t>FL 009</t>
  </si>
  <si>
    <t>Fundação</t>
  </si>
  <si>
    <t>Vila Santista</t>
  </si>
  <si>
    <t>FL 010</t>
  </si>
  <si>
    <t>FL 011</t>
  </si>
  <si>
    <t>Vila Cisper</t>
  </si>
  <si>
    <t>Príncipe de Gales</t>
  </si>
  <si>
    <t>FL 012</t>
  </si>
  <si>
    <t>FL 013</t>
  </si>
  <si>
    <t>Santa Maria</t>
  </si>
  <si>
    <t>FL 014</t>
  </si>
  <si>
    <t>FL 015</t>
  </si>
  <si>
    <t>Jd. Prestes Maia</t>
  </si>
  <si>
    <t>Vila Cocaia</t>
  </si>
  <si>
    <t>Av. Pedra Dourada, 153 - Centro - Pedrante</t>
  </si>
  <si>
    <t>Rua Paulo de Freitas, 771 - Vila Joaniza - Nova Xingu</t>
  </si>
  <si>
    <t>Travessa Campos Sales, 25 - Jd. Martinica - Padre Anchieta</t>
  </si>
  <si>
    <t>Avenida Cuiabá, 130 - Centro - Sabará do Sul</t>
  </si>
  <si>
    <t>Rua Mario de Ferraz, 767 - Jd. Consórcio - Leopoldina</t>
  </si>
  <si>
    <t>Avenida Sete, 321 - Vila dos Faróis - Pedroso</t>
  </si>
  <si>
    <t>Rua Fausto Marcondes, 337 - Jd. Taquaral - Campo Verde</t>
  </si>
  <si>
    <t>Rua Carlos Freder, 291 - JD Industrial - Canaviais</t>
  </si>
  <si>
    <t>Est. da Fazendinha, 456, - Vila Fazenda Mineiros - Pedra Nova</t>
  </si>
  <si>
    <t>Av. Caio de Castro, 3401 - Vila Suzana - Santa Marta</t>
  </si>
  <si>
    <t>Rua Alfredo Backer 536 - Vila das Pontes - Pontal Noroeste</t>
  </si>
  <si>
    <t>Av. Pedro Alvares Cabral, 221 - Cajueiro - Moinho Novo</t>
  </si>
  <si>
    <t>Av. Perimetral, s/n - Vila Caju - Borda do Campo</t>
  </si>
  <si>
    <t>Rua Brumadinho, 175 - Parque Rafael - Nova Fazenda</t>
  </si>
  <si>
    <t>Rua Severino Gutrikz, 216 - Centro  - Nova Fazenda</t>
  </si>
  <si>
    <t>Est. P /Campo Verde,km 010 - Planalto Central - Nova Fazenda</t>
  </si>
  <si>
    <t>Estrada dos Pomares, 2117 - Centro - Limoeiro</t>
  </si>
  <si>
    <t>Rua General Dantas, 354 - Jd. Balneário - Limoeiro</t>
  </si>
  <si>
    <t>Estrada dos Guapuravas, 1731 - Jd. Mercedes - Moinho Novo</t>
  </si>
  <si>
    <t>Rua dos Coveiros, 771 - Vila Duarte - Nova Fazenda</t>
  </si>
  <si>
    <t>Rua Santa Catarina, 155 - Jd. Dos Embuabas - Limoeiro</t>
  </si>
  <si>
    <t>Rua Padre Casimiro, 544 - Jd. Balneário - Limoeiro</t>
  </si>
  <si>
    <t>x</t>
  </si>
  <si>
    <t>SM 290</t>
  </si>
  <si>
    <t>SM 295</t>
  </si>
  <si>
    <t>SM 300</t>
  </si>
  <si>
    <t>SM 305</t>
  </si>
  <si>
    <t>SM 310</t>
  </si>
  <si>
    <t>SM 315</t>
  </si>
  <si>
    <t>Vila Friburguense</t>
  </si>
  <si>
    <t>Terminal Centro 1</t>
  </si>
  <si>
    <t>Jd. Central</t>
  </si>
  <si>
    <t>Cohab Jd. Gumercindo</t>
  </si>
  <si>
    <t>Vila Joaniza</t>
  </si>
  <si>
    <t>ROMANA</t>
  </si>
  <si>
    <t>CANDIDO ISIDORIO</t>
  </si>
  <si>
    <t>TAIACUPEBA</t>
  </si>
  <si>
    <t>SÃO LUCAS</t>
  </si>
  <si>
    <t>GRACIOSA</t>
  </si>
  <si>
    <t>SANTA IFIGÊNIA</t>
  </si>
  <si>
    <t>RONDON</t>
  </si>
  <si>
    <t>Jardim Flórida</t>
  </si>
  <si>
    <t>Jardim Romanos</t>
  </si>
  <si>
    <t>Estação Romana Centro</t>
  </si>
  <si>
    <t>Três Lagos</t>
  </si>
  <si>
    <t>Vila Polponae</t>
  </si>
  <si>
    <t>Cefri (via Prefeitura)</t>
  </si>
  <si>
    <t>Grenada</t>
  </si>
  <si>
    <t>Ferroviários</t>
  </si>
  <si>
    <t>Bairro dos Moreiras</t>
  </si>
  <si>
    <t>Vila Nova Romana</t>
  </si>
  <si>
    <t>Horto Florestal (circular)</t>
  </si>
  <si>
    <t>Via Estação Centro</t>
  </si>
  <si>
    <t>Esplanada (circular)</t>
  </si>
  <si>
    <t>Via Estação Centro / Sta Casa</t>
  </si>
  <si>
    <t>Vila Nova Romana (circular)</t>
  </si>
  <si>
    <t>Via Estação Centro / Rodovia</t>
  </si>
  <si>
    <t>R01</t>
  </si>
  <si>
    <t>R02</t>
  </si>
  <si>
    <t>R03</t>
  </si>
  <si>
    <t>R04</t>
  </si>
  <si>
    <t>R05</t>
  </si>
  <si>
    <t>R06</t>
  </si>
  <si>
    <t>R07</t>
  </si>
  <si>
    <t>R08</t>
  </si>
  <si>
    <t>R09</t>
  </si>
  <si>
    <t>R10</t>
  </si>
  <si>
    <t>R11</t>
  </si>
  <si>
    <t>R12</t>
  </si>
  <si>
    <t>CI 012</t>
  </si>
  <si>
    <t>CI 033</t>
  </si>
  <si>
    <t>CI 047</t>
  </si>
  <si>
    <t>CI 051</t>
  </si>
  <si>
    <t>CI 058</t>
  </si>
  <si>
    <t>CI 060</t>
  </si>
  <si>
    <t>CI 065</t>
  </si>
  <si>
    <t>CI 074</t>
  </si>
  <si>
    <t>CI 079</t>
  </si>
  <si>
    <t>CI 086</t>
  </si>
  <si>
    <t>Alto Isidório</t>
  </si>
  <si>
    <t>Vila das Flores</t>
  </si>
  <si>
    <t>Terminal Central</t>
  </si>
  <si>
    <t>Jardim Esplanada</t>
  </si>
  <si>
    <t>Jardim Lagos do Sul</t>
  </si>
  <si>
    <t>Jardim Represa</t>
  </si>
  <si>
    <t>Bairro Laranjal</t>
  </si>
  <si>
    <t>Jardim Novo Horizonte I</t>
  </si>
  <si>
    <t>Jardim Novo Horizonte II</t>
  </si>
  <si>
    <t>Jardim Aratãs</t>
  </si>
  <si>
    <t>Recanto Verde</t>
  </si>
  <si>
    <t>T 005</t>
  </si>
  <si>
    <t>T 010</t>
  </si>
  <si>
    <t>T 015</t>
  </si>
  <si>
    <t>T 020</t>
  </si>
  <si>
    <t>T 025</t>
  </si>
  <si>
    <t>T 030</t>
  </si>
  <si>
    <t>T 035</t>
  </si>
  <si>
    <t>Jd. Catedral</t>
  </si>
  <si>
    <t>Vila Carmo</t>
  </si>
  <si>
    <t>Term. Taia</t>
  </si>
  <si>
    <t>Jd. Das Mercês</t>
  </si>
  <si>
    <t>Circular Sul</t>
  </si>
  <si>
    <t>Jd. Casqueiro</t>
  </si>
  <si>
    <t>Jangada</t>
  </si>
  <si>
    <t>PENHA SÃO MIGUEL</t>
  </si>
  <si>
    <t>Osvaldo Miguel Penha</t>
  </si>
  <si>
    <t>SL 040</t>
  </si>
  <si>
    <t>SL 045</t>
  </si>
  <si>
    <t>SL 050</t>
  </si>
  <si>
    <t>SL 055</t>
  </si>
  <si>
    <t>SL 060</t>
  </si>
  <si>
    <t>SL 065</t>
  </si>
  <si>
    <t>SL 070</t>
  </si>
  <si>
    <t>Jd. Silvéria</t>
  </si>
  <si>
    <t>Pque Lua do Mar</t>
  </si>
  <si>
    <t>Santo Dias</t>
  </si>
  <si>
    <t>Jd. Onofre</t>
  </si>
  <si>
    <t>Vila Bastos</t>
  </si>
  <si>
    <t>Circular I</t>
  </si>
  <si>
    <t>Ponte Alta</t>
  </si>
  <si>
    <t>Circular II</t>
  </si>
  <si>
    <t>Circular III</t>
  </si>
  <si>
    <t>G 075</t>
  </si>
  <si>
    <t>G 080</t>
  </si>
  <si>
    <t>G 085</t>
  </si>
  <si>
    <t>G 090</t>
  </si>
  <si>
    <t>G 095</t>
  </si>
  <si>
    <t>G 100</t>
  </si>
  <si>
    <t>G 105</t>
  </si>
  <si>
    <t>G 106</t>
  </si>
  <si>
    <t>G 107</t>
  </si>
  <si>
    <t>Vila Pestana</t>
  </si>
  <si>
    <t>Moacir Guerra</t>
  </si>
  <si>
    <t>Jd. Anísio</t>
  </si>
  <si>
    <t>Pque. Rafael</t>
  </si>
  <si>
    <t>Jd. Anália</t>
  </si>
  <si>
    <t>Teresa Aguiar</t>
  </si>
  <si>
    <t>Centro III</t>
  </si>
  <si>
    <t>Jd. Palácio</t>
  </si>
  <si>
    <t>Term. Centro-Rodoviário</t>
  </si>
  <si>
    <t>Vila Campestre</t>
  </si>
  <si>
    <t>Cohab Pque Regina</t>
  </si>
  <si>
    <t>Jd. Candido Silvestre</t>
  </si>
  <si>
    <t>Jd. IV Centenário</t>
  </si>
  <si>
    <t>Planalto Conquista</t>
  </si>
  <si>
    <t>Jd. Valo Verde</t>
  </si>
  <si>
    <t>SI 250</t>
  </si>
  <si>
    <t>SI 255</t>
  </si>
  <si>
    <t>SI 260</t>
  </si>
  <si>
    <t>SI 265</t>
  </si>
  <si>
    <t>SI 270</t>
  </si>
  <si>
    <t>SI 275</t>
  </si>
  <si>
    <t>SI 280</t>
  </si>
  <si>
    <t>SI 285</t>
  </si>
  <si>
    <t>RND 320</t>
  </si>
  <si>
    <t>RND 325</t>
  </si>
  <si>
    <t>RND 330</t>
  </si>
  <si>
    <t>RND 335</t>
  </si>
  <si>
    <t>RND 340</t>
  </si>
  <si>
    <t>RND 345</t>
  </si>
  <si>
    <t>RND 350</t>
  </si>
  <si>
    <t>RND 348</t>
  </si>
  <si>
    <t>RND 355</t>
  </si>
  <si>
    <t>RND 360</t>
  </si>
  <si>
    <t>Jd. Durvalina</t>
  </si>
  <si>
    <t>Terminal Bento Soares</t>
  </si>
  <si>
    <t>Jd. Catanduva</t>
  </si>
  <si>
    <t>Laranjal</t>
  </si>
  <si>
    <t>Cafezal</t>
  </si>
  <si>
    <t>Jd. Dos Sabiás</t>
  </si>
  <si>
    <t>Jd. Dos Grãos</t>
  </si>
  <si>
    <t>Vila Albertina</t>
  </si>
  <si>
    <t>Jd. Balneário</t>
  </si>
  <si>
    <t>Paço Municipal - Via Terminal</t>
  </si>
  <si>
    <t>Vila Domingos - Circular 1</t>
  </si>
  <si>
    <t>Jd. Mariano - Circular 2</t>
  </si>
  <si>
    <t>Estrada das Pontes, 625 - Jd. Catedral - Taiacupeba</t>
  </si>
  <si>
    <t>Avenida Cuiabá, 130 - Centro - São Lucas</t>
  </si>
  <si>
    <t>Rua Alvaro Mendes, 734 - Jd. Dos Sinos - Graciosa</t>
  </si>
  <si>
    <t>Rua Caio Cintra, 1257 - Jd. Bela Vista - Santa Ifigênia</t>
  </si>
  <si>
    <t>Rua Major Caldense, 645 - Centro - Rondon</t>
  </si>
  <si>
    <t>Rua Lírio dos Vales, 525 - Jd. Nova Barcelona - Florilândia</t>
  </si>
  <si>
    <t>Rua Raimundo Marinho,125 - Vila Indutrial - Romana - Romana</t>
  </si>
  <si>
    <t>Rua Líbero Badaró, 394 - Vila Augusta - Cândido Isidório</t>
  </si>
  <si>
    <t>Rua Carlos Gomes, 746 - Vila Dulce - Minerápolis</t>
  </si>
  <si>
    <t>Praça Tomé de Souza , 295 - Jd. Antenor - Minerápolis</t>
  </si>
  <si>
    <t>Rua Miguel Calmon, 28 - Vila Manganês - Minerápolis</t>
  </si>
  <si>
    <t>Rua Mello Moraes Filho, 189 - Vila Cosme - Minerápolis</t>
  </si>
  <si>
    <t>Travessa Moinho Santo, 231 - Jd. Das Indústrias - Minerápolis</t>
  </si>
  <si>
    <t>Av. Luís Viana ,237 – Pque Anchieta  - Minerápolis</t>
  </si>
  <si>
    <t>Estrada do Potássio, s/nº - Jardim do Potássio - Minerápolis</t>
  </si>
  <si>
    <t>Rua Dom Eugênio Sales, 20 - Jd. Marítimo - Minerápolis</t>
  </si>
  <si>
    <t>Av. Luís Viana, 1831 - Vila dos Níqueis - Minerápolis</t>
  </si>
  <si>
    <t>Rua Arthur de Azevedo, 880 - Jd. Do Potássio - Minerápolis</t>
  </si>
  <si>
    <t>Rua Abel de Carvalho, 221 - Pque Maria Campos - Minerápolis</t>
  </si>
  <si>
    <t>Rua Osvaldo Duarte, 883 - Jd. Barão - Minerápolis</t>
  </si>
  <si>
    <t>Avenida Mauro Celso, 3126 - Jd. Ouro Verde - Minerápolis</t>
  </si>
  <si>
    <t>Rua Cristiana Marinho, 125 - Parque Anchieta  - Minerápolis</t>
  </si>
  <si>
    <t>Rua Fernando Caio Roque, 710 - Jd. Santo Alberto  - Minerápolis</t>
  </si>
  <si>
    <t>Est. dos Estudantes, 13.220 - Jd. Universitário  - Minerápolis</t>
  </si>
  <si>
    <t>Av. Monte Verde, 108 – Centro - Pontal Noroeste</t>
  </si>
  <si>
    <t>Av. Sgto Santana, 235 - Jd. Campestre - Borda do Campo</t>
  </si>
  <si>
    <t>Avenida Sérgio Gualbert, 1113 - Jd. Das Neves - Borda do Campo</t>
  </si>
  <si>
    <t>Rua Dom Cabral, 7000 – Estação Cabral  - Pontal Noroeste</t>
  </si>
  <si>
    <t>Rua dos Moinhos, 123 – Centro - Campo Verde</t>
  </si>
  <si>
    <t>Rua dos Periquitos, 756 - Jd. Dos Canários - Borda do Campo</t>
  </si>
  <si>
    <t>Rua Caio Pedro Jr., 215 - Jd. Planalto - Pedra Nova</t>
  </si>
  <si>
    <t>Rua 7 de Abril, 621 - Jd. Marinho - Nova Fazenda</t>
  </si>
  <si>
    <t>Rua Serra de Mauritéia, 325 - Vila Cardoso - Miraporanga</t>
  </si>
  <si>
    <t>Rua dos Goytacazes, 221 - Jd. Fortaleza - Miraporanga</t>
  </si>
  <si>
    <t>Rua Maria do Amaro, 966 - Pque América - Miraporanga</t>
  </si>
  <si>
    <t>Rua Barão de Piratininga, 200 - Vila da Paz - Miraporanga</t>
  </si>
  <si>
    <t>Estrada dos Guaxinins, 1221 - Jd. Plenitude - Miraporanga</t>
  </si>
  <si>
    <t>Avenida Universitária, 125 - Pq. Damasceno - Miraporanga</t>
  </si>
  <si>
    <t>Av. Vale do Sol nº 713 - Jd. das Oliveiras - Miraporanga</t>
  </si>
  <si>
    <t>Rua Baltazar Britz, 656 - Pque Damasco - Miraporanga</t>
  </si>
  <si>
    <t>Rua Miguel de Fernandes, 331 - Jd. Pantanal - Miraporanga</t>
  </si>
  <si>
    <t>Avenida Sete Passos, 2221 - Jd. Celeste - Barbarema</t>
  </si>
  <si>
    <t>Rua Líbero Badaró, 404 - Vila Augusta - Barbarema</t>
  </si>
  <si>
    <t>Alameda dos Ipês, 75 Jd. das Flores - Itajubinha</t>
  </si>
  <si>
    <t>Rua Viviane Ferraz, 735 - Vila Andrade - Itajubinha</t>
  </si>
  <si>
    <t>Rua Vista Alegre, 435 - Jd. Cardeal - João Batista</t>
  </si>
  <si>
    <t>Rua Frederico Assunção,. 1491 - Jd. Caldas - João Batista</t>
  </si>
  <si>
    <t>Rua Lazaro Serdovik, 1771 - Jd. Pestana - Lagos do Sul</t>
  </si>
  <si>
    <t>Rua Sete Lagos, 511, Roseiral  - Lagos do Sul</t>
  </si>
  <si>
    <t>Rua do Mel, 321 - Jd, Tangará - Leões</t>
  </si>
  <si>
    <t>Rua Ana Figueiredo Muniz, 12 - Jd. Pantanal - Leões</t>
  </si>
  <si>
    <t>Avenida do Rouxinol, 225 - Jd. da Glória - São Gabriel</t>
  </si>
  <si>
    <t>Rua das Varandas, 443 - Jd. Fatima - São Gabriel</t>
  </si>
  <si>
    <t>Rua Geraldo Flickman, 451 - Vila Diamantina - Barra das Pedras</t>
  </si>
  <si>
    <t>Rua do Cruzeiro, 122 - Vila Sapoti - Barra das Pedras</t>
  </si>
  <si>
    <t>Rua dos Pardais, 325 - Jd. Dos Leões - Barra das Pedras</t>
  </si>
  <si>
    <t>Rua Carvalho Pinto, 777 - Jd. Manchester - Barra das Pedras</t>
  </si>
  <si>
    <t>Av. Otávio Mangabeira, 6929 - Jd. Canavial - Barra das Pedras</t>
  </si>
  <si>
    <t>Rua São Jorge, 251 - Vila Melo - Barra das Pedras</t>
  </si>
  <si>
    <t>Rua Bernardo de Mont Serrat, 345 - Jd. Vitória - Barra das Pedras</t>
  </si>
  <si>
    <t>Rua Bento Gonçalves, 737 - Jd. Campanário - Barra das Pedras</t>
  </si>
  <si>
    <t>Rua Barão de Duprat, 321 - Jd. Dos Portugueses - Barra das Pedras</t>
  </si>
  <si>
    <t>Av. 8 de Outubro, 621 - Vila Santos - Barra das Pedras</t>
  </si>
  <si>
    <t>Rua Benedito César, 425 - Vila Joaniza - Barra das Pedras</t>
  </si>
  <si>
    <t>Rua Vicente Leporace, 443 - Jd. Amaro - Barra das Pedras</t>
  </si>
  <si>
    <t>Rua Éster Gomes, 335 - Jd. do Prado - Barra das Pedras</t>
  </si>
  <si>
    <t>Rua dos Comerciários, 489 - Vila São José - Barra das Pedras</t>
  </si>
  <si>
    <t>Avenida Miguel Luis, 3217 - Jd. Valério - Barra das Pedras</t>
  </si>
  <si>
    <t>Rua Dante Aleguieri, 214 - Jd. Dona Amellie - Barra das Pedras</t>
  </si>
  <si>
    <t>Av. das Indústrias, 4671 - Pque Alves - Barra das Pedras</t>
  </si>
  <si>
    <t>Rua das Estâncias, 431 - Jd. Campestre - Barra das Pedras</t>
  </si>
  <si>
    <t>Rua Sr. Monfarrejt, 3521 - Vila Cancionário - Barra das Pedras</t>
  </si>
  <si>
    <t>Est. Dos Continentes, 221 - Jd. Casqueiro - Tupinambá</t>
  </si>
  <si>
    <t>Rua Vinicius Calixto, 223 - Jd. Noruega - Pinherais</t>
  </si>
  <si>
    <t>Rua Mauro Beckstein, 1271 - Jd. Alvorada - Pinherais</t>
  </si>
  <si>
    <t>Rua Senador Flatter, 452 - Jd. Vitória - Jaguará Mirim</t>
  </si>
  <si>
    <t>Rua das Orquídeas, 365 - Jd. Ambrósio - Tupinambá</t>
  </si>
  <si>
    <t>Rua Carlos Sampaio, 927 - Jd. Guarujá - Tupinambá</t>
  </si>
  <si>
    <t>Av. Mario Franco, 1355 - Jd. Planetário - Pinherais</t>
  </si>
  <si>
    <t>Rua Lindemberg Castro, 445 - Jd. Freitas - Esmeralda</t>
  </si>
  <si>
    <t>Rua Caio Campos, 252 - Jd. Da Saudade - Esmeralda</t>
  </si>
  <si>
    <t>Rua Santa Adélia, 321 - Jd. Do Carmo - Yporanga</t>
  </si>
  <si>
    <t>Av. Cândido de Souza, 1789 - Vila Albertina - Jaguará Mirim</t>
  </si>
  <si>
    <t>Rua Guilherme Serafim, 1200 - Jd. Estácio - Barcelona</t>
  </si>
  <si>
    <t>Av. Barbara Alcantara, 2201 - Pque Continental - Barcelona</t>
  </si>
  <si>
    <t>Marcopolo</t>
  </si>
  <si>
    <t>Intercity</t>
  </si>
  <si>
    <t>Rodoviário Leve</t>
  </si>
  <si>
    <t>Rodoviario Leve</t>
  </si>
  <si>
    <t>Rodov. Leve</t>
  </si>
  <si>
    <t>GRUPOS_DIVERSOS</t>
  </si>
  <si>
    <t>GRUPO</t>
  </si>
  <si>
    <t>Via Rio Transportes - Lote 13 - G1</t>
  </si>
  <si>
    <t>Via Rio Transportes - Lote 19 - G2</t>
  </si>
  <si>
    <t>Via Rio Transportes - Lote RP 600 - G3</t>
  </si>
  <si>
    <t>Via Rio Transportes - Lote RP 900 - G4</t>
  </si>
  <si>
    <t>Transportes Ipanema - Lote 07LM - G1</t>
  </si>
  <si>
    <t>Transportes Ipanema - Lote 08LM - G2</t>
  </si>
  <si>
    <t>MNR 11</t>
  </si>
  <si>
    <t>MNR 12</t>
  </si>
  <si>
    <t>MNR 21</t>
  </si>
  <si>
    <t>MNR 22</t>
  </si>
  <si>
    <t>MNR 31</t>
  </si>
  <si>
    <t>MNR 32</t>
  </si>
  <si>
    <t>MNR 41</t>
  </si>
  <si>
    <t>MNR 42</t>
  </si>
  <si>
    <t>MNR 51</t>
  </si>
  <si>
    <t>MNR 52</t>
  </si>
  <si>
    <t>MNR 61</t>
  </si>
  <si>
    <t>MNR 62</t>
  </si>
  <si>
    <t>MNR 71</t>
  </si>
  <si>
    <t>MNR 72</t>
  </si>
  <si>
    <t>MNR 81</t>
  </si>
  <si>
    <t>MNR 82</t>
  </si>
  <si>
    <t>RP 206</t>
  </si>
  <si>
    <t>RP 215</t>
  </si>
  <si>
    <t>RP 305</t>
  </si>
  <si>
    <t>RP 351</t>
  </si>
  <si>
    <t>RP 377</t>
  </si>
  <si>
    <t>RP 415</t>
  </si>
  <si>
    <t>RP 593</t>
  </si>
  <si>
    <t>RP 600</t>
  </si>
  <si>
    <t>RP 694</t>
  </si>
  <si>
    <t>RP 695</t>
  </si>
  <si>
    <t>RP 726</t>
  </si>
  <si>
    <t>RP 900</t>
  </si>
  <si>
    <t>01PN</t>
  </si>
  <si>
    <t>02MN</t>
  </si>
  <si>
    <t>03BC</t>
  </si>
  <si>
    <t>04BC</t>
  </si>
  <si>
    <t>05NF</t>
  </si>
  <si>
    <t>06NF</t>
  </si>
  <si>
    <t>07LM</t>
  </si>
  <si>
    <t>08LM</t>
  </si>
  <si>
    <t>MRP 1</t>
  </si>
  <si>
    <t>MRP 2</t>
  </si>
  <si>
    <t>MRP 3</t>
  </si>
  <si>
    <t>MRP 4</t>
  </si>
  <si>
    <t>MRP 5</t>
  </si>
  <si>
    <t>MRP 6</t>
  </si>
  <si>
    <t>MRP 7</t>
  </si>
  <si>
    <t>MRP 8</t>
  </si>
  <si>
    <t>MRP 9</t>
  </si>
  <si>
    <t>RP 911</t>
  </si>
  <si>
    <t>RP 918</t>
  </si>
  <si>
    <t>RP 925</t>
  </si>
  <si>
    <t>RP 932</t>
  </si>
  <si>
    <t>RP 939</t>
  </si>
  <si>
    <t>RP 946</t>
  </si>
  <si>
    <t>RP 953</t>
  </si>
  <si>
    <t>RP 960</t>
  </si>
  <si>
    <t>RP 967</t>
  </si>
  <si>
    <t>RP 974</t>
  </si>
  <si>
    <t>RP 981</t>
  </si>
  <si>
    <t>RP 988</t>
  </si>
  <si>
    <t>BDP 11</t>
  </si>
  <si>
    <t>BDP 12</t>
  </si>
  <si>
    <t>BDP 13</t>
  </si>
  <si>
    <t>BDP 21</t>
  </si>
  <si>
    <t>BDP 22</t>
  </si>
  <si>
    <t>BDP 23</t>
  </si>
  <si>
    <t>BDP 31</t>
  </si>
  <si>
    <t>BDP 32</t>
  </si>
  <si>
    <t>BDP 41</t>
  </si>
  <si>
    <t>BDP 42</t>
  </si>
  <si>
    <t>BDP 43</t>
  </si>
  <si>
    <t>BDP 51</t>
  </si>
  <si>
    <t>BDP 52</t>
  </si>
  <si>
    <t>BDP 53</t>
  </si>
  <si>
    <t>BDP 61</t>
  </si>
  <si>
    <t>BDP 62</t>
  </si>
  <si>
    <t>BDP 63</t>
  </si>
  <si>
    <t>BDP 71</t>
  </si>
  <si>
    <t>BDP 72</t>
  </si>
  <si>
    <t>RP 051</t>
  </si>
  <si>
    <t>RP 055</t>
  </si>
  <si>
    <t>RP 059</t>
  </si>
  <si>
    <t>RP 063</t>
  </si>
  <si>
    <t>RP 067</t>
  </si>
  <si>
    <t>RP 071</t>
  </si>
  <si>
    <t>RP 075</t>
  </si>
  <si>
    <t>RP 079</t>
  </si>
  <si>
    <t>RP 083</t>
  </si>
  <si>
    <t>RP 087</t>
  </si>
  <si>
    <t>RP 091</t>
  </si>
  <si>
    <t>RP 095</t>
  </si>
  <si>
    <t>RP 099</t>
  </si>
  <si>
    <t>09TP</t>
  </si>
  <si>
    <t>10TP</t>
  </si>
  <si>
    <t>11PR</t>
  </si>
  <si>
    <t>12ES</t>
  </si>
  <si>
    <t>13ES</t>
  </si>
  <si>
    <t>14YP</t>
  </si>
  <si>
    <t>15JM</t>
  </si>
  <si>
    <t>16BA</t>
  </si>
  <si>
    <t>17BA</t>
  </si>
  <si>
    <t>UNIÃO Holding</t>
  </si>
  <si>
    <t>RECORD Participações</t>
  </si>
  <si>
    <t>REBÉS Holding</t>
  </si>
  <si>
    <t>AUTOBUS</t>
  </si>
  <si>
    <t>BRASIL LUXO</t>
  </si>
  <si>
    <t>Auto Viação Educandário - Lote 05NF - G1</t>
  </si>
  <si>
    <t>Auto Viação Educandário - Lote 06NF - G2</t>
  </si>
  <si>
    <t>Expresso Cambará - Lote 16 - G1</t>
  </si>
  <si>
    <t>Expresso Cambará - Lote 18 - G2</t>
  </si>
  <si>
    <t>Expresso Cambará - Lote RP 694 - G3</t>
  </si>
  <si>
    <t>Expresso Cambará - Lote RP 695 - G4</t>
  </si>
  <si>
    <t>NAPOLES Transportes - Lote RP 059 - G1</t>
  </si>
  <si>
    <t>NAPOLES Transportes - Lote RP 063 - G2</t>
  </si>
  <si>
    <t>NAPOLES Transportes - Lote RP 087 - G3</t>
  </si>
  <si>
    <t>Coletivo Mirabuss - Lote RP 206 - G1</t>
  </si>
  <si>
    <t>Coletivo Mirabuss - Lote RP 351 - G2</t>
  </si>
  <si>
    <t>Transcol Viação - Lote 14 - G1</t>
  </si>
  <si>
    <t>Transcol Viação - Lote 20 - G2</t>
  </si>
  <si>
    <t>Viação VALE DO SOL - Lote RP 067 - G1</t>
  </si>
  <si>
    <t>Viação VALE DO SOL - Lote RP 075 - G2</t>
  </si>
  <si>
    <t>Viação VALE DO SOL - Lote RP 083 - G3</t>
  </si>
  <si>
    <t>IMPERIAL Viação - Lote 11 - G1</t>
  </si>
  <si>
    <t>IMPERIAL Viação - Lote 17 - G2</t>
  </si>
  <si>
    <t>NOVA CIDADE - Lote RP 593 - G1</t>
  </si>
  <si>
    <t>NOVA CIDADE - Lote RP 726 - G2</t>
  </si>
  <si>
    <t>Transportes Santo André - Lote 03BC - G1</t>
  </si>
  <si>
    <t>Transportes Santo André - Lote 04BC - G2</t>
  </si>
  <si>
    <t>Transportes União - Lote 12 - G1</t>
  </si>
  <si>
    <t>Transportes União - Lote 15 - G2</t>
  </si>
  <si>
    <t>JARDIM AURORA</t>
  </si>
  <si>
    <t>OURO VERDE</t>
  </si>
  <si>
    <t>TERM. AEROPORTO( VIA JD. MARCIO)</t>
  </si>
  <si>
    <t>TERM. AEROPORTO ( VIA CAMPOS ELÍSEOS)</t>
  </si>
  <si>
    <t>PAÇO MUNICIPAL - CENTRO</t>
  </si>
  <si>
    <t>TERM. CAMPOS ELÍSEOS</t>
  </si>
  <si>
    <t>ESTÁDIO MUNICIPAL (VIA CAMPOS SALES)</t>
  </si>
  <si>
    <t>TERM. AEROPORTO</t>
  </si>
  <si>
    <t>ALCANTARA</t>
  </si>
  <si>
    <t>TERM. JOÃO MIRANDA</t>
  </si>
  <si>
    <t>TERM. AGUA DOCE</t>
  </si>
  <si>
    <t>VILA DULCE</t>
  </si>
  <si>
    <t>TERM. SHOP. MARAJÓ</t>
  </si>
  <si>
    <t>ESTÁDIO MUNICIPAL (VIA CERDEIRA)</t>
  </si>
  <si>
    <t>ESTÁDIO MUNICIPAL</t>
  </si>
  <si>
    <t>JARDIM SANTINA</t>
  </si>
  <si>
    <t>CENTRO EMPRESARIAL</t>
  </si>
  <si>
    <t>TERM. SILVIO MORAIS</t>
  </si>
  <si>
    <t>TERM. MARAJÓ</t>
  </si>
  <si>
    <t>JARDIM MARIA DA LUZ</t>
  </si>
  <si>
    <t>JARDIM TÂNIA (P. S. MUNICIPAL)</t>
  </si>
  <si>
    <t>TERM. TÊXTIL</t>
  </si>
  <si>
    <t>JARDIM MARÍTIMO</t>
  </si>
  <si>
    <t>TERM. CASTRO BUENO</t>
  </si>
  <si>
    <t>SANTO ALBERTO</t>
  </si>
  <si>
    <t>JARDIM AMÉLIA</t>
  </si>
  <si>
    <t>JARDIM DANÚBIA</t>
  </si>
  <si>
    <t>TERM. AEROPORTO( VIA JD. SETE)</t>
  </si>
  <si>
    <t>PARQUE ANCHIETA</t>
  </si>
  <si>
    <t>SHOP. MINERÁPOLIS</t>
  </si>
  <si>
    <t>HOSPITAL DANTE</t>
  </si>
  <si>
    <t>TERM.TÊXTIL</t>
  </si>
  <si>
    <t>TERM. PASSOS DE SOUZA</t>
  </si>
  <si>
    <t>COHAB MARIA ADELAIDE</t>
  </si>
  <si>
    <t>TERMINAL TÊXTIL</t>
  </si>
  <si>
    <t>VILA COSME</t>
  </si>
  <si>
    <t>TERM. PASSOS DE SOUZA (VIA COHAB CATARINA)</t>
  </si>
  <si>
    <t>JARDIM GABRIELA</t>
  </si>
  <si>
    <t xml:space="preserve">TERM. TÊXTIL </t>
  </si>
  <si>
    <t>TERM. PASSOS DE SOUZA (VIA JD. LAERTE)</t>
  </si>
  <si>
    <t>COHAB SANTOS DUMONT</t>
  </si>
  <si>
    <t xml:space="preserve">PARQUE  INDUSTRIAL </t>
  </si>
  <si>
    <t>JARDIM BARÃO</t>
  </si>
  <si>
    <t>PRAÇA TAVARES</t>
  </si>
  <si>
    <t>CIDADE DO AÇO</t>
  </si>
  <si>
    <t>JARDIM CELESTINO</t>
  </si>
  <si>
    <t>VILA ANDRADE</t>
  </si>
  <si>
    <t>TERM. CASTRO BUENO (VIA PQUE INDUSTRIAL)</t>
  </si>
  <si>
    <t>JARDIM PIO XI</t>
  </si>
  <si>
    <t>JARDIM CATUMBÉ</t>
  </si>
  <si>
    <t>JARDIM TAMARA</t>
  </si>
  <si>
    <t>Associados</t>
  </si>
  <si>
    <t>TERM. CLÍNICAS</t>
  </si>
  <si>
    <t>UNIVERSIDADE</t>
  </si>
  <si>
    <t>VILA MANGANÊS</t>
  </si>
  <si>
    <t>VILA DOS NÍQUEIS</t>
  </si>
  <si>
    <t>JD. UNIVERSITÁRIO</t>
  </si>
  <si>
    <t>VILA MANGANÊS ( VIA CLÍNICAS)</t>
  </si>
  <si>
    <t>TERM.CLÍNICAS</t>
  </si>
  <si>
    <t>TERM. JOÃO MIRANDA ( VIA BAIRRO)</t>
  </si>
  <si>
    <t>TERM. ÁGUA DOCE</t>
  </si>
  <si>
    <t>VERA CRUZ</t>
  </si>
  <si>
    <t>HOSPITAL CLÍNICAS</t>
  </si>
  <si>
    <t>TERM. CASTRO BUENO (VIA JD. BARÃO)</t>
  </si>
  <si>
    <t>VILA CARDOSO</t>
  </si>
  <si>
    <t>TERM. ÁGUA DOCE ( VIA JD. SERRA)</t>
  </si>
  <si>
    <t>JARDIM MARCELA</t>
  </si>
  <si>
    <t>VILA MANGANÊS (VIA CLÍNICAS)</t>
  </si>
  <si>
    <t>VILA BARONESA</t>
  </si>
  <si>
    <t>CLÍNICAS</t>
  </si>
  <si>
    <t>JARDIM QUEIRÓS</t>
  </si>
  <si>
    <t>VILA CENTENÁRIO</t>
  </si>
  <si>
    <t>JARDIM HELENA MARIA</t>
  </si>
  <si>
    <t>JARDIM UNIVERSITÁRIO</t>
  </si>
  <si>
    <t>JARDIM DO POTÁSSIO</t>
  </si>
  <si>
    <t>TERM. ESTUDANTES</t>
  </si>
  <si>
    <t>TERM CLÍNICAS</t>
  </si>
  <si>
    <t>TERM. ÁGUA DOCE (VIA ESTUDANTES)</t>
  </si>
  <si>
    <t>ZOOLÓGICO</t>
  </si>
  <si>
    <t>JARDIM PLÍNIO</t>
  </si>
  <si>
    <t>PARQUE MARIA CAMPOS</t>
  </si>
  <si>
    <t>JARDIM OSMAR BRANDÃO</t>
  </si>
  <si>
    <t>JARDIM CAVALCANTI</t>
  </si>
  <si>
    <t>JARDIM SALETE</t>
  </si>
  <si>
    <t>JARDIM SABRINA</t>
  </si>
  <si>
    <t>JARDIM ANTENOR</t>
  </si>
  <si>
    <t>JARDIM CELESTINO (VIA PREFEITURA)</t>
  </si>
  <si>
    <t>JD. CAETANO (P.S.MUNICIPAL)</t>
  </si>
  <si>
    <t>SANTA ALDEIA</t>
  </si>
  <si>
    <t>ZOOLÓGICO ( VIA ÁGUA DOCE )</t>
  </si>
  <si>
    <t>VALE DO COBRE</t>
  </si>
  <si>
    <t>JD. AURORA</t>
  </si>
  <si>
    <t>MNR - Área 1.1</t>
  </si>
  <si>
    <t>MNR - Área 1.2</t>
  </si>
  <si>
    <t>MNR - Área 2.1</t>
  </si>
  <si>
    <t>MNR - Área 2.2</t>
  </si>
  <si>
    <t>MNR - Área 3.1</t>
  </si>
  <si>
    <t>MNR - Área 3.2</t>
  </si>
  <si>
    <t>MNR - Área 4.1</t>
  </si>
  <si>
    <t>MNR - Área 4.2</t>
  </si>
  <si>
    <t>MNR - Área 5.1</t>
  </si>
  <si>
    <t>MNR - Área 5.2</t>
  </si>
  <si>
    <t>MNR - Área 6.1</t>
  </si>
  <si>
    <t>MNR - Área 6.2</t>
  </si>
  <si>
    <t>MNR - Área 7.1</t>
  </si>
  <si>
    <t>MNR - Área 7.2</t>
  </si>
  <si>
    <t>MNR - Área 8.1</t>
  </si>
  <si>
    <t>MNR - Área 8.2</t>
  </si>
  <si>
    <t>RAFAEL CARLOS</t>
  </si>
  <si>
    <t>500E</t>
  </si>
  <si>
    <t>PONTAL NOROESTE - TERM. PÓLO</t>
  </si>
  <si>
    <t>TERM. JOÃO MIRANDA - MNR</t>
  </si>
  <si>
    <t>501C</t>
  </si>
  <si>
    <t>BARNABÉS</t>
  </si>
  <si>
    <t>502C</t>
  </si>
  <si>
    <t>NORONHA</t>
  </si>
  <si>
    <t>503P</t>
  </si>
  <si>
    <t>JD. COLONIAL</t>
  </si>
  <si>
    <t>504A</t>
  </si>
  <si>
    <t>PONTAL NOROESTE - CENTRO</t>
  </si>
  <si>
    <t>505S</t>
  </si>
  <si>
    <t>TERMINAL JOÃO MIRANDA</t>
  </si>
  <si>
    <t>506M</t>
  </si>
  <si>
    <t>JD. MARIANA</t>
  </si>
  <si>
    <t>André Vinicius</t>
  </si>
  <si>
    <t>511C</t>
  </si>
  <si>
    <t>CAMANDUCAIA</t>
  </si>
  <si>
    <t>JD. DO POTÁSSIO</t>
  </si>
  <si>
    <t>512C</t>
  </si>
  <si>
    <t>SETE LAGOS</t>
  </si>
  <si>
    <t>513P</t>
  </si>
  <si>
    <t>JD. NARCISA</t>
  </si>
  <si>
    <t>514S</t>
  </si>
  <si>
    <t>VILA CAMANDUCAIA</t>
  </si>
  <si>
    <t>515M</t>
  </si>
  <si>
    <t>JD. COLOMBO</t>
  </si>
  <si>
    <t>JD. PLÍNIO</t>
  </si>
  <si>
    <t>521C</t>
  </si>
  <si>
    <t>PRETO VELHO</t>
  </si>
  <si>
    <t>522C</t>
  </si>
  <si>
    <t>ESTAÇÃO CABRAL</t>
  </si>
  <si>
    <t>523P</t>
  </si>
  <si>
    <t>JD. DANIELA</t>
  </si>
  <si>
    <t>530E</t>
  </si>
  <si>
    <t>MOINHO NOVO - TERM. VENEZA</t>
  </si>
  <si>
    <t>TERM. ESTUDANTES - MNR</t>
  </si>
  <si>
    <t>531C</t>
  </si>
  <si>
    <t>JD. CAETANA</t>
  </si>
  <si>
    <t>UNIVERSIDADE MNR</t>
  </si>
  <si>
    <t>532C</t>
  </si>
  <si>
    <t>PRAÇA CLAUDIA</t>
  </si>
  <si>
    <t>533G</t>
  </si>
  <si>
    <t>VILA ALBERTINA</t>
  </si>
  <si>
    <t>534S</t>
  </si>
  <si>
    <t>MOINHO NOVO - CENTRO</t>
  </si>
  <si>
    <t>535M</t>
  </si>
  <si>
    <t>PARQUE DO LAGO</t>
  </si>
  <si>
    <t>541C</t>
  </si>
  <si>
    <t>JD. NORONHA</t>
  </si>
  <si>
    <t>542C</t>
  </si>
  <si>
    <t>SANTO AUGUSTO</t>
  </si>
  <si>
    <t>543P</t>
  </si>
  <si>
    <t>PRAÇA STA. AMÉLIA</t>
  </si>
  <si>
    <t>544M</t>
  </si>
  <si>
    <t>JD. ANASTÁCIO</t>
  </si>
  <si>
    <t>551C</t>
  </si>
  <si>
    <t>ARMÊNIA</t>
  </si>
  <si>
    <t>552C</t>
  </si>
  <si>
    <t>TUCURUÇA</t>
  </si>
  <si>
    <t>553A</t>
  </si>
  <si>
    <t>554S</t>
  </si>
  <si>
    <t>BARÃO GERALDO</t>
  </si>
  <si>
    <t>555M</t>
  </si>
  <si>
    <t>PARQUE DO MOINHO</t>
  </si>
  <si>
    <t>559G</t>
  </si>
  <si>
    <t>BORDA DO CAMPO - TERM. ALMIRANTE</t>
  </si>
  <si>
    <t>TERM. CASTRO BUENO - MNR</t>
  </si>
  <si>
    <t>560E</t>
  </si>
  <si>
    <t>TERM. PASSOS DE SOUZA - MNR</t>
  </si>
  <si>
    <t>561C</t>
  </si>
  <si>
    <t>562C</t>
  </si>
  <si>
    <t>VILA IPOJUCA</t>
  </si>
  <si>
    <t>VILA INDUSTRIAL - MNR</t>
  </si>
  <si>
    <t>563C</t>
  </si>
  <si>
    <t>COHAB CARLOS COSTA</t>
  </si>
  <si>
    <t>564A</t>
  </si>
  <si>
    <t>VILA DUARTE</t>
  </si>
  <si>
    <t>565G</t>
  </si>
  <si>
    <t>BORDA DO CAMPO - CENTRO</t>
  </si>
  <si>
    <t>566S</t>
  </si>
  <si>
    <t>567M</t>
  </si>
  <si>
    <t>JD. SERÁFICO</t>
  </si>
  <si>
    <t>571C</t>
  </si>
  <si>
    <t>JD. PAULO CAMPOS</t>
  </si>
  <si>
    <t>JD. CATUMBÉ</t>
  </si>
  <si>
    <t>572C</t>
  </si>
  <si>
    <t>JD. BEATRIZ</t>
  </si>
  <si>
    <t>573P</t>
  </si>
  <si>
    <t>PAÇO MUNICPAL - BDC</t>
  </si>
  <si>
    <t>574P</t>
  </si>
  <si>
    <t>575M</t>
  </si>
  <si>
    <t>JD. ANTONIETA</t>
  </si>
  <si>
    <t>581C</t>
  </si>
  <si>
    <t>JD.LUSO</t>
  </si>
  <si>
    <t>582C</t>
  </si>
  <si>
    <t>PRAÇA DE LA VECHIA</t>
  </si>
  <si>
    <t>583P</t>
  </si>
  <si>
    <t>JD. OURINHO</t>
  </si>
  <si>
    <t>584S</t>
  </si>
  <si>
    <t>JD. ANALICE</t>
  </si>
  <si>
    <t>585M</t>
  </si>
  <si>
    <t>VILA CASTRO</t>
  </si>
  <si>
    <t>Torres</t>
  </si>
  <si>
    <t>Edinei Silva</t>
  </si>
  <si>
    <t>600E</t>
  </si>
  <si>
    <t>NOVA FAZENDA - TERM. LINDOIA</t>
  </si>
  <si>
    <t>TERM. TÊXTIL - MNR</t>
  </si>
  <si>
    <t>601E</t>
  </si>
  <si>
    <t>TERM. AEROPORTO - MNR</t>
  </si>
  <si>
    <t>602C</t>
  </si>
  <si>
    <t>PARQUE RAFAEL</t>
  </si>
  <si>
    <t>603C</t>
  </si>
  <si>
    <t>JD. BRUNO</t>
  </si>
  <si>
    <t>JD. MARIA DA LUZ</t>
  </si>
  <si>
    <t>604C</t>
  </si>
  <si>
    <t>PRAÇA VIEIRA</t>
  </si>
  <si>
    <t>605P</t>
  </si>
  <si>
    <t>BALNEÁRIO ED SILVA</t>
  </si>
  <si>
    <t>Rebes</t>
  </si>
  <si>
    <t>606A</t>
  </si>
  <si>
    <t>607S</t>
  </si>
  <si>
    <t>608M</t>
  </si>
  <si>
    <t>JD. BARROS</t>
  </si>
  <si>
    <t>JD. AMÉLIA</t>
  </si>
  <si>
    <t>609C</t>
  </si>
  <si>
    <t>VILA SANTA CATARINA</t>
  </si>
  <si>
    <t>610C</t>
  </si>
  <si>
    <t>PARQUE THALES</t>
  </si>
  <si>
    <t>HOSP. GERAL DANTE</t>
  </si>
  <si>
    <t>611P</t>
  </si>
  <si>
    <t>PRAÇA SOUSÁ</t>
  </si>
  <si>
    <t>612A</t>
  </si>
  <si>
    <t>NOVA FAZENDA - CENTRO</t>
  </si>
  <si>
    <t>613M</t>
  </si>
  <si>
    <t>JD. ALEXANDRE</t>
  </si>
  <si>
    <t>JD. MARÍTIMO</t>
  </si>
  <si>
    <t>614C</t>
  </si>
  <si>
    <t>PLANALTO CENTRAL</t>
  </si>
  <si>
    <t>615C</t>
  </si>
  <si>
    <t>PICO DE MARIA</t>
  </si>
  <si>
    <t>616P</t>
  </si>
  <si>
    <t>617S</t>
  </si>
  <si>
    <t>SANTO ANTONIO</t>
  </si>
  <si>
    <t>618M</t>
  </si>
  <si>
    <t>JD. GUEDALA</t>
  </si>
  <si>
    <t>JD. MARIA ADELAIDE</t>
  </si>
  <si>
    <t>630E</t>
  </si>
  <si>
    <t>LIMOEIRO - TERM. CENTRO</t>
  </si>
  <si>
    <t>TERM. CAMPOS ELÍSEOS - MNR</t>
  </si>
  <si>
    <t>631C</t>
  </si>
  <si>
    <t>JD. BRENO CESAR</t>
  </si>
  <si>
    <t>632C</t>
  </si>
  <si>
    <t>JD. LIMOEIRINHO</t>
  </si>
  <si>
    <t>633P</t>
  </si>
  <si>
    <t>PRAÇA LIMA DE ALVES</t>
  </si>
  <si>
    <t>634G</t>
  </si>
  <si>
    <t>LIMOEIRO - CENTRO</t>
  </si>
  <si>
    <t>635S</t>
  </si>
  <si>
    <t>636M</t>
  </si>
  <si>
    <t>VILA DINORAH</t>
  </si>
  <si>
    <t>JD. SANTINA</t>
  </si>
  <si>
    <t>637C</t>
  </si>
  <si>
    <t>JARDIM DOS JACARÉS</t>
  </si>
  <si>
    <t>638C</t>
  </si>
  <si>
    <t>PRAÇA SANTA ANA</t>
  </si>
  <si>
    <t>639P</t>
  </si>
  <si>
    <t>640S</t>
  </si>
  <si>
    <t>JD. JOÃO PAULO II</t>
  </si>
  <si>
    <t>641C</t>
  </si>
  <si>
    <t>PRAÇA DONA ALMERINDA</t>
  </si>
  <si>
    <t>642C</t>
  </si>
  <si>
    <t>VILA GUMERCINDO</t>
  </si>
  <si>
    <t>643M</t>
  </si>
  <si>
    <t>PRAÇA TANIA PAULA</t>
  </si>
  <si>
    <t>L 1 - METROP. MNR - P. NOROESTE</t>
  </si>
  <si>
    <t>L 2 - METROP. MNR - P. NOROESTE</t>
  </si>
  <si>
    <t>L 1 - METROP. MNR - M. NOVO</t>
  </si>
  <si>
    <t>L 2 - METROP. MNR - M. NOVO</t>
  </si>
  <si>
    <t>L 1 - METROP. MNR - B. DO CPO</t>
  </si>
  <si>
    <t>L 2  - METROP. MNR - B. DO CPO</t>
  </si>
  <si>
    <t>L 2 - METROP. MNR - N. FAZENDA</t>
  </si>
  <si>
    <t>L 3 - METROP. MNR - N. FAZENDA</t>
  </si>
  <si>
    <t>L 3 - METROP. MNR - B. DO CPO</t>
  </si>
  <si>
    <t>L 1 - METROP. MNR - N. FAZENDA</t>
  </si>
  <si>
    <t>L 1 - METROP. MNR - LIMOEIRO</t>
  </si>
  <si>
    <t>L 2 - METROP. MNR - LIMOEIRO</t>
  </si>
  <si>
    <t>1PN</t>
  </si>
  <si>
    <t>PN 001</t>
  </si>
  <si>
    <t>PN 002</t>
  </si>
  <si>
    <t>PN 003</t>
  </si>
  <si>
    <t>PN 004</t>
  </si>
  <si>
    <t>CENTRO CIRCULAR</t>
  </si>
  <si>
    <t>PN 005</t>
  </si>
  <si>
    <t>PN 006</t>
  </si>
  <si>
    <t>JARDIM DANIELA</t>
  </si>
  <si>
    <t>PN 007</t>
  </si>
  <si>
    <t>PN 008</t>
  </si>
  <si>
    <t>2MN</t>
  </si>
  <si>
    <t>MN 001</t>
  </si>
  <si>
    <t>MN 002</t>
  </si>
  <si>
    <t>MN 003</t>
  </si>
  <si>
    <t>MN 004</t>
  </si>
  <si>
    <t>MN 005</t>
  </si>
  <si>
    <t>JARDIM ANASTÁCIO</t>
  </si>
  <si>
    <t>MN 006</t>
  </si>
  <si>
    <t>MN 007</t>
  </si>
  <si>
    <t>MN 008</t>
  </si>
  <si>
    <t>MN 009</t>
  </si>
  <si>
    <t>3BC</t>
  </si>
  <si>
    <t>AMIGOS UNIDOS</t>
  </si>
  <si>
    <t>ANDRE VINICIUS</t>
  </si>
  <si>
    <t>BC 001</t>
  </si>
  <si>
    <t>JARDIM ANALICE</t>
  </si>
  <si>
    <t>BC 002</t>
  </si>
  <si>
    <t>BC 003</t>
  </si>
  <si>
    <t>BC 004</t>
  </si>
  <si>
    <t>BC 005</t>
  </si>
  <si>
    <t>JARDIM SERÁFICO</t>
  </si>
  <si>
    <t>BC 006</t>
  </si>
  <si>
    <t>JARDIM PAULO CAMPOS</t>
  </si>
  <si>
    <t>4BC</t>
  </si>
  <si>
    <t>BC 007</t>
  </si>
  <si>
    <t>JARDIM BEATRIZ</t>
  </si>
  <si>
    <t>BC 008</t>
  </si>
  <si>
    <t>JARDIM ANTONIETA</t>
  </si>
  <si>
    <t>BC 009</t>
  </si>
  <si>
    <t>JARDIM LUSO</t>
  </si>
  <si>
    <t>BC 010</t>
  </si>
  <si>
    <t>BC 011</t>
  </si>
  <si>
    <t>JARDIM OURINHO</t>
  </si>
  <si>
    <t>BC 012</t>
  </si>
  <si>
    <t>5NF</t>
  </si>
  <si>
    <t>THALES REBES</t>
  </si>
  <si>
    <t>NF 001</t>
  </si>
  <si>
    <t>NF 002</t>
  </si>
  <si>
    <t>NF 003</t>
  </si>
  <si>
    <t>NF 004</t>
  </si>
  <si>
    <t>NF 005</t>
  </si>
  <si>
    <t>JARDIM BARROS</t>
  </si>
  <si>
    <t>NF 006</t>
  </si>
  <si>
    <t>JARDIM GUEDALA</t>
  </si>
  <si>
    <t>6NF</t>
  </si>
  <si>
    <t>NF 007</t>
  </si>
  <si>
    <t>NF 008</t>
  </si>
  <si>
    <t>JARDIM ALEXANDRE</t>
  </si>
  <si>
    <t>NF 009</t>
  </si>
  <si>
    <t>DIVISA BORDA DO CAMPO</t>
  </si>
  <si>
    <t>NF 010</t>
  </si>
  <si>
    <t>NF 011</t>
  </si>
  <si>
    <t>NF 012</t>
  </si>
  <si>
    <t>7LM</t>
  </si>
  <si>
    <t>LM 001</t>
  </si>
  <si>
    <t>PRAÇA SANTA ANNA</t>
  </si>
  <si>
    <t>LM 002</t>
  </si>
  <si>
    <t>TERMINAL CENTRO LM</t>
  </si>
  <si>
    <t>LM 003</t>
  </si>
  <si>
    <t>LM 004</t>
  </si>
  <si>
    <t>LM 005</t>
  </si>
  <si>
    <t>CASA DE DEUS</t>
  </si>
  <si>
    <t>8LM</t>
  </si>
  <si>
    <t>LM 006</t>
  </si>
  <si>
    <t>VILA MARIANO</t>
  </si>
  <si>
    <t>LM 007</t>
  </si>
  <si>
    <t>JARDIM DOM JOSÉ</t>
  </si>
  <si>
    <t>LM 008</t>
  </si>
  <si>
    <t>DONA ALMERINDA</t>
  </si>
  <si>
    <t>LM 009</t>
  </si>
  <si>
    <t>DIVISA NOVA FAZENDA</t>
  </si>
  <si>
    <t>LM 010</t>
  </si>
  <si>
    <t>Pontal Noroeste</t>
  </si>
  <si>
    <t>Moinho Novo</t>
  </si>
  <si>
    <t>Borda do Campo - Reg. Leste</t>
  </si>
  <si>
    <t>Borda do Campo - Reg. Oeste</t>
  </si>
  <si>
    <t>Nova Fazenda - Reg. Norte</t>
  </si>
  <si>
    <t>Nova Fazenda - Reg. Sul</t>
  </si>
  <si>
    <t>Limoeiro - Reg. Leste</t>
  </si>
  <si>
    <t>Limoeiro - Reg. Oeste</t>
  </si>
  <si>
    <t>A1803</t>
  </si>
  <si>
    <t>Terminal Quartel</t>
  </si>
  <si>
    <t>Terminal Vila Nacional</t>
  </si>
  <si>
    <t>A1605</t>
  </si>
  <si>
    <t>Terminal Indústrias</t>
  </si>
  <si>
    <t>A2606</t>
  </si>
  <si>
    <t>Terminal Rodoferroviário</t>
  </si>
  <si>
    <t>A3501</t>
  </si>
  <si>
    <t>Terminal Lagos do Sul</t>
  </si>
  <si>
    <t>Terminal Gusmão Dias</t>
  </si>
  <si>
    <t>A3602</t>
  </si>
  <si>
    <t>A1853</t>
  </si>
  <si>
    <t>A2654</t>
  </si>
  <si>
    <t>A3551</t>
  </si>
  <si>
    <t>A1704</t>
  </si>
  <si>
    <t>Terminal Tamandaré</t>
  </si>
  <si>
    <t>A2507</t>
  </si>
  <si>
    <t>A3652</t>
  </si>
  <si>
    <t>Josè Belmiro</t>
  </si>
  <si>
    <t>A4608</t>
  </si>
  <si>
    <t>A4655</t>
  </si>
  <si>
    <t>A4721</t>
  </si>
  <si>
    <t>Circular Integrador Sul</t>
  </si>
  <si>
    <t>A4722</t>
  </si>
  <si>
    <t>A5010</t>
  </si>
  <si>
    <t>UNERP</t>
  </si>
  <si>
    <t>Circular Integrador I</t>
  </si>
  <si>
    <t>A5065</t>
  </si>
  <si>
    <t>Parada Jardim Atlântico</t>
  </si>
  <si>
    <t>Circular Centro A</t>
  </si>
  <si>
    <t>A5076</t>
  </si>
  <si>
    <t>Parada Centro de Compras</t>
  </si>
  <si>
    <t>Circular Centro B</t>
  </si>
  <si>
    <t>A5087</t>
  </si>
  <si>
    <t>Parada Jardim Cristo Rei</t>
  </si>
  <si>
    <t>Circular Centro C</t>
  </si>
  <si>
    <t>A6020</t>
  </si>
  <si>
    <t>Estação Mirashopping</t>
  </si>
  <si>
    <t>Circular Integrador II A</t>
  </si>
  <si>
    <t>A6030</t>
  </si>
  <si>
    <t>Circular Integrador II HA</t>
  </si>
  <si>
    <t>A6040</t>
  </si>
  <si>
    <t>Circular Integrador III</t>
  </si>
  <si>
    <t>A6050</t>
  </si>
  <si>
    <t>Circular Integrador IV</t>
  </si>
  <si>
    <t>B7101</t>
  </si>
  <si>
    <t>Terminal Carlos de Campos</t>
  </si>
  <si>
    <t>B7114</t>
  </si>
  <si>
    <t>Circular Vila Uberaba</t>
  </si>
  <si>
    <t>B7127</t>
  </si>
  <si>
    <t>Terminal Quartel - via Polo Industrial</t>
  </si>
  <si>
    <t>B7130</t>
  </si>
  <si>
    <t>B7140</t>
  </si>
  <si>
    <t>Mirashopping via Centro Empresl.</t>
  </si>
  <si>
    <t>B8108</t>
  </si>
  <si>
    <t>Observatório Municipal</t>
  </si>
  <si>
    <t>Terminal Carlos Campos</t>
  </si>
  <si>
    <t>B8111</t>
  </si>
  <si>
    <t>B8117</t>
  </si>
  <si>
    <t>Terminal Quartel - via FEM</t>
  </si>
  <si>
    <t>B8124</t>
  </si>
  <si>
    <t>Mirashopping - via Museu da Indústria</t>
  </si>
  <si>
    <t>B8133</t>
  </si>
  <si>
    <t>Circular Estação Carlos de Campos</t>
  </si>
  <si>
    <t>B9202</t>
  </si>
  <si>
    <t>Conjunto Habitacional Vale do Sol</t>
  </si>
  <si>
    <t>B9218</t>
  </si>
  <si>
    <t>Circular Parque Damasco H</t>
  </si>
  <si>
    <t>B9221</t>
  </si>
  <si>
    <t>Circular Parque Damasco AH</t>
  </si>
  <si>
    <t>B9228</t>
  </si>
  <si>
    <t>B9231</t>
  </si>
  <si>
    <t>Jardim das Oliveiras</t>
  </si>
  <si>
    <t>B9234</t>
  </si>
  <si>
    <t>Mirashopping</t>
  </si>
  <si>
    <t>B10205</t>
  </si>
  <si>
    <t>Clube Hípico</t>
  </si>
  <si>
    <t>B10212</t>
  </si>
  <si>
    <t>Parque da Luz</t>
  </si>
  <si>
    <t>B10215</t>
  </si>
  <si>
    <t>Terminal Quartel - via Jd. Global</t>
  </si>
  <si>
    <t>B10237</t>
  </si>
  <si>
    <t>Term. Gusmão Dias - via UNERP</t>
  </si>
  <si>
    <t>B10243</t>
  </si>
  <si>
    <t>Term. Gusmão Dias - via Sta. Marta</t>
  </si>
  <si>
    <t>B11303</t>
  </si>
  <si>
    <t>Jardim Iracema</t>
  </si>
  <si>
    <t>B11306</t>
  </si>
  <si>
    <t>Vila Tapajós</t>
  </si>
  <si>
    <t>B11319</t>
  </si>
  <si>
    <t>Circular Jardim Romano H</t>
  </si>
  <si>
    <t>B11322</t>
  </si>
  <si>
    <t>Circular Jardim Romano AH</t>
  </si>
  <si>
    <t>B11335</t>
  </si>
  <si>
    <t>Parque das Águas</t>
  </si>
  <si>
    <t>B11338</t>
  </si>
  <si>
    <t>Bairro Manoel Ferreira</t>
  </si>
  <si>
    <t>B11346</t>
  </si>
  <si>
    <t>B11349</t>
  </si>
  <si>
    <t>Centro Empresarial</t>
  </si>
  <si>
    <t>B12309</t>
  </si>
  <si>
    <t>Circular Vila Hiroshima H</t>
  </si>
  <si>
    <t>B12316</t>
  </si>
  <si>
    <t>Circular Vila Hiroshima AH</t>
  </si>
  <si>
    <t>B12325</t>
  </si>
  <si>
    <t>Circular Parque Tamandaré</t>
  </si>
  <si>
    <t>B12332</t>
  </si>
  <si>
    <t>Vila Princesa Isabel</t>
  </si>
  <si>
    <t>B12341</t>
  </si>
  <si>
    <t>Jardim Amazonas</t>
  </si>
  <si>
    <t>B12344</t>
  </si>
  <si>
    <t>Shopping Belas Artes</t>
  </si>
  <si>
    <t>B12348</t>
  </si>
  <si>
    <t>VILA INGLESA</t>
  </si>
  <si>
    <t>B13404</t>
  </si>
  <si>
    <t>Vila dos Ypês</t>
  </si>
  <si>
    <t>B13407</t>
  </si>
  <si>
    <t>Circular Vila Petrolina H</t>
  </si>
  <si>
    <t>B13410</t>
  </si>
  <si>
    <t>Circular Vila Petrolina AH</t>
  </si>
  <si>
    <t>B13420</t>
  </si>
  <si>
    <t>Parque das Pedras</t>
  </si>
  <si>
    <t>B13436</t>
  </si>
  <si>
    <t>Circular Polo Indústrial I</t>
  </si>
  <si>
    <t>B13445</t>
  </si>
  <si>
    <t>Circular Parque Indústrial II</t>
  </si>
  <si>
    <t>B14413</t>
  </si>
  <si>
    <t>Jardim Britânico</t>
  </si>
  <si>
    <t>B14423</t>
  </si>
  <si>
    <t>Bairro Camargo Corrêa</t>
  </si>
  <si>
    <t>B14426</t>
  </si>
  <si>
    <t>Jardim das Margaridas</t>
  </si>
  <si>
    <t>B14429</t>
  </si>
  <si>
    <t>Parque América</t>
  </si>
  <si>
    <t>B14439</t>
  </si>
  <si>
    <t>Circular Santa Casa H</t>
  </si>
  <si>
    <t>B14442</t>
  </si>
  <si>
    <t>Circular Santa Casa AH</t>
  </si>
  <si>
    <t>B14447</t>
  </si>
  <si>
    <t>Miraporanga - Lote 1</t>
  </si>
  <si>
    <t>Miraporanga - Lote 2</t>
  </si>
  <si>
    <t>Miraporanga - Lote 3</t>
  </si>
  <si>
    <t>Miraporanga - Lote 4</t>
  </si>
  <si>
    <t>Miraporanga - Lote 5</t>
  </si>
  <si>
    <t>Miraporanga - Lote 6</t>
  </si>
  <si>
    <t>Miraporanga - Lote 7</t>
  </si>
  <si>
    <t>Miraporanga - Lote 8</t>
  </si>
  <si>
    <t>Miraporanga - Lote 9</t>
  </si>
  <si>
    <t>Metropol. de Barbarema - Área 1</t>
  </si>
  <si>
    <t>Metropol. de Barbarema - Área 2</t>
  </si>
  <si>
    <t>Metropol. de Itajubinha - Área 1</t>
  </si>
  <si>
    <t>Metropol. de Itajubinha - Área 2</t>
  </si>
  <si>
    <t>Metropol. de João Batista - Área 1</t>
  </si>
  <si>
    <t>Metropol. de João Batista - Área 2</t>
  </si>
  <si>
    <t>Metropol. de Lagos do Sul - Área 1</t>
  </si>
  <si>
    <t>Metropol. de Lagos do Sul - Área 2</t>
  </si>
  <si>
    <t>Metropol. de Leões - Área 1</t>
  </si>
  <si>
    <t>Metropol. de Leões - Área 2</t>
  </si>
  <si>
    <t>Metropol. de São Gabriel - Área 1</t>
  </si>
  <si>
    <t>Metropol. de São Gabriel - Área 2</t>
  </si>
  <si>
    <t>701A</t>
  </si>
  <si>
    <t>Terminal Armando Dutra</t>
  </si>
  <si>
    <t>Barbarema - Terminal Centro (Expresso)</t>
  </si>
  <si>
    <t>705A</t>
  </si>
  <si>
    <t>Barbarema - Terminal Centro</t>
  </si>
  <si>
    <t>709S</t>
  </si>
  <si>
    <t>Barbarema - Terminal Centro (Intercity)</t>
  </si>
  <si>
    <t>711P</t>
  </si>
  <si>
    <t>Barbarema - São Cristóvão</t>
  </si>
  <si>
    <t>713P</t>
  </si>
  <si>
    <t>717C</t>
  </si>
  <si>
    <t>Barbarema - Jd. Cristália</t>
  </si>
  <si>
    <t>703A</t>
  </si>
  <si>
    <t>707A</t>
  </si>
  <si>
    <t>715P</t>
  </si>
  <si>
    <t>Barbarema - Jd. Das Figueiras</t>
  </si>
  <si>
    <t>719C</t>
  </si>
  <si>
    <t>721C</t>
  </si>
  <si>
    <t>723C</t>
  </si>
  <si>
    <t>Barbarema - Jd. Arpoador</t>
  </si>
  <si>
    <t>751A</t>
  </si>
  <si>
    <t>Itajubinha - Term. Centro (Expresso)</t>
  </si>
  <si>
    <t>755P</t>
  </si>
  <si>
    <t>Itajubinha - Vila das Dores</t>
  </si>
  <si>
    <t>757P</t>
  </si>
  <si>
    <t>Itajubinha - Vila Alves</t>
  </si>
  <si>
    <t>763C</t>
  </si>
  <si>
    <t>Itajubinha - Jd. Gumercindo</t>
  </si>
  <si>
    <t>765C</t>
  </si>
  <si>
    <t>Itajubinha - Jd. Das Flores</t>
  </si>
  <si>
    <t>767C</t>
  </si>
  <si>
    <t>Itajubinha - Conj. Habit. Praxedes II</t>
  </si>
  <si>
    <t>753A</t>
  </si>
  <si>
    <t>Itajubinha - Term. Centro</t>
  </si>
  <si>
    <t>759P</t>
  </si>
  <si>
    <t>Itajubinha - Planalto I</t>
  </si>
  <si>
    <t>761P</t>
  </si>
  <si>
    <t>Itajubinha - Planalto II</t>
  </si>
  <si>
    <t>769C</t>
  </si>
  <si>
    <t>Itajubinha - Conj. Habit. Praxedes I</t>
  </si>
  <si>
    <t>771C</t>
  </si>
  <si>
    <t>Itajubinha - Alves Filho</t>
  </si>
  <si>
    <t>801A</t>
  </si>
  <si>
    <t>João Baptista - Terminal Centro (Expresso)</t>
  </si>
  <si>
    <t>807A</t>
  </si>
  <si>
    <t>João Baptista - Terminal Centro</t>
  </si>
  <si>
    <t>809P</t>
  </si>
  <si>
    <t>João Baptista - Vila das Garças</t>
  </si>
  <si>
    <t>811P</t>
  </si>
  <si>
    <t>João Baptista - Vila Apoteose</t>
  </si>
  <si>
    <t>817C</t>
  </si>
  <si>
    <t>João Baptista - Jd. Cinira</t>
  </si>
  <si>
    <t>819C</t>
  </si>
  <si>
    <t>João Baptista - Jd. Cascavel</t>
  </si>
  <si>
    <t>803A</t>
  </si>
  <si>
    <t>805A</t>
  </si>
  <si>
    <t>813P</t>
  </si>
  <si>
    <t>João Baptista - Jd. Das Indústrias</t>
  </si>
  <si>
    <t>815P</t>
  </si>
  <si>
    <t>821C</t>
  </si>
  <si>
    <t>João Baptista - Distrito II</t>
  </si>
  <si>
    <t>823C</t>
  </si>
  <si>
    <t>851A</t>
  </si>
  <si>
    <t>Lagos do Sul - Term. Centro</t>
  </si>
  <si>
    <t>855S</t>
  </si>
  <si>
    <t>Lagos do Sul - Term. Rodoviário</t>
  </si>
  <si>
    <t>857P</t>
  </si>
  <si>
    <t>Lagos do Sul - Vila Sofia</t>
  </si>
  <si>
    <t>859P</t>
  </si>
  <si>
    <t>Lagos do Sul - Vila Prestes</t>
  </si>
  <si>
    <t>867C</t>
  </si>
  <si>
    <t>Lagos do Sul - Jd. Dos Passáros</t>
  </si>
  <si>
    <t>869C</t>
  </si>
  <si>
    <t>Lagos do Sul - Jd. Dos Maias</t>
  </si>
  <si>
    <t>853A</t>
  </si>
  <si>
    <t>865P</t>
  </si>
  <si>
    <t>Lagos do Sul - Roseiral</t>
  </si>
  <si>
    <t>861P</t>
  </si>
  <si>
    <t>Lagos do Sul - Vila Hamburguesa</t>
  </si>
  <si>
    <t>863P</t>
  </si>
  <si>
    <t>871C</t>
  </si>
  <si>
    <t>Lagos do Sul - Jd. Centenário</t>
  </si>
  <si>
    <t>873C</t>
  </si>
  <si>
    <t>Lagos do Sul - Cidade Azul</t>
  </si>
  <si>
    <t>901A</t>
  </si>
  <si>
    <t>903A</t>
  </si>
  <si>
    <t>907S</t>
  </si>
  <si>
    <t>911P</t>
  </si>
  <si>
    <t>913P</t>
  </si>
  <si>
    <t>915C</t>
  </si>
  <si>
    <t>905A</t>
  </si>
  <si>
    <t>Leões - Terminal Carlos Munhoz</t>
  </si>
  <si>
    <t>909P</t>
  </si>
  <si>
    <t>Terminal Bandeirante</t>
  </si>
  <si>
    <t>Leões - Vila Sete</t>
  </si>
  <si>
    <t>917C</t>
  </si>
  <si>
    <t>Terminal Rod. Miraporanga</t>
  </si>
  <si>
    <t>Leões - Jd. Planalto</t>
  </si>
  <si>
    <t>919C</t>
  </si>
  <si>
    <t>Leões - Jd. Planalto II</t>
  </si>
  <si>
    <t>921C</t>
  </si>
  <si>
    <t>Leões - Jd. Coimbra</t>
  </si>
  <si>
    <t>951A</t>
  </si>
  <si>
    <t>São Gabriel - Terminal Centro</t>
  </si>
  <si>
    <t>953A</t>
  </si>
  <si>
    <t>São Gabriel - Terminal Centro (Expresso)</t>
  </si>
  <si>
    <t>959P</t>
  </si>
  <si>
    <t>São Gabriel - Vila Pontes</t>
  </si>
  <si>
    <t>961P</t>
  </si>
  <si>
    <t>São Gabriel - Vila Passos</t>
  </si>
  <si>
    <t>965C</t>
  </si>
  <si>
    <t>São Gabriel - Vila Campestre</t>
  </si>
  <si>
    <t>955A</t>
  </si>
  <si>
    <t>957S</t>
  </si>
  <si>
    <t>São Gabriel - Term. Rodoviário</t>
  </si>
  <si>
    <t>963P</t>
  </si>
  <si>
    <t>São Gabriel - Vila Napolitana</t>
  </si>
  <si>
    <t>967C</t>
  </si>
  <si>
    <t>São Gabriel - São Gualter</t>
  </si>
  <si>
    <t>969C</t>
  </si>
  <si>
    <t>São Gabriel - Jd. Martinez</t>
  </si>
  <si>
    <t>101-1</t>
  </si>
  <si>
    <t>TERMINAL VILA GERMÂNIA</t>
  </si>
  <si>
    <t>TERMINAL CENTRO NOVO</t>
  </si>
  <si>
    <t>101-2</t>
  </si>
  <si>
    <t>TERMINAL JD. MAESTRO</t>
  </si>
  <si>
    <t>101-3</t>
  </si>
  <si>
    <t>TERMINAL JOSÉ SALDANHA</t>
  </si>
  <si>
    <t>101-4</t>
  </si>
  <si>
    <t>VILA CURUÇÁ</t>
  </si>
  <si>
    <t>VILA CANDUÍ</t>
  </si>
  <si>
    <t>101-5</t>
  </si>
  <si>
    <t>PRAÇA CASTELLARI</t>
  </si>
  <si>
    <t>101-6</t>
  </si>
  <si>
    <t>JD. SETE PASSOS</t>
  </si>
  <si>
    <t>101-7</t>
  </si>
  <si>
    <t>VILA DIVA</t>
  </si>
  <si>
    <t>101-8</t>
  </si>
  <si>
    <t>102-1</t>
  </si>
  <si>
    <t>TERMINAL BOITUVA</t>
  </si>
  <si>
    <t>102-2</t>
  </si>
  <si>
    <t>JD. SÃO BORGES</t>
  </si>
  <si>
    <t>102-3</t>
  </si>
  <si>
    <t>102-4</t>
  </si>
  <si>
    <t>VILA CATANDUVA</t>
  </si>
  <si>
    <t>102-5</t>
  </si>
  <si>
    <t>102-6</t>
  </si>
  <si>
    <t>VILA SÃO TOMÉ</t>
  </si>
  <si>
    <t>102-7</t>
  </si>
  <si>
    <t>JD. DONA AMELLIE</t>
  </si>
  <si>
    <t>103-1</t>
  </si>
  <si>
    <t>103-2</t>
  </si>
  <si>
    <t>JD. CAMPOS</t>
  </si>
  <si>
    <t>103-3</t>
  </si>
  <si>
    <t>VILA ANTONIO</t>
  </si>
  <si>
    <t>103-4</t>
  </si>
  <si>
    <t>VILA MELO</t>
  </si>
  <si>
    <t>PRAÇA BONEAR</t>
  </si>
  <si>
    <t>103-5</t>
  </si>
  <si>
    <t>SÃO VITOR</t>
  </si>
  <si>
    <t>103-6</t>
  </si>
  <si>
    <t>103-7</t>
  </si>
  <si>
    <t>VILA XXIII</t>
  </si>
  <si>
    <t>201-1</t>
  </si>
  <si>
    <t>TERM. ROD. JOSÉ SALDANHA</t>
  </si>
  <si>
    <t>201-2</t>
  </si>
  <si>
    <t>VILA CANDUCA</t>
  </si>
  <si>
    <t>201-3</t>
  </si>
  <si>
    <t>JD. ALTAMIRA</t>
  </si>
  <si>
    <t>201-4</t>
  </si>
  <si>
    <t>JD. VIDIGAL</t>
  </si>
  <si>
    <t>201-5</t>
  </si>
  <si>
    <t>JD. BOM TEMPO</t>
  </si>
  <si>
    <t>201-6</t>
  </si>
  <si>
    <t>JD. DA PAZ</t>
  </si>
  <si>
    <t>201-7</t>
  </si>
  <si>
    <t>JD. NOBRE</t>
  </si>
  <si>
    <t>TERM. CENTRO NOVO</t>
  </si>
  <si>
    <t>201-8</t>
  </si>
  <si>
    <t>VILA ADALGISA</t>
  </si>
  <si>
    <t>201-9</t>
  </si>
  <si>
    <t>202-1</t>
  </si>
  <si>
    <t>TERM. VILA GERMÂNIA - via METRÔ SANTOS</t>
  </si>
  <si>
    <t>202-2</t>
  </si>
  <si>
    <t>VILA BANDEIRANTE</t>
  </si>
  <si>
    <t>202-4</t>
  </si>
  <si>
    <t>TERM. JD. MAESTRO</t>
  </si>
  <si>
    <t>202-3</t>
  </si>
  <si>
    <t>202-5</t>
  </si>
  <si>
    <t>202-7</t>
  </si>
  <si>
    <t>JD. ROSINHA DE SÁ</t>
  </si>
  <si>
    <t>202-6</t>
  </si>
  <si>
    <t>VILA SAPOTI</t>
  </si>
  <si>
    <t>203-1</t>
  </si>
  <si>
    <t>JD. NÉRIS</t>
  </si>
  <si>
    <t>203-2</t>
  </si>
  <si>
    <t>VILA SARDINHA</t>
  </si>
  <si>
    <t>203-3</t>
  </si>
  <si>
    <t>VILA CANDÉ</t>
  </si>
  <si>
    <t>203-4</t>
  </si>
  <si>
    <t>PRAÇA CLÓVIS</t>
  </si>
  <si>
    <t>203-5</t>
  </si>
  <si>
    <t>301-1</t>
  </si>
  <si>
    <t>301-2</t>
  </si>
  <si>
    <t>VILA CANCIONÁRIO</t>
  </si>
  <si>
    <t>301-3</t>
  </si>
  <si>
    <t>301-4</t>
  </si>
  <si>
    <t>301-5</t>
  </si>
  <si>
    <t>301-6</t>
  </si>
  <si>
    <t>301-7</t>
  </si>
  <si>
    <t>JD. GUALBERTO</t>
  </si>
  <si>
    <t>VILA BANZÉ</t>
  </si>
  <si>
    <t>301-8</t>
  </si>
  <si>
    <t>VILA DOS PÁSSAROS</t>
  </si>
  <si>
    <t>VILA DOS PADEIROS</t>
  </si>
  <si>
    <t>301-9</t>
  </si>
  <si>
    <t>302-1</t>
  </si>
  <si>
    <t>302-2</t>
  </si>
  <si>
    <t>302-3</t>
  </si>
  <si>
    <t>JD. DOS ANTIQUÁRIOS</t>
  </si>
  <si>
    <t>302-4</t>
  </si>
  <si>
    <t>VILA ANDRADINA</t>
  </si>
  <si>
    <t>JD. DOS PORTUGUESES</t>
  </si>
  <si>
    <t>302-7</t>
  </si>
  <si>
    <t>BOITUVINHA</t>
  </si>
  <si>
    <t>302-5</t>
  </si>
  <si>
    <t>SANTO PLINIO</t>
  </si>
  <si>
    <t>JD. CAIO VAZ</t>
  </si>
  <si>
    <t>302-6</t>
  </si>
  <si>
    <t>JD. DOS ANDRADAS</t>
  </si>
  <si>
    <t>TAMBUÍ</t>
  </si>
  <si>
    <t>401-1</t>
  </si>
  <si>
    <t>TERM. JULIA ALVES</t>
  </si>
  <si>
    <t>TERMINAL TAVARES</t>
  </si>
  <si>
    <t>401-2</t>
  </si>
  <si>
    <t>401-3</t>
  </si>
  <si>
    <t>401-4</t>
  </si>
  <si>
    <t>VILA BUEMI</t>
  </si>
  <si>
    <t>VILA DOS MICOS</t>
  </si>
  <si>
    <t>401-5</t>
  </si>
  <si>
    <t>VILA DOS PRAZERES</t>
  </si>
  <si>
    <t>401-6</t>
  </si>
  <si>
    <t>JD. CANDINHA</t>
  </si>
  <si>
    <t>401-7</t>
  </si>
  <si>
    <t>401-8</t>
  </si>
  <si>
    <t>401-9</t>
  </si>
  <si>
    <t>JD. VALÉRIO</t>
  </si>
  <si>
    <t>402-1</t>
  </si>
  <si>
    <t>VILA DOS MARICÁS</t>
  </si>
  <si>
    <t>JD. PONTUAL</t>
  </si>
  <si>
    <t>402-2</t>
  </si>
  <si>
    <t>402-3</t>
  </si>
  <si>
    <t>METRÔ - VILA RÉ</t>
  </si>
  <si>
    <t>402-4</t>
  </si>
  <si>
    <t>402-5</t>
  </si>
  <si>
    <t>402-6</t>
  </si>
  <si>
    <t>VILA TENÓRIO</t>
  </si>
  <si>
    <t>402-7</t>
  </si>
  <si>
    <t>JD. DOS ARGENTINOS</t>
  </si>
  <si>
    <t>402-8</t>
  </si>
  <si>
    <t>VILA DUZÉ</t>
  </si>
  <si>
    <t>402-9</t>
  </si>
  <si>
    <t>JD. DOS CRISTAIS</t>
  </si>
  <si>
    <t>PLANALTINA</t>
  </si>
  <si>
    <t>403-1</t>
  </si>
  <si>
    <t>METRÔ - SANCHEZ</t>
  </si>
  <si>
    <t>403-4</t>
  </si>
  <si>
    <t>JD. CAMPANÁRIO</t>
  </si>
  <si>
    <t>403-2</t>
  </si>
  <si>
    <t>VILA ANDRADINA - via JD. SÉRGIO</t>
  </si>
  <si>
    <t>403-3</t>
  </si>
  <si>
    <t>403-5</t>
  </si>
  <si>
    <t>CARLOS CINTRA</t>
  </si>
  <si>
    <t>JD. DOS PASSAROS</t>
  </si>
  <si>
    <t>403-6</t>
  </si>
  <si>
    <t>JD. DOS REIS</t>
  </si>
  <si>
    <t>VILA AURORA</t>
  </si>
  <si>
    <t>501-1</t>
  </si>
  <si>
    <t>TERMINAL ALICERCE via PRADOSO</t>
  </si>
  <si>
    <t>501-2</t>
  </si>
  <si>
    <t>JD. DO ZOOLÓGICO</t>
  </si>
  <si>
    <t>501-3</t>
  </si>
  <si>
    <t>PRAÇA BOA VISTA</t>
  </si>
  <si>
    <t>501-4</t>
  </si>
  <si>
    <t>TERMINAL ALICERCE</t>
  </si>
  <si>
    <t>VILA SANTO SÁ</t>
  </si>
  <si>
    <t>501-5</t>
  </si>
  <si>
    <t>JD. AMARO</t>
  </si>
  <si>
    <t>501-6</t>
  </si>
  <si>
    <t>JD. DAS VIRTUDES</t>
  </si>
  <si>
    <t>501-7</t>
  </si>
  <si>
    <t>VILA SANTA FÉ</t>
  </si>
  <si>
    <t>JD. DUÍLIO</t>
  </si>
  <si>
    <t>501-8</t>
  </si>
  <si>
    <t>SAPOTI</t>
  </si>
  <si>
    <t>501-9</t>
  </si>
  <si>
    <t>PRAÇA ALTEMAR</t>
  </si>
  <si>
    <t>502-1</t>
  </si>
  <si>
    <t>TERMINAL ALICERCE via CANDIDO</t>
  </si>
  <si>
    <t>502-2</t>
  </si>
  <si>
    <t>PRAÇA BOA VISTA via Monteiro</t>
  </si>
  <si>
    <t>502-3</t>
  </si>
  <si>
    <t>JD. GLÓRIA</t>
  </si>
  <si>
    <t>502-4</t>
  </si>
  <si>
    <t>JD. SÃO GUALTER</t>
  </si>
  <si>
    <t>502-5</t>
  </si>
  <si>
    <t>JD. SÃO VALÉRIO</t>
  </si>
  <si>
    <t>502-6</t>
  </si>
  <si>
    <t>JD. DOS IMBUIAS</t>
  </si>
  <si>
    <t>502-7</t>
  </si>
  <si>
    <t>VILA DA VIOLA</t>
  </si>
  <si>
    <t>502-8</t>
  </si>
  <si>
    <t>JD. DO PRADO</t>
  </si>
  <si>
    <t>503-1</t>
  </si>
  <si>
    <t>PRAÇA BOA VISTA via Radial</t>
  </si>
  <si>
    <t>503-2</t>
  </si>
  <si>
    <t>VILA SÃO JOSÉ</t>
  </si>
  <si>
    <t>503-3</t>
  </si>
  <si>
    <t>VILA JARDIM</t>
  </si>
  <si>
    <t>503-4</t>
  </si>
  <si>
    <t>JD. DOS PORTOS</t>
  </si>
  <si>
    <t>503-5</t>
  </si>
  <si>
    <t>JD. DAS FLORES</t>
  </si>
  <si>
    <t>503-6</t>
  </si>
  <si>
    <t>JD. DOS CANÁRIOS</t>
  </si>
  <si>
    <t>503-7</t>
  </si>
  <si>
    <t>JD. PRUDÊNCIA</t>
  </si>
  <si>
    <t>VILA DO JUÍZO</t>
  </si>
  <si>
    <t>601-1</t>
  </si>
  <si>
    <t>TERM. VILA LEONOR</t>
  </si>
  <si>
    <t>601-2</t>
  </si>
  <si>
    <t>601-3</t>
  </si>
  <si>
    <t>601-4</t>
  </si>
  <si>
    <t xml:space="preserve"> AEROPORTO via OESTE</t>
  </si>
  <si>
    <t>601-5</t>
  </si>
  <si>
    <t>JD. DAS MARÉS</t>
  </si>
  <si>
    <t>SANTA PAULA</t>
  </si>
  <si>
    <t>601-6</t>
  </si>
  <si>
    <t>VILA DOS JESUÍTAS</t>
  </si>
  <si>
    <t>MARECHAL MARINHO</t>
  </si>
  <si>
    <t>601-7</t>
  </si>
  <si>
    <t>JD. MELO</t>
  </si>
  <si>
    <t>VILA DOS PIMENTAS</t>
  </si>
  <si>
    <t>601-8</t>
  </si>
  <si>
    <t>JD. DOS LEÕES</t>
  </si>
  <si>
    <t>VILA JACI</t>
  </si>
  <si>
    <t>601-9</t>
  </si>
  <si>
    <t>METRÔ - VILA ALPINA</t>
  </si>
  <si>
    <t>602-1</t>
  </si>
  <si>
    <t>602-2</t>
  </si>
  <si>
    <t>AEROPORTO via LESTE</t>
  </si>
  <si>
    <t>602-3</t>
  </si>
  <si>
    <t>PRAÇA CASTELLARI via JD. ANÍSIO</t>
  </si>
  <si>
    <t>602-4</t>
  </si>
  <si>
    <t>602-5</t>
  </si>
  <si>
    <t>JD. CELESTIAL</t>
  </si>
  <si>
    <t>602-6</t>
  </si>
  <si>
    <t>JD. DOS CORONÉIS</t>
  </si>
  <si>
    <t>JD. DO ARTESÃO</t>
  </si>
  <si>
    <t>602-7</t>
  </si>
  <si>
    <t>JD. DOS COREANOS</t>
  </si>
  <si>
    <t>VILA PRUDENTINA</t>
  </si>
  <si>
    <t>602-8</t>
  </si>
  <si>
    <t>PONTO VERDE</t>
  </si>
  <si>
    <t>JD. MANCHESTER</t>
  </si>
  <si>
    <t>603-1</t>
  </si>
  <si>
    <t>JD. DAS CRUZES</t>
  </si>
  <si>
    <t>603-2</t>
  </si>
  <si>
    <t>DIVISA PINHEIRAIS</t>
  </si>
  <si>
    <t>603-3</t>
  </si>
  <si>
    <t>JD. CANTUÁRIA</t>
  </si>
  <si>
    <t>603-4</t>
  </si>
  <si>
    <t>VILA SOUTO</t>
  </si>
  <si>
    <t>JD. PARANAPANEMA</t>
  </si>
  <si>
    <t>603-5</t>
  </si>
  <si>
    <t>VILA PORTUGAL</t>
  </si>
  <si>
    <t>JD. DUTRA</t>
  </si>
  <si>
    <t>603-6</t>
  </si>
  <si>
    <t>JD. DO PLANETÁRIO</t>
  </si>
  <si>
    <t>VILA VERDE</t>
  </si>
  <si>
    <t>603-7</t>
  </si>
  <si>
    <t>PONTO ALTO</t>
  </si>
  <si>
    <t>JD. DOS PADRES</t>
  </si>
  <si>
    <t>603-8</t>
  </si>
  <si>
    <t>JD. CAMPESTRE</t>
  </si>
  <si>
    <t>PIRACEMA</t>
  </si>
  <si>
    <t>701-1</t>
  </si>
  <si>
    <t>AEROPORTO</t>
  </si>
  <si>
    <t>701-2</t>
  </si>
  <si>
    <t>METRÔ - CATÃO</t>
  </si>
  <si>
    <t>701-3</t>
  </si>
  <si>
    <t>PIRATIBA</t>
  </si>
  <si>
    <t>701-4</t>
  </si>
  <si>
    <t>VILA JOANIZA</t>
  </si>
  <si>
    <t>701-5</t>
  </si>
  <si>
    <t>702-1</t>
  </si>
  <si>
    <t>702-2</t>
  </si>
  <si>
    <t>METRÔ - ANDALUZ</t>
  </si>
  <si>
    <t>702-3</t>
  </si>
  <si>
    <t>VILA DA RÉ</t>
  </si>
  <si>
    <t>702-4</t>
  </si>
  <si>
    <t>PRAÇA ANTONIETA</t>
  </si>
  <si>
    <t>702-5</t>
  </si>
  <si>
    <t>SÃO CARMO</t>
  </si>
  <si>
    <t>702-6</t>
  </si>
  <si>
    <t>JD. TOMÉ</t>
  </si>
  <si>
    <t>Munic. de BDP - Área 1.1</t>
  </si>
  <si>
    <t>Munic. de BDP - Área 1.2</t>
  </si>
  <si>
    <t>Munic. de BDP - Área 1.3</t>
  </si>
  <si>
    <t>Munic. de BDP - Área 2.1</t>
  </si>
  <si>
    <t>Munic. de BDP - Área 2.2</t>
  </si>
  <si>
    <t>Munic. de BDP - Área 2.3</t>
  </si>
  <si>
    <t>Munic. de BDP - Área 3.1</t>
  </si>
  <si>
    <t>Munic. de BDP - Área 3.2</t>
  </si>
  <si>
    <t>Munic. de BDP - Área 4.1</t>
  </si>
  <si>
    <t>Munic. de BDP - Área 4.2</t>
  </si>
  <si>
    <t>Munic. de BDP - Área 4.3</t>
  </si>
  <si>
    <t>Munic. de BDP - Área 5.1</t>
  </si>
  <si>
    <t>Munic. de BDP - Área 5.2</t>
  </si>
  <si>
    <t>Munic. de BDP - Área 5.3</t>
  </si>
  <si>
    <t>Munic. de BDP - Área 6.1</t>
  </si>
  <si>
    <t>Munic. de BDP - Área 6.2</t>
  </si>
  <si>
    <t>Munic. de BDP - Área 6.3</t>
  </si>
  <si>
    <t>Munic. de BDP - Área 7.1</t>
  </si>
  <si>
    <t>Munic. de BDP - Área 7.2</t>
  </si>
  <si>
    <t>201 E</t>
  </si>
  <si>
    <t>TERMINAL JD. ANTENOR - Tupinambá</t>
  </si>
  <si>
    <t>TERMINAL VILA LEONOR - Barra das Pedras</t>
  </si>
  <si>
    <t>203 A</t>
  </si>
  <si>
    <t>TERM. JD. PROGRESSO - Pinheirais</t>
  </si>
  <si>
    <t>205 S</t>
  </si>
  <si>
    <t>TERM. ALICERCE - Barra das Pedras</t>
  </si>
  <si>
    <t>207 P</t>
  </si>
  <si>
    <t>JD. DOS LEÕES - Barra das Pedras</t>
  </si>
  <si>
    <t>209 P</t>
  </si>
  <si>
    <t>CELESTINA - Barra das Pedras</t>
  </si>
  <si>
    <t>211 C</t>
  </si>
  <si>
    <t>VILA DALVA - Tupinambá</t>
  </si>
  <si>
    <t>213 C</t>
  </si>
  <si>
    <t>JD. SAPOTI - Tupinambá</t>
  </si>
  <si>
    <t>215 C</t>
  </si>
  <si>
    <t>217 M</t>
  </si>
  <si>
    <t>JD. DOS UMBUIAS - Tupinambá</t>
  </si>
  <si>
    <t>TERMINAL VILA LEONOR -Barra das Pedras</t>
  </si>
  <si>
    <t>219 M</t>
  </si>
  <si>
    <t>VILA CASTELLI - Tupinambá</t>
  </si>
  <si>
    <t>221 S</t>
  </si>
  <si>
    <t>TERM. SOARES - Tupinambá</t>
  </si>
  <si>
    <t>223 P</t>
  </si>
  <si>
    <t>TERM PQ DAS FLORES - Barcelona</t>
  </si>
  <si>
    <t>225 P</t>
  </si>
  <si>
    <t>PARQUE AZEVEDO -  Barcelona</t>
  </si>
  <si>
    <t>227 C</t>
  </si>
  <si>
    <t>VILA SÃO JOSÉ - Barra das Pedras</t>
  </si>
  <si>
    <t>229 C</t>
  </si>
  <si>
    <t>PONTO VERDE via CAMANDUCAIA - Tupinambá</t>
  </si>
  <si>
    <t>231 C</t>
  </si>
  <si>
    <t>PONTO VERDE via Jd. Biriti - Tupinambá</t>
  </si>
  <si>
    <t>233 M</t>
  </si>
  <si>
    <t>VILA DOS ARGENTINOS I - Tupinambá</t>
  </si>
  <si>
    <t>235 M</t>
  </si>
  <si>
    <t>VILA DOS ARGENTINOS II - Tupinambá</t>
  </si>
  <si>
    <t>Thales Rebés</t>
  </si>
  <si>
    <t>251 S</t>
  </si>
  <si>
    <t>PRAÇA CASTELLARI - Barra das Pedras</t>
  </si>
  <si>
    <t>253 A</t>
  </si>
  <si>
    <t>TERM. JANDIRA - Esmeralda</t>
  </si>
  <si>
    <t>255 A</t>
  </si>
  <si>
    <t>TERM. JD. MAESTRO - Barra das Pedras</t>
  </si>
  <si>
    <t>257 P</t>
  </si>
  <si>
    <t>AEROPORTO - Barra das Pedras</t>
  </si>
  <si>
    <t>259 C</t>
  </si>
  <si>
    <t>JD. CENTENÁRIO - Pinheirais</t>
  </si>
  <si>
    <t>261 C</t>
  </si>
  <si>
    <t>VILA DAS CINZAS - Pinheirais</t>
  </si>
  <si>
    <t>VILA CURUÇÁ - Barra das Pedras</t>
  </si>
  <si>
    <t>263 C</t>
  </si>
  <si>
    <t>PRAÇA ANTONIETA - Pinheirais</t>
  </si>
  <si>
    <t>265 C</t>
  </si>
  <si>
    <t>TERM. VILA LEONOR - Barra das Pedras</t>
  </si>
  <si>
    <t>267 C</t>
  </si>
  <si>
    <t>TERM VILA GERMÂNIA - Barra das Pedras</t>
  </si>
  <si>
    <t>269 S</t>
  </si>
  <si>
    <t>JD. MARECHAL DEODORO - Pinheirais</t>
  </si>
  <si>
    <t>271 C</t>
  </si>
  <si>
    <t>VILA DOS PORTUÁRIOS - Pinheirais</t>
  </si>
  <si>
    <t>JD. DAS CRUZES - Esmeralda</t>
  </si>
  <si>
    <t>273 M</t>
  </si>
  <si>
    <t>JD. QUELUZ - Pinheirais</t>
  </si>
  <si>
    <t>VILA XXIII  - Barra das Pedras</t>
  </si>
  <si>
    <t>275 M</t>
  </si>
  <si>
    <t>VITÓRIA RÉGIA - Pinheirais</t>
  </si>
  <si>
    <t>VILA XXIII - Barra das Pedras</t>
  </si>
  <si>
    <t>301 E</t>
  </si>
  <si>
    <t>TERM. VILA ALCANTARA - Esmeralda</t>
  </si>
  <si>
    <t>TERM. JOSÉ SALDANHA - Barra das Pedras</t>
  </si>
  <si>
    <t>303 A</t>
  </si>
  <si>
    <t>TERM. VILA GERMÂNIA - Barra das Pedras</t>
  </si>
  <si>
    <t>305 A</t>
  </si>
  <si>
    <t>TERM. CATEDRAL - Yporanga</t>
  </si>
  <si>
    <t>307 A</t>
  </si>
  <si>
    <t>309 P</t>
  </si>
  <si>
    <t>JD. CAMPOS - Barra das Pedras</t>
  </si>
  <si>
    <t>311 P</t>
  </si>
  <si>
    <t>VILA SARDINHA - Barra das Pedras</t>
  </si>
  <si>
    <t>313 P</t>
  </si>
  <si>
    <t>VILA CANDÉ - Barra das Pedras</t>
  </si>
  <si>
    <t>315 P</t>
  </si>
  <si>
    <t>JD. CENTENÁRIO - Esmeralda</t>
  </si>
  <si>
    <t>317 S</t>
  </si>
  <si>
    <t>VILA DOS INGLESES - Esmeralda</t>
  </si>
  <si>
    <t>319 C</t>
  </si>
  <si>
    <t>VILA CATANDUVA - Barra das Pedras</t>
  </si>
  <si>
    <t>321 C</t>
  </si>
  <si>
    <t>JD. PANTANAL - Esmeralda</t>
  </si>
  <si>
    <t>323 C</t>
  </si>
  <si>
    <t>325 M</t>
  </si>
  <si>
    <t>VILA VELHA - Esmeralda</t>
  </si>
  <si>
    <t>327 M</t>
  </si>
  <si>
    <t>329 A</t>
  </si>
  <si>
    <t>331 A</t>
  </si>
  <si>
    <t>333 S</t>
  </si>
  <si>
    <t>335 P</t>
  </si>
  <si>
    <t>337 P</t>
  </si>
  <si>
    <t>339 P</t>
  </si>
  <si>
    <t>BRUMENARI - Esmeralda</t>
  </si>
  <si>
    <t>341 C</t>
  </si>
  <si>
    <t>TERM JD. MAESTRO - Barra das Pedras</t>
  </si>
  <si>
    <t>343 C</t>
  </si>
  <si>
    <t>PICO ALTO - Esmeralda</t>
  </si>
  <si>
    <t>JD. HORTOLÂNDIA - Pinheirais</t>
  </si>
  <si>
    <t>345 C</t>
  </si>
  <si>
    <t>VILA CANDUÍ - Barra das Pedras</t>
  </si>
  <si>
    <t>347 C</t>
  </si>
  <si>
    <t>PRAÇA CLARA - Esmeralda</t>
  </si>
  <si>
    <t>349 C</t>
  </si>
  <si>
    <t>351 S</t>
  </si>
  <si>
    <t>353 P</t>
  </si>
  <si>
    <t>TERM. CAMPESTRE - Barra das Pedras</t>
  </si>
  <si>
    <t>355 C</t>
  </si>
  <si>
    <t>JD. VIDIGAL - Barra das Pedras</t>
  </si>
  <si>
    <t>357 C</t>
  </si>
  <si>
    <t>359 C</t>
  </si>
  <si>
    <t>JD. SEXAGENÁRIO - Yporanga</t>
  </si>
  <si>
    <t>VILA DUARTE - Barra das Pedras</t>
  </si>
  <si>
    <t>361 C</t>
  </si>
  <si>
    <t>PRAÇA DOS COLOMBINOS - Yporanga</t>
  </si>
  <si>
    <t>363 C</t>
  </si>
  <si>
    <t>JD. COLUMBIA - Yporanga</t>
  </si>
  <si>
    <t>365 C</t>
  </si>
  <si>
    <t>VILA DAS ARTES - Yporanga</t>
  </si>
  <si>
    <t>JD. ALTAMIRA - Barra das Pedras</t>
  </si>
  <si>
    <t>401 S</t>
  </si>
  <si>
    <t>TERM. CAMPESTRE - Jaguara Mirim</t>
  </si>
  <si>
    <t>TERMINAL BOITUVA - Barra das Pedras</t>
  </si>
  <si>
    <t>403 P</t>
  </si>
  <si>
    <t>VILA DOS PADEIROS - Barra das Pedras</t>
  </si>
  <si>
    <t>405 C</t>
  </si>
  <si>
    <t>VILA CANCIONÁRIO - Barra das Pedras</t>
  </si>
  <si>
    <t>407 C</t>
  </si>
  <si>
    <t>409 C</t>
  </si>
  <si>
    <t>JD. AMADOR BUENO - Jaguara Mirim</t>
  </si>
  <si>
    <t>411 C</t>
  </si>
  <si>
    <t>413 C</t>
  </si>
  <si>
    <t>VILA DANUZA - Jaguara Mirim</t>
  </si>
  <si>
    <t>415 C</t>
  </si>
  <si>
    <t>VILA SAPOTI - Barra das Pedras</t>
  </si>
  <si>
    <t>451 E</t>
  </si>
  <si>
    <t>TERM. IMIGRANTES - Barcelona</t>
  </si>
  <si>
    <t>TERM. BOITUVA - Barra das Pedras</t>
  </si>
  <si>
    <t>453 E</t>
  </si>
  <si>
    <t>TERM. PQUE DAS FLORES - Barcelona</t>
  </si>
  <si>
    <t>TERM. TAVARES - Barra das Pedras</t>
  </si>
  <si>
    <t>455 A</t>
  </si>
  <si>
    <t>457 A</t>
  </si>
  <si>
    <t>PRAÇA BOA VISTA - Barra das Pedras</t>
  </si>
  <si>
    <t>459 P</t>
  </si>
  <si>
    <t>VILA ANDRADINA - Barra das Pedras</t>
  </si>
  <si>
    <t>461 P</t>
  </si>
  <si>
    <t>VILA SANTA FÉ - Barra das Pedras</t>
  </si>
  <si>
    <t>463 C</t>
  </si>
  <si>
    <t>465 C</t>
  </si>
  <si>
    <t>PARQUE AZEVEDO - Barcelona</t>
  </si>
  <si>
    <t>JD. CAMPANÁRIO - Barra das Pedras</t>
  </si>
  <si>
    <t>467 S</t>
  </si>
  <si>
    <t>TER. PROF. JULIA ALVES - Barra das Pedras</t>
  </si>
  <si>
    <t>469 S</t>
  </si>
  <si>
    <t>JD. PRESBITERIANO - Barcelona</t>
  </si>
  <si>
    <t>TERM. PROF. JULIA ALVES - Barra das Pedras</t>
  </si>
  <si>
    <t>471 C</t>
  </si>
  <si>
    <t>JD. MEDITERRÂNEO - Barcelona</t>
  </si>
  <si>
    <t>473 C</t>
  </si>
  <si>
    <t>VILA NOVA - Barcelona</t>
  </si>
  <si>
    <t>475 C</t>
  </si>
  <si>
    <t>PLANALTINA - Barra das Pedras</t>
  </si>
  <si>
    <t>477 P</t>
  </si>
  <si>
    <t>SANTO PLINIO - Barra das Pedras</t>
  </si>
  <si>
    <t>479 A</t>
  </si>
  <si>
    <t>JD. DOS CANÁRIOS - Barra das Pedras</t>
  </si>
  <si>
    <t>481 A</t>
  </si>
  <si>
    <t>483 S</t>
  </si>
  <si>
    <t>485 P</t>
  </si>
  <si>
    <t>JD. TOMÉ - Barra das Pedras</t>
  </si>
  <si>
    <t>487 P</t>
  </si>
  <si>
    <t>489 P</t>
  </si>
  <si>
    <t>491 S</t>
  </si>
  <si>
    <t>493 C</t>
  </si>
  <si>
    <t>JD. SÃO GUALTER - Barra das Pedras</t>
  </si>
  <si>
    <t>495 C</t>
  </si>
  <si>
    <t>VILA MIGUEL DANTAS - Barcelona</t>
  </si>
  <si>
    <t>497 C</t>
  </si>
  <si>
    <t>JD. MARAZUL - Barcelona</t>
  </si>
  <si>
    <t>VILA SANTO SÁ - Barra das Pedras</t>
  </si>
  <si>
    <t>499 C</t>
  </si>
  <si>
    <t>JD. PRETO NOVO - Barcelona</t>
  </si>
  <si>
    <t>TP 001</t>
  </si>
  <si>
    <t>TERM. JD. ANTENOR(via Rodoviária)</t>
  </si>
  <si>
    <t>TERM. SOARES (via Centro Histórico)</t>
  </si>
  <si>
    <t>TP 002</t>
  </si>
  <si>
    <t>TERMINAL JD. ANTENOR</t>
  </si>
  <si>
    <t>VILA DOS SILVA</t>
  </si>
  <si>
    <t>TP 003</t>
  </si>
  <si>
    <t>JD. DOS MAYAS</t>
  </si>
  <si>
    <t>TP 004</t>
  </si>
  <si>
    <t>VILA CARIOCA</t>
  </si>
  <si>
    <t>TP 005</t>
  </si>
  <si>
    <t>JD. BLUMENAU</t>
  </si>
  <si>
    <t>VILA DOS SANTOS</t>
  </si>
  <si>
    <t>TP 006</t>
  </si>
  <si>
    <t>SANTO ESTEVAM</t>
  </si>
  <si>
    <t>JD. DOS ARABES</t>
  </si>
  <si>
    <t>TP 007</t>
  </si>
  <si>
    <t>VILA DOS INDUIAS</t>
  </si>
  <si>
    <t>PAULICÉIA</t>
  </si>
  <si>
    <t>TP 008</t>
  </si>
  <si>
    <t>TERMINAL SOARES</t>
  </si>
  <si>
    <t>TP 009</t>
  </si>
  <si>
    <t>JD. DOS FILHOS</t>
  </si>
  <si>
    <t>TP 010</t>
  </si>
  <si>
    <t>TP 011</t>
  </si>
  <si>
    <t>JD. RIO BRANCO</t>
  </si>
  <si>
    <t>TP 012</t>
  </si>
  <si>
    <t>PRAÇA CEL. XAVIER</t>
  </si>
  <si>
    <t>PS 001</t>
  </si>
  <si>
    <t>TERMINAL JD. PROGRESSO</t>
  </si>
  <si>
    <t>JD. MARINA</t>
  </si>
  <si>
    <t>PS 002</t>
  </si>
  <si>
    <t>PRAÇA CARVALHO</t>
  </si>
  <si>
    <t>PS 003</t>
  </si>
  <si>
    <t>JD. AMARAL</t>
  </si>
  <si>
    <t>PS 004</t>
  </si>
  <si>
    <t>VILA AMARAL</t>
  </si>
  <si>
    <t>PS 005</t>
  </si>
  <si>
    <t>JD. SALGADO FILHO</t>
  </si>
  <si>
    <t>PS 006</t>
  </si>
  <si>
    <t>VILA DOS MAGOS</t>
  </si>
  <si>
    <t>PS 007</t>
  </si>
  <si>
    <t>PRAÇA BÉLICA</t>
  </si>
  <si>
    <t>PS 008</t>
  </si>
  <si>
    <t>JD. SEMIRAMIS</t>
  </si>
  <si>
    <t>ES 001</t>
  </si>
  <si>
    <t>TERMINAL VILA ALCANTARA</t>
  </si>
  <si>
    <t>TERMINAL JANDIRA via Jacuê</t>
  </si>
  <si>
    <t>ES 002</t>
  </si>
  <si>
    <t>VILA ANTUÉRPIA</t>
  </si>
  <si>
    <t>ES 003</t>
  </si>
  <si>
    <t>JD. DAS NEVES</t>
  </si>
  <si>
    <t>ES 004</t>
  </si>
  <si>
    <t>VILA DO PASTOR</t>
  </si>
  <si>
    <t>ES 005</t>
  </si>
  <si>
    <t>VILA VELHA</t>
  </si>
  <si>
    <t>ES 006</t>
  </si>
  <si>
    <t>PONTO CENTRAL</t>
  </si>
  <si>
    <t>ES 007</t>
  </si>
  <si>
    <t>VILA DAS FLORES</t>
  </si>
  <si>
    <t>MONTEZUMA</t>
  </si>
  <si>
    <t>ES 008</t>
  </si>
  <si>
    <t>VILA SANTINA</t>
  </si>
  <si>
    <t>ES 009</t>
  </si>
  <si>
    <t>SANTA ALBERTINA</t>
  </si>
  <si>
    <t>PRAÇA CORREIA</t>
  </si>
  <si>
    <t>ES 010</t>
  </si>
  <si>
    <t>TERMINAL JANDIRA via Ambrosina</t>
  </si>
  <si>
    <t>ES 011</t>
  </si>
  <si>
    <t>TERMINAL JANDIRA</t>
  </si>
  <si>
    <t>JD. DOS ARGELINOS</t>
  </si>
  <si>
    <t>ES 012</t>
  </si>
  <si>
    <t>ES 013</t>
  </si>
  <si>
    <t>JD. CASTANHAL</t>
  </si>
  <si>
    <t>ES 014</t>
  </si>
  <si>
    <t>PRAÇA CLARA</t>
  </si>
  <si>
    <t>ES 015</t>
  </si>
  <si>
    <t>VILA DALMA</t>
  </si>
  <si>
    <t>ES 016</t>
  </si>
  <si>
    <t>SANTO STEFANO</t>
  </si>
  <si>
    <t>ES 017</t>
  </si>
  <si>
    <t>VILA DO QUARTEL</t>
  </si>
  <si>
    <t>PONTAL AZUL</t>
  </si>
  <si>
    <t>YP 001</t>
  </si>
  <si>
    <t>TERMINAL CATEDRAL</t>
  </si>
  <si>
    <t>JD. DAS PONTES</t>
  </si>
  <si>
    <t>YP 002</t>
  </si>
  <si>
    <t>VILA DA SENZALA</t>
  </si>
  <si>
    <t>YP 003</t>
  </si>
  <si>
    <t>PLANETARIO</t>
  </si>
  <si>
    <t>YP 004</t>
  </si>
  <si>
    <t>SANTA EDWIGES</t>
  </si>
  <si>
    <t>YP 005</t>
  </si>
  <si>
    <t>JD. DO Ó</t>
  </si>
  <si>
    <t>JM 001</t>
  </si>
  <si>
    <t>TERMINAL CAMPESTRE</t>
  </si>
  <si>
    <t>JD. BALNEÁRIO</t>
  </si>
  <si>
    <t>JM 002</t>
  </si>
  <si>
    <t>JM 003</t>
  </si>
  <si>
    <t>PRAÇA ALTAMIRA</t>
  </si>
  <si>
    <t>JM 004</t>
  </si>
  <si>
    <t>VILA DOM BUENO</t>
  </si>
  <si>
    <t>JM 005</t>
  </si>
  <si>
    <t>BA 001</t>
  </si>
  <si>
    <t>TERMINAL IMIGRANTES</t>
  </si>
  <si>
    <t>TERMINAL DAS FLORES</t>
  </si>
  <si>
    <t>BA 002</t>
  </si>
  <si>
    <t>JD. SANDRA</t>
  </si>
  <si>
    <t>BA 003</t>
  </si>
  <si>
    <t>VILA SANTO PASCOAL</t>
  </si>
  <si>
    <t>BA 004</t>
  </si>
  <si>
    <t>VILA DO CARMO</t>
  </si>
  <si>
    <t>BA 005</t>
  </si>
  <si>
    <t>PONTE VERDE</t>
  </si>
  <si>
    <t>BA 006</t>
  </si>
  <si>
    <t>JD . JAPÃO</t>
  </si>
  <si>
    <t>BA 007</t>
  </si>
  <si>
    <t>VILA DOS PORTUGUESES</t>
  </si>
  <si>
    <t>MERCADO MUNICIPAL</t>
  </si>
  <si>
    <t>BA 008</t>
  </si>
  <si>
    <t>JD. SELMA</t>
  </si>
  <si>
    <t>VILA PRADO</t>
  </si>
  <si>
    <t>BA 009</t>
  </si>
  <si>
    <t>JD. CINTRA</t>
  </si>
  <si>
    <t>VILA DOS LOBOS</t>
  </si>
  <si>
    <t>BA 010</t>
  </si>
  <si>
    <t>TERMINAL IMIGRANTES via DANUBIO</t>
  </si>
  <si>
    <t>BA 011</t>
  </si>
  <si>
    <t>JD. PORTUGAL</t>
  </si>
  <si>
    <t>BA 012</t>
  </si>
  <si>
    <t>VALO VERDE</t>
  </si>
  <si>
    <t>BA 013</t>
  </si>
  <si>
    <t>BA 014</t>
  </si>
  <si>
    <t>JD. TRINIDAD</t>
  </si>
  <si>
    <t>BA 015</t>
  </si>
  <si>
    <t>JD. OURO</t>
  </si>
  <si>
    <t>BA 016</t>
  </si>
  <si>
    <t>JD. STEPHANIE</t>
  </si>
  <si>
    <t>BA 017</t>
  </si>
  <si>
    <t>PRAÇA EDUARDO</t>
  </si>
  <si>
    <t>Munic. Tupinambá - Reg. Leste</t>
  </si>
  <si>
    <t>Munic. Tupinambá - Reg. Oeste</t>
  </si>
  <si>
    <t>Munic. Pinheirais</t>
  </si>
  <si>
    <t>Munic. Esmeralda - Reg. Leste</t>
  </si>
  <si>
    <t>Munic. Esmeralda - Reg. Oeste</t>
  </si>
  <si>
    <t>Munic. Yporanga</t>
  </si>
  <si>
    <t>Munic. Jaguará Mirim</t>
  </si>
  <si>
    <t>Munic. Barcelona - Reg. Leste</t>
  </si>
  <si>
    <t>Munic. Barcelona - Reg. Oeste</t>
  </si>
  <si>
    <t>Metropolitana de Tupinambá - Área 1</t>
  </si>
  <si>
    <t>Metropolitana de Tupinambá - Área 2</t>
  </si>
  <si>
    <t>Metropolitana de Pinheirais - Área 1</t>
  </si>
  <si>
    <t>Metropolitana de Pinheirais - Área 2</t>
  </si>
  <si>
    <t>Metropolitana de Esmeralda - Área 1</t>
  </si>
  <si>
    <t>Metropolitana de Esmeralda - Área 2</t>
  </si>
  <si>
    <t>Metropolitana de Esmeralda - Área 3</t>
  </si>
  <si>
    <t>Metropolitana de Esmeralda - Área 4</t>
  </si>
  <si>
    <t>Metropolitana de Yporanga - Área 1</t>
  </si>
  <si>
    <t>Metropolitana de Jaguara Mirim - Área 1</t>
  </si>
  <si>
    <t>Metropolitana de Barcelona - Área  1</t>
  </si>
  <si>
    <t>Metropolitana de Barcelona - Área  2</t>
  </si>
  <si>
    <t>Metropolitana de Barcelona - Área  3</t>
  </si>
  <si>
    <t>Valor do Diesel</t>
  </si>
  <si>
    <t>Quantidade de Veiculos Operando</t>
  </si>
  <si>
    <t>Média de Consumo 
de Combustivel 
para a Marca</t>
  </si>
  <si>
    <t>Média de Utilização de ARLA</t>
  </si>
  <si>
    <t>Km percorridas pelos Carros todos Indicados</t>
  </si>
  <si>
    <t>Valor Total Arla</t>
  </si>
  <si>
    <t>Valor Total em Diesel</t>
  </si>
  <si>
    <t>Custo Total em Combustível</t>
  </si>
  <si>
    <t>arla</t>
  </si>
  <si>
    <t>SCANIA</t>
  </si>
  <si>
    <t>VOLVO</t>
  </si>
  <si>
    <t>IVECO</t>
  </si>
  <si>
    <t>AGRALE</t>
  </si>
  <si>
    <t>TOTAL DE  CARROS</t>
  </si>
  <si>
    <t>VALORES TOTAIS EM COMBUSTIVEIS</t>
  </si>
  <si>
    <t>DIAS DE CONSUMO / OPERAÇÃO</t>
  </si>
  <si>
    <t>KM DA LINHA</t>
  </si>
  <si>
    <t>TOTAL</t>
  </si>
  <si>
    <t>Carros em Operação nas Linhas</t>
  </si>
  <si>
    <t>Valor Total de Custos</t>
  </si>
  <si>
    <t>Receita por Carro</t>
  </si>
  <si>
    <t>Custos de Combustível</t>
  </si>
  <si>
    <t>ESCOLHA 
ABAIXO</t>
  </si>
  <si>
    <t xml:space="preserve"> POSSUI PORTA 
APD E ELEVADOR </t>
  </si>
  <si>
    <t xml:space="preserve"> POSSUI AR CONDICIONADO 
OU CLIMATIZADO </t>
  </si>
  <si>
    <t xml:space="preserve"> POSSUI SIST. DE ÁUDIO E/OU VIDEO </t>
  </si>
  <si>
    <t>Situação</t>
  </si>
  <si>
    <t>Aplicar Máximo em todos?:</t>
  </si>
  <si>
    <t>GRUPO_VIAS</t>
  </si>
  <si>
    <t>GRUPO_REBES</t>
  </si>
  <si>
    <t>GRUPO_RECORD</t>
  </si>
  <si>
    <t>GRUPO_RS</t>
  </si>
  <si>
    <t>GRUPO_UNIÃO</t>
  </si>
  <si>
    <t>Coletivo Mirabuss</t>
  </si>
  <si>
    <t>Record</t>
  </si>
  <si>
    <t>Coletivo Mirabuss - Lote MRP 2 - G3</t>
  </si>
  <si>
    <t>TUPÃ VIAÇÃO - Lote MNR 41 - G1</t>
  </si>
  <si>
    <t>TUPÃ VIAÇÃO - Lote MNR 51 - G2</t>
  </si>
  <si>
    <t>Outubro - 2023</t>
  </si>
  <si>
    <t>Outubro - 2022</t>
  </si>
  <si>
    <t>Novembro - 2022</t>
  </si>
  <si>
    <t>Dezembro - 2022</t>
  </si>
  <si>
    <t>Janeiro - 2023</t>
  </si>
  <si>
    <t>Fevereiro - 2023</t>
  </si>
  <si>
    <t>Março - 2023</t>
  </si>
  <si>
    <t>Abril - 2023</t>
  </si>
  <si>
    <t>Maio - 2023</t>
  </si>
  <si>
    <t>Junho - 2023</t>
  </si>
  <si>
    <t>Julho - 2023</t>
  </si>
  <si>
    <t>Agosto - 2023</t>
  </si>
  <si>
    <t>Setembro - 2023</t>
  </si>
  <si>
    <t>Litros Consumidos</t>
  </si>
  <si>
    <t>Consumo Litros Mês</t>
  </si>
  <si>
    <t>Novembro - 2023</t>
  </si>
  <si>
    <t>Dezembro - 2023</t>
  </si>
  <si>
    <t>Janeiro - 2024</t>
  </si>
  <si>
    <t>Fevereiro - 2024</t>
  </si>
  <si>
    <t>01 a 29 Fev</t>
  </si>
  <si>
    <t>Março - 2024</t>
  </si>
  <si>
    <t>Abril - 2024</t>
  </si>
  <si>
    <t>Maio - 2024</t>
  </si>
  <si>
    <t>Junho - 2024</t>
  </si>
  <si>
    <t>Julho - 2024</t>
  </si>
  <si>
    <t>Agosto - 2024</t>
  </si>
  <si>
    <t>Setembro - 2024</t>
  </si>
  <si>
    <t>Outubro - 2024</t>
  </si>
  <si>
    <t>Novembro - 2024</t>
  </si>
  <si>
    <t>Dezembro - 2024</t>
  </si>
  <si>
    <t>Janeiro - 2025</t>
  </si>
  <si>
    <t>Fevereiro - 2025</t>
  </si>
  <si>
    <t>Março - 2025</t>
  </si>
  <si>
    <t>Abril - 2025</t>
  </si>
  <si>
    <t>Maio - 2025</t>
  </si>
  <si>
    <t>Junho - 2025</t>
  </si>
  <si>
    <t>Julho - 2025</t>
  </si>
  <si>
    <t>Agosto - 2025</t>
  </si>
  <si>
    <t>Setembro - 2025</t>
  </si>
  <si>
    <t>Outubro - 2025</t>
  </si>
  <si>
    <t>Novembro - 2025</t>
  </si>
  <si>
    <t>Dezembro - 2025</t>
  </si>
  <si>
    <t>Janeiro - 2026</t>
  </si>
  <si>
    <t>Fevereiro - 2026</t>
  </si>
  <si>
    <t>Março - 2026</t>
  </si>
  <si>
    <t>Abril - 2026</t>
  </si>
  <si>
    <t>Maio - 2026</t>
  </si>
  <si>
    <t>Junho - 2026</t>
  </si>
  <si>
    <t>Julho - 2026</t>
  </si>
  <si>
    <t>Agosto - 2026</t>
  </si>
  <si>
    <t>Setembro - 2026</t>
  </si>
  <si>
    <t>Outubro - 2026</t>
  </si>
  <si>
    <t>Novembro - 2026</t>
  </si>
  <si>
    <t>Dezembro - 2026</t>
  </si>
  <si>
    <t>Janeiro - 2027</t>
  </si>
  <si>
    <t>Fevereiro - 2027</t>
  </si>
  <si>
    <t>Março - 2027</t>
  </si>
  <si>
    <t>Abril - 2027</t>
  </si>
  <si>
    <t>Maio - 2027</t>
  </si>
  <si>
    <t>Junho - 2027</t>
  </si>
  <si>
    <t>Julho - 2027</t>
  </si>
  <si>
    <t>Agosto - 2027</t>
  </si>
  <si>
    <t>Setembro - 2027</t>
  </si>
  <si>
    <t>Outubro - 2027</t>
  </si>
  <si>
    <t>Novembro - 2027</t>
  </si>
  <si>
    <t>Dezembro - 2027</t>
  </si>
  <si>
    <t>Janeiro - 2028</t>
  </si>
  <si>
    <t>Fevereiro - 2028</t>
  </si>
  <si>
    <t>Março - 2028</t>
  </si>
  <si>
    <t>Abril - 2028</t>
  </si>
  <si>
    <t>Maio - 2028</t>
  </si>
  <si>
    <t>Junho - 2028</t>
  </si>
  <si>
    <t>Julho - 2028</t>
  </si>
  <si>
    <t>Agosto - 2028</t>
  </si>
  <si>
    <t>Setembro - 2028</t>
  </si>
  <si>
    <t>Outubro - 2028</t>
  </si>
  <si>
    <t>Novembro - 2028</t>
  </si>
  <si>
    <t>Dezembro - 2028</t>
  </si>
  <si>
    <t>Janeiro - 2029</t>
  </si>
  <si>
    <t>Fevereiro - 2029</t>
  </si>
  <si>
    <t>Março - 2029</t>
  </si>
  <si>
    <t>Abril - 2029</t>
  </si>
  <si>
    <t>Maio - 2029</t>
  </si>
  <si>
    <t>Junho - 2029</t>
  </si>
  <si>
    <t>Julho - 2029</t>
  </si>
  <si>
    <t>Agosto - 2029</t>
  </si>
  <si>
    <t>Setembro - 2029</t>
  </si>
  <si>
    <t>Outubro - 2029</t>
  </si>
  <si>
    <t>Novembro - 2029</t>
  </si>
  <si>
    <t>Dezembro - 2029</t>
  </si>
  <si>
    <t>Janeiro - 2030</t>
  </si>
  <si>
    <t>Fevereiro - 2030</t>
  </si>
  <si>
    <t>Março - 2030</t>
  </si>
  <si>
    <t>Abril - 2030</t>
  </si>
  <si>
    <t>Maio - 2030</t>
  </si>
  <si>
    <t>Junho - 2030</t>
  </si>
  <si>
    <t>Julho - 2030</t>
  </si>
  <si>
    <t>Agosto - 2030</t>
  </si>
  <si>
    <t>Setembro - 2030</t>
  </si>
  <si>
    <t>Outubro - 2030</t>
  </si>
  <si>
    <t>Novembro - 2030</t>
  </si>
  <si>
    <t>Dezembro - 2030</t>
  </si>
  <si>
    <t>versão atualizada paraa partir de OUT 2023 a SET 2030</t>
  </si>
  <si>
    <t>NST Transportes  - Lote RP 974 - G1</t>
  </si>
  <si>
    <t>GRUPO RÉBES</t>
  </si>
  <si>
    <t>Auto DIESEL - Lote 26 - G1</t>
  </si>
  <si>
    <t>TUPÃ VIAÇÃO - Lote BDP 11 - G3</t>
  </si>
  <si>
    <t>METROPOLE Viação Urbana - Lote BDP 42 - G1</t>
  </si>
  <si>
    <t>METROPOLE Viação Urbana - Lote RP 051 - G2</t>
  </si>
  <si>
    <t>METROPOLE Viação Urbana - Lote RP 055 - G3</t>
  </si>
  <si>
    <t>METROPOLE Viação Urbana - Lote RP 091 - G4</t>
  </si>
  <si>
    <t>METROPOLE Viação Urbana - Lote RP 095 - G5</t>
  </si>
  <si>
    <t>METROPOLE Viação Urbana - Lote RP 099 - G6</t>
  </si>
  <si>
    <t>Carros
DOM / FER</t>
  </si>
  <si>
    <t>Carros 
SABADO</t>
  </si>
  <si>
    <t>Coletivo Mirabuss - Lote MRP 3 - G4</t>
  </si>
  <si>
    <t>Coletivo MIRABUSS - Lote MRP 3 - G4</t>
  </si>
  <si>
    <t>Transcol Viação - Lote MNR 12 - G3</t>
  </si>
  <si>
    <t>Transportes União - Lote 22 - G3</t>
  </si>
  <si>
    <t>Transportes União - Lote RP 215 - G4</t>
  </si>
  <si>
    <t>Transportes União - Lote RP 415 - G5</t>
  </si>
  <si>
    <t>Transportes União - Lote MRP 9 - G6</t>
  </si>
  <si>
    <t>Transcol Viação - Lote MNR 82 - G4</t>
  </si>
  <si>
    <t>Transcol Viação - Lote 01PN - G5</t>
  </si>
  <si>
    <t>Transcol Viação - Lote 02MN - G6</t>
  </si>
  <si>
    <t>Transcol Viação - Lote MRP 4 - G7</t>
  </si>
  <si>
    <t>Transcol Viação - Lote MRP 5 - G8</t>
  </si>
  <si>
    <t>Transcol Viação - Lote BDP 71 - G9</t>
  </si>
  <si>
    <t>Transcol Viação - Lote BDP 72 - G10</t>
  </si>
  <si>
    <t>Transportes Santo André - Lote 10TP - G3</t>
  </si>
  <si>
    <t>Transportes Ipanema - Lote BDP 23 - G3</t>
  </si>
  <si>
    <t>TransColetur - Lote 21 - G1</t>
  </si>
  <si>
    <t>Viação VALE DO SOL - Lote 14YP - G4</t>
  </si>
  <si>
    <t>Coletivo Mirabuss - Lote RP 988 - G5</t>
  </si>
  <si>
    <t>IMPERIAL Viação - Lote MNR 11 - G4</t>
  </si>
  <si>
    <t>IMPERIAL Viação - Lote MNR 31 - G5</t>
  </si>
  <si>
    <t>IMPERIAL Viação - Lote MNR 81 - G6</t>
  </si>
  <si>
    <t>IMPERIAL Viação - Lote BDP 21 - G7</t>
  </si>
  <si>
    <t>IMPERIAL Viação - Lote BDP 41 - G8</t>
  </si>
  <si>
    <t>IMPERIAL Viação - Lote 28 - G3</t>
  </si>
  <si>
    <t>cod empresa</t>
  </si>
  <si>
    <t>AV BRASIL LUXO - Lote MNR 22 - G1</t>
  </si>
  <si>
    <t>AV BRASIL LUXO - Lote MNR 32 - G2</t>
  </si>
  <si>
    <t>AV BRASIL LUXO - Lote MNR 42 - G3</t>
  </si>
  <si>
    <t>AV BRASIL LUXO - Lote MNR 52 - G4</t>
  </si>
  <si>
    <t>AV BRASIL LUXO - Lote MNR 62 - G5</t>
  </si>
  <si>
    <t>AV BRASIL LUXO - Lote MNR 71 - G6</t>
  </si>
  <si>
    <t>AV BRASIL LUXO - Lote MNR 72 - G7</t>
  </si>
  <si>
    <t>AV BRASIL LUXO - Lote MRP 6 - G8</t>
  </si>
  <si>
    <t>AO PENHA SÃO MIGUEL - Lote 24 - G1</t>
  </si>
  <si>
    <t>AO PENHA SÃO MIGUEL - Lote 25 - G2</t>
  </si>
  <si>
    <t>AV BRASIL LUXO - Lote MRP 7 - G9</t>
  </si>
  <si>
    <t>AV BRASIL LUXO - Lote RP 911 - G10</t>
  </si>
  <si>
    <t>AO PENHA SÃO MIGUEL - Lote 27 - G3</t>
  </si>
  <si>
    <t>AO PENHA SÃO MIGUEL - Lote RP 953 - G4</t>
  </si>
  <si>
    <t>AO PENHA SÃO MIGUEL - Lote RP 960 - G5</t>
  </si>
  <si>
    <t>AO PENHA SÃO MIGUEL - Lote BDP 12 - G6</t>
  </si>
  <si>
    <t>AO PENHA SÃO MIGUEL - Lote BDP 22 - G7</t>
  </si>
  <si>
    <t>AO PENHA SÃO MIGUEL - Lote BDP 52 - G8</t>
  </si>
  <si>
    <t>AO PENHA SÃO MIGUEL - Lote 13ES - G9</t>
  </si>
  <si>
    <t>AO PENHA SÃO MIGUEL - Lote 15JM - G10</t>
  </si>
  <si>
    <t>CONSÓRCIO AUTOBUSS - Lote 23 - G1</t>
  </si>
  <si>
    <t>CONSÓRCIO AUTOBUSS - Lote RP 918 - G2</t>
  </si>
  <si>
    <t>CONSÓRCIO AUTOBUSS - Lote RP 932 - G3</t>
  </si>
  <si>
    <t>CONSÓRCIO AUTOBUSS - Lote RP 946 - G4</t>
  </si>
  <si>
    <t>CONSÓRCIO AUTOBUSS - Lote RP 967 - G5</t>
  </si>
  <si>
    <t>CONSÓRCIO AUTOBUSS - Lote RP 981 - G6</t>
  </si>
  <si>
    <t>CONSÓRCIO AUTOBUSS - Lote BDP 13 - G7</t>
  </si>
  <si>
    <t>CONSÓRCIO AUTOBUSS - Lote BDP 32 - G8</t>
  </si>
  <si>
    <t>CONSÓRCIO AUTOBUSS - Lote BDP 43 - G9</t>
  </si>
  <si>
    <t>CONSÓRCIO AUTOBUSS - Lote BDP 53 - G10</t>
  </si>
  <si>
    <t>CONSÓRCIO AUTOBUSS - Lote BDP 62 - G11</t>
  </si>
  <si>
    <t>CONSÓRCIO AUTOBUSS - Lote 09TP - G12</t>
  </si>
  <si>
    <t>CONSÓRCIO AUTOBUSS - Lote 11PR - G13</t>
  </si>
  <si>
    <t>CONSÓRCIO AUTOBUSS - Lote 12ES - G14</t>
  </si>
  <si>
    <t>Coletivo MIRABUSS - Lote MRP 2 - G3</t>
  </si>
  <si>
    <t>Expresso TANGUÁ - Lote MRP 8 - G1</t>
  </si>
  <si>
    <t>Expresso TANGUÁ - Lote RP 071 - G2</t>
  </si>
  <si>
    <t>Expresso TANGUÁ - Lote RP 079 - G3</t>
  </si>
  <si>
    <t>AUTOBUSS</t>
  </si>
  <si>
    <t>Carro + Velho</t>
  </si>
  <si>
    <t>CARROS COM MAIS DE 12 ANOS</t>
  </si>
  <si>
    <t>TOTAL  DE CARROS</t>
  </si>
  <si>
    <t>Idade média de frota aceita pela AETURB</t>
  </si>
  <si>
    <t>Idade máxima de veículo aceito pela AETURB</t>
  </si>
  <si>
    <r>
      <rPr>
        <b/>
        <sz val="11"/>
        <color theme="2" tint="-0.249977111117893"/>
        <rFont val="Calibri"/>
        <family val="2"/>
      </rPr>
      <t xml:space="preserve">IDADE MÉDIA ACIMA DE </t>
    </r>
    <r>
      <rPr>
        <b/>
        <sz val="11"/>
        <color indexed="14"/>
        <rFont val="Calibri"/>
        <family val="2"/>
      </rPr>
      <t xml:space="preserve"> </t>
    </r>
    <r>
      <rPr>
        <b/>
        <i/>
        <sz val="14"/>
        <color rgb="FF00FFFF"/>
        <rFont val="Calibri"/>
        <family val="2"/>
      </rPr>
      <t>8 ANOS</t>
    </r>
    <r>
      <rPr>
        <b/>
        <sz val="14"/>
        <color rgb="FF00FFFF"/>
        <rFont val="Calibri"/>
        <family val="2"/>
      </rPr>
      <t>?</t>
    </r>
  </si>
  <si>
    <r>
      <rPr>
        <b/>
        <sz val="11"/>
        <color theme="2" tint="-0.249977111117893"/>
        <rFont val="Calibri"/>
        <family val="2"/>
      </rPr>
      <t>ALGUM CARRO COM MAIS DE</t>
    </r>
    <r>
      <rPr>
        <b/>
        <sz val="11"/>
        <color indexed="14"/>
        <rFont val="Calibri"/>
        <family val="2"/>
      </rPr>
      <t xml:space="preserve"> </t>
    </r>
    <r>
      <rPr>
        <b/>
        <i/>
        <sz val="14"/>
        <color rgb="FF00FFFF"/>
        <rFont val="Calibri"/>
        <family val="2"/>
      </rPr>
      <t>14 ANOS</t>
    </r>
    <r>
      <rPr>
        <b/>
        <sz val="14"/>
        <color rgb="FF00FFFF"/>
        <rFont val="Calibri"/>
        <family val="2"/>
      </rPr>
      <t>?</t>
    </r>
  </si>
  <si>
    <t>PENHA_SAO_MIGUEL</t>
  </si>
  <si>
    <t>BRASIL_LUXO</t>
  </si>
  <si>
    <t>Cons_AUTOBUSS</t>
  </si>
  <si>
    <t>Auto Ônibus BARONESA - Lote MNR 21 - G1</t>
  </si>
  <si>
    <t>Auto Ônibus BARONESA - Lote MNR 61 - G2</t>
  </si>
  <si>
    <t>Auto Ônibus BARONESA - Lote RP 305 - G3</t>
  </si>
  <si>
    <t>Auto Ônibus BARONESA - Lote RP 377 - G4</t>
  </si>
  <si>
    <t>Auto Ônibus BARONESA - Lote MRP 1 - G5</t>
  </si>
  <si>
    <t>Auto Ônibus BARONESA - Lote BDP 31 - G6</t>
  </si>
  <si>
    <t>NOVA CIDADE - Lote RP 925 - G3</t>
  </si>
  <si>
    <t>NOVA CIDADE - Lote RP 939 - G4</t>
  </si>
  <si>
    <t>NOVA CIDADE - Lote BDP 63 - G5</t>
  </si>
  <si>
    <t>NOVA CIDADE - Lote 16BA - G6</t>
  </si>
  <si>
    <t>TUPÃ VIAÇÃO - Lote BDP 51 - G4</t>
  </si>
  <si>
    <t>TUPÃ VIAÇÃO - Lote BDP 61 - G5</t>
  </si>
  <si>
    <t>TUPÃ VIAÇÃO - Lote 17BA - G6</t>
  </si>
  <si>
    <t>grupo</t>
  </si>
  <si>
    <r>
      <rPr>
        <b/>
        <sz val="21"/>
        <color indexed="14"/>
        <rFont val="Calibri"/>
        <family val="2"/>
      </rPr>
      <t>DETRAN RP - Departamento Estadual de Trânsito de Rio das Pedras</t>
    </r>
    <r>
      <rPr>
        <b/>
        <sz val="17"/>
        <color indexed="14"/>
        <rFont val="Calibri"/>
        <family val="2"/>
      </rPr>
      <t xml:space="preserve">
</t>
    </r>
    <r>
      <rPr>
        <b/>
        <sz val="16"/>
        <color rgb="FFFFC000"/>
        <rFont val="Calibri"/>
        <family val="2"/>
      </rPr>
      <t>DOCUMENTO DE PROPRIEDADE DE VEÍCULOS DE TRANSPORTE  - VÁLIDO ATÉ SET/2026</t>
    </r>
  </si>
  <si>
    <t>23.a.30-7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</si>
</sst>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8" formatCode="&quot;R$&quot;\ #,##0.00;[Red]\-&quot;R$&quot;\ #,##0.00"/>
    <numFmt numFmtId="44" formatCode="_-&quot;R$&quot;\ * #,##0.00_-;\-&quot;R$&quot;\ * #,##0.00_-;_-&quot;R$&quot;\ * &quot;-&quot;??_-;_-@_-"/>
    <numFmt numFmtId="43" formatCode="_-* #,##0.00_-;\-* #,##0.00_-;_-* &quot;-&quot;??_-;_-@_-"/>
    <numFmt numFmtId="164" formatCode="&quot;R$&quot;#,##0.00_);[Red]\(&quot;R$&quot;#,##0.00\)"/>
    <numFmt numFmtId="165" formatCode="_(* #,##0_);_(* \(#,##0\);_(* &quot;-&quot;_);_(@_)"/>
    <numFmt numFmtId="166" formatCode="_(&quot;R$&quot;* #,##0.00_);_(&quot;R$&quot;* \(#,##0.00\);_(&quot;R$&quot;* &quot;-&quot;??_);_(@_)"/>
    <numFmt numFmtId="167" formatCode="_(* #,##0.00_);_(* \(#,##0.00\);_(* &quot;-&quot;??_);_(@_)"/>
    <numFmt numFmtId="168" formatCode="000"/>
    <numFmt numFmtId="169" formatCode="0000"/>
    <numFmt numFmtId="170" formatCode="00.00"/>
    <numFmt numFmtId="171" formatCode="_(&quot;R$ &quot;* #,##0.00_);_(&quot;R$ &quot;* \(#,##0.00\);_(&quot;R$ &quot;* &quot;-&quot;??_);_(@_)"/>
    <numFmt numFmtId="172" formatCode="dddd"/>
    <numFmt numFmtId="173" formatCode="mmmm"/>
    <numFmt numFmtId="174" formatCode="&quot;R$ &quot;#,##0.00_);\(&quot;R$ &quot;#,##0.00\)"/>
    <numFmt numFmtId="175" formatCode="00,000"/>
    <numFmt numFmtId="176" formatCode="0;[Red]0"/>
    <numFmt numFmtId="177" formatCode="&quot;R$&quot;\ #,##0.00"/>
    <numFmt numFmtId="178" formatCode="0.000000"/>
    <numFmt numFmtId="179" formatCode="_-* #,##0_-;\-* #,##0_-;_-* &quot;-&quot;??_-;_-@_-"/>
    <numFmt numFmtId="180" formatCode="000,000"/>
    <numFmt numFmtId="181" formatCode="0.000"/>
    <numFmt numFmtId="182" formatCode="0.0%"/>
    <numFmt numFmtId="183" formatCode="0.000%"/>
    <numFmt numFmtId="184" formatCode="0.0000"/>
    <numFmt numFmtId="185" formatCode="00"/>
    <numFmt numFmtId="186" formatCode="0.0"/>
    <numFmt numFmtId="187" formatCode="dd\ \ mmm\ \ yyyy"/>
  </numFmts>
  <fonts count="283" x14ac:knownFonts="1">
    <font>
      <sz val="10"/>
      <name val="Arial"/>
    </font>
    <font>
      <sz val="11"/>
      <color theme="1"/>
      <name val="Arial Narrow"/>
      <family val="2"/>
    </font>
    <font>
      <sz val="11"/>
      <color theme="1"/>
      <name val="Arial Narrow"/>
      <family val="2"/>
    </font>
    <font>
      <sz val="10"/>
      <name val="Arial"/>
      <family val="2"/>
    </font>
    <font>
      <sz val="8"/>
      <name val="Arial"/>
      <family val="2"/>
    </font>
    <font>
      <sz val="10"/>
      <name val="Trebuchet MS"/>
      <family val="2"/>
    </font>
    <font>
      <b/>
      <i/>
      <sz val="18"/>
      <color indexed="43"/>
      <name val="Trebuchet MS"/>
      <family val="2"/>
    </font>
    <font>
      <b/>
      <i/>
      <sz val="16"/>
      <color indexed="12"/>
      <name val="Trebuchet MS"/>
      <family val="2"/>
    </font>
    <font>
      <sz val="8"/>
      <name val="Trebuchet MS"/>
      <family val="2"/>
    </font>
    <font>
      <sz val="12"/>
      <name val="Calibri"/>
      <family val="2"/>
    </font>
    <font>
      <sz val="12"/>
      <color indexed="13"/>
      <name val="Calibri"/>
      <family val="2"/>
    </font>
    <font>
      <b/>
      <sz val="15"/>
      <name val="Calibri"/>
      <family val="2"/>
    </font>
    <font>
      <b/>
      <sz val="15"/>
      <color indexed="13"/>
      <name val="Calibri"/>
      <family val="2"/>
    </font>
    <font>
      <b/>
      <sz val="15"/>
      <color indexed="8"/>
      <name val="Calibri"/>
      <family val="2"/>
    </font>
    <font>
      <sz val="15"/>
      <color indexed="13"/>
      <name val="Calibri"/>
      <family val="2"/>
    </font>
    <font>
      <b/>
      <sz val="14"/>
      <color indexed="8"/>
      <name val="Calibri"/>
      <family val="2"/>
    </font>
    <font>
      <b/>
      <sz val="22"/>
      <color indexed="13"/>
      <name val="Calibri"/>
      <family val="2"/>
    </font>
    <font>
      <b/>
      <sz val="12"/>
      <name val="Calibri"/>
      <family val="2"/>
    </font>
    <font>
      <b/>
      <sz val="12"/>
      <color indexed="13"/>
      <name val="Calibri"/>
      <family val="2"/>
    </font>
    <font>
      <b/>
      <sz val="12"/>
      <color indexed="8"/>
      <name val="Calibri"/>
      <family val="2"/>
    </font>
    <font>
      <b/>
      <sz val="12"/>
      <color indexed="9"/>
      <name val="Calibri"/>
      <family val="2"/>
    </font>
    <font>
      <sz val="11"/>
      <name val="Trebuchet MS"/>
      <family val="2"/>
    </font>
    <font>
      <sz val="11"/>
      <color indexed="8"/>
      <name val="Trebuchet MS"/>
      <family val="2"/>
    </font>
    <font>
      <b/>
      <sz val="18"/>
      <color indexed="14"/>
      <name val="Calibri"/>
      <family val="2"/>
    </font>
    <font>
      <b/>
      <sz val="17"/>
      <color indexed="14"/>
      <name val="Calibri"/>
      <family val="2"/>
    </font>
    <font>
      <sz val="7"/>
      <name val="Trebuchet MS"/>
      <family val="2"/>
    </font>
    <font>
      <b/>
      <sz val="18"/>
      <name val="Trebuchet MS"/>
      <family val="2"/>
    </font>
    <font>
      <sz val="10"/>
      <name val="Calibri"/>
      <family val="2"/>
    </font>
    <font>
      <sz val="10"/>
      <color indexed="58"/>
      <name val="Calibri"/>
      <family val="2"/>
    </font>
    <font>
      <sz val="10"/>
      <color indexed="8"/>
      <name val="Calibri"/>
      <family val="2"/>
    </font>
    <font>
      <b/>
      <i/>
      <sz val="14"/>
      <color indexed="48"/>
      <name val="Calibri"/>
      <family val="2"/>
    </font>
    <font>
      <sz val="11"/>
      <color indexed="58"/>
      <name val="Calibri"/>
      <family val="2"/>
    </font>
    <font>
      <b/>
      <i/>
      <sz val="11"/>
      <name val="Calibri"/>
      <family val="2"/>
    </font>
    <font>
      <sz val="9"/>
      <name val="Calibri"/>
      <family val="2"/>
    </font>
    <font>
      <b/>
      <sz val="10"/>
      <color indexed="9"/>
      <name val="Calibri"/>
      <family val="2"/>
    </font>
    <font>
      <b/>
      <i/>
      <sz val="14"/>
      <color indexed="9"/>
      <name val="Calibri"/>
      <family val="2"/>
    </font>
    <font>
      <b/>
      <i/>
      <sz val="16"/>
      <color indexed="13"/>
      <name val="Calibri"/>
      <family val="2"/>
    </font>
    <font>
      <i/>
      <sz val="11"/>
      <color indexed="40"/>
      <name val="Calibri"/>
      <family val="2"/>
    </font>
    <font>
      <i/>
      <sz val="11"/>
      <color indexed="40"/>
      <name val="Trebuchet MS"/>
      <family val="2"/>
    </font>
    <font>
      <b/>
      <sz val="11"/>
      <color indexed="43"/>
      <name val="Trebuchet MS"/>
      <family val="2"/>
    </font>
    <font>
      <i/>
      <sz val="11"/>
      <name val="Calibri"/>
      <family val="2"/>
    </font>
    <font>
      <i/>
      <sz val="11"/>
      <color indexed="43"/>
      <name val="Calibri"/>
      <family val="2"/>
    </font>
    <font>
      <i/>
      <sz val="11"/>
      <color indexed="58"/>
      <name val="Calibri"/>
      <family val="2"/>
    </font>
    <font>
      <b/>
      <i/>
      <sz val="11"/>
      <color indexed="9"/>
      <name val="Calibri"/>
      <family val="2"/>
    </font>
    <font>
      <b/>
      <i/>
      <sz val="18"/>
      <color indexed="10"/>
      <name val="Calibri"/>
      <family val="2"/>
    </font>
    <font>
      <b/>
      <i/>
      <sz val="11"/>
      <color indexed="10"/>
      <name val="Calibri"/>
      <family val="2"/>
    </font>
    <font>
      <b/>
      <i/>
      <sz val="12"/>
      <color indexed="12"/>
      <name val="Calibri"/>
      <family val="2"/>
    </font>
    <font>
      <i/>
      <sz val="12"/>
      <color indexed="18"/>
      <name val="Calibri"/>
      <family val="2"/>
    </font>
    <font>
      <b/>
      <sz val="8"/>
      <color indexed="81"/>
      <name val="Tahoma"/>
      <family val="2"/>
    </font>
    <font>
      <sz val="8"/>
      <color indexed="81"/>
      <name val="Tahoma"/>
      <family val="2"/>
    </font>
    <font>
      <sz val="10"/>
      <name val="Arial"/>
      <family val="2"/>
    </font>
    <font>
      <b/>
      <sz val="11"/>
      <color theme="0" tint="-0.14999847407452621"/>
      <name val="Calibri"/>
      <family val="2"/>
      <scheme val="minor"/>
    </font>
    <font>
      <b/>
      <sz val="8"/>
      <color theme="0" tint="-0.14999847407452621"/>
      <name val="Calibri"/>
      <family val="2"/>
      <scheme val="minor"/>
    </font>
    <font>
      <sz val="10"/>
      <name val="Calibri"/>
      <family val="2"/>
      <scheme val="minor"/>
    </font>
    <font>
      <sz val="14"/>
      <color theme="0"/>
      <name val="Arial"/>
      <family val="2"/>
    </font>
    <font>
      <sz val="10"/>
      <color theme="0"/>
      <name val="Arial"/>
      <family val="2"/>
    </font>
    <font>
      <sz val="10"/>
      <color theme="1"/>
      <name val="Calibri"/>
      <family val="2"/>
    </font>
    <font>
      <b/>
      <i/>
      <sz val="12"/>
      <color rgb="FFFF0000"/>
      <name val="Trebuchet MS"/>
      <family val="2"/>
    </font>
    <font>
      <b/>
      <sz val="12"/>
      <name val="Calibri"/>
      <family val="2"/>
      <scheme val="minor"/>
    </font>
    <font>
      <b/>
      <sz val="10"/>
      <color theme="0"/>
      <name val="Arial"/>
      <family val="2"/>
    </font>
    <font>
      <b/>
      <sz val="10"/>
      <color indexed="9"/>
      <name val="Tahoma"/>
      <family val="2"/>
    </font>
    <font>
      <b/>
      <sz val="10"/>
      <color indexed="59"/>
      <name val="Tahoma"/>
      <family val="2"/>
    </font>
    <font>
      <b/>
      <i/>
      <sz val="11"/>
      <color indexed="11"/>
      <name val="Calibri"/>
      <family val="2"/>
    </font>
    <font>
      <sz val="8"/>
      <color rgb="FFFFFF00"/>
      <name val="Trebuchet MS"/>
      <family val="2"/>
    </font>
    <font>
      <sz val="11"/>
      <name val="Calibri"/>
      <family val="2"/>
    </font>
    <font>
      <b/>
      <sz val="11"/>
      <color indexed="8"/>
      <name val="Calibri"/>
      <family val="2"/>
    </font>
    <font>
      <sz val="8"/>
      <name val="Calibri"/>
      <family val="2"/>
    </font>
    <font>
      <sz val="10"/>
      <color rgb="FFFFC000"/>
      <name val="Calibri"/>
      <family val="2"/>
      <scheme val="minor"/>
    </font>
    <font>
      <sz val="18"/>
      <color rgb="FFFFFF00"/>
      <name val="Calibri"/>
      <family val="2"/>
      <scheme val="minor"/>
    </font>
    <font>
      <b/>
      <sz val="10"/>
      <color theme="1"/>
      <name val="Tahoma"/>
      <family val="2"/>
    </font>
    <font>
      <sz val="8"/>
      <color indexed="9"/>
      <name val="Trebuchet MS"/>
      <family val="2"/>
    </font>
    <font>
      <sz val="9"/>
      <name val="Trebuchet MS"/>
      <family val="2"/>
    </font>
    <font>
      <sz val="10"/>
      <color rgb="FFFFFF00"/>
      <name val="Calibri"/>
      <family val="2"/>
      <scheme val="minor"/>
    </font>
    <font>
      <b/>
      <i/>
      <sz val="11"/>
      <color rgb="FF002060"/>
      <name val="Calibri"/>
      <family val="2"/>
    </font>
    <font>
      <b/>
      <i/>
      <sz val="16"/>
      <name val="Calibri"/>
      <family val="2"/>
    </font>
    <font>
      <b/>
      <i/>
      <sz val="14"/>
      <color rgb="FFFF0000"/>
      <name val="Trebuchet MS"/>
      <family val="2"/>
    </font>
    <font>
      <b/>
      <sz val="14"/>
      <color indexed="63"/>
      <name val="Calibri"/>
      <family val="2"/>
    </font>
    <font>
      <b/>
      <sz val="16"/>
      <color rgb="FFFFC000"/>
      <name val="Calibri"/>
      <family val="2"/>
    </font>
    <font>
      <b/>
      <sz val="21"/>
      <color indexed="14"/>
      <name val="Calibri"/>
      <family val="2"/>
    </font>
    <font>
      <b/>
      <sz val="11"/>
      <name val="Trebuchet MS"/>
      <family val="2"/>
    </font>
    <font>
      <b/>
      <sz val="12"/>
      <color theme="1"/>
      <name val="Calibri"/>
      <family val="2"/>
      <scheme val="minor"/>
    </font>
    <font>
      <b/>
      <sz val="10"/>
      <color indexed="8"/>
      <name val="Trebuchet MS"/>
      <family val="2"/>
    </font>
    <font>
      <sz val="7.5"/>
      <color indexed="8"/>
      <name val="Trebuchet MS"/>
      <family val="2"/>
    </font>
    <font>
      <b/>
      <sz val="10"/>
      <name val="Calibri"/>
      <family val="2"/>
    </font>
    <font>
      <sz val="13"/>
      <name val="Calibri"/>
      <family val="2"/>
      <scheme val="minor"/>
    </font>
    <font>
      <b/>
      <sz val="12"/>
      <color indexed="43"/>
      <name val="Calibri"/>
      <family val="2"/>
    </font>
    <font>
      <i/>
      <sz val="11"/>
      <color rgb="FF333333"/>
      <name val="Calibri"/>
      <family val="2"/>
    </font>
    <font>
      <b/>
      <sz val="13"/>
      <color rgb="FFFFFF00"/>
      <name val="Calibri"/>
      <family val="2"/>
      <scheme val="minor"/>
    </font>
    <font>
      <b/>
      <i/>
      <sz val="9"/>
      <color indexed="11"/>
      <name val="Calibri"/>
      <family val="2"/>
    </font>
    <font>
      <b/>
      <sz val="13"/>
      <color indexed="8"/>
      <name val="Calibri"/>
      <family val="2"/>
    </font>
    <font>
      <b/>
      <i/>
      <sz val="12"/>
      <color rgb="FF00FF00"/>
      <name val="Trebuchet MS"/>
      <family val="2"/>
    </font>
    <font>
      <b/>
      <i/>
      <sz val="16"/>
      <color rgb="FF00FF00"/>
      <name val="Calibri"/>
      <family val="2"/>
    </font>
    <font>
      <sz val="10"/>
      <color rgb="FF003300"/>
      <name val="Calibri"/>
      <family val="2"/>
    </font>
    <font>
      <b/>
      <i/>
      <sz val="12"/>
      <color theme="0"/>
      <name val="Calibri"/>
      <family val="2"/>
    </font>
    <font>
      <sz val="10"/>
      <color theme="0"/>
      <name val="Trebuchet MS"/>
      <family val="2"/>
    </font>
    <font>
      <sz val="10"/>
      <color theme="0"/>
      <name val="Calibri"/>
      <family val="2"/>
    </font>
    <font>
      <sz val="10"/>
      <name val="Arial"/>
      <family val="2"/>
    </font>
    <font>
      <b/>
      <sz val="10"/>
      <color rgb="FFFF0000"/>
      <name val="Calibri"/>
      <family val="2"/>
    </font>
    <font>
      <i/>
      <sz val="11"/>
      <color theme="0"/>
      <name val="Calibri"/>
      <family val="2"/>
    </font>
    <font>
      <sz val="9"/>
      <color indexed="8"/>
      <name val="Trebuchet MS"/>
      <family val="2"/>
    </font>
    <font>
      <b/>
      <i/>
      <sz val="11"/>
      <color theme="0"/>
      <name val="Calibri"/>
      <family val="2"/>
    </font>
    <font>
      <sz val="8"/>
      <color indexed="8"/>
      <name val="Trebuchet MS"/>
      <family val="2"/>
    </font>
    <font>
      <sz val="9"/>
      <color indexed="8"/>
      <name val="Arial Narrow"/>
      <family val="2"/>
    </font>
    <font>
      <sz val="8"/>
      <color theme="0"/>
      <name val="Arial"/>
      <family val="2"/>
    </font>
    <font>
      <sz val="10"/>
      <color theme="1" tint="0.14999847407452621"/>
      <name val="Trebuchet MS"/>
      <family val="2"/>
    </font>
    <font>
      <sz val="8"/>
      <color indexed="43"/>
      <name val="Trebuchet MS"/>
      <family val="2"/>
    </font>
    <font>
      <b/>
      <sz val="12"/>
      <color indexed="43"/>
      <name val="Trebuchet MS"/>
      <family val="2"/>
    </font>
    <font>
      <sz val="10"/>
      <color theme="1" tint="0.14999847407452621"/>
      <name val="Calibri"/>
      <family val="2"/>
      <scheme val="minor"/>
    </font>
    <font>
      <b/>
      <sz val="10"/>
      <color rgb="FF0000CC"/>
      <name val="Calibri"/>
      <family val="2"/>
      <scheme val="minor"/>
    </font>
    <font>
      <sz val="11"/>
      <color indexed="8"/>
      <name val="Calibri"/>
      <family val="2"/>
    </font>
    <font>
      <b/>
      <sz val="11"/>
      <name val="Calibri"/>
      <family val="2"/>
    </font>
    <font>
      <b/>
      <sz val="10"/>
      <color rgb="FFFFC000"/>
      <name val="Tahoma"/>
      <family val="2"/>
    </font>
    <font>
      <b/>
      <i/>
      <sz val="12"/>
      <name val="Trebuchet MS"/>
      <family val="2"/>
    </font>
    <font>
      <sz val="9"/>
      <color indexed="9"/>
      <name val="Trebuchet MS"/>
      <family val="2"/>
    </font>
    <font>
      <b/>
      <sz val="14"/>
      <color rgb="FF0000CC"/>
      <name val="Calibri"/>
      <family val="2"/>
    </font>
    <font>
      <sz val="10"/>
      <color rgb="FF990033"/>
      <name val="Trebuchet MS"/>
      <family val="2"/>
    </font>
    <font>
      <b/>
      <i/>
      <sz val="14"/>
      <name val="Trebuchet MS"/>
      <family val="2"/>
    </font>
    <font>
      <sz val="10"/>
      <color rgb="FFFFFF00"/>
      <name val="Calibri"/>
      <family val="2"/>
    </font>
    <font>
      <b/>
      <sz val="13"/>
      <color rgb="FFFFC000"/>
      <name val="Calibri"/>
      <family val="2"/>
    </font>
    <font>
      <sz val="12"/>
      <color rgb="FFFFFF00"/>
      <name val="Calibri"/>
      <family val="2"/>
      <scheme val="minor"/>
    </font>
    <font>
      <sz val="12"/>
      <color theme="0"/>
      <name val="Trebuchet MS"/>
      <family val="2"/>
    </font>
    <font>
      <sz val="11"/>
      <color theme="0"/>
      <name val="Trebuchet MS"/>
      <family val="2"/>
    </font>
    <font>
      <sz val="11"/>
      <color theme="2"/>
      <name val="Trebuchet MS"/>
      <family val="2"/>
    </font>
    <font>
      <b/>
      <sz val="8"/>
      <name val="Trebuchet MS"/>
      <family val="2"/>
    </font>
    <font>
      <sz val="10"/>
      <color theme="2"/>
      <name val="Trebuchet MS"/>
      <family val="2"/>
    </font>
    <font>
      <sz val="16"/>
      <color theme="0"/>
      <name val="Trebuchet MS"/>
      <family val="2"/>
    </font>
    <font>
      <b/>
      <i/>
      <sz val="16"/>
      <color rgb="FF00B0F0"/>
      <name val="Calibri"/>
      <family val="2"/>
    </font>
    <font>
      <sz val="10"/>
      <color theme="1"/>
      <name val="Calibri"/>
      <family val="2"/>
      <scheme val="minor"/>
    </font>
    <font>
      <b/>
      <i/>
      <sz val="16"/>
      <color rgb="FFFFC000"/>
      <name val="Trebuchet MS"/>
      <family val="2"/>
    </font>
    <font>
      <b/>
      <sz val="10"/>
      <color theme="0"/>
      <name val="Calibri"/>
      <family val="2"/>
    </font>
    <font>
      <b/>
      <sz val="10"/>
      <name val="Trebuchet MS"/>
      <family val="2"/>
    </font>
    <font>
      <sz val="10"/>
      <color rgb="FFFFFF00"/>
      <name val="Arial"/>
      <family val="2"/>
    </font>
    <font>
      <sz val="8"/>
      <color indexed="40"/>
      <name val="Trebuchet MS"/>
      <family val="2"/>
    </font>
    <font>
      <sz val="10"/>
      <name val="Arial Narrow"/>
      <family val="2"/>
    </font>
    <font>
      <sz val="11"/>
      <name val="Arial Narrow"/>
      <family val="2"/>
    </font>
    <font>
      <b/>
      <sz val="14"/>
      <name val="Arial Narrow"/>
      <family val="2"/>
    </font>
    <font>
      <b/>
      <sz val="16"/>
      <name val="Arial Narrow"/>
      <family val="2"/>
    </font>
    <font>
      <b/>
      <sz val="13"/>
      <color theme="2" tint="-9.9978637043366805E-2"/>
      <name val="Calibri"/>
      <family val="2"/>
    </font>
    <font>
      <sz val="11"/>
      <color theme="2" tint="-9.9978637043366805E-2"/>
      <name val="Arial Narrow"/>
      <family val="2"/>
    </font>
    <font>
      <b/>
      <i/>
      <sz val="20"/>
      <color rgb="FF0000FF"/>
      <name val="Arial Narrow"/>
      <family val="2"/>
    </font>
    <font>
      <sz val="11"/>
      <color theme="2"/>
      <name val="Arial Narrow"/>
      <family val="2"/>
    </font>
    <font>
      <sz val="10"/>
      <color theme="2"/>
      <name val="Arial Narrow"/>
      <family val="2"/>
    </font>
    <font>
      <sz val="10"/>
      <color rgb="FFFFC000"/>
      <name val="Arial"/>
      <family val="2"/>
    </font>
    <font>
      <sz val="10"/>
      <color rgb="FFFF0000"/>
      <name val="Trebuchet MS"/>
      <family val="2"/>
    </font>
    <font>
      <sz val="7.5"/>
      <color rgb="FFFFC000"/>
      <name val="Arial Narrow"/>
      <family val="2"/>
    </font>
    <font>
      <sz val="10"/>
      <color indexed="10"/>
      <name val="Trebuchet MS"/>
      <family val="2"/>
    </font>
    <font>
      <b/>
      <i/>
      <sz val="12"/>
      <color indexed="18"/>
      <name val="Calibri"/>
      <family val="2"/>
    </font>
    <font>
      <sz val="12"/>
      <name val="Arial"/>
      <family val="2"/>
    </font>
    <font>
      <b/>
      <sz val="28"/>
      <name val="Arial"/>
      <family val="2"/>
    </font>
    <font>
      <sz val="10"/>
      <color theme="1" tint="0.249977111117893"/>
      <name val="Arial"/>
      <family val="2"/>
    </font>
    <font>
      <b/>
      <sz val="18"/>
      <color theme="0"/>
      <name val="Calibri"/>
      <family val="2"/>
      <scheme val="minor"/>
    </font>
    <font>
      <b/>
      <sz val="22"/>
      <color rgb="FF002060"/>
      <name val="Arial"/>
      <family val="2"/>
    </font>
    <font>
      <sz val="14"/>
      <color rgb="FFFFC000"/>
      <name val="Arial"/>
      <family val="2"/>
    </font>
    <font>
      <b/>
      <sz val="20"/>
      <color theme="0"/>
      <name val="Arial"/>
      <family val="2"/>
    </font>
    <font>
      <b/>
      <sz val="14"/>
      <color theme="0"/>
      <name val="Arial"/>
      <family val="2"/>
    </font>
    <font>
      <b/>
      <sz val="10"/>
      <name val="Arial Narrow"/>
      <family val="2"/>
    </font>
    <font>
      <sz val="11"/>
      <name val="Calibri"/>
      <family val="2"/>
      <scheme val="minor"/>
    </font>
    <font>
      <sz val="8"/>
      <color rgb="FF000064"/>
      <name val="Arial Narrow"/>
      <family val="2"/>
    </font>
    <font>
      <sz val="12"/>
      <color rgb="FF00FF00"/>
      <name val="Trebuchet MS"/>
      <family val="2"/>
    </font>
    <font>
      <sz val="11"/>
      <color rgb="FFFFFF00"/>
      <name val="Arial Narrow"/>
      <family val="2"/>
    </font>
    <font>
      <i/>
      <sz val="16"/>
      <color rgb="FF00FF99"/>
      <name val="Calibri"/>
      <family val="2"/>
    </font>
    <font>
      <b/>
      <i/>
      <sz val="16"/>
      <color rgb="FF00FF99"/>
      <name val="Calibri"/>
      <family val="2"/>
    </font>
    <font>
      <sz val="10"/>
      <color theme="1"/>
      <name val="Trebuchet MS"/>
      <family val="2"/>
    </font>
    <font>
      <b/>
      <sz val="12"/>
      <color theme="1"/>
      <name val="Trebuchet MS"/>
      <family val="2"/>
    </font>
    <font>
      <sz val="12"/>
      <color theme="1"/>
      <name val="Calibri"/>
      <family val="2"/>
    </font>
    <font>
      <sz val="11"/>
      <color theme="1"/>
      <name val="Calibri"/>
      <family val="2"/>
    </font>
    <font>
      <b/>
      <i/>
      <sz val="11"/>
      <color rgb="FFFFFF00"/>
      <name val="Calibri"/>
      <family val="2"/>
    </font>
    <font>
      <sz val="12"/>
      <color rgb="FFFFFF00"/>
      <name val="Calibri"/>
      <family val="2"/>
    </font>
    <font>
      <sz val="10"/>
      <color rgb="FFFFFF00"/>
      <name val="Trebuchet MS"/>
      <family val="2"/>
    </font>
    <font>
      <i/>
      <sz val="14"/>
      <color rgb="FF00FF00"/>
      <name val="Calibri"/>
      <family val="2"/>
    </font>
    <font>
      <i/>
      <sz val="11"/>
      <color rgb="FF00FF00"/>
      <name val="Calibri"/>
      <family val="2"/>
    </font>
    <font>
      <b/>
      <i/>
      <sz val="12"/>
      <color rgb="FFFF0000"/>
      <name val="Calibri"/>
      <family val="2"/>
    </font>
    <font>
      <b/>
      <i/>
      <sz val="16"/>
      <color rgb="FFFF0000"/>
      <name val="Calibri"/>
      <family val="2"/>
    </font>
    <font>
      <sz val="12"/>
      <name val="Calibri"/>
      <family val="2"/>
      <scheme val="minor"/>
    </font>
    <font>
      <sz val="14"/>
      <name val="Calibri"/>
      <family val="2"/>
      <scheme val="minor"/>
    </font>
    <font>
      <b/>
      <i/>
      <sz val="16"/>
      <color indexed="43"/>
      <name val="Calibri"/>
      <family val="2"/>
    </font>
    <font>
      <b/>
      <sz val="20"/>
      <color rgb="FF9900CC"/>
      <name val="Calibri"/>
      <family val="2"/>
      <scheme val="minor"/>
    </font>
    <font>
      <b/>
      <sz val="20"/>
      <color rgb="FF0000FF"/>
      <name val="Calibri"/>
      <family val="2"/>
      <scheme val="minor"/>
    </font>
    <font>
      <b/>
      <sz val="20"/>
      <color rgb="FFFF0000"/>
      <name val="Calibri"/>
      <family val="2"/>
      <scheme val="minor"/>
    </font>
    <font>
      <sz val="12"/>
      <color rgb="FFFFC000"/>
      <name val="Calibri"/>
      <family val="2"/>
      <scheme val="minor"/>
    </font>
    <font>
      <sz val="11"/>
      <color theme="1"/>
      <name val="Trebuchet MS"/>
      <family val="2"/>
    </font>
    <font>
      <b/>
      <sz val="48"/>
      <color rgb="FF0000FF"/>
      <name val="Trebuchet MS"/>
      <family val="2"/>
    </font>
    <font>
      <b/>
      <i/>
      <sz val="16"/>
      <color rgb="FF002060"/>
      <name val="Calibri"/>
      <family val="2"/>
    </font>
    <font>
      <b/>
      <i/>
      <sz val="18"/>
      <name val="Calibri"/>
      <family val="2"/>
    </font>
    <font>
      <sz val="6"/>
      <color rgb="FFFFFF00"/>
      <name val="Calibri"/>
      <family val="2"/>
      <scheme val="minor"/>
    </font>
    <font>
      <b/>
      <sz val="8"/>
      <color theme="0"/>
      <name val="Trebuchet MS"/>
      <family val="2"/>
    </font>
    <font>
      <b/>
      <sz val="7"/>
      <color theme="0"/>
      <name val="Trebuchet MS"/>
      <family val="2"/>
    </font>
    <font>
      <b/>
      <sz val="7"/>
      <color theme="1" tint="0.499984740745262"/>
      <name val="Trebuchet MS"/>
      <family val="2"/>
    </font>
    <font>
      <sz val="18"/>
      <color rgb="FF0000FF"/>
      <name val="Calibri"/>
      <family val="2"/>
      <scheme val="minor"/>
    </font>
    <font>
      <b/>
      <sz val="12"/>
      <name val="Trebuchet MS"/>
      <family val="2"/>
    </font>
    <font>
      <i/>
      <sz val="11"/>
      <color theme="1" tint="0.249977111117893"/>
      <name val="Calibri"/>
      <family val="2"/>
    </font>
    <font>
      <i/>
      <sz val="18"/>
      <color theme="1" tint="0.249977111117893"/>
      <name val="Calibri"/>
      <family val="2"/>
    </font>
    <font>
      <sz val="7"/>
      <color rgb="FF00FF00"/>
      <name val="Trebuchet MS"/>
      <family val="2"/>
    </font>
    <font>
      <b/>
      <i/>
      <sz val="12"/>
      <color indexed="43"/>
      <name val="Trebuchet MS"/>
      <family val="2"/>
    </font>
    <font>
      <sz val="14"/>
      <color rgb="FFFFC000"/>
      <name val="Calibri"/>
      <family val="2"/>
      <scheme val="minor"/>
    </font>
    <font>
      <b/>
      <sz val="16"/>
      <name val="Trebuchet MS"/>
      <family val="2"/>
    </font>
    <font>
      <sz val="10"/>
      <color indexed="9"/>
      <name val="Trebuchet MS"/>
      <family val="2"/>
    </font>
    <font>
      <b/>
      <sz val="28"/>
      <color rgb="FF00FFCC"/>
      <name val="Calibri"/>
      <family val="2"/>
    </font>
    <font>
      <sz val="10"/>
      <color rgb="FF00FFFF"/>
      <name val="Arial Narrow"/>
      <family val="2"/>
    </font>
    <font>
      <sz val="10"/>
      <color rgb="FF0000FF"/>
      <name val="Trebuchet MS"/>
      <family val="2"/>
    </font>
    <font>
      <b/>
      <i/>
      <sz val="16"/>
      <color rgb="FF0000FF"/>
      <name val="Trebuchet MS"/>
      <family val="2"/>
    </font>
    <font>
      <b/>
      <sz val="8"/>
      <color theme="1"/>
      <name val="Trebuchet MS"/>
      <family val="2"/>
    </font>
    <font>
      <b/>
      <sz val="8"/>
      <color theme="0" tint="-0.14999847407452621"/>
      <name val="Trebuchet MS"/>
      <family val="2"/>
    </font>
    <font>
      <sz val="9"/>
      <name val="Tahoma"/>
      <family val="2"/>
    </font>
    <font>
      <b/>
      <sz val="16"/>
      <color theme="1"/>
      <name val="Arial Narrow"/>
      <family val="2"/>
    </font>
    <font>
      <sz val="12"/>
      <color theme="2"/>
      <name val="Calibri"/>
      <family val="2"/>
    </font>
    <font>
      <b/>
      <sz val="10"/>
      <color theme="2"/>
      <name val="Tahoma"/>
      <family val="2"/>
    </font>
    <font>
      <b/>
      <i/>
      <sz val="14"/>
      <color theme="0" tint="-0.34998626667073579"/>
      <name val="Arial Narrow"/>
      <family val="2"/>
    </font>
    <font>
      <sz val="11"/>
      <color rgb="FFFF0000"/>
      <name val="Arial Narrow"/>
      <family val="2"/>
    </font>
    <font>
      <sz val="11"/>
      <color theme="0"/>
      <name val="Arial Narrow"/>
      <family val="2"/>
    </font>
    <font>
      <b/>
      <i/>
      <sz val="10"/>
      <color rgb="FF00FF00"/>
      <name val="Arial Narrow"/>
      <family val="2"/>
    </font>
    <font>
      <b/>
      <i/>
      <sz val="16"/>
      <color rgb="FF002060"/>
      <name val="Arial Narrow"/>
      <family val="2"/>
    </font>
    <font>
      <sz val="11"/>
      <color indexed="9"/>
      <name val="Arial Narrow"/>
      <family val="2"/>
    </font>
    <font>
      <sz val="10"/>
      <color theme="1"/>
      <name val="Arial Narrow"/>
      <family val="2"/>
    </font>
    <font>
      <sz val="10"/>
      <color rgb="FFFFFF00"/>
      <name val="Arial Narrow"/>
      <family val="2"/>
    </font>
    <font>
      <sz val="10"/>
      <color indexed="9"/>
      <name val="Arial Narrow"/>
      <family val="2"/>
    </font>
    <font>
      <b/>
      <sz val="11"/>
      <color indexed="8"/>
      <name val="Trebuchet MS"/>
      <family val="2"/>
    </font>
    <font>
      <b/>
      <sz val="11"/>
      <color indexed="13"/>
      <name val="Trebuchet MS"/>
      <family val="2"/>
    </font>
    <font>
      <b/>
      <sz val="11"/>
      <color indexed="9"/>
      <name val="Trebuchet MS"/>
      <family val="2"/>
    </font>
    <font>
      <sz val="10"/>
      <color indexed="8"/>
      <name val="Trebuchet MS"/>
      <family val="2"/>
    </font>
    <font>
      <b/>
      <i/>
      <sz val="20"/>
      <color theme="1"/>
      <name val="Arial Narrow"/>
      <family val="2"/>
    </font>
    <font>
      <sz val="9"/>
      <color rgb="FFFFFF00"/>
      <name val="Arial Narrow"/>
      <family val="2"/>
    </font>
    <font>
      <sz val="5"/>
      <color theme="1"/>
      <name val="Arial Narrow"/>
      <family val="2"/>
    </font>
    <font>
      <b/>
      <i/>
      <sz val="12"/>
      <color theme="1"/>
      <name val="Arial Narrow"/>
      <family val="2"/>
    </font>
    <font>
      <b/>
      <i/>
      <sz val="14"/>
      <color theme="1"/>
      <name val="Arial Narrow"/>
      <family val="2"/>
    </font>
    <font>
      <b/>
      <i/>
      <sz val="26"/>
      <color theme="1"/>
      <name val="Arial Narrow"/>
      <family val="2"/>
    </font>
    <font>
      <i/>
      <sz val="22"/>
      <color theme="1"/>
      <name val="Arial Narrow"/>
      <family val="2"/>
    </font>
    <font>
      <b/>
      <sz val="12"/>
      <color theme="2"/>
      <name val="Calibri"/>
      <family val="2"/>
    </font>
    <font>
      <b/>
      <i/>
      <sz val="11"/>
      <color theme="2"/>
      <name val="Trebuchet MS"/>
      <family val="2"/>
    </font>
    <font>
      <sz val="10"/>
      <color rgb="FF000064"/>
      <name val="Arial Narrow"/>
      <family val="2"/>
    </font>
    <font>
      <b/>
      <i/>
      <sz val="22"/>
      <name val="Arial Narrow"/>
      <family val="2"/>
    </font>
    <font>
      <i/>
      <sz val="26"/>
      <color theme="1"/>
      <name val="Arial Narrow"/>
      <family val="2"/>
    </font>
    <font>
      <b/>
      <i/>
      <sz val="18"/>
      <color theme="1"/>
      <name val="Arial Narrow"/>
      <family val="2"/>
    </font>
    <font>
      <sz val="12"/>
      <color rgb="FF000064"/>
      <name val="Arial Narrow"/>
      <family val="2"/>
    </font>
    <font>
      <sz val="14"/>
      <color theme="0"/>
      <name val="Arial Narrow"/>
      <family val="2"/>
    </font>
    <font>
      <sz val="10"/>
      <color theme="7" tint="-0.499984740745262"/>
      <name val="Arial Narrow"/>
      <family val="2"/>
    </font>
    <font>
      <sz val="10"/>
      <color rgb="FFFFC000"/>
      <name val="Arial Narrow"/>
      <family val="2"/>
    </font>
    <font>
      <sz val="10"/>
      <color theme="9" tint="0.39997558519241921"/>
      <name val="Arial Narrow"/>
      <family val="2"/>
    </font>
    <font>
      <sz val="14"/>
      <color rgb="FFFFFF00"/>
      <name val="Trebuchet MS"/>
      <family val="2"/>
    </font>
    <font>
      <b/>
      <sz val="16"/>
      <color rgb="FFFFC000"/>
      <name val="Trebuchet MS"/>
      <family val="2"/>
    </font>
    <font>
      <b/>
      <sz val="14"/>
      <color theme="1"/>
      <name val="Arial Narrow"/>
      <family val="2"/>
    </font>
    <font>
      <sz val="12"/>
      <color theme="0"/>
      <name val="Calibri"/>
      <family val="2"/>
    </font>
    <font>
      <sz val="10"/>
      <color theme="5" tint="-0.249977111117893"/>
      <name val="Trebuchet MS"/>
      <family val="2"/>
    </font>
    <font>
      <b/>
      <sz val="14"/>
      <color theme="2"/>
      <name val="Calibri"/>
      <family val="2"/>
    </font>
    <font>
      <b/>
      <i/>
      <sz val="14"/>
      <color theme="1" tint="0.34998626667073579"/>
      <name val="Arial Narrow"/>
      <family val="2"/>
    </font>
    <font>
      <sz val="12"/>
      <color theme="1"/>
      <name val="Calibri"/>
      <family val="2"/>
      <scheme val="minor"/>
    </font>
    <font>
      <b/>
      <i/>
      <sz val="22"/>
      <color theme="1"/>
      <name val="Arial Narrow"/>
      <family val="2"/>
    </font>
    <font>
      <sz val="11"/>
      <color theme="8" tint="0.59999389629810485"/>
      <name val="Arial Narrow"/>
      <family val="2"/>
    </font>
    <font>
      <sz val="10"/>
      <color theme="8" tint="0.59999389629810485"/>
      <name val="Arial Narrow"/>
      <family val="2"/>
    </font>
    <font>
      <b/>
      <i/>
      <sz val="10"/>
      <color theme="1"/>
      <name val="Trebuchet MS"/>
      <family val="2"/>
    </font>
    <font>
      <b/>
      <i/>
      <sz val="16"/>
      <name val="Arial Narrow"/>
      <family val="2"/>
    </font>
    <font>
      <b/>
      <i/>
      <sz val="10"/>
      <color theme="2" tint="-9.9978637043366805E-2"/>
      <name val="Trebuchet MS"/>
      <family val="2"/>
    </font>
    <font>
      <b/>
      <i/>
      <sz val="12"/>
      <color theme="2" tint="-9.9978637043366805E-2"/>
      <name val="Trebuchet MS"/>
      <family val="2"/>
    </font>
    <font>
      <sz val="10"/>
      <color theme="2"/>
      <name val="Arial"/>
      <family val="2"/>
    </font>
    <font>
      <b/>
      <sz val="22"/>
      <color rgb="FF00FFFF"/>
      <name val="Arial"/>
      <family val="2"/>
    </font>
    <font>
      <sz val="10"/>
      <color theme="0"/>
      <name val="Arial Narrow"/>
      <family val="2"/>
    </font>
    <font>
      <b/>
      <i/>
      <sz val="14"/>
      <color rgb="FFFFFF00"/>
      <name val="Trebuchet MS"/>
      <family val="2"/>
    </font>
    <font>
      <b/>
      <i/>
      <sz val="16"/>
      <color rgb="FFFFFF00"/>
      <name val="Trebuchet MS"/>
      <family val="2"/>
    </font>
    <font>
      <b/>
      <i/>
      <sz val="14"/>
      <color theme="2"/>
      <name val="Calibri"/>
      <family val="2"/>
    </font>
    <font>
      <i/>
      <sz val="11"/>
      <color rgb="FFFFFF00"/>
      <name val="Calibri"/>
      <family val="2"/>
    </font>
    <font>
      <sz val="9"/>
      <color theme="0"/>
      <name val="Trebuchet MS"/>
      <family val="2"/>
    </font>
    <font>
      <b/>
      <sz val="12"/>
      <color theme="0"/>
      <name val="Calibri"/>
      <family val="2"/>
    </font>
    <font>
      <b/>
      <sz val="13"/>
      <color theme="0"/>
      <name val="Calibri"/>
      <family val="2"/>
    </font>
    <font>
      <b/>
      <sz val="12"/>
      <color theme="1"/>
      <name val="Calibri"/>
      <family val="2"/>
    </font>
    <font>
      <sz val="11"/>
      <color rgb="FFFFFF00"/>
      <name val="Calibri"/>
      <family val="2"/>
    </font>
    <font>
      <b/>
      <sz val="7"/>
      <color theme="1"/>
      <name val="Trebuchet MS"/>
      <family val="2"/>
    </font>
    <font>
      <b/>
      <i/>
      <sz val="11"/>
      <color theme="1"/>
      <name val="Arial Narrow"/>
      <family val="2"/>
    </font>
    <font>
      <b/>
      <sz val="175"/>
      <color rgb="FFC00000"/>
      <name val="Arial"/>
      <family val="2"/>
    </font>
    <font>
      <sz val="9"/>
      <name val="Arial Narrow"/>
      <family val="2"/>
    </font>
    <font>
      <b/>
      <sz val="11"/>
      <color indexed="14"/>
      <name val="Calibri"/>
      <family val="2"/>
    </font>
    <font>
      <b/>
      <sz val="11"/>
      <color theme="2" tint="-0.249977111117893"/>
      <name val="Calibri"/>
      <family val="2"/>
    </font>
    <font>
      <b/>
      <i/>
      <sz val="14"/>
      <color rgb="FF00FFFF"/>
      <name val="Calibri"/>
      <family val="2"/>
    </font>
    <font>
      <b/>
      <sz val="14"/>
      <color rgb="FF00FFFF"/>
      <name val="Calibri"/>
      <family val="2"/>
    </font>
    <font>
      <b/>
      <sz val="20"/>
      <color indexed="8"/>
      <name val="Trebuchet MS"/>
      <family val="2"/>
    </font>
    <font>
      <sz val="16"/>
      <color theme="2"/>
      <name val="Calibri"/>
      <family val="2"/>
    </font>
    <font>
      <sz val="14"/>
      <color theme="2"/>
      <name val="Calibri"/>
      <family val="2"/>
    </font>
    <font>
      <b/>
      <sz val="20"/>
      <color rgb="FFFFC000"/>
      <name val="Calibri"/>
      <family val="2"/>
    </font>
    <font>
      <b/>
      <i/>
      <sz val="17"/>
      <color theme="2"/>
      <name val="Arial Narrow"/>
      <family val="2"/>
    </font>
    <font>
      <b/>
      <i/>
      <sz val="22"/>
      <color rgb="FFCCCC00"/>
      <name val="Arial Narrow"/>
      <family val="2"/>
    </font>
    <font>
      <b/>
      <sz val="16"/>
      <color rgb="FF00FFFF"/>
      <name val="Calibri"/>
      <family val="2"/>
    </font>
    <font>
      <b/>
      <sz val="16"/>
      <color rgb="FF92D050"/>
      <name val="Arial Narrow"/>
      <family val="2"/>
    </font>
    <font>
      <i/>
      <sz val="10"/>
      <color rgb="FFFFC000"/>
      <name val="Arial"/>
      <family val="2"/>
    </font>
    <font>
      <b/>
      <sz val="10"/>
      <color rgb="FFFFFF00"/>
      <name val="Arial Narrow"/>
      <family val="2"/>
    </font>
  </fonts>
  <fills count="105">
    <fill>
      <patternFill patternType="none"/>
    </fill>
    <fill>
      <patternFill patternType="gray125"/>
    </fill>
    <fill>
      <patternFill patternType="solid">
        <fgColor indexed="63"/>
        <bgColor indexed="64"/>
      </patternFill>
    </fill>
    <fill>
      <patternFill patternType="solid">
        <fgColor indexed="9"/>
        <bgColor indexed="64"/>
      </patternFill>
    </fill>
    <fill>
      <patternFill patternType="solid">
        <fgColor indexed="23"/>
        <bgColor indexed="64"/>
      </patternFill>
    </fill>
    <fill>
      <patternFill patternType="solid">
        <fgColor indexed="51"/>
        <bgColor indexed="64"/>
      </patternFill>
    </fill>
    <fill>
      <patternFill patternType="solid">
        <fgColor indexed="10"/>
        <bgColor indexed="64"/>
      </patternFill>
    </fill>
    <fill>
      <patternFill patternType="solid">
        <fgColor indexed="47"/>
        <bgColor indexed="64"/>
      </patternFill>
    </fill>
    <fill>
      <patternFill patternType="solid">
        <fgColor indexed="43"/>
        <bgColor indexed="64"/>
      </patternFill>
    </fill>
    <fill>
      <patternFill patternType="solid">
        <fgColor indexed="18"/>
        <bgColor indexed="64"/>
      </patternFill>
    </fill>
    <fill>
      <patternFill patternType="solid">
        <fgColor indexed="12"/>
        <bgColor indexed="64"/>
      </patternFill>
    </fill>
    <fill>
      <patternFill patternType="solid">
        <fgColor indexed="8"/>
        <bgColor indexed="64"/>
      </patternFill>
    </fill>
    <fill>
      <patternFill patternType="solid">
        <fgColor indexed="40"/>
        <bgColor indexed="64"/>
      </patternFill>
    </fill>
    <fill>
      <patternFill patternType="solid">
        <fgColor indexed="60"/>
        <bgColor indexed="64"/>
      </patternFill>
    </fill>
    <fill>
      <patternFill patternType="solid">
        <fgColor indexed="22"/>
        <bgColor indexed="64"/>
      </patternFill>
    </fill>
    <fill>
      <patternFill patternType="solid">
        <fgColor indexed="58"/>
        <bgColor indexed="64"/>
      </patternFill>
    </fill>
    <fill>
      <patternFill patternType="solid">
        <fgColor indexed="46"/>
        <bgColor indexed="64"/>
      </patternFill>
    </fill>
    <fill>
      <patternFill patternType="solid">
        <fgColor indexed="45"/>
        <bgColor indexed="64"/>
      </patternFill>
    </fill>
    <fill>
      <patternFill patternType="solid">
        <fgColor indexed="41"/>
        <bgColor indexed="64"/>
      </patternFill>
    </fill>
    <fill>
      <patternFill patternType="solid">
        <fgColor theme="1" tint="0.14999847407452621"/>
        <bgColor indexed="64"/>
      </patternFill>
    </fill>
    <fill>
      <patternFill patternType="solid">
        <fgColor theme="9" tint="0.39997558519241921"/>
        <bgColor indexed="64"/>
      </patternFill>
    </fill>
    <fill>
      <patternFill patternType="solid">
        <fgColor theme="8"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2060"/>
        <bgColor indexed="64"/>
      </patternFill>
    </fill>
    <fill>
      <patternFill patternType="solid">
        <fgColor theme="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9" tint="-0.249977111117893"/>
        <bgColor indexed="64"/>
      </patternFill>
    </fill>
    <fill>
      <patternFill patternType="solid">
        <fgColor rgb="FF00B0F0"/>
        <bgColor indexed="64"/>
      </patternFill>
    </fill>
    <fill>
      <patternFill patternType="solid">
        <fgColor theme="9" tint="0.59999389629810485"/>
        <bgColor indexed="64"/>
      </patternFill>
    </fill>
    <fill>
      <patternFill patternType="solid">
        <fgColor rgb="FF990000"/>
        <bgColor indexed="64"/>
      </patternFill>
    </fill>
    <fill>
      <patternFill patternType="solid">
        <fgColor theme="4" tint="0.39997558519241921"/>
        <bgColor indexed="64"/>
      </patternFill>
    </fill>
    <fill>
      <patternFill patternType="solid">
        <fgColor rgb="FFC00000"/>
        <bgColor indexed="64"/>
      </patternFill>
    </fill>
    <fill>
      <patternFill patternType="solid">
        <fgColor rgb="FFFFFF99"/>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theme="0" tint="-0.34998626667073579"/>
        <bgColor indexed="64"/>
      </patternFill>
    </fill>
    <fill>
      <patternFill patternType="solid">
        <fgColor rgb="FFFFCCFF"/>
        <bgColor indexed="64"/>
      </patternFill>
    </fill>
    <fill>
      <patternFill patternType="solid">
        <fgColor theme="5" tint="0.39997558519241921"/>
        <bgColor indexed="64"/>
      </patternFill>
    </fill>
    <fill>
      <patternFill patternType="solid">
        <fgColor rgb="FF003300"/>
        <bgColor indexed="64"/>
      </patternFill>
    </fill>
    <fill>
      <patternFill patternType="solid">
        <fgColor rgb="FF191919"/>
        <bgColor indexed="64"/>
      </patternFill>
    </fill>
    <fill>
      <patternFill patternType="solid">
        <fgColor theme="8" tint="-0.249977111117893"/>
        <bgColor indexed="64"/>
      </patternFill>
    </fill>
    <fill>
      <patternFill patternType="solid">
        <fgColor rgb="FF0070C0"/>
        <bgColor indexed="64"/>
      </patternFill>
    </fill>
    <fill>
      <patternFill patternType="solid">
        <fgColor theme="3" tint="-0.499984740745262"/>
        <bgColor indexed="64"/>
      </patternFill>
    </fill>
    <fill>
      <patternFill patternType="solid">
        <fgColor rgb="FFFFB7B7"/>
        <bgColor indexed="64"/>
      </patternFill>
    </fill>
    <fill>
      <patternFill patternType="solid">
        <fgColor rgb="FF002060"/>
        <bgColor indexed="59"/>
      </patternFill>
    </fill>
    <fill>
      <patternFill patternType="solid">
        <fgColor rgb="FF990033"/>
        <bgColor indexed="64"/>
      </patternFill>
    </fill>
    <fill>
      <patternFill patternType="solid">
        <fgColor rgb="FF333333"/>
        <bgColor indexed="64"/>
      </patternFill>
    </fill>
    <fill>
      <patternFill patternType="solid">
        <fgColor theme="8" tint="0.39997558519241921"/>
        <bgColor indexed="64"/>
      </patternFill>
    </fill>
    <fill>
      <patternFill patternType="solid">
        <fgColor rgb="FFFF0000"/>
        <bgColor indexed="64"/>
      </patternFill>
    </fill>
    <fill>
      <patternFill patternType="solid">
        <fgColor theme="6" tint="0.59999389629810485"/>
        <bgColor indexed="64"/>
      </patternFill>
    </fill>
    <fill>
      <patternFill patternType="solid">
        <fgColor theme="2" tint="-0.499984740745262"/>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theme="5" tint="0.59999389629810485"/>
        <bgColor indexed="64"/>
      </patternFill>
    </fill>
    <fill>
      <patternFill patternType="solid">
        <fgColor theme="6" tint="-0.249977111117893"/>
        <bgColor indexed="64"/>
      </patternFill>
    </fill>
    <fill>
      <patternFill patternType="solid">
        <fgColor theme="8" tint="0.59999389629810485"/>
        <bgColor indexed="64"/>
      </patternFill>
    </fill>
    <fill>
      <patternFill patternType="solid">
        <fgColor rgb="FF1C1C1C"/>
        <bgColor indexed="64"/>
      </patternFill>
    </fill>
    <fill>
      <patternFill patternType="solid">
        <fgColor rgb="FFFF66FF"/>
        <bgColor indexed="64"/>
      </patternFill>
    </fill>
    <fill>
      <patternFill patternType="solid">
        <fgColor rgb="FF660066"/>
        <bgColor indexed="64"/>
      </patternFill>
    </fill>
    <fill>
      <patternFill patternType="solid">
        <fgColor rgb="FF000064"/>
        <bgColor indexed="64"/>
      </patternFill>
    </fill>
    <fill>
      <patternFill patternType="solid">
        <fgColor rgb="FF000066"/>
        <bgColor indexed="64"/>
      </patternFill>
    </fill>
    <fill>
      <patternFill patternType="solid">
        <fgColor rgb="FF800000"/>
        <bgColor indexed="64"/>
      </patternFill>
    </fill>
    <fill>
      <patternFill patternType="solid">
        <fgColor theme="2" tint="-0.89999084444715716"/>
        <bgColor indexed="64"/>
      </patternFill>
    </fill>
    <fill>
      <patternFill patternType="lightGray">
        <bgColor theme="1"/>
      </patternFill>
    </fill>
    <fill>
      <patternFill patternType="solid">
        <fgColor rgb="FFCCCC00"/>
        <bgColor indexed="64"/>
      </patternFill>
    </fill>
    <fill>
      <patternFill patternType="solid">
        <fgColor rgb="FF5C0000"/>
        <bgColor indexed="64"/>
      </patternFill>
    </fill>
    <fill>
      <patternFill patternType="solid">
        <fgColor theme="3" tint="-0.24994659260841701"/>
        <bgColor indexed="64"/>
      </patternFill>
    </fill>
    <fill>
      <patternFill patternType="solid">
        <fgColor indexed="13"/>
        <bgColor indexed="64"/>
      </patternFill>
    </fill>
    <fill>
      <patternFill patternType="solid">
        <fgColor indexed="59"/>
        <bgColor indexed="64"/>
      </patternFill>
    </fill>
    <fill>
      <patternFill patternType="solid">
        <fgColor indexed="53"/>
        <bgColor indexed="64"/>
      </patternFill>
    </fill>
    <fill>
      <patternFill patternType="solid">
        <fgColor indexed="44"/>
        <bgColor indexed="64"/>
      </patternFill>
    </fill>
    <fill>
      <patternFill patternType="solid">
        <fgColor indexed="14"/>
        <bgColor indexed="64"/>
      </patternFill>
    </fill>
    <fill>
      <patternFill patternType="solid">
        <fgColor theme="2"/>
        <bgColor indexed="64"/>
      </patternFill>
    </fill>
    <fill>
      <patternFill patternType="solid">
        <fgColor rgb="FFFF6600"/>
        <bgColor indexed="64"/>
      </patternFill>
    </fill>
    <fill>
      <patternFill patternType="solid">
        <fgColor indexed="48"/>
        <bgColor indexed="64"/>
      </patternFill>
    </fill>
    <fill>
      <patternFill patternType="solid">
        <fgColor indexed="11"/>
        <bgColor indexed="64"/>
      </patternFill>
    </fill>
    <fill>
      <patternFill patternType="solid">
        <fgColor indexed="36"/>
        <bgColor indexed="64"/>
      </patternFill>
    </fill>
    <fill>
      <patternFill patternType="solid">
        <fgColor indexed="62"/>
        <bgColor indexed="64"/>
      </patternFill>
    </fill>
    <fill>
      <patternFill patternType="solid">
        <fgColor indexed="20"/>
        <bgColor indexed="64"/>
      </patternFill>
    </fill>
    <fill>
      <patternFill patternType="solid">
        <fgColor rgb="FFE24B00"/>
        <bgColor indexed="64"/>
      </patternFill>
    </fill>
    <fill>
      <patternFill patternType="solid">
        <fgColor indexed="19"/>
        <bgColor indexed="64"/>
      </patternFill>
    </fill>
    <fill>
      <patternFill patternType="solid">
        <fgColor indexed="50"/>
        <bgColor indexed="64"/>
      </patternFill>
    </fill>
    <fill>
      <patternFill patternType="solid">
        <fgColor indexed="61"/>
        <bgColor indexed="64"/>
      </patternFill>
    </fill>
    <fill>
      <patternFill patternType="solid">
        <fgColor indexed="15"/>
        <bgColor indexed="64"/>
      </patternFill>
    </fill>
    <fill>
      <patternFill patternType="solid">
        <fgColor indexed="52"/>
        <bgColor indexed="64"/>
      </patternFill>
    </fill>
    <fill>
      <patternFill patternType="solid">
        <fgColor indexed="16"/>
        <bgColor indexed="64"/>
      </patternFill>
    </fill>
    <fill>
      <patternFill patternType="solid">
        <fgColor rgb="FFFFFF00"/>
        <bgColor indexed="64"/>
      </patternFill>
    </fill>
    <fill>
      <patternFill patternType="solid">
        <fgColor theme="9" tint="-0.499984740745262"/>
        <bgColor indexed="64"/>
      </patternFill>
    </fill>
    <fill>
      <patternFill patternType="solid">
        <fgColor theme="1" tint="4.9989318521683403E-2"/>
        <bgColor indexed="64"/>
      </patternFill>
    </fill>
    <fill>
      <patternFill patternType="solid">
        <fgColor rgb="FF00FF00"/>
        <bgColor indexed="64"/>
      </patternFill>
    </fill>
    <fill>
      <patternFill patternType="solid">
        <fgColor theme="4" tint="0.59999389629810485"/>
        <bgColor indexed="64"/>
      </patternFill>
    </fill>
    <fill>
      <patternFill patternType="solid">
        <fgColor theme="5" tint="-0.499984740745262"/>
        <bgColor indexed="64"/>
      </patternFill>
    </fill>
    <fill>
      <patternFill patternType="solid">
        <fgColor rgb="FF7030A0"/>
        <bgColor indexed="64"/>
      </patternFill>
    </fill>
    <fill>
      <patternFill patternType="solid">
        <fgColor rgb="FFC198E0"/>
        <bgColor indexed="64"/>
      </patternFill>
    </fill>
    <fill>
      <patternFill patternType="solid">
        <fgColor rgb="FF0000FF"/>
        <bgColor indexed="64"/>
      </patternFill>
    </fill>
    <fill>
      <patternFill patternType="solid">
        <fgColor rgb="FF66FFCC"/>
        <bgColor indexed="64"/>
      </patternFill>
    </fill>
    <fill>
      <patternFill patternType="solid">
        <fgColor theme="2" tint="-0.749992370372631"/>
        <bgColor indexed="64"/>
      </patternFill>
    </fill>
    <fill>
      <patternFill patternType="solid">
        <fgColor rgb="FF00FFFF"/>
        <bgColor indexed="64"/>
      </patternFill>
    </fill>
    <fill>
      <patternFill patternType="solid">
        <fgColor rgb="FF00AC00"/>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dotted">
        <color indexed="64"/>
      </left>
      <right style="dotted">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top/>
      <bottom style="medium">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bottom style="thick">
        <color rgb="FFFFFF00"/>
      </bottom>
      <diagonal/>
    </border>
    <border>
      <left style="medium">
        <color indexed="64"/>
      </left>
      <right style="hair">
        <color indexed="64"/>
      </right>
      <top style="thin">
        <color indexed="64"/>
      </top>
      <bottom style="thin">
        <color indexed="64"/>
      </bottom>
      <diagonal/>
    </border>
    <border>
      <left/>
      <right/>
      <top style="thin">
        <color indexed="64"/>
      </top>
      <bottom style="medium">
        <color indexed="64"/>
      </bottom>
      <diagonal/>
    </border>
    <border>
      <left/>
      <right/>
      <top style="hair">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hair">
        <color indexed="64"/>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style="hair">
        <color indexed="64"/>
      </right>
      <top/>
      <bottom style="thin">
        <color indexed="64"/>
      </bottom>
      <diagonal/>
    </border>
    <border>
      <left/>
      <right style="hair">
        <color indexed="64"/>
      </right>
      <top/>
      <bottom style="thin">
        <color indexed="64"/>
      </bottom>
      <diagonal/>
    </border>
    <border>
      <left/>
      <right style="dotted">
        <color indexed="64"/>
      </right>
      <top style="thin">
        <color indexed="64"/>
      </top>
      <bottom style="hair">
        <color indexed="64"/>
      </bottom>
      <diagonal/>
    </border>
    <border>
      <left style="thin">
        <color indexed="64"/>
      </left>
      <right/>
      <top/>
      <bottom/>
      <diagonal/>
    </border>
    <border>
      <left/>
      <right style="dotted">
        <color indexed="64"/>
      </right>
      <top style="hair">
        <color indexed="64"/>
      </top>
      <bottom style="hair">
        <color indexed="64"/>
      </bottom>
      <diagonal/>
    </border>
    <border>
      <left style="dotted">
        <color indexed="64"/>
      </left>
      <right/>
      <top style="thin">
        <color indexed="64"/>
      </top>
      <bottom style="hair">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style="medium">
        <color theme="1" tint="0.14996795556505021"/>
      </left>
      <right style="medium">
        <color theme="1" tint="0.14996795556505021"/>
      </right>
      <top style="medium">
        <color theme="1" tint="0.14996795556505021"/>
      </top>
      <bottom style="medium">
        <color theme="1" tint="0.14996795556505021"/>
      </bottom>
      <diagonal/>
    </border>
    <border>
      <left style="medium">
        <color indexed="64"/>
      </left>
      <right style="medium">
        <color indexed="64"/>
      </right>
      <top style="medium">
        <color indexed="64"/>
      </top>
      <bottom style="medium">
        <color theme="1" tint="0.14996795556505021"/>
      </bottom>
      <diagonal/>
    </border>
    <border>
      <left style="medium">
        <color indexed="64"/>
      </left>
      <right/>
      <top style="medium">
        <color indexed="64"/>
      </top>
      <bottom style="medium">
        <color theme="1" tint="0.14996795556505021"/>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theme="1" tint="0.14996795556505021"/>
      </left>
      <right style="thick">
        <color indexed="64"/>
      </right>
      <top style="medium">
        <color theme="1" tint="0.14996795556505021"/>
      </top>
      <bottom style="medium">
        <color theme="1" tint="0.14996795556505021"/>
      </bottom>
      <diagonal/>
    </border>
    <border>
      <left style="thick">
        <color indexed="64"/>
      </left>
      <right style="thin">
        <color indexed="64"/>
      </right>
      <top style="dotted">
        <color indexed="64"/>
      </top>
      <bottom style="dotted">
        <color indexed="64"/>
      </bottom>
      <diagonal/>
    </border>
    <border>
      <left style="thick">
        <color indexed="64"/>
      </left>
      <right style="medium">
        <color indexed="64"/>
      </right>
      <top style="medium">
        <color indexed="64"/>
      </top>
      <bottom/>
      <diagonal/>
    </border>
    <border>
      <left/>
      <right style="thick">
        <color indexed="64"/>
      </right>
      <top style="medium">
        <color indexed="64"/>
      </top>
      <bottom style="medium">
        <color theme="1" tint="0.14996795556505021"/>
      </bottom>
      <diagonal/>
    </border>
    <border>
      <left style="thick">
        <color indexed="64"/>
      </left>
      <right style="thin">
        <color indexed="64"/>
      </right>
      <top/>
      <bottom style="dotted">
        <color indexed="64"/>
      </bottom>
      <diagonal/>
    </border>
    <border>
      <left style="thick">
        <color indexed="64"/>
      </left>
      <right style="medium">
        <color indexed="64"/>
      </right>
      <top style="medium">
        <color indexed="64"/>
      </top>
      <bottom style="medium">
        <color theme="1" tint="0.14996795556505021"/>
      </bottom>
      <diagonal/>
    </border>
    <border>
      <left style="medium">
        <color indexed="64"/>
      </left>
      <right style="thick">
        <color indexed="64"/>
      </right>
      <top style="medium">
        <color indexed="64"/>
      </top>
      <bottom style="medium">
        <color theme="1" tint="0.14996795556505021"/>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indexed="64"/>
      </left>
      <right/>
      <top style="thin">
        <color indexed="64"/>
      </top>
      <bottom/>
      <diagonal/>
    </border>
    <border>
      <left/>
      <right style="thick">
        <color indexed="64"/>
      </right>
      <top style="thin">
        <color indexed="64"/>
      </top>
      <bottom/>
      <diagonal/>
    </border>
    <border>
      <left/>
      <right style="thick">
        <color indexed="64"/>
      </right>
      <top/>
      <bottom style="medium">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ck">
        <color rgb="FF7030A0"/>
      </left>
      <right style="thin">
        <color indexed="64"/>
      </right>
      <top style="thick">
        <color rgb="FF7030A0"/>
      </top>
      <bottom style="thick">
        <color rgb="FF7030A0"/>
      </bottom>
      <diagonal/>
    </border>
    <border>
      <left style="medium">
        <color theme="1" tint="0.14993743705557422"/>
      </left>
      <right style="medium">
        <color theme="1" tint="0.14993743705557422"/>
      </right>
      <top style="medium">
        <color theme="1" tint="0.14996795556505021"/>
      </top>
      <bottom style="medium">
        <color theme="1" tint="0.14996795556505021"/>
      </bottom>
      <diagonal/>
    </border>
    <border>
      <left style="thick">
        <color indexed="64"/>
      </left>
      <right/>
      <top style="medium">
        <color theme="1" tint="0.14996795556505021"/>
      </top>
      <bottom style="medium">
        <color theme="1" tint="0.14996795556505021"/>
      </bottom>
      <diagonal/>
    </border>
    <border>
      <left style="medium">
        <color theme="1" tint="0.14993743705557422"/>
      </left>
      <right style="medium">
        <color theme="1" tint="0.14996795556505021"/>
      </right>
      <top style="medium">
        <color theme="1" tint="0.14996795556505021"/>
      </top>
      <bottom style="medium">
        <color theme="1" tint="0.14996795556505021"/>
      </bottom>
      <diagonal/>
    </border>
    <border>
      <left style="thick">
        <color theme="1" tint="0.14990691854609822"/>
      </left>
      <right style="medium">
        <color theme="1" tint="0.14996795556505021"/>
      </right>
      <top style="medium">
        <color theme="1" tint="0.14996795556505021"/>
      </top>
      <bottom style="medium">
        <color theme="1" tint="0.14996795556505021"/>
      </bottom>
      <diagonal/>
    </border>
    <border>
      <left style="medium">
        <color theme="1" tint="0.14996795556505021"/>
      </left>
      <right/>
      <top style="medium">
        <color theme="1" tint="0.14996795556505021"/>
      </top>
      <bottom style="medium">
        <color theme="1" tint="0.14996795556505021"/>
      </bottom>
      <diagonal/>
    </border>
    <border>
      <left/>
      <right style="thin">
        <color theme="0"/>
      </right>
      <top/>
      <bottom style="thick">
        <color theme="0"/>
      </bottom>
      <diagonal/>
    </border>
    <border>
      <left/>
      <right style="thin">
        <color theme="0"/>
      </right>
      <top style="thin">
        <color theme="0"/>
      </top>
      <bottom style="thin">
        <color theme="0"/>
      </bottom>
      <diagonal/>
    </border>
    <border>
      <left/>
      <right style="thin">
        <color theme="0"/>
      </right>
      <top style="thin">
        <color theme="0"/>
      </top>
      <bottom/>
      <diagonal/>
    </border>
  </borders>
  <cellStyleXfs count="14">
    <xf numFmtId="0" fontId="0" fillId="0" borderId="0"/>
    <xf numFmtId="166" fontId="3" fillId="0" borderId="0" applyFont="0" applyFill="0" applyBorder="0" applyAlignment="0" applyProtection="0"/>
    <xf numFmtId="0" fontId="50" fillId="0" borderId="0"/>
    <xf numFmtId="9" fontId="3" fillId="0" borderId="0" applyFont="0" applyFill="0" applyBorder="0" applyAlignment="0" applyProtection="0"/>
    <xf numFmtId="167" fontId="96"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169" fontId="147" fillId="0" borderId="0" applyFont="0" applyFill="0" applyBorder="0" applyAlignment="0" applyProtection="0"/>
    <xf numFmtId="0" fontId="21" fillId="0" borderId="0"/>
    <xf numFmtId="170" fontId="21" fillId="0" borderId="0" applyFont="0" applyFill="0" applyBorder="0" applyAlignment="0" applyProtection="0"/>
    <xf numFmtId="0" fontId="21" fillId="0" borderId="0"/>
  </cellStyleXfs>
  <cellXfs count="965">
    <xf numFmtId="0" fontId="0" fillId="0" borderId="0" xfId="0"/>
    <xf numFmtId="0" fontId="53" fillId="28" borderId="0" xfId="0" applyFont="1" applyFill="1" applyAlignment="1">
      <alignment vertical="center"/>
    </xf>
    <xf numFmtId="0" fontId="53" fillId="28" borderId="0" xfId="0" applyFont="1" applyFill="1" applyAlignment="1">
      <alignment horizontal="center" vertical="center"/>
    </xf>
    <xf numFmtId="172" fontId="53" fillId="29" borderId="28" xfId="0" applyNumberFormat="1" applyFont="1" applyFill="1" applyBorder="1" applyAlignment="1">
      <alignment horizontal="center" vertical="center"/>
    </xf>
    <xf numFmtId="166" fontId="53" fillId="29" borderId="30" xfId="1" applyFont="1" applyFill="1" applyBorder="1" applyAlignment="1">
      <alignment horizontal="center" vertical="center"/>
    </xf>
    <xf numFmtId="0" fontId="27" fillId="15" borderId="0" xfId="0" applyFont="1" applyFill="1" applyAlignment="1">
      <alignment horizontal="center" vertical="center" wrapText="1"/>
    </xf>
    <xf numFmtId="0" fontId="27" fillId="3" borderId="0" xfId="0" applyFont="1" applyFill="1" applyAlignment="1">
      <alignment horizontal="center" vertical="center" wrapText="1"/>
    </xf>
    <xf numFmtId="0" fontId="33" fillId="3" borderId="33" xfId="0" applyFont="1" applyFill="1" applyBorder="1" applyAlignment="1">
      <alignment horizontal="center" vertical="center" wrapText="1"/>
    </xf>
    <xf numFmtId="0" fontId="33" fillId="3" borderId="21" xfId="0" applyFont="1" applyFill="1" applyBorder="1" applyAlignment="1">
      <alignment horizontal="center" vertical="center" wrapText="1"/>
    </xf>
    <xf numFmtId="0" fontId="9" fillId="3" borderId="0" xfId="0" applyFont="1" applyFill="1" applyAlignment="1">
      <alignment horizontal="center" vertical="center"/>
    </xf>
    <xf numFmtId="0" fontId="35" fillId="4" borderId="35" xfId="0" applyFont="1" applyFill="1" applyBorder="1" applyAlignment="1">
      <alignment horizontal="center"/>
    </xf>
    <xf numFmtId="0" fontId="10" fillId="11" borderId="0" xfId="0" applyFont="1" applyFill="1" applyAlignment="1">
      <alignment horizontal="center" vertical="center"/>
    </xf>
    <xf numFmtId="0" fontId="28" fillId="15" borderId="0" xfId="0" applyFont="1" applyFill="1" applyAlignment="1">
      <alignment horizontal="center" vertical="center" wrapText="1"/>
    </xf>
    <xf numFmtId="0" fontId="31" fillId="15" borderId="0" xfId="0" applyFont="1" applyFill="1" applyAlignment="1">
      <alignment horizontal="center" vertical="center" wrapText="1"/>
    </xf>
    <xf numFmtId="0" fontId="56" fillId="15" borderId="0" xfId="0" applyFont="1" applyFill="1" applyAlignment="1">
      <alignment horizontal="center" vertical="center" wrapText="1"/>
    </xf>
    <xf numFmtId="10" fontId="56" fillId="15" borderId="0" xfId="0" applyNumberFormat="1" applyFont="1" applyFill="1" applyAlignment="1">
      <alignment horizontal="center" vertical="center" wrapText="1"/>
    </xf>
    <xf numFmtId="9" fontId="56" fillId="15" borderId="0" xfId="0" applyNumberFormat="1" applyFont="1" applyFill="1" applyAlignment="1">
      <alignment horizontal="center" vertical="center" wrapText="1"/>
    </xf>
    <xf numFmtId="0" fontId="61" fillId="18" borderId="1" xfId="0" applyFont="1" applyFill="1" applyBorder="1" applyAlignment="1">
      <alignment horizontal="center" vertical="center"/>
    </xf>
    <xf numFmtId="0" fontId="30" fillId="3" borderId="0" xfId="0" applyFont="1" applyFill="1" applyAlignment="1">
      <alignment vertical="center" wrapText="1"/>
    </xf>
    <xf numFmtId="0" fontId="33" fillId="3" borderId="48" xfId="0" applyFont="1" applyFill="1" applyBorder="1" applyAlignment="1">
      <alignment horizontal="center" vertical="center" wrapText="1"/>
    </xf>
    <xf numFmtId="0" fontId="64" fillId="3" borderId="0" xfId="0" applyFont="1" applyFill="1" applyAlignment="1">
      <alignment horizontal="center" vertical="center"/>
    </xf>
    <xf numFmtId="0" fontId="53" fillId="30" borderId="29" xfId="0" applyFont="1" applyFill="1" applyBorder="1" applyAlignment="1">
      <alignment horizontal="center" vertical="center"/>
    </xf>
    <xf numFmtId="166" fontId="53" fillId="29" borderId="30" xfId="0" applyNumberFormat="1" applyFont="1" applyFill="1" applyBorder="1" applyAlignment="1">
      <alignment horizontal="center" vertical="center"/>
    </xf>
    <xf numFmtId="175" fontId="53" fillId="29" borderId="29" xfId="0" applyNumberFormat="1" applyFont="1" applyFill="1" applyBorder="1" applyAlignment="1">
      <alignment horizontal="center" vertical="center"/>
    </xf>
    <xf numFmtId="0" fontId="29" fillId="12" borderId="1" xfId="0" applyFont="1" applyFill="1" applyBorder="1" applyAlignment="1">
      <alignment horizontal="center" vertical="center"/>
    </xf>
    <xf numFmtId="0" fontId="60" fillId="10" borderId="1" xfId="0" applyFont="1" applyFill="1" applyBorder="1" applyAlignment="1">
      <alignment horizontal="center" vertical="center"/>
    </xf>
    <xf numFmtId="0" fontId="27" fillId="5" borderId="21" xfId="0" applyFont="1" applyFill="1" applyBorder="1" applyAlignment="1">
      <alignment horizontal="center" vertical="center" textRotation="90" wrapText="1"/>
    </xf>
    <xf numFmtId="0" fontId="27" fillId="6" borderId="21" xfId="0" applyFont="1" applyFill="1" applyBorder="1" applyAlignment="1">
      <alignment horizontal="center" vertical="center" textRotation="90" wrapText="1"/>
    </xf>
    <xf numFmtId="0" fontId="27" fillId="7" borderId="21" xfId="0" applyFont="1" applyFill="1" applyBorder="1" applyAlignment="1">
      <alignment horizontal="center" vertical="center" textRotation="90" wrapText="1"/>
    </xf>
    <xf numFmtId="0" fontId="27" fillId="32" borderId="21" xfId="0" applyFont="1" applyFill="1" applyBorder="1" applyAlignment="1">
      <alignment horizontal="center" vertical="center" textRotation="90" wrapText="1"/>
    </xf>
    <xf numFmtId="0" fontId="27" fillId="8" borderId="33" xfId="0" applyFont="1" applyFill="1" applyBorder="1" applyAlignment="1">
      <alignment horizontal="center" vertical="center" textRotation="90" wrapText="1"/>
    </xf>
    <xf numFmtId="0" fontId="27" fillId="8" borderId="22" xfId="0" applyFont="1" applyFill="1" applyBorder="1" applyAlignment="1">
      <alignment horizontal="center" vertical="center" textRotation="90" wrapText="1"/>
    </xf>
    <xf numFmtId="1" fontId="66" fillId="0" borderId="55" xfId="0" applyNumberFormat="1" applyFont="1" applyBorder="1" applyAlignment="1">
      <alignment horizontal="center" vertical="center"/>
    </xf>
    <xf numFmtId="174" fontId="34" fillId="19" borderId="53" xfId="1" applyNumberFormat="1" applyFont="1" applyFill="1" applyBorder="1" applyAlignment="1">
      <alignment horizontal="center" vertical="center" wrapText="1"/>
    </xf>
    <xf numFmtId="0" fontId="33" fillId="3" borderId="10" xfId="0" applyFont="1" applyFill="1" applyBorder="1" applyAlignment="1">
      <alignment horizontal="center" vertical="center" wrapText="1"/>
    </xf>
    <xf numFmtId="166" fontId="66" fillId="3" borderId="4" xfId="1" applyFont="1" applyFill="1" applyBorder="1" applyAlignment="1">
      <alignment horizontal="center" vertical="center" wrapText="1"/>
    </xf>
    <xf numFmtId="0" fontId="33" fillId="3" borderId="32" xfId="0" applyFont="1" applyFill="1" applyBorder="1" applyAlignment="1">
      <alignment horizontal="center" vertical="center" wrapText="1"/>
    </xf>
    <xf numFmtId="166" fontId="66" fillId="3" borderId="1" xfId="1" applyFont="1" applyFill="1" applyBorder="1" applyAlignment="1">
      <alignment horizontal="center" vertical="center" wrapText="1"/>
    </xf>
    <xf numFmtId="0" fontId="29" fillId="12" borderId="4" xfId="0" applyFont="1" applyFill="1" applyBorder="1" applyAlignment="1">
      <alignment horizontal="center" vertical="center"/>
    </xf>
    <xf numFmtId="0" fontId="66" fillId="3" borderId="21" xfId="0" applyFont="1" applyFill="1" applyBorder="1" applyAlignment="1">
      <alignment horizontal="center" vertical="center" wrapText="1"/>
    </xf>
    <xf numFmtId="1" fontId="66" fillId="3" borderId="1" xfId="1" applyNumberFormat="1" applyFont="1" applyFill="1" applyBorder="1" applyAlignment="1">
      <alignment horizontal="center" vertical="center" wrapText="1"/>
    </xf>
    <xf numFmtId="0" fontId="67" fillId="27" borderId="57" xfId="0" applyFont="1" applyFill="1" applyBorder="1" applyAlignment="1">
      <alignment horizontal="right" vertical="center"/>
    </xf>
    <xf numFmtId="0" fontId="67" fillId="27" borderId="0" xfId="0" applyFont="1" applyFill="1" applyAlignment="1">
      <alignment horizontal="right" vertical="center"/>
    </xf>
    <xf numFmtId="166" fontId="53" fillId="36" borderId="0" xfId="1" applyFont="1" applyFill="1" applyAlignment="1">
      <alignment horizontal="center" vertical="center"/>
    </xf>
    <xf numFmtId="0" fontId="61" fillId="26" borderId="1" xfId="0" applyFont="1" applyFill="1" applyBorder="1" applyAlignment="1">
      <alignment horizontal="center" vertical="center"/>
    </xf>
    <xf numFmtId="0" fontId="69" fillId="25" borderId="1" xfId="0" applyFont="1" applyFill="1" applyBorder="1" applyAlignment="1">
      <alignment horizontal="center" vertical="center"/>
    </xf>
    <xf numFmtId="1" fontId="66" fillId="3" borderId="24" xfId="1" applyNumberFormat="1" applyFont="1" applyFill="1" applyBorder="1" applyAlignment="1">
      <alignment horizontal="center" vertical="center" wrapText="1"/>
    </xf>
    <xf numFmtId="166" fontId="66" fillId="3" borderId="24" xfId="1" applyFont="1" applyFill="1" applyBorder="1" applyAlignment="1">
      <alignment horizontal="center" vertical="center" wrapText="1"/>
    </xf>
    <xf numFmtId="0" fontId="27" fillId="20" borderId="21" xfId="0" applyFont="1" applyFill="1" applyBorder="1" applyAlignment="1">
      <alignment horizontal="center" vertical="center" textRotation="90" wrapText="1"/>
    </xf>
    <xf numFmtId="175" fontId="5" fillId="0" borderId="12" xfId="0" applyNumberFormat="1" applyFont="1" applyBorder="1" applyAlignment="1">
      <alignment horizontal="center" vertical="center" wrapText="1"/>
    </xf>
    <xf numFmtId="171" fontId="46" fillId="3" borderId="1" xfId="0" applyNumberFormat="1" applyFont="1" applyFill="1" applyBorder="1" applyAlignment="1">
      <alignment horizontal="center" vertical="center"/>
    </xf>
    <xf numFmtId="171" fontId="47" fillId="17" borderId="1" xfId="0" applyNumberFormat="1" applyFont="1" applyFill="1" applyBorder="1" applyAlignment="1" applyProtection="1">
      <alignment horizontal="center" vertical="center"/>
      <protection locked="0"/>
    </xf>
    <xf numFmtId="0" fontId="73" fillId="24" borderId="4" xfId="0" applyFont="1" applyFill="1" applyBorder="1" applyAlignment="1">
      <alignment horizontal="left" vertical="center" indent="1"/>
    </xf>
    <xf numFmtId="0" fontId="73" fillId="24" borderId="47" xfId="0" applyFont="1" applyFill="1" applyBorder="1" applyAlignment="1">
      <alignment horizontal="left" vertical="center" indent="1"/>
    </xf>
    <xf numFmtId="0" fontId="73" fillId="24" borderId="52" xfId="0" applyFont="1" applyFill="1" applyBorder="1" applyAlignment="1">
      <alignment horizontal="left" vertical="center" indent="1"/>
    </xf>
    <xf numFmtId="0" fontId="73" fillId="24" borderId="8" xfId="0" applyFont="1" applyFill="1" applyBorder="1" applyAlignment="1">
      <alignment horizontal="left" vertical="center" indent="1"/>
    </xf>
    <xf numFmtId="0" fontId="73" fillId="24" borderId="60" xfId="0" applyFont="1" applyFill="1" applyBorder="1" applyAlignment="1">
      <alignment horizontal="left" vertical="center" indent="1"/>
    </xf>
    <xf numFmtId="0" fontId="51" fillId="19" borderId="1" xfId="0" applyFont="1" applyFill="1" applyBorder="1" applyAlignment="1">
      <alignment horizontal="center" vertical="center"/>
    </xf>
    <xf numFmtId="0" fontId="32" fillId="16" borderId="2" xfId="0" applyFont="1" applyFill="1" applyBorder="1" applyAlignment="1">
      <alignment horizontal="center" vertical="center"/>
    </xf>
    <xf numFmtId="49" fontId="40" fillId="0" borderId="2" xfId="0" applyNumberFormat="1" applyFont="1" applyBorder="1" applyAlignment="1">
      <alignment horizontal="center" vertical="center"/>
    </xf>
    <xf numFmtId="0" fontId="17" fillId="12" borderId="14" xfId="0" applyFont="1" applyFill="1" applyBorder="1" applyAlignment="1">
      <alignment horizontal="center" vertical="center"/>
    </xf>
    <xf numFmtId="0" fontId="83" fillId="12" borderId="14" xfId="0" applyFont="1" applyFill="1" applyBorder="1" applyAlignment="1">
      <alignment horizontal="left" vertical="center" wrapText="1"/>
    </xf>
    <xf numFmtId="0" fontId="20" fillId="11" borderId="14" xfId="0" applyFont="1" applyFill="1" applyBorder="1" applyAlignment="1">
      <alignment horizontal="center" vertical="center"/>
    </xf>
    <xf numFmtId="0" fontId="81" fillId="41" borderId="62" xfId="0" applyFont="1" applyFill="1" applyBorder="1" applyAlignment="1" applyProtection="1">
      <alignment horizontal="center" vertical="center" wrapText="1"/>
      <protection locked="0"/>
    </xf>
    <xf numFmtId="0" fontId="51" fillId="19" borderId="1" xfId="0" applyFont="1" applyFill="1" applyBorder="1" applyAlignment="1" applyProtection="1">
      <alignment horizontal="center" vertical="center"/>
      <protection locked="0"/>
    </xf>
    <xf numFmtId="0" fontId="51" fillId="19" borderId="1" xfId="0" applyFont="1" applyFill="1" applyBorder="1" applyAlignment="1" applyProtection="1">
      <alignment horizontal="center" vertical="center" wrapText="1"/>
      <protection locked="0"/>
    </xf>
    <xf numFmtId="49" fontId="40" fillId="0" borderId="19" xfId="0" applyNumberFormat="1" applyFont="1" applyBorder="1" applyAlignment="1">
      <alignment horizontal="center" vertical="center"/>
    </xf>
    <xf numFmtId="49" fontId="40" fillId="42" borderId="2" xfId="0" applyNumberFormat="1" applyFont="1" applyFill="1" applyBorder="1" applyAlignment="1">
      <alignment horizontal="center" vertical="center"/>
    </xf>
    <xf numFmtId="0" fontId="32" fillId="3" borderId="1" xfId="0" applyFont="1" applyFill="1" applyBorder="1" applyAlignment="1">
      <alignment horizontal="center" vertical="center"/>
    </xf>
    <xf numFmtId="0" fontId="87" fillId="45" borderId="1" xfId="0" applyFont="1" applyFill="1" applyBorder="1" applyAlignment="1">
      <alignment horizontal="center" vertical="center" wrapText="1"/>
    </xf>
    <xf numFmtId="0" fontId="27" fillId="0" borderId="61" xfId="0" applyFont="1" applyBorder="1" applyAlignment="1">
      <alignment horizontal="center" vertical="center" wrapText="1"/>
    </xf>
    <xf numFmtId="10" fontId="29" fillId="12" borderId="64" xfId="3" applyNumberFormat="1" applyFont="1" applyFill="1" applyBorder="1" applyAlignment="1">
      <alignment horizontal="center" vertical="center"/>
    </xf>
    <xf numFmtId="10" fontId="29" fillId="12" borderId="58" xfId="3" applyNumberFormat="1" applyFont="1" applyFill="1" applyBorder="1" applyAlignment="1">
      <alignment horizontal="center" vertical="center"/>
    </xf>
    <xf numFmtId="1" fontId="66" fillId="0" borderId="65" xfId="0" applyNumberFormat="1" applyFont="1" applyBorder="1" applyAlignment="1">
      <alignment horizontal="center" vertical="center"/>
    </xf>
    <xf numFmtId="1" fontId="66" fillId="0" borderId="47" xfId="0" applyNumberFormat="1" applyFont="1" applyBorder="1" applyAlignment="1">
      <alignment horizontal="center" vertical="center"/>
    </xf>
    <xf numFmtId="1" fontId="66" fillId="0" borderId="66" xfId="0" applyNumberFormat="1" applyFont="1" applyBorder="1" applyAlignment="1">
      <alignment horizontal="center" vertical="center"/>
    </xf>
    <xf numFmtId="0" fontId="92" fillId="44" borderId="0" xfId="0" applyFont="1" applyFill="1" applyAlignment="1">
      <alignment horizontal="center" vertical="center" wrapText="1"/>
    </xf>
    <xf numFmtId="10" fontId="92" fillId="44" borderId="0" xfId="0" applyNumberFormat="1" applyFont="1" applyFill="1" applyAlignment="1">
      <alignment horizontal="center" vertical="center" wrapText="1"/>
    </xf>
    <xf numFmtId="1" fontId="92" fillId="44" borderId="0" xfId="0" applyNumberFormat="1" applyFont="1" applyFill="1" applyAlignment="1">
      <alignment horizontal="center" vertical="center" wrapText="1"/>
    </xf>
    <xf numFmtId="1" fontId="95" fillId="15" borderId="0" xfId="0" applyNumberFormat="1" applyFont="1" applyFill="1" applyAlignment="1">
      <alignment horizontal="center" vertical="center" wrapText="1"/>
    </xf>
    <xf numFmtId="0" fontId="95" fillId="15" borderId="0" xfId="0" applyFont="1" applyFill="1" applyAlignment="1">
      <alignment horizontal="center" vertical="center" wrapText="1"/>
    </xf>
    <xf numFmtId="1" fontId="95" fillId="44" borderId="0" xfId="0" applyNumberFormat="1" applyFont="1" applyFill="1" applyAlignment="1">
      <alignment horizontal="center" vertical="center" wrapText="1"/>
    </xf>
    <xf numFmtId="1" fontId="66" fillId="0" borderId="67" xfId="0" applyNumberFormat="1" applyFont="1" applyBorder="1" applyAlignment="1">
      <alignment horizontal="center" vertical="center"/>
    </xf>
    <xf numFmtId="1" fontId="66" fillId="0" borderId="59" xfId="0" applyNumberFormat="1" applyFont="1" applyBorder="1" applyAlignment="1">
      <alignment horizontal="center" vertical="center"/>
    </xf>
    <xf numFmtId="166" fontId="66" fillId="3" borderId="68" xfId="1" applyFont="1" applyFill="1" applyBorder="1" applyAlignment="1">
      <alignment horizontal="center" vertical="center" wrapText="1"/>
    </xf>
    <xf numFmtId="1" fontId="66" fillId="0" borderId="69" xfId="0" applyNumberFormat="1" applyFont="1" applyBorder="1" applyAlignment="1">
      <alignment horizontal="center" vertical="center"/>
    </xf>
    <xf numFmtId="1" fontId="66" fillId="0" borderId="70" xfId="0" applyNumberFormat="1" applyFont="1" applyBorder="1" applyAlignment="1">
      <alignment horizontal="center" vertical="center"/>
    </xf>
    <xf numFmtId="1" fontId="66" fillId="0" borderId="60" xfId="0" applyNumberFormat="1" applyFont="1" applyBorder="1" applyAlignment="1">
      <alignment horizontal="center" vertical="center"/>
    </xf>
    <xf numFmtId="1" fontId="66" fillId="0" borderId="71" xfId="0" applyNumberFormat="1" applyFont="1" applyBorder="1" applyAlignment="1">
      <alignment horizontal="center" vertical="center"/>
    </xf>
    <xf numFmtId="1" fontId="66" fillId="0" borderId="72" xfId="0" applyNumberFormat="1" applyFont="1" applyBorder="1" applyAlignment="1">
      <alignment horizontal="center" vertical="center"/>
    </xf>
    <xf numFmtId="1" fontId="66" fillId="0" borderId="53" xfId="0" applyNumberFormat="1" applyFont="1" applyBorder="1" applyAlignment="1">
      <alignment horizontal="center" vertical="center"/>
    </xf>
    <xf numFmtId="0" fontId="27" fillId="8" borderId="9" xfId="0" applyFont="1" applyFill="1" applyBorder="1" applyAlignment="1">
      <alignment horizontal="center" vertical="center" textRotation="90" wrapText="1"/>
    </xf>
    <xf numFmtId="0" fontId="27" fillId="5" borderId="6" xfId="0" applyFont="1" applyFill="1" applyBorder="1" applyAlignment="1">
      <alignment horizontal="center" vertical="center" textRotation="90" wrapText="1"/>
    </xf>
    <xf numFmtId="0" fontId="27" fillId="32" borderId="6" xfId="0" applyFont="1" applyFill="1" applyBorder="1" applyAlignment="1">
      <alignment horizontal="center" vertical="center" textRotation="90" wrapText="1"/>
    </xf>
    <xf numFmtId="0" fontId="27" fillId="20" borderId="6" xfId="0" applyFont="1" applyFill="1" applyBorder="1" applyAlignment="1">
      <alignment horizontal="center" vertical="center" textRotation="90" wrapText="1"/>
    </xf>
    <xf numFmtId="0" fontId="27" fillId="7" borderId="6" xfId="0" applyFont="1" applyFill="1" applyBorder="1" applyAlignment="1">
      <alignment horizontal="center" vertical="center" textRotation="90" wrapText="1"/>
    </xf>
    <xf numFmtId="0" fontId="27" fillId="8" borderId="7" xfId="0" applyFont="1" applyFill="1" applyBorder="1" applyAlignment="1">
      <alignment horizontal="center" vertical="center" textRotation="90" wrapText="1"/>
    </xf>
    <xf numFmtId="0" fontId="71" fillId="3" borderId="1" xfId="0" applyFont="1" applyFill="1" applyBorder="1" applyAlignment="1">
      <alignment horizontal="center" vertical="center"/>
    </xf>
    <xf numFmtId="171" fontId="93" fillId="44" borderId="1" xfId="0" applyNumberFormat="1" applyFont="1" applyFill="1" applyBorder="1" applyAlignment="1">
      <alignment horizontal="center" vertical="center"/>
    </xf>
    <xf numFmtId="0" fontId="99" fillId="3" borderId="1" xfId="0" applyFont="1" applyFill="1" applyBorder="1" applyAlignment="1">
      <alignment horizontal="center" vertical="center"/>
    </xf>
    <xf numFmtId="0" fontId="71" fillId="0" borderId="1" xfId="0" applyFont="1" applyBorder="1" applyAlignment="1">
      <alignment horizontal="center" vertical="center" wrapText="1"/>
    </xf>
    <xf numFmtId="0" fontId="71" fillId="0" borderId="1" xfId="0" applyFont="1" applyBorder="1" applyAlignment="1" applyProtection="1">
      <alignment horizontal="center" vertical="center" wrapText="1"/>
      <protection locked="0"/>
    </xf>
    <xf numFmtId="0" fontId="102" fillId="3" borderId="1" xfId="0" applyFont="1" applyFill="1" applyBorder="1" applyAlignment="1">
      <alignment horizontal="center" vertical="center"/>
    </xf>
    <xf numFmtId="0" fontId="71" fillId="3" borderId="1"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4" borderId="11" xfId="0" applyFont="1" applyFill="1" applyBorder="1" applyAlignment="1">
      <alignment horizontal="center" vertical="center" wrapText="1"/>
    </xf>
    <xf numFmtId="0" fontId="5" fillId="24" borderId="11" xfId="0" applyFont="1" applyFill="1" applyBorder="1" applyAlignment="1">
      <alignment horizontal="center" vertical="center" wrapText="1"/>
    </xf>
    <xf numFmtId="0" fontId="70" fillId="9" borderId="1" xfId="0" applyFont="1" applyFill="1" applyBorder="1" applyAlignment="1" applyProtection="1">
      <alignment horizontal="center" vertical="center" wrapText="1"/>
      <protection locked="0"/>
    </xf>
    <xf numFmtId="170" fontId="52" fillId="40" borderId="1" xfId="0" applyNumberFormat="1" applyFont="1" applyFill="1" applyBorder="1" applyAlignment="1" applyProtection="1">
      <alignment horizontal="center" vertical="center" wrapText="1"/>
      <protection locked="0"/>
    </xf>
    <xf numFmtId="0" fontId="71" fillId="3" borderId="1" xfId="0" applyFont="1" applyFill="1" applyBorder="1" applyAlignment="1" applyProtection="1">
      <alignment horizontal="center" vertical="center" wrapText="1"/>
      <protection locked="0"/>
    </xf>
    <xf numFmtId="0" fontId="102" fillId="3" borderId="1" xfId="0" applyFont="1" applyFill="1" applyBorder="1" applyAlignment="1">
      <alignment horizontal="center" vertical="center" wrapText="1"/>
    </xf>
    <xf numFmtId="0" fontId="0" fillId="48" borderId="0" xfId="0" applyFill="1" applyAlignment="1">
      <alignment horizontal="center"/>
    </xf>
    <xf numFmtId="0" fontId="101" fillId="3" borderId="1" xfId="0" applyFont="1" applyFill="1" applyBorder="1" applyAlignment="1">
      <alignment horizontal="center" vertical="center"/>
    </xf>
    <xf numFmtId="0" fontId="101" fillId="3" borderId="1" xfId="0" applyFont="1" applyFill="1" applyBorder="1" applyAlignment="1">
      <alignment horizontal="center" vertical="center" wrapText="1"/>
    </xf>
    <xf numFmtId="0" fontId="57" fillId="3" borderId="1" xfId="0" applyFont="1" applyFill="1" applyBorder="1" applyAlignment="1" applyProtection="1">
      <alignment horizontal="center" vertical="center" wrapText="1"/>
      <protection locked="0"/>
    </xf>
    <xf numFmtId="0" fontId="75" fillId="3" borderId="1" xfId="0" applyFont="1" applyFill="1" applyBorder="1" applyAlignment="1" applyProtection="1">
      <alignment horizontal="center" vertical="center" wrapText="1"/>
      <protection locked="0"/>
    </xf>
    <xf numFmtId="0" fontId="5" fillId="3" borderId="1" xfId="0" applyFont="1" applyFill="1" applyBorder="1" applyAlignment="1">
      <alignment horizontal="center" vertical="center" wrapText="1"/>
    </xf>
    <xf numFmtId="0" fontId="5" fillId="34" borderId="1" xfId="0" applyFont="1" applyFill="1" applyBorder="1" applyAlignment="1">
      <alignment horizontal="center" vertical="center" wrapText="1"/>
    </xf>
    <xf numFmtId="0" fontId="103" fillId="21" borderId="0" xfId="0" applyFont="1" applyFill="1" applyAlignment="1">
      <alignment horizontal="center" vertical="center"/>
    </xf>
    <xf numFmtId="0" fontId="107" fillId="28" borderId="0" xfId="0" applyFont="1" applyFill="1" applyAlignment="1">
      <alignment vertical="center"/>
    </xf>
    <xf numFmtId="179" fontId="108" fillId="29" borderId="30" xfId="4" applyNumberFormat="1" applyFont="1" applyFill="1" applyBorder="1" applyAlignment="1">
      <alignment horizontal="left" vertical="center" indent="2"/>
    </xf>
    <xf numFmtId="168" fontId="32" fillId="3" borderId="2" xfId="0" applyNumberFormat="1" applyFont="1" applyFill="1" applyBorder="1" applyAlignment="1">
      <alignment horizontal="center" vertical="center"/>
    </xf>
    <xf numFmtId="168" fontId="73" fillId="24" borderId="12" xfId="0" applyNumberFormat="1" applyFont="1" applyFill="1" applyBorder="1" applyAlignment="1">
      <alignment horizontal="left" vertical="center" indent="1"/>
    </xf>
    <xf numFmtId="0" fontId="113" fillId="9" borderId="1" xfId="0" applyFont="1" applyFill="1" applyBorder="1" applyAlignment="1">
      <alignment horizontal="center" vertical="center"/>
    </xf>
    <xf numFmtId="0" fontId="51" fillId="19" borderId="3" xfId="0" applyFont="1" applyFill="1" applyBorder="1" applyAlignment="1" applyProtection="1">
      <alignment horizontal="center" vertical="center"/>
      <protection locked="0"/>
    </xf>
    <xf numFmtId="0" fontId="67" fillId="27" borderId="57" xfId="0" applyFont="1" applyFill="1" applyBorder="1" applyAlignment="1">
      <alignment horizontal="center" vertical="center" wrapText="1"/>
    </xf>
    <xf numFmtId="0" fontId="67" fillId="27" borderId="0" xfId="0" applyFont="1" applyFill="1" applyAlignment="1">
      <alignment horizontal="center" vertical="center" wrapText="1"/>
    </xf>
    <xf numFmtId="0" fontId="5" fillId="51" borderId="0" xfId="0" applyFont="1" applyFill="1" applyAlignment="1">
      <alignment vertical="center" wrapText="1"/>
    </xf>
    <xf numFmtId="0" fontId="115" fillId="51" borderId="0" xfId="0" applyFont="1" applyFill="1" applyAlignment="1">
      <alignment vertical="center" wrapText="1"/>
    </xf>
    <xf numFmtId="0" fontId="5" fillId="51" borderId="0" xfId="0" applyFont="1" applyFill="1" applyAlignment="1">
      <alignment horizontal="center" vertical="center" wrapText="1"/>
    </xf>
    <xf numFmtId="0" fontId="94" fillId="52" borderId="41" xfId="0" applyFont="1" applyFill="1" applyBorder="1" applyAlignment="1">
      <alignment horizontal="center" vertical="center" wrapText="1"/>
    </xf>
    <xf numFmtId="0" fontId="5" fillId="22" borderId="41" xfId="0" applyFont="1" applyFill="1" applyBorder="1" applyAlignment="1">
      <alignment horizontal="center" vertical="center" wrapText="1"/>
    </xf>
    <xf numFmtId="0" fontId="5" fillId="23" borderId="41" xfId="0" applyFont="1" applyFill="1" applyBorder="1" applyAlignment="1">
      <alignment horizontal="center" vertical="center" wrapText="1"/>
    </xf>
    <xf numFmtId="0" fontId="5" fillId="22" borderId="74" xfId="0" applyFont="1" applyFill="1" applyBorder="1" applyAlignment="1">
      <alignment vertical="center" wrapText="1"/>
    </xf>
    <xf numFmtId="0" fontId="5" fillId="22" borderId="46" xfId="0" applyFont="1" applyFill="1" applyBorder="1" applyAlignment="1">
      <alignment vertical="center" wrapText="1"/>
    </xf>
    <xf numFmtId="0" fontId="72" fillId="28" borderId="0" xfId="0" applyFont="1" applyFill="1" applyAlignment="1">
      <alignment vertical="center"/>
    </xf>
    <xf numFmtId="166" fontId="72" fillId="28" borderId="0" xfId="1" applyFont="1" applyFill="1" applyAlignment="1">
      <alignment vertical="center"/>
    </xf>
    <xf numFmtId="0" fontId="117" fillId="44" borderId="0" xfId="0" applyFont="1" applyFill="1" applyAlignment="1">
      <alignment horizontal="center" vertical="center" wrapText="1"/>
    </xf>
    <xf numFmtId="0" fontId="53" fillId="30" borderId="75" xfId="0" applyFont="1" applyFill="1" applyBorder="1" applyAlignment="1">
      <alignment horizontal="center" vertical="center"/>
    </xf>
    <xf numFmtId="175" fontId="53" fillId="29" borderId="75" xfId="0" applyNumberFormat="1" applyFont="1" applyFill="1" applyBorder="1" applyAlignment="1">
      <alignment horizontal="center" vertical="center"/>
    </xf>
    <xf numFmtId="166" fontId="72" fillId="28" borderId="0" xfId="0" applyNumberFormat="1" applyFont="1" applyFill="1" applyAlignment="1">
      <alignment vertical="center"/>
    </xf>
    <xf numFmtId="0" fontId="72" fillId="22" borderId="0" xfId="0" applyFont="1" applyFill="1" applyAlignment="1">
      <alignment vertical="center"/>
    </xf>
    <xf numFmtId="0" fontId="37" fillId="11" borderId="23" xfId="0" applyFont="1" applyFill="1" applyBorder="1" applyAlignment="1">
      <alignment horizontal="center" vertical="center"/>
    </xf>
    <xf numFmtId="0" fontId="37" fillId="11" borderId="8" xfId="0" applyFont="1" applyFill="1" applyBorder="1" applyAlignment="1">
      <alignment vertical="center" wrapText="1"/>
    </xf>
    <xf numFmtId="0" fontId="37" fillId="11" borderId="31" xfId="0" applyFont="1" applyFill="1" applyBorder="1" applyAlignment="1">
      <alignment vertical="center" wrapText="1"/>
    </xf>
    <xf numFmtId="0" fontId="38" fillId="11" borderId="1" xfId="0" applyFont="1" applyFill="1" applyBorder="1" applyAlignment="1">
      <alignment horizontal="center" vertical="center" wrapText="1"/>
    </xf>
    <xf numFmtId="0" fontId="53" fillId="31" borderId="30" xfId="0" applyFont="1" applyFill="1" applyBorder="1" applyAlignment="1">
      <alignment horizontal="center" vertical="center" wrapText="1"/>
    </xf>
    <xf numFmtId="0" fontId="120" fillId="51" borderId="0" xfId="0" applyFont="1" applyFill="1" applyAlignment="1">
      <alignment horizontal="left" vertical="center" indent="1"/>
    </xf>
    <xf numFmtId="0" fontId="120" fillId="51" borderId="0" xfId="0" applyFont="1" applyFill="1" applyAlignment="1">
      <alignment horizontal="center" vertical="center"/>
    </xf>
    <xf numFmtId="49" fontId="94" fillId="51" borderId="0" xfId="0" applyNumberFormat="1" applyFont="1" applyFill="1" applyAlignment="1">
      <alignment horizontal="left" vertical="center" indent="1"/>
    </xf>
    <xf numFmtId="49" fontId="121" fillId="51" borderId="0" xfId="0" applyNumberFormat="1" applyFont="1" applyFill="1" applyAlignment="1">
      <alignment horizontal="center" vertical="center"/>
    </xf>
    <xf numFmtId="49" fontId="120" fillId="51" borderId="0" xfId="0" applyNumberFormat="1" applyFont="1" applyFill="1" applyAlignment="1">
      <alignment horizontal="center" vertical="center"/>
    </xf>
    <xf numFmtId="0" fontId="71" fillId="3" borderId="1" xfId="0" applyFont="1" applyFill="1" applyBorder="1" applyAlignment="1">
      <alignment horizontal="center"/>
    </xf>
    <xf numFmtId="0" fontId="37" fillId="11" borderId="45"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124" fillId="51" borderId="0" xfId="0" applyFont="1" applyFill="1" applyAlignment="1">
      <alignment vertical="center" wrapText="1"/>
    </xf>
    <xf numFmtId="0" fontId="124" fillId="51" borderId="0" xfId="0" applyFont="1" applyFill="1" applyAlignment="1">
      <alignment horizontal="right" vertical="center" wrapText="1"/>
    </xf>
    <xf numFmtId="181" fontId="124" fillId="51" borderId="0" xfId="0" applyNumberFormat="1" applyFont="1" applyFill="1" applyAlignment="1">
      <alignment vertical="center" wrapText="1"/>
    </xf>
    <xf numFmtId="0" fontId="125" fillId="54" borderId="41" xfId="0" applyFont="1" applyFill="1" applyBorder="1" applyAlignment="1">
      <alignment horizontal="center" vertical="center" wrapText="1"/>
    </xf>
    <xf numFmtId="0" fontId="5" fillId="55" borderId="74" xfId="0" applyFont="1" applyFill="1" applyBorder="1" applyAlignment="1">
      <alignment vertical="center" wrapText="1"/>
    </xf>
    <xf numFmtId="0" fontId="5" fillId="55" borderId="46" xfId="0" applyFont="1" applyFill="1" applyBorder="1" applyAlignment="1">
      <alignment vertical="center" wrapText="1"/>
    </xf>
    <xf numFmtId="0" fontId="5" fillId="55" borderId="41" xfId="0" applyFont="1" applyFill="1" applyBorder="1" applyAlignment="1">
      <alignment horizontal="center" vertical="center" wrapText="1"/>
    </xf>
    <xf numFmtId="166" fontId="110" fillId="0" borderId="3" xfId="1" applyFont="1" applyBorder="1" applyAlignment="1">
      <alignment horizontal="center" vertical="center" wrapText="1"/>
    </xf>
    <xf numFmtId="0" fontId="127" fillId="28" borderId="0" xfId="0" applyFont="1" applyFill="1" applyAlignment="1">
      <alignment vertical="center"/>
    </xf>
    <xf numFmtId="166" fontId="127" fillId="28" borderId="0" xfId="0" applyNumberFormat="1" applyFont="1" applyFill="1" applyAlignment="1">
      <alignment vertical="center"/>
    </xf>
    <xf numFmtId="9" fontId="0" fillId="48" borderId="0" xfId="3" applyFont="1" applyFill="1" applyAlignment="1">
      <alignment horizontal="center"/>
    </xf>
    <xf numFmtId="0" fontId="3" fillId="48" borderId="0" xfId="0" applyFont="1" applyFill="1" applyAlignment="1">
      <alignment horizontal="center"/>
    </xf>
    <xf numFmtId="0" fontId="130" fillId="22" borderId="41" xfId="0" applyFont="1" applyFill="1" applyBorder="1" applyAlignment="1">
      <alignment horizontal="center" vertical="center" wrapText="1"/>
    </xf>
    <xf numFmtId="0" fontId="55" fillId="48" borderId="0" xfId="0" applyFont="1" applyFill="1" applyAlignment="1">
      <alignment horizontal="center"/>
    </xf>
    <xf numFmtId="0" fontId="38" fillId="11" borderId="48" xfId="0" applyFont="1" applyFill="1" applyBorder="1" applyAlignment="1">
      <alignment horizontal="center" vertical="center" wrapText="1"/>
    </xf>
    <xf numFmtId="0" fontId="132" fillId="11" borderId="3" xfId="0" applyFont="1" applyFill="1" applyBorder="1" applyAlignment="1">
      <alignment horizontal="center" vertical="center" wrapText="1"/>
    </xf>
    <xf numFmtId="10" fontId="137" fillId="27" borderId="37" xfId="3" applyNumberFormat="1" applyFont="1" applyFill="1" applyBorder="1" applyAlignment="1">
      <alignment horizontal="center" vertical="center"/>
    </xf>
    <xf numFmtId="166" fontId="110" fillId="0" borderId="25" xfId="1" applyFont="1" applyBorder="1" applyAlignment="1">
      <alignment horizontal="center" vertical="center" wrapText="1"/>
    </xf>
    <xf numFmtId="0" fontId="134" fillId="29" borderId="0" xfId="0" applyFont="1" applyFill="1" applyAlignment="1">
      <alignment horizontal="center" vertical="center"/>
    </xf>
    <xf numFmtId="0" fontId="134" fillId="29" borderId="0" xfId="0" applyFont="1" applyFill="1" applyAlignment="1">
      <alignment vertical="center"/>
    </xf>
    <xf numFmtId="0" fontId="134" fillId="28" borderId="0" xfId="0" applyFont="1" applyFill="1" applyAlignment="1">
      <alignment vertical="center"/>
    </xf>
    <xf numFmtId="0" fontId="134" fillId="28" borderId="0" xfId="0" applyFont="1" applyFill="1" applyAlignment="1">
      <alignment horizontal="center" vertical="center"/>
    </xf>
    <xf numFmtId="0" fontId="134" fillId="29" borderId="9" xfId="0" applyFont="1" applyFill="1" applyBorder="1" applyAlignment="1">
      <alignment horizontal="center" vertical="center"/>
    </xf>
    <xf numFmtId="0" fontId="134" fillId="29" borderId="7" xfId="0" applyFont="1" applyFill="1" applyBorder="1" applyAlignment="1">
      <alignment horizontal="right" vertical="center" indent="1"/>
    </xf>
    <xf numFmtId="0" fontId="134" fillId="29" borderId="3" xfId="0" applyFont="1" applyFill="1" applyBorder="1" applyAlignment="1">
      <alignment horizontal="right" vertical="center" indent="1"/>
    </xf>
    <xf numFmtId="0" fontId="5" fillId="24" borderId="1" xfId="0" applyFont="1" applyFill="1" applyBorder="1" applyAlignment="1">
      <alignment horizontal="center" vertical="center" wrapText="1"/>
    </xf>
    <xf numFmtId="0" fontId="71" fillId="3" borderId="23" xfId="0" applyFont="1" applyFill="1" applyBorder="1" applyAlignment="1">
      <alignment horizontal="center" vertical="center"/>
    </xf>
    <xf numFmtId="0" fontId="113" fillId="9" borderId="1" xfId="0" applyFont="1" applyFill="1" applyBorder="1" applyAlignment="1">
      <alignment horizontal="center" vertical="center" wrapText="1"/>
    </xf>
    <xf numFmtId="49" fontId="144" fillId="48" borderId="0" xfId="0" applyNumberFormat="1" applyFont="1" applyFill="1" applyAlignment="1">
      <alignment horizontal="center" vertical="center"/>
    </xf>
    <xf numFmtId="0" fontId="145" fillId="2" borderId="0" xfId="0" applyFont="1" applyFill="1" applyAlignment="1">
      <alignment horizontal="center" vertical="center"/>
    </xf>
    <xf numFmtId="0" fontId="142" fillId="48" borderId="0" xfId="0" applyFont="1" applyFill="1" applyAlignment="1">
      <alignment horizontal="center" vertical="center"/>
    </xf>
    <xf numFmtId="0" fontId="131" fillId="48" borderId="0" xfId="0" applyFont="1" applyFill="1" applyAlignment="1">
      <alignment horizontal="center" vertical="center"/>
    </xf>
    <xf numFmtId="10" fontId="142" fillId="48" borderId="0" xfId="3" applyNumberFormat="1" applyFont="1" applyFill="1" applyAlignment="1">
      <alignment horizontal="center" vertical="center"/>
    </xf>
    <xf numFmtId="171" fontId="146" fillId="26" borderId="3" xfId="0" applyNumberFormat="1" applyFont="1" applyFill="1" applyBorder="1" applyAlignment="1">
      <alignment horizontal="center" vertical="center"/>
    </xf>
    <xf numFmtId="171" fontId="146" fillId="26" borderId="25" xfId="0" applyNumberFormat="1" applyFont="1" applyFill="1" applyBorder="1" applyAlignment="1">
      <alignment horizontal="center" vertical="center"/>
    </xf>
    <xf numFmtId="171" fontId="146" fillId="63" borderId="3" xfId="0" applyNumberFormat="1" applyFont="1" applyFill="1" applyBorder="1" applyAlignment="1">
      <alignment horizontal="center" vertical="center"/>
    </xf>
    <xf numFmtId="0" fontId="26" fillId="25" borderId="42" xfId="0" applyFont="1" applyFill="1" applyBorder="1" applyAlignment="1">
      <alignment vertical="center" wrapText="1"/>
    </xf>
    <xf numFmtId="0" fontId="71" fillId="22" borderId="27" xfId="0" applyFont="1" applyFill="1" applyBorder="1" applyAlignment="1">
      <alignment horizontal="center" vertical="center" wrapText="1"/>
    </xf>
    <xf numFmtId="182" fontId="123" fillId="22" borderId="27" xfId="3" applyNumberFormat="1" applyFont="1" applyFill="1" applyBorder="1" applyAlignment="1" applyProtection="1">
      <alignment horizontal="center" vertical="center" wrapText="1"/>
    </xf>
    <xf numFmtId="0" fontId="5" fillId="22" borderId="0" xfId="0" applyFont="1" applyFill="1" applyAlignment="1">
      <alignment vertical="center" wrapText="1"/>
    </xf>
    <xf numFmtId="0" fontId="0" fillId="40" borderId="0" xfId="0" applyFill="1" applyAlignment="1">
      <alignment vertical="center"/>
    </xf>
    <xf numFmtId="0" fontId="0" fillId="40" borderId="0" xfId="0" applyFill="1" applyAlignment="1">
      <alignment vertical="center" wrapText="1"/>
    </xf>
    <xf numFmtId="0" fontId="149" fillId="40" borderId="0" xfId="0" applyFont="1" applyFill="1" applyAlignment="1">
      <alignment vertical="center"/>
    </xf>
    <xf numFmtId="166" fontId="27" fillId="15" borderId="0" xfId="1" applyFont="1" applyFill="1" applyAlignment="1">
      <alignment horizontal="center" vertical="center" wrapText="1"/>
    </xf>
    <xf numFmtId="0" fontId="55" fillId="40" borderId="0" xfId="0" applyFont="1" applyFill="1" applyAlignment="1">
      <alignment vertical="center"/>
    </xf>
    <xf numFmtId="0" fontId="151" fillId="40" borderId="0" xfId="0" applyFont="1" applyFill="1" applyAlignment="1">
      <alignment horizontal="center" vertical="center" wrapText="1"/>
    </xf>
    <xf numFmtId="0" fontId="155" fillId="40" borderId="0" xfId="0" applyFont="1" applyFill="1" applyAlignment="1">
      <alignment horizontal="center" vertical="center"/>
    </xf>
    <xf numFmtId="166" fontId="155" fillId="40" borderId="0" xfId="1" applyFont="1" applyFill="1" applyAlignment="1">
      <alignment horizontal="center" vertical="center"/>
    </xf>
    <xf numFmtId="0" fontId="111" fillId="19" borderId="1" xfId="0" applyFont="1" applyFill="1" applyBorder="1" applyAlignment="1">
      <alignment horizontal="center" vertical="center" wrapText="1"/>
    </xf>
    <xf numFmtId="174" fontId="34" fillId="19" borderId="3" xfId="1" applyNumberFormat="1" applyFont="1" applyFill="1" applyBorder="1" applyAlignment="1">
      <alignment horizontal="center" vertical="center" wrapText="1"/>
    </xf>
    <xf numFmtId="0" fontId="156" fillId="22" borderId="0" xfId="0" applyFont="1" applyFill="1" applyAlignment="1">
      <alignment horizontal="center" vertical="center"/>
    </xf>
    <xf numFmtId="0" fontId="156" fillId="22" borderId="49" xfId="0" applyFont="1" applyFill="1" applyBorder="1" applyAlignment="1">
      <alignment horizontal="center" vertical="center"/>
    </xf>
    <xf numFmtId="0" fontId="156" fillId="22" borderId="80" xfId="0" applyFont="1" applyFill="1" applyBorder="1" applyAlignment="1">
      <alignment horizontal="center" vertical="center"/>
    </xf>
    <xf numFmtId="0" fontId="156" fillId="22" borderId="41" xfId="0" applyFont="1" applyFill="1" applyBorder="1" applyAlignment="1">
      <alignment horizontal="center" vertical="center"/>
    </xf>
    <xf numFmtId="0" fontId="156" fillId="22" borderId="79" xfId="0" applyFont="1" applyFill="1" applyBorder="1" applyAlignment="1">
      <alignment horizontal="center" vertical="center"/>
    </xf>
    <xf numFmtId="1" fontId="156" fillId="22" borderId="0" xfId="0" applyNumberFormat="1" applyFont="1" applyFill="1" applyAlignment="1">
      <alignment horizontal="center" vertical="center"/>
    </xf>
    <xf numFmtId="166" fontId="156" fillId="22" borderId="0" xfId="1" applyFont="1" applyFill="1" applyAlignment="1">
      <alignment horizontal="center" vertical="center"/>
    </xf>
    <xf numFmtId="166" fontId="156" fillId="22" borderId="0" xfId="0" applyNumberFormat="1" applyFont="1" applyFill="1" applyAlignment="1">
      <alignment horizontal="center" vertical="center"/>
    </xf>
    <xf numFmtId="180" fontId="156" fillId="22" borderId="0" xfId="0" applyNumberFormat="1" applyFont="1" applyFill="1" applyAlignment="1">
      <alignment horizontal="center" vertical="center"/>
    </xf>
    <xf numFmtId="0" fontId="156" fillId="22" borderId="0" xfId="0" applyFont="1" applyFill="1" applyAlignment="1">
      <alignment horizontal="left" vertical="center"/>
    </xf>
    <xf numFmtId="0" fontId="157" fillId="65" borderId="0" xfId="0" applyFont="1" applyFill="1" applyAlignment="1">
      <alignment horizontal="left" vertical="center" wrapText="1"/>
    </xf>
    <xf numFmtId="9" fontId="157" fillId="65" borderId="0" xfId="3" applyFont="1" applyFill="1" applyAlignment="1">
      <alignment horizontal="left" vertical="center" wrapText="1"/>
    </xf>
    <xf numFmtId="0" fontId="157" fillId="65" borderId="54" xfId="0" applyFont="1" applyFill="1" applyBorder="1" applyAlignment="1">
      <alignment horizontal="left" vertical="center" wrapText="1"/>
    </xf>
    <xf numFmtId="9" fontId="157" fillId="65" borderId="54" xfId="3" applyFont="1" applyFill="1" applyBorder="1" applyAlignment="1">
      <alignment horizontal="left" vertical="center" wrapText="1"/>
    </xf>
    <xf numFmtId="10" fontId="158" fillId="66" borderId="27" xfId="3" quotePrefix="1" applyNumberFormat="1" applyFont="1" applyFill="1" applyBorder="1" applyAlignment="1" applyProtection="1">
      <alignment horizontal="center" vertical="center" wrapText="1"/>
      <protection locked="0"/>
    </xf>
    <xf numFmtId="175" fontId="5" fillId="0" borderId="1" xfId="0" applyNumberFormat="1" applyFont="1" applyBorder="1" applyAlignment="1">
      <alignment horizontal="center" vertical="center" wrapText="1"/>
    </xf>
    <xf numFmtId="0" fontId="159" fillId="28" borderId="0" xfId="0" applyFont="1" applyFill="1" applyAlignment="1">
      <alignment vertical="center"/>
    </xf>
    <xf numFmtId="166" fontId="159" fillId="28" borderId="0" xfId="1" applyFont="1" applyFill="1" applyAlignment="1" applyProtection="1">
      <alignment vertical="center"/>
    </xf>
    <xf numFmtId="183" fontId="159" fillId="28" borderId="0" xfId="3" applyNumberFormat="1" applyFont="1" applyFill="1" applyAlignment="1" applyProtection="1">
      <alignment vertical="center"/>
    </xf>
    <xf numFmtId="9" fontId="159" fillId="28" borderId="0" xfId="3" applyFont="1" applyFill="1" applyAlignment="1" applyProtection="1">
      <alignment vertical="center"/>
    </xf>
    <xf numFmtId="182" fontId="159" fillId="28" borderId="0" xfId="3" applyNumberFormat="1" applyFont="1" applyFill="1" applyAlignment="1" applyProtection="1">
      <alignment vertical="center"/>
    </xf>
    <xf numFmtId="0" fontId="16" fillId="2" borderId="18" xfId="0" applyFont="1" applyFill="1" applyBorder="1" applyAlignment="1">
      <alignment horizontal="center" vertical="center"/>
    </xf>
    <xf numFmtId="0" fontId="73" fillId="24" borderId="83" xfId="0" applyFont="1" applyFill="1" applyBorder="1" applyAlignment="1">
      <alignment horizontal="left" vertical="center" indent="1"/>
    </xf>
    <xf numFmtId="0" fontId="73" fillId="24" borderId="31" xfId="0" applyFont="1" applyFill="1" applyBorder="1" applyAlignment="1">
      <alignment horizontal="left" vertical="center" indent="1"/>
    </xf>
    <xf numFmtId="0" fontId="73" fillId="24" borderId="53" xfId="0" applyFont="1" applyFill="1" applyBorder="1" applyAlignment="1">
      <alignment horizontal="left" vertical="center" indent="1"/>
    </xf>
    <xf numFmtId="0" fontId="32" fillId="53" borderId="1" xfId="0" applyFont="1" applyFill="1" applyBorder="1" applyAlignment="1">
      <alignment horizontal="center" vertical="center"/>
    </xf>
    <xf numFmtId="168" fontId="32" fillId="53" borderId="2" xfId="0" applyNumberFormat="1" applyFont="1" applyFill="1" applyBorder="1" applyAlignment="1">
      <alignment horizontal="center" vertical="center"/>
    </xf>
    <xf numFmtId="0" fontId="161" fillId="24" borderId="4" xfId="0" applyFont="1" applyFill="1" applyBorder="1" applyAlignment="1">
      <alignment horizontal="left" vertical="center" indent="1"/>
    </xf>
    <xf numFmtId="0" fontId="79" fillId="22" borderId="27" xfId="0" applyFont="1" applyFill="1" applyBorder="1" applyAlignment="1">
      <alignment horizontal="center" vertical="center" wrapText="1"/>
    </xf>
    <xf numFmtId="0" fontId="160" fillId="68" borderId="1" xfId="0" applyFont="1" applyFill="1" applyBorder="1" applyAlignment="1" applyProtection="1">
      <alignment horizontal="center" vertical="center"/>
      <protection locked="0"/>
    </xf>
    <xf numFmtId="0" fontId="161" fillId="68" borderId="1" xfId="0" applyFont="1" applyFill="1" applyBorder="1" applyAlignment="1">
      <alignment horizontal="center" vertical="center"/>
    </xf>
    <xf numFmtId="0" fontId="161" fillId="68" borderId="1" xfId="0" applyFont="1" applyFill="1" applyBorder="1" applyAlignment="1" applyProtection="1">
      <alignment horizontal="center" vertical="center"/>
      <protection locked="0"/>
    </xf>
    <xf numFmtId="0" fontId="161" fillId="68" borderId="4" xfId="0" applyFont="1" applyFill="1" applyBorder="1" applyAlignment="1" applyProtection="1">
      <alignment horizontal="center" vertical="center"/>
      <protection locked="0"/>
    </xf>
    <xf numFmtId="0" fontId="162" fillId="28" borderId="0" xfId="0" applyFont="1" applyFill="1" applyAlignment="1">
      <alignment horizontal="center" vertical="center" wrapText="1"/>
    </xf>
    <xf numFmtId="0" fontId="163" fillId="28" borderId="0" xfId="0" applyFont="1" applyFill="1" applyAlignment="1">
      <alignment horizontal="center" vertical="center" wrapText="1"/>
    </xf>
    <xf numFmtId="3" fontId="163" fillId="28" borderId="0" xfId="0" applyNumberFormat="1" applyFont="1" applyFill="1" applyAlignment="1">
      <alignment horizontal="center" vertical="center" wrapText="1"/>
    </xf>
    <xf numFmtId="1" fontId="162" fillId="28" borderId="0" xfId="0" applyNumberFormat="1" applyFont="1" applyFill="1" applyAlignment="1">
      <alignment horizontal="center" vertical="center" wrapText="1"/>
    </xf>
    <xf numFmtId="0" fontId="69" fillId="28" borderId="0" xfId="0" applyFont="1" applyFill="1" applyAlignment="1">
      <alignment horizontal="center" vertical="center"/>
    </xf>
    <xf numFmtId="0" fontId="69" fillId="28" borderId="0" xfId="0" applyFont="1" applyFill="1" applyAlignment="1">
      <alignment vertical="center" wrapText="1"/>
    </xf>
    <xf numFmtId="0" fontId="69" fillId="28" borderId="0" xfId="0" applyFont="1" applyFill="1" applyAlignment="1">
      <alignment horizontal="center" vertical="center" wrapText="1"/>
    </xf>
    <xf numFmtId="0" fontId="162" fillId="28" borderId="0" xfId="0" applyFont="1" applyFill="1" applyAlignment="1">
      <alignment horizontal="center" vertical="center"/>
    </xf>
    <xf numFmtId="0" fontId="163" fillId="28" borderId="0" xfId="0" applyFont="1" applyFill="1" applyAlignment="1">
      <alignment horizontal="center" vertical="center"/>
    </xf>
    <xf numFmtId="0" fontId="5" fillId="28" borderId="0" xfId="0" applyFont="1" applyFill="1" applyAlignment="1">
      <alignment horizontal="center" vertical="center" wrapText="1"/>
    </xf>
    <xf numFmtId="0" fontId="104" fillId="28" borderId="0" xfId="0" applyFont="1" applyFill="1" applyAlignment="1">
      <alignment horizontal="center" vertical="center" wrapText="1"/>
    </xf>
    <xf numFmtId="0" fontId="104" fillId="28" borderId="0" xfId="0" applyFont="1" applyFill="1" applyAlignment="1">
      <alignment horizontal="center" vertical="center"/>
    </xf>
    <xf numFmtId="0" fontId="5" fillId="28" borderId="0" xfId="0" applyFont="1" applyFill="1" applyAlignment="1">
      <alignment horizontal="center" vertical="center"/>
    </xf>
    <xf numFmtId="0" fontId="143" fillId="28" borderId="0" xfId="0" applyFont="1" applyFill="1" applyAlignment="1">
      <alignment horizontal="center" vertical="center" wrapText="1"/>
    </xf>
    <xf numFmtId="0" fontId="143" fillId="28" borderId="0" xfId="0" applyFont="1" applyFill="1" applyAlignment="1">
      <alignment horizontal="center" vertical="center"/>
    </xf>
    <xf numFmtId="0" fontId="9" fillId="28" borderId="0" xfId="0" applyFont="1" applyFill="1" applyAlignment="1">
      <alignment vertical="center"/>
    </xf>
    <xf numFmtId="0" fontId="164" fillId="28" borderId="0" xfId="0" applyFont="1" applyFill="1" applyAlignment="1">
      <alignment vertical="center"/>
    </xf>
    <xf numFmtId="0" fontId="9" fillId="28" borderId="0" xfId="0" applyFont="1" applyFill="1" applyAlignment="1">
      <alignment horizontal="center" vertical="center"/>
    </xf>
    <xf numFmtId="172" fontId="127" fillId="28" borderId="0" xfId="0" applyNumberFormat="1" applyFont="1" applyFill="1" applyAlignment="1">
      <alignment vertical="center"/>
    </xf>
    <xf numFmtId="14" fontId="127" fillId="28" borderId="0" xfId="0" applyNumberFormat="1" applyFont="1" applyFill="1" applyAlignment="1">
      <alignment vertical="center"/>
    </xf>
    <xf numFmtId="0" fontId="40" fillId="28" borderId="0" xfId="0" applyFont="1" applyFill="1" applyAlignment="1">
      <alignment horizontal="center" vertical="center"/>
    </xf>
    <xf numFmtId="0" fontId="41" fillId="28" borderId="0" xfId="0" applyFont="1" applyFill="1" applyAlignment="1">
      <alignment horizontal="center" vertical="center"/>
    </xf>
    <xf numFmtId="0" fontId="42" fillId="28" borderId="0" xfId="0" applyFont="1" applyFill="1" applyAlignment="1">
      <alignment horizontal="center" vertical="center"/>
    </xf>
    <xf numFmtId="0" fontId="86" fillId="28" borderId="0" xfId="0" applyFont="1" applyFill="1" applyAlignment="1">
      <alignment horizontal="right" vertical="center"/>
    </xf>
    <xf numFmtId="0" fontId="86" fillId="28" borderId="0" xfId="0" applyFont="1" applyFill="1" applyAlignment="1">
      <alignment horizontal="center" vertical="center"/>
    </xf>
    <xf numFmtId="171" fontId="40" fillId="28" borderId="0" xfId="0" applyNumberFormat="1" applyFont="1" applyFill="1" applyAlignment="1">
      <alignment horizontal="center" vertical="center"/>
    </xf>
    <xf numFmtId="171" fontId="42" fillId="28" borderId="0" xfId="0" applyNumberFormat="1" applyFont="1" applyFill="1" applyAlignment="1">
      <alignment horizontal="center" vertical="center"/>
    </xf>
    <xf numFmtId="171" fontId="86" fillId="28" borderId="0" xfId="0" applyNumberFormat="1" applyFont="1" applyFill="1" applyAlignment="1">
      <alignment horizontal="right" vertical="center"/>
    </xf>
    <xf numFmtId="171" fontId="86" fillId="28" borderId="0" xfId="0" applyNumberFormat="1" applyFont="1" applyFill="1" applyAlignment="1">
      <alignment horizontal="center" vertical="center"/>
    </xf>
    <xf numFmtId="0" fontId="98" fillId="28" borderId="0" xfId="0" applyFont="1" applyFill="1" applyAlignment="1">
      <alignment horizontal="right" vertical="center"/>
    </xf>
    <xf numFmtId="0" fontId="42" fillId="28" borderId="0" xfId="0" applyFont="1" applyFill="1" applyAlignment="1">
      <alignment vertical="center"/>
    </xf>
    <xf numFmtId="167" fontId="41" fillId="28" borderId="0" xfId="0" applyNumberFormat="1" applyFont="1" applyFill="1" applyAlignment="1">
      <alignment horizontal="center" vertical="center"/>
    </xf>
    <xf numFmtId="166" fontId="41" fillId="28" borderId="0" xfId="1" applyFont="1" applyFill="1" applyAlignment="1">
      <alignment horizontal="center" vertical="center"/>
    </xf>
    <xf numFmtId="0" fontId="64" fillId="28" borderId="0" xfId="0" applyFont="1" applyFill="1" applyAlignment="1">
      <alignment horizontal="center" vertical="center"/>
    </xf>
    <xf numFmtId="0" fontId="164" fillId="28" borderId="0" xfId="0" applyFont="1" applyFill="1" applyAlignment="1">
      <alignment horizontal="center" vertical="center"/>
    </xf>
    <xf numFmtId="0" fontId="164" fillId="28" borderId="0" xfId="0" applyFont="1" applyFill="1" applyAlignment="1">
      <alignment horizontal="left" vertical="center" indent="1"/>
    </xf>
    <xf numFmtId="165" fontId="164" fillId="28" borderId="0" xfId="0" applyNumberFormat="1" applyFont="1" applyFill="1" applyAlignment="1">
      <alignment horizontal="center" vertical="center"/>
    </xf>
    <xf numFmtId="1" fontId="164" fillId="28" borderId="0" xfId="0" applyNumberFormat="1" applyFont="1" applyFill="1" applyAlignment="1">
      <alignment horizontal="center" vertical="center"/>
    </xf>
    <xf numFmtId="178" fontId="164" fillId="28" borderId="0" xfId="0" applyNumberFormat="1" applyFont="1" applyFill="1" applyAlignment="1">
      <alignment horizontal="center" vertical="center"/>
    </xf>
    <xf numFmtId="177" fontId="164" fillId="28" borderId="0" xfId="0" applyNumberFormat="1" applyFont="1" applyFill="1" applyAlignment="1">
      <alignment horizontal="center" vertical="center"/>
    </xf>
    <xf numFmtId="166" fontId="165" fillId="28" borderId="0" xfId="1" applyFont="1" applyFill="1" applyAlignment="1">
      <alignment horizontal="center" vertical="center"/>
    </xf>
    <xf numFmtId="168" fontId="165" fillId="28" borderId="0" xfId="0" applyNumberFormat="1" applyFont="1" applyFill="1" applyAlignment="1">
      <alignment horizontal="center" vertical="center"/>
    </xf>
    <xf numFmtId="1" fontId="165" fillId="28" borderId="0" xfId="0" applyNumberFormat="1" applyFont="1" applyFill="1" applyAlignment="1">
      <alignment horizontal="center" vertical="center"/>
    </xf>
    <xf numFmtId="0" fontId="165" fillId="28" borderId="0" xfId="0" applyFont="1" applyFill="1" applyAlignment="1">
      <alignment horizontal="center" vertical="center"/>
    </xf>
    <xf numFmtId="0" fontId="167" fillId="28" borderId="0" xfId="0" applyFont="1" applyFill="1" applyAlignment="1">
      <alignment horizontal="center" vertical="center"/>
    </xf>
    <xf numFmtId="0" fontId="167" fillId="28" borderId="0" xfId="0" applyFont="1" applyFill="1" applyAlignment="1">
      <alignment horizontal="right" vertical="center"/>
    </xf>
    <xf numFmtId="164" fontId="159" fillId="28" borderId="0" xfId="0" applyNumberFormat="1" applyFont="1" applyFill="1" applyAlignment="1">
      <alignment horizontal="center" wrapText="1"/>
    </xf>
    <xf numFmtId="0" fontId="0" fillId="48" borderId="0" xfId="0" applyFill="1" applyAlignment="1">
      <alignment horizontal="center" vertical="center"/>
    </xf>
    <xf numFmtId="0" fontId="171" fillId="11" borderId="17" xfId="0" applyFont="1" applyFill="1" applyBorder="1" applyAlignment="1">
      <alignment horizontal="right"/>
    </xf>
    <xf numFmtId="0" fontId="172" fillId="11" borderId="8" xfId="0" applyFont="1" applyFill="1" applyBorder="1" applyAlignment="1">
      <alignment horizontal="right" vertical="center" wrapText="1"/>
    </xf>
    <xf numFmtId="0" fontId="100" fillId="62" borderId="4" xfId="0" applyFont="1" applyFill="1" applyBorder="1" applyAlignment="1">
      <alignment vertical="center"/>
    </xf>
    <xf numFmtId="0" fontId="173" fillId="22" borderId="0" xfId="0" applyFont="1" applyFill="1"/>
    <xf numFmtId="0" fontId="174" fillId="22" borderId="0" xfId="0" applyFont="1" applyFill="1"/>
    <xf numFmtId="0" fontId="84" fillId="22" borderId="0" xfId="0" applyFont="1" applyFill="1"/>
    <xf numFmtId="10" fontId="176" fillId="22" borderId="0" xfId="3" applyNumberFormat="1" applyFont="1" applyFill="1" applyAlignment="1">
      <alignment horizontal="center"/>
    </xf>
    <xf numFmtId="180" fontId="177" fillId="22" borderId="0" xfId="0" applyNumberFormat="1" applyFont="1" applyFill="1"/>
    <xf numFmtId="180" fontId="178" fillId="22" borderId="0" xfId="0" applyNumberFormat="1" applyFont="1" applyFill="1"/>
    <xf numFmtId="0" fontId="173" fillId="24" borderId="0" xfId="0" applyFont="1" applyFill="1"/>
    <xf numFmtId="0" fontId="179" fillId="24" borderId="0" xfId="0" applyFont="1" applyFill="1"/>
    <xf numFmtId="0" fontId="81" fillId="41" borderId="84" xfId="0" applyFont="1" applyFill="1" applyBorder="1" applyAlignment="1" applyProtection="1">
      <alignment horizontal="center" vertical="center" wrapText="1"/>
      <protection locked="0"/>
    </xf>
    <xf numFmtId="0" fontId="0" fillId="28" borderId="0" xfId="0" applyFill="1"/>
    <xf numFmtId="0" fontId="74" fillId="20" borderId="1" xfId="0" applyFont="1" applyFill="1" applyBorder="1" applyAlignment="1" applyProtection="1">
      <alignment horizontal="center" vertical="center"/>
      <protection locked="0"/>
    </xf>
    <xf numFmtId="1" fontId="74" fillId="20" borderId="1" xfId="0" applyNumberFormat="1" applyFont="1" applyFill="1" applyBorder="1" applyAlignment="1" applyProtection="1">
      <alignment horizontal="center" vertical="center"/>
      <protection locked="0"/>
    </xf>
    <xf numFmtId="1" fontId="74" fillId="32" borderId="1" xfId="0" applyNumberFormat="1" applyFont="1" applyFill="1" applyBorder="1" applyAlignment="1" applyProtection="1">
      <alignment horizontal="center" vertical="center"/>
      <protection locked="0"/>
    </xf>
    <xf numFmtId="176" fontId="183" fillId="8" borderId="14" xfId="0" applyNumberFormat="1" applyFont="1" applyFill="1" applyBorder="1" applyAlignment="1">
      <alignment horizontal="center" vertical="center"/>
    </xf>
    <xf numFmtId="0" fontId="185" fillId="22" borderId="11" xfId="0" applyFont="1" applyFill="1" applyBorder="1" applyAlignment="1">
      <alignment horizontal="right" vertical="center" wrapText="1"/>
    </xf>
    <xf numFmtId="0" fontId="185" fillId="22" borderId="86" xfId="0" applyFont="1" applyFill="1" applyBorder="1" applyAlignment="1">
      <alignment horizontal="right" vertical="center" wrapText="1"/>
    </xf>
    <xf numFmtId="182" fontId="79" fillId="22" borderId="87" xfId="3" applyNumberFormat="1" applyFont="1" applyFill="1" applyBorder="1" applyAlignment="1" applyProtection="1">
      <alignment horizontal="center" vertical="center" wrapText="1"/>
    </xf>
    <xf numFmtId="10" fontId="79" fillId="22" borderId="88" xfId="3" applyNumberFormat="1" applyFont="1" applyFill="1" applyBorder="1" applyAlignment="1" applyProtection="1">
      <alignment horizontal="center" vertical="center" wrapText="1"/>
    </xf>
    <xf numFmtId="182" fontId="123" fillId="22" borderId="26" xfId="3" applyNumberFormat="1" applyFont="1" applyFill="1" applyBorder="1" applyAlignment="1" applyProtection="1">
      <alignment horizontal="center" vertical="center" wrapText="1"/>
    </xf>
    <xf numFmtId="0" fontId="187" fillId="25" borderId="40" xfId="0" applyFont="1" applyFill="1" applyBorder="1" applyAlignment="1">
      <alignment horizontal="center" vertical="center" wrapText="1"/>
    </xf>
    <xf numFmtId="0" fontId="187" fillId="25" borderId="20" xfId="0" applyFont="1" applyFill="1" applyBorder="1" applyAlignment="1">
      <alignment horizontal="center" vertical="center" wrapText="1"/>
    </xf>
    <xf numFmtId="0" fontId="81" fillId="41" borderId="89" xfId="0" applyFont="1" applyFill="1" applyBorder="1" applyAlignment="1" applyProtection="1">
      <alignment horizontal="center" vertical="center" wrapText="1"/>
      <protection locked="0"/>
    </xf>
    <xf numFmtId="182" fontId="123" fillId="22" borderId="90" xfId="3" applyNumberFormat="1" applyFont="1" applyFill="1" applyBorder="1" applyAlignment="1" applyProtection="1">
      <alignment horizontal="center" vertical="center" wrapText="1"/>
    </xf>
    <xf numFmtId="0" fontId="185" fillId="22" borderId="91" xfId="0" applyFont="1" applyFill="1" applyBorder="1" applyAlignment="1">
      <alignment horizontal="right" vertical="center" wrapText="1"/>
    </xf>
    <xf numFmtId="0" fontId="186" fillId="22" borderId="92" xfId="0" applyFont="1" applyFill="1" applyBorder="1" applyAlignment="1">
      <alignment horizontal="right" vertical="center" wrapText="1"/>
    </xf>
    <xf numFmtId="182" fontId="123" fillId="22" borderId="93" xfId="3" applyNumberFormat="1" applyFont="1" applyFill="1" applyBorder="1" applyAlignment="1" applyProtection="1">
      <alignment horizontal="center" vertical="center" wrapText="1"/>
    </xf>
    <xf numFmtId="0" fontId="185" fillId="22" borderId="94" xfId="0" applyFont="1" applyFill="1" applyBorder="1" applyAlignment="1">
      <alignment horizontal="center" wrapText="1"/>
    </xf>
    <xf numFmtId="0" fontId="185" fillId="22" borderId="85" xfId="0" applyFont="1" applyFill="1" applyBorder="1" applyAlignment="1">
      <alignment horizontal="center" wrapText="1"/>
    </xf>
    <xf numFmtId="0" fontId="185" fillId="22" borderId="95" xfId="0" applyFont="1" applyFill="1" applyBorder="1" applyAlignment="1">
      <alignment horizontal="center" wrapText="1"/>
    </xf>
    <xf numFmtId="9" fontId="173" fillId="22" borderId="0" xfId="3" applyFont="1" applyFill="1"/>
    <xf numFmtId="0" fontId="190" fillId="28" borderId="0" xfId="0" applyFont="1" applyFill="1" applyAlignment="1">
      <alignment horizontal="center" vertical="center"/>
    </xf>
    <xf numFmtId="0" fontId="191" fillId="65" borderId="0" xfId="0" applyFont="1" applyFill="1" applyAlignment="1">
      <alignment horizontal="center" vertical="center"/>
    </xf>
    <xf numFmtId="175" fontId="80" fillId="39" borderId="1" xfId="0" applyNumberFormat="1" applyFont="1" applyFill="1" applyBorder="1" applyAlignment="1">
      <alignment horizontal="center" vertical="center" wrapText="1"/>
    </xf>
    <xf numFmtId="0" fontId="17" fillId="12" borderId="13" xfId="0" applyFont="1" applyFill="1" applyBorder="1" applyAlignment="1">
      <alignment horizontal="center" vertical="center"/>
    </xf>
    <xf numFmtId="9" fontId="0" fillId="48" borderId="0" xfId="0" applyNumberFormat="1" applyFill="1" applyAlignment="1">
      <alignment horizontal="center"/>
    </xf>
    <xf numFmtId="10" fontId="0" fillId="48" borderId="0" xfId="3" applyNumberFormat="1" applyFont="1" applyFill="1" applyAlignment="1">
      <alignment horizontal="center" vertical="center"/>
    </xf>
    <xf numFmtId="0" fontId="168" fillId="71" borderId="1" xfId="0" applyFont="1" applyFill="1" applyBorder="1" applyAlignment="1">
      <alignment horizontal="center" vertical="center"/>
    </xf>
    <xf numFmtId="166" fontId="98" fillId="28" borderId="0" xfId="1" applyFont="1" applyFill="1" applyAlignment="1">
      <alignment horizontal="right" vertical="center"/>
    </xf>
    <xf numFmtId="166" fontId="98" fillId="28" borderId="0" xfId="1" applyFont="1" applyFill="1" applyBorder="1" applyAlignment="1">
      <alignment horizontal="right" vertical="center"/>
    </xf>
    <xf numFmtId="0" fontId="99" fillId="25" borderId="1" xfId="0" applyFont="1" applyFill="1" applyBorder="1" applyAlignment="1">
      <alignment horizontal="center"/>
    </xf>
    <xf numFmtId="0" fontId="199" fillId="36" borderId="1" xfId="0" applyFont="1" applyFill="1" applyBorder="1" applyAlignment="1" applyProtection="1">
      <alignment horizontal="center" vertical="center" wrapText="1"/>
      <protection locked="0"/>
    </xf>
    <xf numFmtId="0" fontId="142" fillId="72" borderId="0" xfId="0" applyFont="1" applyFill="1" applyAlignment="1">
      <alignment horizontal="center" vertical="center"/>
    </xf>
    <xf numFmtId="0" fontId="131" fillId="72" borderId="0" xfId="0" applyFont="1" applyFill="1" applyAlignment="1">
      <alignment horizontal="center" vertical="center"/>
    </xf>
    <xf numFmtId="0" fontId="201" fillId="24" borderId="1" xfId="0" applyFont="1" applyFill="1" applyBorder="1" applyAlignment="1" applyProtection="1">
      <alignment horizontal="center" vertical="center"/>
      <protection locked="0"/>
    </xf>
    <xf numFmtId="170" fontId="202" fillId="40" borderId="1" xfId="0" applyNumberFormat="1" applyFont="1" applyFill="1" applyBorder="1" applyAlignment="1" applyProtection="1">
      <alignment horizontal="center" vertical="center" wrapText="1"/>
      <protection locked="0"/>
    </xf>
    <xf numFmtId="0" fontId="201" fillId="24" borderId="1" xfId="0" applyFont="1" applyFill="1" applyBorder="1" applyAlignment="1" applyProtection="1">
      <alignment horizontal="center" vertical="center" wrapText="1"/>
      <protection locked="0"/>
    </xf>
    <xf numFmtId="0" fontId="51" fillId="19" borderId="1" xfId="0" applyFont="1" applyFill="1" applyBorder="1" applyAlignment="1">
      <alignment horizontal="center" vertical="center" wrapText="1"/>
    </xf>
    <xf numFmtId="49" fontId="71" fillId="17" borderId="1" xfId="0" applyNumberFormat="1" applyFont="1" applyFill="1" applyBorder="1" applyAlignment="1">
      <alignment horizontal="center" vertical="center"/>
    </xf>
    <xf numFmtId="0" fontId="99" fillId="3" borderId="1" xfId="0" applyFont="1" applyFill="1" applyBorder="1" applyAlignment="1">
      <alignment horizontal="center" vertical="center" wrapText="1"/>
    </xf>
    <xf numFmtId="49" fontId="71" fillId="16" borderId="1" xfId="0" applyNumberFormat="1" applyFont="1" applyFill="1" applyBorder="1" applyAlignment="1" applyProtection="1">
      <alignment horizontal="center" vertical="center" wrapText="1"/>
      <protection locked="0"/>
    </xf>
    <xf numFmtId="49" fontId="203" fillId="16" borderId="1" xfId="0" applyNumberFormat="1" applyFont="1" applyFill="1" applyBorder="1" applyAlignment="1" applyProtection="1">
      <alignment horizontal="center" vertical="center" wrapText="1"/>
      <protection locked="0"/>
    </xf>
    <xf numFmtId="49" fontId="71" fillId="17" borderId="1" xfId="0" applyNumberFormat="1" applyFont="1" applyFill="1" applyBorder="1" applyAlignment="1">
      <alignment horizontal="center" vertical="center" wrapText="1"/>
    </xf>
    <xf numFmtId="49" fontId="71" fillId="17" borderId="1" xfId="0" applyNumberFormat="1" applyFont="1" applyFill="1" applyBorder="1" applyAlignment="1" applyProtection="1">
      <alignment horizontal="center" vertical="center" wrapText="1"/>
      <protection locked="0"/>
    </xf>
    <xf numFmtId="0" fontId="201" fillId="31" borderId="1" xfId="0" applyFont="1" applyFill="1" applyBorder="1" applyAlignment="1">
      <alignment horizontal="center" vertical="center" wrapText="1"/>
    </xf>
    <xf numFmtId="0" fontId="201" fillId="31" borderId="1" xfId="0" applyFont="1" applyFill="1" applyBorder="1" applyAlignment="1">
      <alignment horizontal="center" vertical="center"/>
    </xf>
    <xf numFmtId="0" fontId="99" fillId="47" borderId="1" xfId="0" applyFont="1" applyFill="1" applyBorder="1" applyAlignment="1">
      <alignment horizontal="center" vertical="center"/>
    </xf>
    <xf numFmtId="0" fontId="71" fillId="73" borderId="1" xfId="0" applyFont="1" applyFill="1" applyBorder="1" applyAlignment="1">
      <alignment horizontal="center" vertical="center"/>
    </xf>
    <xf numFmtId="0" fontId="113" fillId="9" borderId="6" xfId="0" applyFont="1" applyFill="1" applyBorder="1" applyAlignment="1">
      <alignment horizontal="center" vertical="center" wrapText="1"/>
    </xf>
    <xf numFmtId="0" fontId="99" fillId="3" borderId="23" xfId="0" applyFont="1" applyFill="1" applyBorder="1" applyAlignment="1">
      <alignment horizontal="center" vertical="center" wrapText="1"/>
    </xf>
    <xf numFmtId="0" fontId="71" fillId="73" borderId="44" xfId="0" applyFont="1" applyFill="1" applyBorder="1" applyAlignment="1">
      <alignment horizontal="center" vertical="center"/>
    </xf>
    <xf numFmtId="0" fontId="71" fillId="3" borderId="44" xfId="0" applyFont="1" applyFill="1" applyBorder="1" applyAlignment="1">
      <alignment horizontal="center" vertical="center"/>
    </xf>
    <xf numFmtId="0" fontId="71" fillId="3" borderId="64" xfId="0" applyFont="1" applyFill="1" applyBorder="1" applyAlignment="1">
      <alignment horizontal="center" vertical="center"/>
    </xf>
    <xf numFmtId="0" fontId="5" fillId="36" borderId="1" xfId="0" applyFont="1" applyFill="1" applyBorder="1" applyAlignment="1" applyProtection="1">
      <alignment horizontal="center" vertical="center" wrapText="1"/>
      <protection locked="0"/>
    </xf>
    <xf numFmtId="0" fontId="113" fillId="74" borderId="44" xfId="0" applyFont="1" applyFill="1" applyBorder="1" applyAlignment="1">
      <alignment horizontal="center" vertical="center"/>
    </xf>
    <xf numFmtId="0" fontId="113" fillId="74" borderId="1" xfId="0" applyFont="1" applyFill="1" applyBorder="1" applyAlignment="1">
      <alignment horizontal="center" vertical="center"/>
    </xf>
    <xf numFmtId="0" fontId="113" fillId="9" borderId="44" xfId="0" applyFont="1" applyFill="1" applyBorder="1" applyAlignment="1">
      <alignment horizontal="center" vertical="center"/>
    </xf>
    <xf numFmtId="0" fontId="71" fillId="0" borderId="6" xfId="0" applyFont="1" applyBorder="1" applyAlignment="1">
      <alignment horizontal="center" vertical="center" wrapText="1"/>
    </xf>
    <xf numFmtId="0" fontId="71" fillId="0" borderId="44" xfId="0" applyFont="1" applyBorder="1" applyAlignment="1">
      <alignment horizontal="center" vertical="center" wrapText="1"/>
    </xf>
    <xf numFmtId="0" fontId="71" fillId="16" borderId="6" xfId="0" applyFont="1" applyFill="1" applyBorder="1" applyAlignment="1">
      <alignment horizontal="center" vertical="center" wrapText="1"/>
    </xf>
    <xf numFmtId="0" fontId="71" fillId="16" borderId="1" xfId="0" applyFont="1" applyFill="1" applyBorder="1" applyAlignment="1">
      <alignment horizontal="center" vertical="center" wrapText="1"/>
    </xf>
    <xf numFmtId="168" fontId="99" fillId="75" borderId="1" xfId="0" applyNumberFormat="1" applyFont="1" applyFill="1" applyBorder="1" applyAlignment="1">
      <alignment horizontal="center" vertical="center"/>
    </xf>
    <xf numFmtId="49" fontId="113" fillId="4" borderId="1" xfId="0" applyNumberFormat="1" applyFont="1" applyFill="1" applyBorder="1" applyAlignment="1">
      <alignment horizontal="center" vertical="center" wrapText="1"/>
    </xf>
    <xf numFmtId="49" fontId="71" fillId="76" borderId="1" xfId="0" applyNumberFormat="1" applyFont="1" applyFill="1" applyBorder="1" applyAlignment="1">
      <alignment horizontal="center" vertical="center" wrapText="1"/>
    </xf>
    <xf numFmtId="49" fontId="71" fillId="77" borderId="1" xfId="0" applyNumberFormat="1" applyFont="1" applyFill="1" applyBorder="1" applyAlignment="1">
      <alignment horizontal="center" vertical="center"/>
    </xf>
    <xf numFmtId="49" fontId="99" fillId="77" borderId="1" xfId="0" applyNumberFormat="1" applyFont="1" applyFill="1" applyBorder="1" applyAlignment="1">
      <alignment horizontal="center" vertical="center" wrapText="1"/>
    </xf>
    <xf numFmtId="0" fontId="113" fillId="6" borderId="1" xfId="0" applyFont="1" applyFill="1" applyBorder="1" applyAlignment="1">
      <alignment horizontal="center" vertical="center"/>
    </xf>
    <xf numFmtId="0" fontId="64" fillId="28" borderId="0" xfId="0" applyFont="1" applyFill="1" applyAlignment="1">
      <alignment vertical="center"/>
    </xf>
    <xf numFmtId="0" fontId="134" fillId="29" borderId="2" xfId="0" applyFont="1" applyFill="1" applyBorder="1" applyAlignment="1">
      <alignment horizontal="center" vertical="center"/>
    </xf>
    <xf numFmtId="0" fontId="205" fillId="28" borderId="0" xfId="0" applyFont="1" applyFill="1" applyAlignment="1">
      <alignment vertical="center"/>
    </xf>
    <xf numFmtId="0" fontId="205" fillId="28" borderId="0" xfId="0" applyFont="1" applyFill="1" applyAlignment="1">
      <alignment horizontal="center" vertical="center"/>
    </xf>
    <xf numFmtId="0" fontId="205" fillId="28" borderId="0" xfId="0" applyFont="1" applyFill="1" applyAlignment="1">
      <alignment horizontal="center" vertical="center" wrapText="1"/>
    </xf>
    <xf numFmtId="0" fontId="206" fillId="28" borderId="1" xfId="0" applyFont="1" applyFill="1" applyBorder="1" applyAlignment="1">
      <alignment horizontal="center" vertical="center"/>
    </xf>
    <xf numFmtId="0" fontId="206" fillId="69" borderId="1" xfId="0" quotePrefix="1" applyFont="1" applyFill="1" applyBorder="1" applyAlignment="1">
      <alignment horizontal="center" vertical="center"/>
    </xf>
    <xf numFmtId="166" fontId="205" fillId="28" borderId="0" xfId="1" applyFont="1" applyFill="1" applyAlignment="1" applyProtection="1">
      <alignment vertical="center"/>
    </xf>
    <xf numFmtId="0" fontId="206" fillId="28" borderId="39" xfId="0" applyFont="1" applyFill="1" applyBorder="1" applyAlignment="1">
      <alignment horizontal="center" vertical="center"/>
    </xf>
    <xf numFmtId="0" fontId="206" fillId="28" borderId="39" xfId="0" applyFont="1" applyFill="1" applyBorder="1" applyAlignment="1">
      <alignment vertical="center" wrapText="1"/>
    </xf>
    <xf numFmtId="0" fontId="206" fillId="28" borderId="51" xfId="0" applyFont="1" applyFill="1" applyBorder="1" applyAlignment="1">
      <alignment vertical="center" wrapText="1"/>
    </xf>
    <xf numFmtId="0" fontId="206" fillId="28" borderId="43" xfId="0" applyFont="1" applyFill="1" applyBorder="1" applyAlignment="1">
      <alignment vertical="center" wrapText="1"/>
    </xf>
    <xf numFmtId="0" fontId="206" fillId="28" borderId="44" xfId="0" applyFont="1" applyFill="1" applyBorder="1" applyAlignment="1">
      <alignment horizontal="center" vertical="center" wrapText="1"/>
    </xf>
    <xf numFmtId="0" fontId="206" fillId="69" borderId="1" xfId="0" applyFont="1" applyFill="1" applyBorder="1" applyAlignment="1">
      <alignment horizontal="center" vertical="center"/>
    </xf>
    <xf numFmtId="168" fontId="149" fillId="40" borderId="0" xfId="0" applyNumberFormat="1" applyFont="1" applyFill="1" applyAlignment="1">
      <alignment vertical="center"/>
    </xf>
    <xf numFmtId="0" fontId="149" fillId="40" borderId="0" xfId="0" applyFont="1" applyFill="1" applyAlignment="1">
      <alignment horizontal="center" vertical="center"/>
    </xf>
    <xf numFmtId="0" fontId="133" fillId="78" borderId="0" xfId="0" applyFont="1" applyFill="1" applyAlignment="1">
      <alignment horizontal="center" vertical="center"/>
    </xf>
    <xf numFmtId="0" fontId="213" fillId="78" borderId="0" xfId="0" applyFont="1" applyFill="1" applyAlignment="1">
      <alignment horizontal="center" vertical="center"/>
    </xf>
    <xf numFmtId="0" fontId="210" fillId="19" borderId="0" xfId="0" applyFont="1" applyFill="1" applyAlignment="1">
      <alignment horizontal="center" vertical="center" wrapText="1"/>
    </xf>
    <xf numFmtId="0" fontId="213" fillId="33" borderId="0" xfId="0" applyFont="1" applyFill="1" applyAlignment="1">
      <alignment horizontal="center" vertical="center"/>
    </xf>
    <xf numFmtId="0" fontId="214" fillId="37" borderId="0" xfId="0" applyFont="1" applyFill="1" applyAlignment="1">
      <alignment horizontal="center" vertical="center"/>
    </xf>
    <xf numFmtId="0" fontId="213" fillId="56" borderId="0" xfId="0" applyFont="1" applyFill="1" applyAlignment="1">
      <alignment horizontal="center" vertical="center"/>
    </xf>
    <xf numFmtId="0" fontId="214" fillId="27" borderId="0" xfId="0" applyFont="1" applyFill="1" applyAlignment="1">
      <alignment horizontal="center" vertical="center"/>
    </xf>
    <xf numFmtId="0" fontId="213" fillId="79" borderId="0" xfId="0" applyFont="1" applyFill="1" applyAlignment="1">
      <alignment horizontal="center" vertical="center"/>
    </xf>
    <xf numFmtId="0" fontId="211" fillId="49" borderId="0" xfId="0" applyFont="1" applyFill="1" applyAlignment="1" applyProtection="1">
      <alignment horizontal="center" vertical="center" wrapText="1"/>
      <protection locked="0"/>
    </xf>
    <xf numFmtId="0" fontId="133" fillId="33" borderId="0" xfId="0" applyFont="1" applyFill="1" applyAlignment="1">
      <alignment horizontal="center" vertical="center"/>
    </xf>
    <xf numFmtId="0" fontId="133" fillId="56" borderId="0" xfId="0" applyFont="1" applyFill="1" applyAlignment="1">
      <alignment horizontal="center" vertical="center"/>
    </xf>
    <xf numFmtId="0" fontId="133" fillId="79" borderId="0" xfId="0" applyFont="1" applyFill="1" applyAlignment="1">
      <alignment horizontal="center" vertical="center"/>
    </xf>
    <xf numFmtId="0" fontId="113" fillId="82" borderId="1" xfId="0" applyFont="1" applyFill="1" applyBorder="1" applyAlignment="1">
      <alignment horizontal="center" vertical="center"/>
    </xf>
    <xf numFmtId="0" fontId="113" fillId="13" borderId="1" xfId="0" applyFont="1" applyFill="1" applyBorder="1" applyAlignment="1">
      <alignment horizontal="center" vertical="center"/>
    </xf>
    <xf numFmtId="0" fontId="71" fillId="80" borderId="1" xfId="0" applyFont="1" applyFill="1" applyBorder="1" applyAlignment="1">
      <alignment horizontal="center" vertical="center"/>
    </xf>
    <xf numFmtId="0" fontId="71" fillId="75" borderId="1" xfId="0" applyFont="1" applyFill="1" applyBorder="1" applyAlignment="1">
      <alignment horizontal="center" vertical="center"/>
    </xf>
    <xf numFmtId="0" fontId="71" fillId="81" borderId="1" xfId="0" applyFont="1" applyFill="1" applyBorder="1" applyAlignment="1">
      <alignment horizontal="center" vertical="center"/>
    </xf>
    <xf numFmtId="0" fontId="99" fillId="73" borderId="1" xfId="0" applyFont="1" applyFill="1" applyBorder="1" applyAlignment="1">
      <alignment horizontal="center" vertical="center"/>
    </xf>
    <xf numFmtId="0" fontId="113" fillId="86" borderId="1" xfId="0" applyFont="1" applyFill="1" applyBorder="1" applyAlignment="1">
      <alignment horizontal="center" vertical="center"/>
    </xf>
    <xf numFmtId="0" fontId="99" fillId="12" borderId="1" xfId="0" applyFont="1" applyFill="1" applyBorder="1" applyAlignment="1">
      <alignment horizontal="center"/>
    </xf>
    <xf numFmtId="0" fontId="99" fillId="81" borderId="1" xfId="0" applyFont="1" applyFill="1" applyBorder="1" applyAlignment="1">
      <alignment horizontal="center"/>
    </xf>
    <xf numFmtId="0" fontId="99" fillId="6" borderId="1" xfId="0" applyFont="1" applyFill="1" applyBorder="1" applyAlignment="1">
      <alignment horizontal="center"/>
    </xf>
    <xf numFmtId="0" fontId="99" fillId="77" borderId="1" xfId="0" applyFont="1" applyFill="1" applyBorder="1" applyAlignment="1">
      <alignment horizontal="center"/>
    </xf>
    <xf numFmtId="0" fontId="99" fillId="73" borderId="1" xfId="0" applyFont="1" applyFill="1" applyBorder="1" applyAlignment="1">
      <alignment horizontal="center"/>
    </xf>
    <xf numFmtId="0" fontId="99" fillId="8" borderId="1" xfId="0" applyFont="1" applyFill="1" applyBorder="1" applyAlignment="1">
      <alignment horizontal="center" vertical="center"/>
    </xf>
    <xf numFmtId="0" fontId="99" fillId="18" borderId="1" xfId="0" applyFont="1" applyFill="1" applyBorder="1" applyAlignment="1">
      <alignment horizontal="center" vertical="center"/>
    </xf>
    <xf numFmtId="0" fontId="99" fillId="87" borderId="1" xfId="0" applyFont="1" applyFill="1" applyBorder="1" applyAlignment="1">
      <alignment horizontal="center" vertical="center"/>
    </xf>
    <xf numFmtId="0" fontId="99" fillId="88" borderId="1" xfId="0" applyFont="1" applyFill="1" applyBorder="1" applyAlignment="1">
      <alignment horizontal="center" vertical="center"/>
    </xf>
    <xf numFmtId="0" fontId="99" fillId="17" borderId="1" xfId="0" applyFont="1" applyFill="1" applyBorder="1" applyAlignment="1">
      <alignment horizontal="center" vertical="center"/>
    </xf>
    <xf numFmtId="0" fontId="99" fillId="89" borderId="1" xfId="0" applyFont="1" applyFill="1" applyBorder="1" applyAlignment="1">
      <alignment horizontal="center" vertical="center"/>
    </xf>
    <xf numFmtId="0" fontId="99" fillId="7" borderId="1" xfId="0" applyFont="1" applyFill="1" applyBorder="1" applyAlignment="1">
      <alignment horizontal="center" vertical="center"/>
    </xf>
    <xf numFmtId="168" fontId="216" fillId="75" borderId="1" xfId="0" applyNumberFormat="1" applyFont="1" applyFill="1" applyBorder="1" applyAlignment="1">
      <alignment horizontal="center" vertical="center"/>
    </xf>
    <xf numFmtId="168" fontId="217" fillId="84" borderId="1" xfId="0" applyNumberFormat="1" applyFont="1" applyFill="1" applyBorder="1" applyAlignment="1">
      <alignment horizontal="center" vertical="center"/>
    </xf>
    <xf numFmtId="168" fontId="216" fillId="81" borderId="1" xfId="0" applyNumberFormat="1" applyFont="1" applyFill="1" applyBorder="1" applyAlignment="1">
      <alignment horizontal="center" vertical="center"/>
    </xf>
    <xf numFmtId="168" fontId="218" fillId="10" borderId="1" xfId="0" applyNumberFormat="1" applyFont="1" applyFill="1" applyBorder="1" applyAlignment="1">
      <alignment horizontal="center" vertical="center"/>
    </xf>
    <xf numFmtId="168" fontId="216" fillId="6" borderId="1" xfId="0" applyNumberFormat="1" applyFont="1" applyFill="1" applyBorder="1" applyAlignment="1">
      <alignment horizontal="center" vertical="center"/>
    </xf>
    <xf numFmtId="168" fontId="216" fillId="5" borderId="1" xfId="0" applyNumberFormat="1" applyFont="1" applyFill="1" applyBorder="1" applyAlignment="1">
      <alignment horizontal="center" vertical="center"/>
    </xf>
    <xf numFmtId="168" fontId="216" fillId="4" borderId="1" xfId="0" applyNumberFormat="1" applyFont="1" applyFill="1" applyBorder="1" applyAlignment="1">
      <alignment horizontal="center" vertical="center"/>
    </xf>
    <xf numFmtId="0" fontId="196" fillId="15" borderId="1" xfId="0" applyFont="1" applyFill="1" applyBorder="1" applyAlignment="1">
      <alignment horizontal="center" vertical="center"/>
    </xf>
    <xf numFmtId="0" fontId="219" fillId="17" borderId="1" xfId="0" applyFont="1" applyFill="1" applyBorder="1" applyAlignment="1">
      <alignment horizontal="center" vertical="center"/>
    </xf>
    <xf numFmtId="0" fontId="219" fillId="12" borderId="1" xfId="0" applyFont="1" applyFill="1" applyBorder="1" applyAlignment="1">
      <alignment horizontal="center" vertical="center"/>
    </xf>
    <xf numFmtId="0" fontId="219" fillId="80" borderId="1" xfId="0" applyFont="1" applyFill="1" applyBorder="1" applyAlignment="1">
      <alignment horizontal="center" vertical="center"/>
    </xf>
    <xf numFmtId="0" fontId="219" fillId="75" borderId="1" xfId="0" applyFont="1" applyFill="1" applyBorder="1" applyAlignment="1">
      <alignment horizontal="center" vertical="center"/>
    </xf>
    <xf numFmtId="0" fontId="113" fillId="47" borderId="1" xfId="0" applyFont="1" applyFill="1" applyBorder="1" applyAlignment="1">
      <alignment horizontal="center" vertical="center"/>
    </xf>
    <xf numFmtId="0" fontId="113" fillId="84" borderId="1" xfId="0" applyFont="1" applyFill="1" applyBorder="1" applyAlignment="1">
      <alignment horizontal="center" vertical="center"/>
    </xf>
    <xf numFmtId="0" fontId="71" fillId="89" borderId="1" xfId="0" applyFont="1" applyFill="1" applyBorder="1" applyAlignment="1">
      <alignment horizontal="center" vertical="center" wrapText="1"/>
    </xf>
    <xf numFmtId="0" fontId="99" fillId="12" borderId="1" xfId="0" applyFont="1" applyFill="1" applyBorder="1" applyAlignment="1">
      <alignment horizontal="center" vertical="center"/>
    </xf>
    <xf numFmtId="0" fontId="113" fillId="80" borderId="1" xfId="0" applyFont="1" applyFill="1" applyBorder="1" applyAlignment="1">
      <alignment horizontal="center" vertical="center"/>
    </xf>
    <xf numFmtId="0" fontId="99" fillId="90" borderId="1" xfId="0" applyFont="1" applyFill="1" applyBorder="1" applyAlignment="1">
      <alignment horizontal="center" vertical="center"/>
    </xf>
    <xf numFmtId="0" fontId="113" fillId="91" borderId="1" xfId="0" applyFont="1" applyFill="1" applyBorder="1" applyAlignment="1">
      <alignment horizontal="center" vertical="center"/>
    </xf>
    <xf numFmtId="0" fontId="134" fillId="79" borderId="0" xfId="0" applyFont="1" applyFill="1" applyAlignment="1">
      <alignment horizontal="center" vertical="center"/>
    </xf>
    <xf numFmtId="0" fontId="134" fillId="56" borderId="0" xfId="0" applyFont="1" applyFill="1" applyAlignment="1">
      <alignment horizontal="center" vertical="center"/>
    </xf>
    <xf numFmtId="0" fontId="134" fillId="33" borderId="0" xfId="0" applyFont="1" applyFill="1" applyAlignment="1">
      <alignment horizontal="center" vertical="center"/>
    </xf>
    <xf numFmtId="0" fontId="159" fillId="27" borderId="0" xfId="0" applyFont="1" applyFill="1" applyAlignment="1">
      <alignment horizontal="center" vertical="center"/>
    </xf>
    <xf numFmtId="0" fontId="159" fillId="37" borderId="0" xfId="0" applyFont="1" applyFill="1" applyAlignment="1">
      <alignment horizontal="center" vertical="center"/>
    </xf>
    <xf numFmtId="185" fontId="212" fillId="82" borderId="0" xfId="0" applyNumberFormat="1" applyFont="1" applyFill="1" applyAlignment="1">
      <alignment horizontal="center" vertical="center"/>
    </xf>
    <xf numFmtId="185" fontId="212" fillId="83" borderId="0" xfId="0" applyNumberFormat="1" applyFont="1" applyFill="1" applyAlignment="1">
      <alignment horizontal="center" vertical="center"/>
    </xf>
    <xf numFmtId="0" fontId="134" fillId="80" borderId="0" xfId="0" applyFont="1" applyFill="1" applyAlignment="1">
      <alignment horizontal="center" vertical="center"/>
    </xf>
    <xf numFmtId="185" fontId="212" fillId="13" borderId="0" xfId="0" applyNumberFormat="1" applyFont="1" applyFill="1" applyAlignment="1">
      <alignment horizontal="center" vertical="center"/>
    </xf>
    <xf numFmtId="0" fontId="209" fillId="13" borderId="0" xfId="0" applyFont="1" applyFill="1" applyAlignment="1">
      <alignment horizontal="center" vertical="center"/>
    </xf>
    <xf numFmtId="9" fontId="0" fillId="40" borderId="0" xfId="3" applyFont="1" applyFill="1" applyAlignment="1">
      <alignment vertical="center"/>
    </xf>
    <xf numFmtId="0" fontId="222" fillId="29" borderId="0" xfId="0" applyFont="1" applyFill="1" applyAlignment="1">
      <alignment horizontal="center" vertical="center"/>
    </xf>
    <xf numFmtId="0" fontId="223" fillId="29" borderId="0" xfId="0" applyFont="1" applyFill="1" applyAlignment="1">
      <alignment horizontal="center" vertical="center"/>
    </xf>
    <xf numFmtId="0" fontId="2" fillId="29" borderId="0" xfId="0" applyFont="1" applyFill="1" applyAlignment="1">
      <alignment horizontal="center" vertical="center"/>
    </xf>
    <xf numFmtId="3" fontId="2" fillId="29" borderId="0" xfId="0" applyNumberFormat="1" applyFont="1" applyFill="1" applyAlignment="1">
      <alignment horizontal="center" vertical="center"/>
    </xf>
    <xf numFmtId="0" fontId="224" fillId="29" borderId="0" xfId="0" applyFont="1" applyFill="1" applyAlignment="1">
      <alignment horizontal="center" vertical="center"/>
    </xf>
    <xf numFmtId="0" fontId="205" fillId="28" borderId="0" xfId="0" applyFont="1" applyFill="1" applyAlignment="1">
      <alignment vertical="center" wrapText="1"/>
    </xf>
    <xf numFmtId="0" fontId="227" fillId="27" borderId="14" xfId="0" applyFont="1" applyFill="1" applyBorder="1" applyAlignment="1">
      <alignment horizontal="center" vertical="center" wrapText="1"/>
    </xf>
    <xf numFmtId="0" fontId="229" fillId="65" borderId="0" xfId="0" applyFont="1" applyFill="1" applyAlignment="1">
      <alignment vertical="center"/>
    </xf>
    <xf numFmtId="0" fontId="230" fillId="29" borderId="0" xfId="0" applyFont="1" applyFill="1" applyAlignment="1">
      <alignment horizontal="center" vertical="center" wrapText="1"/>
    </xf>
    <xf numFmtId="0" fontId="231" fillId="29" borderId="0" xfId="0" applyFont="1" applyFill="1" applyAlignment="1">
      <alignment horizontal="center" vertical="center"/>
    </xf>
    <xf numFmtId="0" fontId="226" fillId="29" borderId="0" xfId="0" applyFont="1" applyFill="1" applyAlignment="1">
      <alignment horizontal="right" vertical="center"/>
    </xf>
    <xf numFmtId="166" fontId="232" fillId="29" borderId="0" xfId="0" applyNumberFormat="1" applyFont="1" applyFill="1" applyAlignment="1">
      <alignment vertical="center"/>
    </xf>
    <xf numFmtId="9" fontId="229" fillId="65" borderId="0" xfId="3" applyFont="1" applyFill="1" applyAlignment="1">
      <alignment vertical="center"/>
    </xf>
    <xf numFmtId="0" fontId="233" fillId="65" borderId="18" xfId="0" applyFont="1" applyFill="1" applyBorder="1" applyAlignment="1">
      <alignment horizontal="right"/>
    </xf>
    <xf numFmtId="0" fontId="233" fillId="65" borderId="32" xfId="0" applyFont="1" applyFill="1" applyBorder="1"/>
    <xf numFmtId="0" fontId="213" fillId="65" borderId="0" xfId="0" applyFont="1" applyFill="1" applyAlignment="1">
      <alignment vertical="center"/>
    </xf>
    <xf numFmtId="0" fontId="234" fillId="64" borderId="41" xfId="0" applyFont="1" applyFill="1" applyBorder="1" applyAlignment="1">
      <alignment horizontal="center" vertical="center"/>
    </xf>
    <xf numFmtId="0" fontId="214" fillId="65" borderId="41" xfId="0" applyFont="1" applyFill="1" applyBorder="1" applyAlignment="1">
      <alignment horizontal="center" vertical="center" wrapText="1"/>
    </xf>
    <xf numFmtId="0" fontId="235" fillId="65" borderId="0" xfId="0" applyFont="1" applyFill="1" applyAlignment="1">
      <alignment vertical="center"/>
    </xf>
    <xf numFmtId="0" fontId="233" fillId="65" borderId="34" xfId="0" applyFont="1" applyFill="1" applyBorder="1" applyAlignment="1">
      <alignment horizontal="right"/>
    </xf>
    <xf numFmtId="0" fontId="233" fillId="65" borderId="42" xfId="0" applyFont="1" applyFill="1" applyBorder="1"/>
    <xf numFmtId="0" fontId="236" fillId="65" borderId="0" xfId="0" applyFont="1" applyFill="1" applyAlignment="1">
      <alignment horizontal="center" vertical="center" wrapText="1"/>
    </xf>
    <xf numFmtId="9" fontId="236" fillId="65" borderId="0" xfId="3" applyFont="1" applyFill="1" applyAlignment="1">
      <alignment horizontal="center" vertical="center" wrapText="1"/>
    </xf>
    <xf numFmtId="0" fontId="237" fillId="65" borderId="0" xfId="0" applyFont="1" applyFill="1" applyAlignment="1">
      <alignment vertical="center"/>
    </xf>
    <xf numFmtId="184" fontId="236" fillId="65" borderId="0" xfId="0" applyNumberFormat="1" applyFont="1" applyFill="1" applyAlignment="1">
      <alignment horizontal="center" vertical="center"/>
    </xf>
    <xf numFmtId="9" fontId="236" fillId="65" borderId="0" xfId="3" applyFont="1" applyFill="1" applyAlignment="1">
      <alignment horizontal="center" vertical="center"/>
    </xf>
    <xf numFmtId="166" fontId="237" fillId="65" borderId="0" xfId="1" applyFont="1" applyFill="1" applyAlignment="1">
      <alignment vertical="center"/>
    </xf>
    <xf numFmtId="1" fontId="236" fillId="65" borderId="0" xfId="0" applyNumberFormat="1" applyFont="1" applyFill="1" applyAlignment="1">
      <alignment horizontal="center" vertical="center"/>
    </xf>
    <xf numFmtId="0" fontId="229" fillId="65" borderId="54" xfId="0" applyFont="1" applyFill="1" applyBorder="1" applyAlignment="1">
      <alignment vertical="center"/>
    </xf>
    <xf numFmtId="0" fontId="229" fillId="65" borderId="0" xfId="0" applyFont="1" applyFill="1" applyAlignment="1">
      <alignment horizontal="center" vertical="center"/>
    </xf>
    <xf numFmtId="44" fontId="159" fillId="28" borderId="0" xfId="0" applyNumberFormat="1" applyFont="1" applyFill="1" applyAlignment="1">
      <alignment vertical="center"/>
    </xf>
    <xf numFmtId="0" fontId="238" fillId="51" borderId="0" xfId="0" applyFont="1" applyFill="1" applyAlignment="1">
      <alignment horizontal="center" vertical="center" wrapText="1"/>
    </xf>
    <xf numFmtId="0" fontId="239" fillId="51" borderId="0" xfId="0" applyFont="1" applyFill="1" applyAlignment="1">
      <alignment horizontal="center" vertical="center"/>
    </xf>
    <xf numFmtId="3" fontId="240" fillId="22" borderId="41" xfId="0" applyNumberFormat="1" applyFont="1" applyFill="1" applyBorder="1" applyAlignment="1">
      <alignment horizontal="center" vertical="center"/>
    </xf>
    <xf numFmtId="0" fontId="240" fillId="22" borderId="41" xfId="0" applyFont="1" applyFill="1" applyBorder="1" applyAlignment="1">
      <alignment horizontal="center" vertical="center"/>
    </xf>
    <xf numFmtId="166" fontId="240" fillId="22" borderId="41" xfId="1" applyFont="1" applyFill="1" applyBorder="1" applyAlignment="1">
      <alignment horizontal="center" vertical="center"/>
    </xf>
    <xf numFmtId="166" fontId="240" fillId="22" borderId="41" xfId="0" applyNumberFormat="1" applyFont="1" applyFill="1" applyBorder="1" applyAlignment="1">
      <alignment vertical="center"/>
    </xf>
    <xf numFmtId="0" fontId="39" fillId="50" borderId="80" xfId="0" applyFont="1" applyFill="1" applyBorder="1" applyAlignment="1">
      <alignment horizontal="center" vertical="center" wrapText="1"/>
    </xf>
    <xf numFmtId="0" fontId="39" fillId="50" borderId="41" xfId="0" applyFont="1" applyFill="1" applyBorder="1" applyAlignment="1">
      <alignment horizontal="center" vertical="center" wrapText="1"/>
    </xf>
    <xf numFmtId="0" fontId="39" fillId="50" borderId="63" xfId="0" applyFont="1" applyFill="1" applyBorder="1" applyAlignment="1">
      <alignment horizontal="center" vertical="center" wrapText="1"/>
    </xf>
    <xf numFmtId="0" fontId="88" fillId="11" borderId="104" xfId="0" applyFont="1" applyFill="1" applyBorder="1" applyAlignment="1">
      <alignment vertical="center" wrapText="1"/>
    </xf>
    <xf numFmtId="0" fontId="62" fillId="11" borderId="105" xfId="0" applyFont="1" applyFill="1" applyBorder="1" applyAlignment="1">
      <alignment vertical="center" wrapText="1"/>
    </xf>
    <xf numFmtId="0" fontId="37" fillId="11" borderId="44" xfId="0" applyFont="1" applyFill="1" applyBorder="1" applyAlignment="1">
      <alignment horizontal="center" vertical="center" wrapText="1"/>
    </xf>
    <xf numFmtId="0" fontId="37" fillId="11" borderId="21" xfId="0" applyFont="1" applyFill="1" applyBorder="1" applyAlignment="1">
      <alignment horizontal="center" vertical="center" wrapText="1"/>
    </xf>
    <xf numFmtId="0" fontId="169" fillId="11" borderId="37" xfId="0" applyFont="1" applyFill="1" applyBorder="1" applyAlignment="1">
      <alignment horizontal="center" vertical="center" wrapText="1"/>
    </xf>
    <xf numFmtId="3" fontId="36" fillId="11" borderId="8" xfId="0" applyNumberFormat="1" applyFont="1" applyFill="1" applyBorder="1" applyAlignment="1">
      <alignment horizontal="center" wrapText="1"/>
    </xf>
    <xf numFmtId="177" fontId="118" fillId="27" borderId="44" xfId="0" applyNumberFormat="1" applyFont="1" applyFill="1" applyBorder="1" applyAlignment="1">
      <alignment horizontal="center" vertical="center"/>
    </xf>
    <xf numFmtId="0" fontId="241" fillId="28" borderId="0" xfId="0" applyFont="1" applyFill="1" applyAlignment="1">
      <alignment vertical="center"/>
    </xf>
    <xf numFmtId="0" fontId="94" fillId="28" borderId="0" xfId="0" applyFont="1" applyFill="1" applyAlignment="1">
      <alignment horizontal="center" vertical="center" wrapText="1"/>
    </xf>
    <xf numFmtId="0" fontId="155" fillId="28" borderId="0" xfId="0" applyFont="1" applyFill="1" applyAlignment="1">
      <alignment horizontal="center" vertical="center"/>
    </xf>
    <xf numFmtId="166" fontId="155" fillId="28" borderId="0" xfId="1" applyFont="1" applyFill="1" applyAlignment="1">
      <alignment horizontal="center" vertical="center"/>
    </xf>
    <xf numFmtId="0" fontId="21" fillId="8" borderId="1" xfId="0" applyFont="1" applyFill="1" applyBorder="1" applyAlignment="1" applyProtection="1">
      <alignment horizontal="center" vertical="center" wrapText="1"/>
      <protection locked="0"/>
    </xf>
    <xf numFmtId="169" fontId="180" fillId="8" borderId="1" xfId="0" applyNumberFormat="1" applyFont="1" applyFill="1" applyBorder="1" applyAlignment="1" applyProtection="1">
      <alignment horizontal="center" vertical="center" wrapText="1"/>
      <protection locked="0"/>
    </xf>
    <xf numFmtId="0" fontId="168" fillId="11" borderId="44" xfId="0" applyFont="1" applyFill="1" applyBorder="1" applyAlignment="1" applyProtection="1">
      <alignment horizontal="center" vertical="center" wrapText="1"/>
      <protection locked="0"/>
    </xf>
    <xf numFmtId="169" fontId="196" fillId="11" borderId="44" xfId="0" applyNumberFormat="1" applyFont="1" applyFill="1" applyBorder="1" applyAlignment="1" applyProtection="1">
      <alignment horizontal="center" vertical="center"/>
      <protection locked="0"/>
    </xf>
    <xf numFmtId="166" fontId="82" fillId="38" borderId="44" xfId="1" applyFont="1" applyFill="1" applyBorder="1" applyAlignment="1" applyProtection="1">
      <alignment horizontal="center" vertical="center" wrapText="1"/>
      <protection locked="0"/>
    </xf>
    <xf numFmtId="166" fontId="82" fillId="38" borderId="63" xfId="1" applyFont="1" applyFill="1" applyBorder="1" applyAlignment="1" applyProtection="1">
      <alignment horizontal="center" vertical="center" wrapText="1"/>
      <protection locked="0"/>
    </xf>
    <xf numFmtId="0" fontId="242" fillId="51" borderId="0" xfId="0" applyFont="1" applyFill="1" applyAlignment="1">
      <alignment horizontal="center" vertical="center" wrapText="1"/>
    </xf>
    <xf numFmtId="0" fontId="5" fillId="22" borderId="41" xfId="0" applyFont="1" applyFill="1" applyBorder="1" applyAlignment="1" applyProtection="1">
      <alignment horizontal="center" vertical="center" wrapText="1"/>
      <protection locked="0"/>
    </xf>
    <xf numFmtId="0" fontId="5" fillId="55" borderId="41" xfId="0" applyFont="1" applyFill="1" applyBorder="1" applyAlignment="1" applyProtection="1">
      <alignment horizontal="center" vertical="center" wrapText="1"/>
      <protection locked="0"/>
    </xf>
    <xf numFmtId="10" fontId="208" fillId="28" borderId="0" xfId="3" applyNumberFormat="1" applyFont="1" applyFill="1" applyAlignment="1" applyProtection="1">
      <alignment vertical="center"/>
    </xf>
    <xf numFmtId="186" fontId="228" fillId="94" borderId="1" xfId="0" applyNumberFormat="1" applyFont="1" applyFill="1" applyBorder="1" applyAlignment="1">
      <alignment horizontal="center" vertical="center" wrapText="1"/>
    </xf>
    <xf numFmtId="0" fontId="159" fillId="28" borderId="0" xfId="0" applyFont="1" applyFill="1" applyAlignment="1">
      <alignment horizontal="center" vertical="center"/>
    </xf>
    <xf numFmtId="3" fontId="244" fillId="22" borderId="41" xfId="0" applyNumberFormat="1" applyFont="1" applyFill="1" applyBorder="1" applyAlignment="1">
      <alignment horizontal="center" vertical="center"/>
    </xf>
    <xf numFmtId="0" fontId="244" fillId="22" borderId="41" xfId="0" applyFont="1" applyFill="1" applyBorder="1" applyAlignment="1">
      <alignment horizontal="center" vertical="center"/>
    </xf>
    <xf numFmtId="166" fontId="244" fillId="22" borderId="41" xfId="1" applyFont="1" applyFill="1" applyBorder="1" applyAlignment="1">
      <alignment horizontal="center" vertical="center"/>
    </xf>
    <xf numFmtId="166" fontId="244" fillId="22" borderId="41" xfId="0" applyNumberFormat="1" applyFont="1" applyFill="1" applyBorder="1" applyAlignment="1">
      <alignment vertical="center"/>
    </xf>
    <xf numFmtId="0" fontId="245" fillId="24" borderId="0" xfId="0" applyFont="1" applyFill="1"/>
    <xf numFmtId="0" fontId="2" fillId="53" borderId="0" xfId="0" applyFont="1" applyFill="1" applyAlignment="1">
      <alignment horizontal="center" vertical="center"/>
    </xf>
    <xf numFmtId="0" fontId="213" fillId="53" borderId="0" xfId="0" applyFont="1" applyFill="1" applyAlignment="1">
      <alignment horizontal="center" vertical="center"/>
    </xf>
    <xf numFmtId="0" fontId="214" fillId="53" borderId="0" xfId="0" applyFont="1" applyFill="1" applyAlignment="1">
      <alignment horizontal="center" vertical="center"/>
    </xf>
    <xf numFmtId="0" fontId="224" fillId="53" borderId="0" xfId="0" applyFont="1" applyFill="1" applyAlignment="1">
      <alignment horizontal="center" vertical="center"/>
    </xf>
    <xf numFmtId="0" fontId="247" fillId="53" borderId="0" xfId="0" applyFont="1" applyFill="1" applyAlignment="1">
      <alignment horizontal="center" vertical="center"/>
    </xf>
    <xf numFmtId="0" fontId="248" fillId="53" borderId="0" xfId="0" applyFont="1" applyFill="1" applyAlignment="1">
      <alignment horizontal="center" vertical="center"/>
    </xf>
    <xf numFmtId="169" fontId="196" fillId="11" borderId="44" xfId="0" applyNumberFormat="1" applyFont="1" applyFill="1" applyBorder="1" applyAlignment="1">
      <alignment horizontal="center" vertical="center"/>
    </xf>
    <xf numFmtId="169" fontId="249" fillId="39" borderId="1" xfId="0" applyNumberFormat="1" applyFont="1" applyFill="1" applyBorder="1" applyAlignment="1" applyProtection="1">
      <alignment horizontal="center" vertical="center" wrapText="1"/>
      <protection locked="0"/>
    </xf>
    <xf numFmtId="0" fontId="81" fillId="41" borderId="108" xfId="0" applyFont="1" applyFill="1" applyBorder="1" applyAlignment="1" applyProtection="1">
      <alignment horizontal="center" vertical="center" wrapText="1"/>
      <protection locked="0"/>
    </xf>
    <xf numFmtId="0" fontId="81" fillId="41" borderId="107" xfId="0" applyFont="1" applyFill="1" applyBorder="1" applyAlignment="1" applyProtection="1">
      <alignment horizontal="center" vertical="center" wrapText="1"/>
      <protection locked="0"/>
    </xf>
    <xf numFmtId="0" fontId="81" fillId="41" borderId="110" xfId="0" applyFont="1" applyFill="1" applyBorder="1" applyAlignment="1" applyProtection="1">
      <alignment horizontal="center" vertical="center" wrapText="1"/>
      <protection locked="0"/>
    </xf>
    <xf numFmtId="0" fontId="250" fillId="29" borderId="0" xfId="0" applyFont="1" applyFill="1" applyAlignment="1">
      <alignment horizontal="right" vertical="center"/>
    </xf>
    <xf numFmtId="0" fontId="204" fillId="0" borderId="18" xfId="0" applyFont="1" applyBorder="1" applyAlignment="1" applyProtection="1">
      <alignment horizontal="center" vertical="center"/>
      <protection locked="0"/>
    </xf>
    <xf numFmtId="0" fontId="204" fillId="0" borderId="2" xfId="0" applyFont="1" applyBorder="1" applyAlignment="1" applyProtection="1">
      <alignment horizontal="center" vertical="center"/>
      <protection locked="0"/>
    </xf>
    <xf numFmtId="0" fontId="204" fillId="0" borderId="33" xfId="0" applyFont="1" applyBorder="1" applyAlignment="1" applyProtection="1">
      <alignment horizontal="center" vertical="center"/>
      <protection locked="0"/>
    </xf>
    <xf numFmtId="0" fontId="182" fillId="24" borderId="31" xfId="0" applyFont="1" applyFill="1" applyBorder="1" applyAlignment="1" applyProtection="1">
      <alignment horizontal="left" vertical="center" indent="1"/>
      <protection locked="0"/>
    </xf>
    <xf numFmtId="0" fontId="182" fillId="24" borderId="4" xfId="0" applyFont="1" applyFill="1" applyBorder="1" applyAlignment="1" applyProtection="1">
      <alignment horizontal="left" vertical="center" indent="1"/>
      <protection locked="0"/>
    </xf>
    <xf numFmtId="0" fontId="100" fillId="62" borderId="4" xfId="0" applyFont="1" applyFill="1" applyBorder="1" applyAlignment="1" applyProtection="1">
      <alignment vertical="center"/>
      <protection locked="0"/>
    </xf>
    <xf numFmtId="0" fontId="73" fillId="24" borderId="4" xfId="0" applyFont="1" applyFill="1" applyBorder="1" applyAlignment="1" applyProtection="1">
      <alignment horizontal="left" vertical="center" indent="1"/>
      <protection locked="0"/>
    </xf>
    <xf numFmtId="0" fontId="251" fillId="19" borderId="36" xfId="0" applyFont="1" applyFill="1" applyBorder="1" applyAlignment="1">
      <alignment horizontal="center" vertical="center" wrapText="1"/>
    </xf>
    <xf numFmtId="0" fontId="252" fillId="19" borderId="52" xfId="0" applyFont="1" applyFill="1" applyBorder="1" applyAlignment="1">
      <alignment horizontal="center" vertical="center" wrapText="1"/>
    </xf>
    <xf numFmtId="0" fontId="252" fillId="19" borderId="60" xfId="0" applyFont="1" applyFill="1" applyBorder="1" applyAlignment="1">
      <alignment vertical="center" wrapText="1"/>
    </xf>
    <xf numFmtId="0" fontId="105" fillId="97" borderId="5" xfId="0" applyFont="1" applyFill="1" applyBorder="1" applyAlignment="1">
      <alignment horizontal="center" vertical="center" wrapText="1"/>
    </xf>
    <xf numFmtId="0" fontId="6" fillId="93" borderId="18" xfId="0" applyFont="1" applyFill="1" applyBorder="1" applyAlignment="1">
      <alignment horizontal="center" vertical="center"/>
    </xf>
    <xf numFmtId="0" fontId="193" fillId="93" borderId="18" xfId="0" applyFont="1" applyFill="1" applyBorder="1" applyAlignment="1">
      <alignment horizontal="center" vertical="center"/>
    </xf>
    <xf numFmtId="10" fontId="128" fillId="93" borderId="18" xfId="3" applyNumberFormat="1" applyFont="1" applyFill="1" applyBorder="1" applyAlignment="1">
      <alignment horizontal="center" vertical="center"/>
    </xf>
    <xf numFmtId="0" fontId="253" fillId="40" borderId="0" xfId="0" applyFont="1" applyFill="1" applyAlignment="1">
      <alignment vertical="center"/>
    </xf>
    <xf numFmtId="0" fontId="256" fillId="98" borderId="1" xfId="0" applyFont="1" applyFill="1" applyBorder="1" applyAlignment="1" applyProtection="1">
      <alignment horizontal="center" vertical="center" wrapText="1"/>
      <protection locked="0"/>
    </xf>
    <xf numFmtId="0" fontId="99" fillId="99" borderId="2" xfId="0" applyFont="1" applyFill="1" applyBorder="1" applyAlignment="1">
      <alignment horizontal="center" vertical="center"/>
    </xf>
    <xf numFmtId="0" fontId="63" fillId="100" borderId="1" xfId="0" applyFont="1" applyFill="1" applyBorder="1" applyAlignment="1" applyProtection="1">
      <alignment horizontal="center" vertical="center" wrapText="1"/>
      <protection locked="0"/>
    </xf>
    <xf numFmtId="0" fontId="63" fillId="46" borderId="1" xfId="0" applyFont="1" applyFill="1" applyBorder="1" applyAlignment="1">
      <alignment horizontal="center" vertical="center" wrapText="1"/>
    </xf>
    <xf numFmtId="44" fontId="0" fillId="40" borderId="0" xfId="0" applyNumberFormat="1" applyFill="1" applyAlignment="1">
      <alignment vertical="center"/>
    </xf>
    <xf numFmtId="166" fontId="258" fillId="27" borderId="106" xfId="1" applyFont="1" applyFill="1" applyBorder="1" applyAlignment="1">
      <alignment vertical="center" wrapText="1"/>
    </xf>
    <xf numFmtId="168" fontId="65" fillId="99" borderId="2" xfId="0" applyNumberFormat="1" applyFont="1" applyFill="1" applyBorder="1" applyAlignment="1">
      <alignment horizontal="center" vertical="center" wrapText="1"/>
    </xf>
    <xf numFmtId="168" fontId="65" fillId="99" borderId="19" xfId="0" applyNumberFormat="1" applyFont="1" applyFill="1" applyBorder="1" applyAlignment="1">
      <alignment horizontal="center" vertical="center" wrapText="1"/>
    </xf>
    <xf numFmtId="43" fontId="259" fillId="28" borderId="0" xfId="0" applyNumberFormat="1" applyFont="1" applyFill="1" applyAlignment="1">
      <alignment horizontal="center" vertical="center"/>
    </xf>
    <xf numFmtId="0" fontId="255" fillId="28" borderId="0" xfId="0" applyFont="1" applyFill="1" applyAlignment="1">
      <alignment horizontal="center" vertical="center"/>
    </xf>
    <xf numFmtId="0" fontId="260" fillId="28" borderId="0" xfId="0" applyFont="1" applyFill="1" applyAlignment="1">
      <alignment horizontal="center" vertical="center" wrapText="1"/>
    </xf>
    <xf numFmtId="0" fontId="185" fillId="28" borderId="0" xfId="0" applyFont="1" applyFill="1" applyAlignment="1">
      <alignment horizontal="center" vertical="center" wrapText="1"/>
    </xf>
    <xf numFmtId="185" fontId="255" fillId="28" borderId="0" xfId="0" applyNumberFormat="1" applyFont="1" applyFill="1" applyAlignment="1">
      <alignment horizontal="center" vertical="center"/>
    </xf>
    <xf numFmtId="0" fontId="94" fillId="28" borderId="0" xfId="0" applyFont="1" applyFill="1" applyAlignment="1">
      <alignment horizontal="center" vertical="center"/>
    </xf>
    <xf numFmtId="175" fontId="240" fillId="101" borderId="2" xfId="0" applyNumberFormat="1" applyFont="1" applyFill="1" applyBorder="1" applyAlignment="1" applyProtection="1">
      <alignment horizontal="center" vertical="center" wrapText="1"/>
      <protection locked="0"/>
    </xf>
    <xf numFmtId="0" fontId="100" fillId="62" borderId="12" xfId="0" applyFont="1" applyFill="1" applyBorder="1" applyAlignment="1">
      <alignment vertical="center"/>
    </xf>
    <xf numFmtId="0" fontId="100" fillId="62" borderId="51" xfId="0" applyFont="1" applyFill="1" applyBorder="1" applyAlignment="1">
      <alignment vertical="center"/>
    </xf>
    <xf numFmtId="0" fontId="109" fillId="36" borderId="1" xfId="0" applyFont="1" applyFill="1" applyBorder="1" applyAlignment="1">
      <alignment horizontal="center" vertical="center"/>
    </xf>
    <xf numFmtId="0" fontId="109" fillId="36" borderId="24" xfId="0" applyFont="1" applyFill="1" applyBorder="1" applyAlignment="1">
      <alignment horizontal="center" vertical="center"/>
    </xf>
    <xf numFmtId="0" fontId="1" fillId="53" borderId="0" xfId="0" applyFont="1" applyFill="1" applyAlignment="1">
      <alignment horizontal="center" vertical="center"/>
    </xf>
    <xf numFmtId="2" fontId="1" fillId="53" borderId="0" xfId="0" applyNumberFormat="1" applyFont="1" applyFill="1" applyAlignment="1">
      <alignment horizontal="center" vertical="center"/>
    </xf>
    <xf numFmtId="184" fontId="1" fillId="53" borderId="0" xfId="0" applyNumberFormat="1" applyFont="1" applyFill="1" applyAlignment="1">
      <alignment horizontal="center" vertical="center"/>
    </xf>
    <xf numFmtId="0" fontId="198" fillId="28" borderId="0" xfId="0" applyFont="1" applyFill="1" applyAlignment="1">
      <alignment horizontal="center" vertical="center" wrapText="1"/>
    </xf>
    <xf numFmtId="164" fontId="159" fillId="28" borderId="0" xfId="0" applyNumberFormat="1" applyFont="1" applyFill="1" applyAlignment="1">
      <alignment horizontal="center" vertical="center" wrapText="1"/>
    </xf>
    <xf numFmtId="0" fontId="90" fillId="19" borderId="1" xfId="0" applyFont="1" applyFill="1" applyBorder="1" applyAlignment="1">
      <alignment horizontal="center" vertical="center" wrapText="1"/>
    </xf>
    <xf numFmtId="0" fontId="90" fillId="19" borderId="1" xfId="0" applyFont="1" applyFill="1" applyBorder="1" applyAlignment="1">
      <alignment vertical="center" wrapText="1"/>
    </xf>
    <xf numFmtId="3" fontId="200" fillId="36" borderId="23" xfId="0" applyNumberFormat="1" applyFont="1" applyFill="1" applyBorder="1" applyAlignment="1" applyProtection="1">
      <alignment vertical="center" wrapText="1"/>
      <protection locked="0"/>
    </xf>
    <xf numFmtId="3" fontId="200" fillId="36" borderId="4" xfId="0" applyNumberFormat="1" applyFont="1" applyFill="1" applyBorder="1" applyAlignment="1" applyProtection="1">
      <alignment vertical="center" wrapText="1"/>
      <protection locked="0"/>
    </xf>
    <xf numFmtId="3" fontId="200" fillId="36" borderId="51" xfId="0" applyNumberFormat="1" applyFont="1" applyFill="1" applyBorder="1" applyAlignment="1" applyProtection="1">
      <alignment vertical="center" wrapText="1"/>
      <protection locked="0"/>
    </xf>
    <xf numFmtId="0" fontId="90" fillId="19" borderId="23" xfId="0" applyFont="1" applyFill="1" applyBorder="1" applyAlignment="1">
      <alignment vertical="center" wrapText="1"/>
    </xf>
    <xf numFmtId="0" fontId="90" fillId="19" borderId="4" xfId="0" applyFont="1" applyFill="1" applyBorder="1" applyAlignment="1">
      <alignment vertical="center" wrapText="1"/>
    </xf>
    <xf numFmtId="0" fontId="90" fillId="19" borderId="51" xfId="0" applyFont="1" applyFill="1" applyBorder="1" applyAlignment="1">
      <alignment vertical="center" wrapText="1"/>
    </xf>
    <xf numFmtId="49" fontId="264" fillId="28" borderId="0" xfId="0" applyNumberFormat="1" applyFont="1" applyFill="1" applyAlignment="1">
      <alignment horizontal="center" vertical="center"/>
    </xf>
    <xf numFmtId="0" fontId="264" fillId="28" borderId="0" xfId="0" applyFont="1" applyFill="1" applyAlignment="1">
      <alignment horizontal="center" vertical="center"/>
    </xf>
    <xf numFmtId="166" fontId="262" fillId="47" borderId="77" xfId="1" applyFont="1" applyFill="1" applyBorder="1" applyAlignment="1">
      <alignment horizontal="center" vertical="center"/>
    </xf>
    <xf numFmtId="166" fontId="262" fillId="27" borderId="77" xfId="1" applyFont="1" applyFill="1" applyBorder="1" applyAlignment="1">
      <alignment horizontal="center" vertical="center"/>
    </xf>
    <xf numFmtId="0" fontId="265" fillId="28" borderId="0" xfId="0" applyFont="1" applyFill="1" applyAlignment="1">
      <alignment horizontal="center" vertical="center" wrapText="1"/>
    </xf>
    <xf numFmtId="181" fontId="265" fillId="28" borderId="0" xfId="0" applyNumberFormat="1" applyFont="1" applyFill="1" applyAlignment="1">
      <alignment horizontal="center" vertical="center" wrapText="1"/>
    </xf>
    <xf numFmtId="10" fontId="265" fillId="28" borderId="0" xfId="3" applyNumberFormat="1" applyFont="1" applyFill="1" applyBorder="1" applyAlignment="1" applyProtection="1">
      <alignment horizontal="center" vertical="center" wrapText="1"/>
    </xf>
    <xf numFmtId="2" fontId="162" fillId="28" borderId="0" xfId="0" applyNumberFormat="1" applyFont="1" applyFill="1" applyAlignment="1">
      <alignment horizontal="center" vertical="center" wrapText="1"/>
    </xf>
    <xf numFmtId="0" fontId="265" fillId="28" borderId="0" xfId="0" applyFont="1" applyFill="1" applyAlignment="1">
      <alignment horizontal="center" vertical="center"/>
    </xf>
    <xf numFmtId="2" fontId="265" fillId="28" borderId="0" xfId="0" applyNumberFormat="1" applyFont="1" applyFill="1" applyAlignment="1">
      <alignment horizontal="center" vertical="center" wrapText="1"/>
    </xf>
    <xf numFmtId="187" fontId="266" fillId="28" borderId="0" xfId="0" applyNumberFormat="1" applyFont="1" applyFill="1" applyAlignment="1">
      <alignment horizontal="center" vertical="center"/>
    </xf>
    <xf numFmtId="0" fontId="266" fillId="28" borderId="0" xfId="0" applyFont="1" applyFill="1" applyAlignment="1">
      <alignment horizontal="left" vertical="center"/>
    </xf>
    <xf numFmtId="14" fontId="213" fillId="28" borderId="0" xfId="0" applyNumberFormat="1" applyFont="1" applyFill="1" applyAlignment="1">
      <alignment horizontal="center" vertical="center"/>
    </xf>
    <xf numFmtId="0" fontId="213" fillId="28" borderId="0" xfId="0" applyFont="1" applyFill="1" applyAlignment="1">
      <alignment horizontal="center" vertical="center"/>
    </xf>
    <xf numFmtId="0" fontId="268" fillId="3" borderId="11" xfId="0" applyFont="1" applyFill="1" applyBorder="1" applyAlignment="1">
      <alignment horizontal="center" vertical="center" wrapText="1"/>
    </xf>
    <xf numFmtId="0" fontId="141" fillId="13" borderId="0" xfId="0" applyFont="1" applyFill="1" applyAlignment="1">
      <alignment horizontal="center" vertical="center"/>
    </xf>
    <xf numFmtId="185" fontId="215" fillId="64" borderId="0" xfId="0" applyNumberFormat="1" applyFont="1" applyFill="1" applyAlignment="1">
      <alignment horizontal="center" vertical="center"/>
    </xf>
    <xf numFmtId="0" fontId="159" fillId="54" borderId="0" xfId="0" applyFont="1" applyFill="1" applyAlignment="1">
      <alignment horizontal="center" vertical="center"/>
    </xf>
    <xf numFmtId="0" fontId="209" fillId="85" borderId="0" xfId="0" applyFont="1" applyFill="1" applyAlignment="1">
      <alignment horizontal="center" vertical="center"/>
    </xf>
    <xf numFmtId="0" fontId="23" fillId="2" borderId="10" xfId="0" applyFont="1" applyFill="1" applyBorder="1" applyAlignment="1">
      <alignment vertical="center" wrapText="1"/>
    </xf>
    <xf numFmtId="0" fontId="23" fillId="2" borderId="20" xfId="0" applyFont="1" applyFill="1" applyBorder="1" applyAlignment="1">
      <alignment vertical="center" wrapText="1"/>
    </xf>
    <xf numFmtId="0" fontId="205" fillId="28" borderId="0" xfId="0" applyFont="1" applyFill="1" applyAlignment="1">
      <alignment horizontal="right" vertical="center"/>
    </xf>
    <xf numFmtId="0" fontId="282" fillId="104" borderId="0" xfId="0" applyFont="1" applyFill="1" applyAlignment="1">
      <alignment horizontal="center" vertical="center"/>
    </xf>
    <xf numFmtId="0" fontId="21" fillId="8" borderId="41" xfId="0" applyFont="1" applyFill="1" applyBorder="1" applyAlignment="1" applyProtection="1">
      <alignment horizontal="center" vertical="center" wrapText="1"/>
      <protection locked="0"/>
    </xf>
    <xf numFmtId="169" fontId="21" fillId="8" borderId="41" xfId="0" applyNumberFormat="1" applyFont="1" applyFill="1" applyBorder="1" applyAlignment="1" applyProtection="1">
      <alignment horizontal="center" vertical="center" wrapText="1"/>
      <protection locked="0"/>
    </xf>
    <xf numFmtId="0" fontId="214" fillId="11" borderId="41" xfId="0" applyFont="1" applyFill="1" applyBorder="1" applyAlignment="1" applyProtection="1">
      <alignment horizontal="center" vertical="center" wrapText="1"/>
      <protection locked="0"/>
    </xf>
    <xf numFmtId="169" fontId="215" fillId="11" borderId="41" xfId="0" applyNumberFormat="1" applyFont="1" applyFill="1" applyBorder="1" applyAlignment="1" applyProtection="1">
      <alignment horizontal="center" vertical="center"/>
      <protection locked="0"/>
    </xf>
    <xf numFmtId="0" fontId="94" fillId="28" borderId="113" xfId="0" applyFont="1" applyFill="1" applyBorder="1" applyAlignment="1">
      <alignment horizontal="center" vertical="center" wrapText="1"/>
    </xf>
    <xf numFmtId="185" fontId="94" fillId="28" borderId="113" xfId="0" applyNumberFormat="1" applyFont="1" applyFill="1" applyBorder="1" applyAlignment="1">
      <alignment horizontal="center" vertical="center" wrapText="1"/>
    </xf>
    <xf numFmtId="185" fontId="94" fillId="28" borderId="114" xfId="0" applyNumberFormat="1" applyFont="1" applyFill="1" applyBorder="1" applyAlignment="1">
      <alignment horizontal="center" vertical="center" wrapText="1"/>
    </xf>
    <xf numFmtId="0" fontId="94" fillId="28" borderId="112" xfId="0" applyFont="1" applyFill="1" applyBorder="1" applyAlignment="1">
      <alignment horizontal="center" vertical="center" wrapText="1"/>
    </xf>
    <xf numFmtId="0" fontId="156" fillId="22" borderId="63" xfId="0" applyFont="1" applyFill="1" applyBorder="1" applyAlignment="1">
      <alignment horizontal="center" vertical="center" wrapText="1"/>
    </xf>
    <xf numFmtId="0" fontId="156" fillId="22" borderId="25" xfId="0" applyFont="1" applyFill="1" applyBorder="1" applyAlignment="1">
      <alignment horizontal="center" vertical="center" wrapText="1"/>
    </xf>
    <xf numFmtId="0" fontId="156" fillId="22" borderId="62" xfId="0" applyFont="1" applyFill="1" applyBorder="1" applyAlignment="1">
      <alignment horizontal="center" vertical="center" wrapText="1"/>
    </xf>
    <xf numFmtId="0" fontId="156" fillId="22" borderId="19" xfId="0" applyFont="1" applyFill="1" applyBorder="1" applyAlignment="1">
      <alignment horizontal="center" vertical="center" wrapText="1"/>
    </xf>
    <xf numFmtId="0" fontId="156" fillId="22" borderId="44" xfId="0" applyFont="1" applyFill="1" applyBorder="1" applyAlignment="1">
      <alignment horizontal="center" vertical="center" wrapText="1"/>
    </xf>
    <xf numFmtId="0" fontId="156" fillId="22" borderId="24" xfId="0" applyFont="1" applyFill="1" applyBorder="1" applyAlignment="1">
      <alignment horizontal="center" vertical="center" wrapText="1"/>
    </xf>
    <xf numFmtId="0" fontId="156" fillId="22" borderId="5" xfId="0" applyFont="1" applyFill="1" applyBorder="1" applyAlignment="1">
      <alignment horizontal="center" vertical="center"/>
    </xf>
    <xf numFmtId="0" fontId="156" fillId="22" borderId="17" xfId="0" applyFont="1" applyFill="1" applyBorder="1" applyAlignment="1">
      <alignment horizontal="center" vertical="center"/>
    </xf>
    <xf numFmtId="0" fontId="156" fillId="22" borderId="32" xfId="0" applyFont="1" applyFill="1" applyBorder="1" applyAlignment="1">
      <alignment horizontal="center" vertical="center"/>
    </xf>
    <xf numFmtId="0" fontId="156" fillId="22" borderId="45" xfId="0" applyFont="1" applyFill="1" applyBorder="1" applyAlignment="1">
      <alignment horizontal="center" vertical="center"/>
    </xf>
    <xf numFmtId="0" fontId="156" fillId="22" borderId="49" xfId="0" applyFont="1" applyFill="1" applyBorder="1" applyAlignment="1">
      <alignment horizontal="center" vertical="center"/>
    </xf>
    <xf numFmtId="0" fontId="156" fillId="22" borderId="40" xfId="0" applyFont="1" applyFill="1" applyBorder="1" applyAlignment="1">
      <alignment horizontal="center" vertical="center"/>
    </xf>
    <xf numFmtId="0" fontId="156" fillId="22" borderId="13" xfId="0" applyFont="1" applyFill="1" applyBorder="1" applyAlignment="1">
      <alignment horizontal="center" vertical="center"/>
    </xf>
    <xf numFmtId="0" fontId="156" fillId="22" borderId="14" xfId="0" applyFont="1" applyFill="1" applyBorder="1" applyAlignment="1">
      <alignment horizontal="center" vertical="center"/>
    </xf>
    <xf numFmtId="0" fontId="156" fillId="22" borderId="16" xfId="0" applyFont="1" applyFill="1" applyBorder="1" applyAlignment="1">
      <alignment horizontal="center" vertical="center"/>
    </xf>
    <xf numFmtId="0" fontId="207" fillId="26" borderId="0" xfId="0" applyFont="1" applyFill="1" applyAlignment="1">
      <alignment horizontal="center" vertical="center"/>
    </xf>
    <xf numFmtId="0" fontId="181" fillId="29" borderId="0" xfId="0" applyFont="1" applyFill="1" applyAlignment="1">
      <alignment horizontal="center" vertical="center"/>
    </xf>
    <xf numFmtId="4" fontId="267" fillId="29" borderId="0" xfId="0" applyNumberFormat="1" applyFont="1" applyFill="1" applyAlignment="1">
      <alignment horizontal="center" vertical="center"/>
    </xf>
    <xf numFmtId="0" fontId="277" fillId="28" borderId="0" xfId="0" applyFont="1" applyFill="1" applyAlignment="1">
      <alignment horizontal="center" vertical="center" wrapText="1"/>
    </xf>
    <xf numFmtId="0" fontId="278" fillId="94" borderId="0" xfId="0" applyFont="1" applyFill="1" applyAlignment="1">
      <alignment horizontal="center" vertical="center"/>
    </xf>
    <xf numFmtId="0" fontId="281" fillId="28" borderId="0" xfId="0" applyFont="1" applyFill="1" applyAlignment="1">
      <alignment horizontal="center"/>
    </xf>
    <xf numFmtId="0" fontId="106" fillId="97" borderId="5" xfId="0" applyFont="1" applyFill="1" applyBorder="1" applyAlignment="1">
      <alignment horizontal="center" vertical="center" wrapText="1"/>
    </xf>
    <xf numFmtId="0" fontId="106" fillId="97" borderId="17" xfId="0" applyFont="1" applyFill="1" applyBorder="1" applyAlignment="1">
      <alignment horizontal="center" vertical="center" wrapText="1"/>
    </xf>
    <xf numFmtId="0" fontId="106" fillId="97" borderId="32" xfId="0" applyFont="1" applyFill="1" applyBorder="1" applyAlignment="1">
      <alignment horizontal="center" vertical="center" wrapText="1"/>
    </xf>
    <xf numFmtId="0" fontId="6" fillId="93" borderId="5" xfId="0" applyFont="1" applyFill="1" applyBorder="1" applyAlignment="1">
      <alignment horizontal="left" vertical="center" indent="1"/>
    </xf>
    <xf numFmtId="0" fontId="6" fillId="93" borderId="17" xfId="0" applyFont="1" applyFill="1" applyBorder="1" applyAlignment="1">
      <alignment horizontal="left" vertical="center" indent="1"/>
    </xf>
    <xf numFmtId="0" fontId="6" fillId="93" borderId="32" xfId="0" applyFont="1" applyFill="1" applyBorder="1" applyAlignment="1">
      <alignment horizontal="left" vertical="center" indent="1"/>
    </xf>
    <xf numFmtId="0" fontId="252" fillId="19" borderId="52" xfId="0" applyFont="1" applyFill="1" applyBorder="1" applyAlignment="1">
      <alignment horizontal="center" vertical="center" wrapText="1"/>
    </xf>
    <xf numFmtId="0" fontId="252" fillId="19" borderId="8" xfId="0" applyFont="1" applyFill="1" applyBorder="1" applyAlignment="1">
      <alignment horizontal="center" vertical="center" wrapText="1"/>
    </xf>
    <xf numFmtId="0" fontId="252" fillId="19" borderId="60" xfId="0" applyFont="1" applyFill="1" applyBorder="1" applyAlignment="1">
      <alignment horizontal="center" vertical="center" wrapText="1"/>
    </xf>
    <xf numFmtId="3" fontId="7" fillId="3" borderId="40" xfId="0" applyNumberFormat="1" applyFont="1" applyFill="1" applyBorder="1" applyAlignment="1" applyProtection="1">
      <alignment horizontal="center" vertical="center" wrapText="1"/>
      <protection locked="0"/>
    </xf>
    <xf numFmtId="3" fontId="7" fillId="3" borderId="20" xfId="0" applyNumberFormat="1" applyFont="1" applyFill="1" applyBorder="1" applyAlignment="1" applyProtection="1">
      <alignment horizontal="center" vertical="center" wrapText="1"/>
      <protection locked="0"/>
    </xf>
    <xf numFmtId="3" fontId="7" fillId="3" borderId="42" xfId="0" applyNumberFormat="1" applyFont="1" applyFill="1" applyBorder="1" applyAlignment="1" applyProtection="1">
      <alignment horizontal="center" vertical="center" wrapText="1"/>
      <protection locked="0"/>
    </xf>
    <xf numFmtId="0" fontId="71" fillId="3" borderId="33" xfId="0" applyFont="1" applyFill="1" applyBorder="1" applyAlignment="1">
      <alignment horizontal="center" vertical="center" wrapText="1"/>
    </xf>
    <xf numFmtId="0" fontId="71" fillId="3" borderId="48" xfId="0" applyFont="1" applyFill="1" applyBorder="1" applyAlignment="1">
      <alignment horizontal="center" vertical="center" wrapText="1"/>
    </xf>
    <xf numFmtId="0" fontId="5" fillId="28" borderId="0" xfId="0" applyFont="1" applyFill="1" applyAlignment="1">
      <alignment horizontal="center" vertical="center"/>
    </xf>
    <xf numFmtId="0" fontId="112" fillId="3" borderId="56" xfId="0" applyFont="1" applyFill="1" applyBorder="1" applyAlignment="1" applyProtection="1">
      <alignment horizontal="center" vertical="center" wrapText="1"/>
      <protection locked="0"/>
    </xf>
    <xf numFmtId="0" fontId="112" fillId="3" borderId="59" xfId="0" applyFont="1" applyFill="1" applyBorder="1" applyAlignment="1" applyProtection="1">
      <alignment horizontal="center" vertical="center" wrapText="1"/>
      <protection locked="0"/>
    </xf>
    <xf numFmtId="0" fontId="252" fillId="19" borderId="45" xfId="0" applyFont="1" applyFill="1" applyBorder="1" applyAlignment="1">
      <alignment horizontal="center" vertical="center" wrapText="1"/>
    </xf>
    <xf numFmtId="0" fontId="252" fillId="19" borderId="10" xfId="0" applyFont="1" applyFill="1" applyBorder="1" applyAlignment="1">
      <alignment horizontal="center" vertical="center" wrapText="1"/>
    </xf>
    <xf numFmtId="0" fontId="57" fillId="3" borderId="5" xfId="0" applyFont="1" applyFill="1" applyBorder="1" applyAlignment="1" applyProtection="1">
      <alignment horizontal="center" vertical="center" wrapText="1"/>
      <protection locked="0"/>
    </xf>
    <xf numFmtId="0" fontId="57" fillId="3" borderId="32" xfId="0" applyFont="1" applyFill="1" applyBorder="1" applyAlignment="1" applyProtection="1">
      <alignment horizontal="center" vertical="center" wrapText="1"/>
      <protection locked="0"/>
    </xf>
    <xf numFmtId="0" fontId="257" fillId="98" borderId="58" xfId="0" applyFont="1" applyFill="1" applyBorder="1" applyAlignment="1" applyProtection="1">
      <alignment horizontal="center" vertical="center" wrapText="1"/>
      <protection locked="0"/>
    </xf>
    <xf numFmtId="0" fontId="257" fillId="98" borderId="59" xfId="0" applyFont="1" applyFill="1" applyBorder="1" applyAlignment="1" applyProtection="1">
      <alignment horizontal="center" vertical="center" wrapText="1"/>
      <protection locked="0"/>
    </xf>
    <xf numFmtId="0" fontId="205" fillId="28" borderId="0" xfId="0" applyFont="1" applyFill="1" applyAlignment="1">
      <alignment horizontal="center" vertical="center"/>
    </xf>
    <xf numFmtId="0" fontId="276" fillId="2" borderId="20" xfId="0" applyFont="1" applyFill="1" applyBorder="1" applyAlignment="1">
      <alignment horizontal="center" vertical="center" wrapText="1"/>
    </xf>
    <xf numFmtId="0" fontId="275" fillId="2" borderId="10" xfId="0" applyFont="1" applyFill="1" applyBorder="1" applyAlignment="1">
      <alignment horizontal="center" vertical="center"/>
    </xf>
    <xf numFmtId="1" fontId="280" fillId="94" borderId="20" xfId="0" applyNumberFormat="1" applyFont="1" applyFill="1" applyBorder="1" applyAlignment="1">
      <alignment horizontal="center" vertical="center" wrapText="1"/>
    </xf>
    <xf numFmtId="0" fontId="279" fillId="2" borderId="0" xfId="0" applyFont="1" applyFill="1" applyAlignment="1">
      <alignment horizontal="center" vertical="center" wrapText="1"/>
    </xf>
    <xf numFmtId="0" fontId="121" fillId="48" borderId="23" xfId="0" applyFont="1" applyFill="1" applyBorder="1" applyAlignment="1" applyProtection="1">
      <alignment horizontal="center" vertical="center" wrapText="1"/>
      <protection locked="0"/>
    </xf>
    <xf numFmtId="0" fontId="121" fillId="48" borderId="4" xfId="0" applyFont="1" applyFill="1" applyBorder="1" applyAlignment="1" applyProtection="1">
      <alignment horizontal="center" vertical="center" wrapText="1"/>
      <protection locked="0"/>
    </xf>
    <xf numFmtId="0" fontId="121" fillId="48" borderId="51" xfId="0" applyFont="1" applyFill="1" applyBorder="1" applyAlignment="1" applyProtection="1">
      <alignment horizontal="center" vertical="center" wrapText="1"/>
      <protection locked="0"/>
    </xf>
    <xf numFmtId="0" fontId="22" fillId="22" borderId="23" xfId="0" applyFont="1" applyFill="1" applyBorder="1" applyAlignment="1" applyProtection="1">
      <alignment horizontal="center" vertical="center" wrapText="1"/>
      <protection locked="0"/>
    </xf>
    <xf numFmtId="0" fontId="22" fillId="22" borderId="4" xfId="0" applyFont="1" applyFill="1" applyBorder="1" applyAlignment="1" applyProtection="1">
      <alignment horizontal="center" vertical="center" wrapText="1"/>
      <protection locked="0"/>
    </xf>
    <xf numFmtId="0" fontId="22" fillId="22" borderId="51" xfId="0" applyFont="1" applyFill="1" applyBorder="1" applyAlignment="1" applyProtection="1">
      <alignment horizontal="center" vertical="center" wrapText="1"/>
      <protection locked="0"/>
    </xf>
    <xf numFmtId="0" fontId="122" fillId="48" borderId="23" xfId="0" applyFont="1" applyFill="1" applyBorder="1" applyAlignment="1" applyProtection="1">
      <alignment horizontal="center" vertical="center" wrapText="1"/>
      <protection locked="0"/>
    </xf>
    <xf numFmtId="0" fontId="122" fillId="48" borderId="51" xfId="0" applyFont="1" applyFill="1" applyBorder="1" applyAlignment="1" applyProtection="1">
      <alignment horizontal="center" vertical="center" wrapText="1"/>
      <protection locked="0"/>
    </xf>
    <xf numFmtId="0" fontId="18" fillId="10" borderId="15" xfId="0" applyFont="1" applyFill="1" applyBorder="1" applyAlignment="1">
      <alignment horizontal="center" vertical="center"/>
    </xf>
    <xf numFmtId="0" fontId="18" fillId="10" borderId="78" xfId="0" applyFont="1" applyFill="1" applyBorder="1" applyAlignment="1">
      <alignment horizontal="center" vertical="center"/>
    </xf>
    <xf numFmtId="0" fontId="18" fillId="10" borderId="17" xfId="0" applyFont="1" applyFill="1" applyBorder="1" applyAlignment="1">
      <alignment horizontal="center" vertical="center"/>
    </xf>
    <xf numFmtId="0" fontId="21" fillId="22" borderId="74" xfId="0" applyFont="1" applyFill="1" applyBorder="1" applyAlignment="1" applyProtection="1">
      <alignment horizontal="center" vertical="center" wrapText="1"/>
      <protection locked="0"/>
    </xf>
    <xf numFmtId="0" fontId="21" fillId="22" borderId="46" xfId="0" applyFont="1" applyFill="1" applyBorder="1" applyAlignment="1" applyProtection="1">
      <alignment horizontal="center" vertical="center" wrapText="1"/>
      <protection locked="0"/>
    </xf>
    <xf numFmtId="0" fontId="21" fillId="22" borderId="0" xfId="0" applyFont="1" applyFill="1" applyAlignment="1" applyProtection="1">
      <alignment horizontal="center" vertical="center" wrapText="1"/>
      <protection locked="0"/>
    </xf>
    <xf numFmtId="0" fontId="121" fillId="48" borderId="74" xfId="0" applyFont="1" applyFill="1" applyBorder="1" applyAlignment="1" applyProtection="1">
      <alignment horizontal="center" vertical="center" wrapText="1"/>
      <protection locked="0"/>
    </xf>
    <xf numFmtId="0" fontId="121" fillId="48" borderId="0" xfId="0" applyFont="1" applyFill="1" applyAlignment="1" applyProtection="1">
      <alignment horizontal="center" vertical="center" wrapText="1"/>
      <protection locked="0"/>
    </xf>
    <xf numFmtId="0" fontId="121" fillId="48" borderId="46" xfId="0" applyFont="1" applyFill="1" applyBorder="1" applyAlignment="1" applyProtection="1">
      <alignment horizontal="center" vertical="center" wrapText="1"/>
      <protection locked="0"/>
    </xf>
    <xf numFmtId="0" fontId="19" fillId="24" borderId="15" xfId="0" applyFont="1" applyFill="1" applyBorder="1" applyAlignment="1">
      <alignment horizontal="center" vertical="center"/>
    </xf>
    <xf numFmtId="0" fontId="19" fillId="24" borderId="17" xfId="0" applyFont="1" applyFill="1" applyBorder="1" applyAlignment="1">
      <alignment horizontal="center" vertical="center"/>
    </xf>
    <xf numFmtId="0" fontId="19" fillId="24" borderId="78" xfId="0" applyFont="1" applyFill="1" applyBorder="1" applyAlignment="1">
      <alignment horizontal="center" vertical="center"/>
    </xf>
    <xf numFmtId="0" fontId="274" fillId="2" borderId="10" xfId="0" applyFont="1" applyFill="1" applyBorder="1" applyAlignment="1">
      <alignment horizontal="center" vertical="center" wrapText="1"/>
    </xf>
    <xf numFmtId="1" fontId="276" fillId="2" borderId="20" xfId="0" applyNumberFormat="1" applyFont="1" applyFill="1" applyBorder="1" applyAlignment="1">
      <alignment horizontal="center" vertical="center" wrapText="1"/>
    </xf>
    <xf numFmtId="0" fontId="18" fillId="6" borderId="14" xfId="0" applyFont="1" applyFill="1" applyBorder="1" applyAlignment="1">
      <alignment horizontal="center" vertical="center" wrapText="1"/>
    </xf>
    <xf numFmtId="0" fontId="18" fillId="6" borderId="14" xfId="0" applyFont="1" applyFill="1" applyBorder="1" applyAlignment="1">
      <alignment horizontal="center" vertical="center"/>
    </xf>
    <xf numFmtId="0" fontId="14" fillId="2" borderId="5"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15" fillId="14" borderId="13" xfId="0" applyFont="1" applyFill="1" applyBorder="1" applyAlignment="1" applyProtection="1">
      <alignment horizontal="right" vertical="center" wrapText="1" indent="1"/>
      <protection locked="0"/>
    </xf>
    <xf numFmtId="0" fontId="15" fillId="14" borderId="14" xfId="0" applyFont="1" applyFill="1" applyBorder="1" applyAlignment="1" applyProtection="1">
      <alignment horizontal="right" vertical="center" wrapText="1" indent="1"/>
      <protection locked="0"/>
    </xf>
    <xf numFmtId="0" fontId="15" fillId="14" borderId="15" xfId="0" applyFont="1" applyFill="1" applyBorder="1" applyAlignment="1" applyProtection="1">
      <alignment horizontal="right" vertical="center" wrapText="1" indent="1"/>
      <protection locked="0"/>
    </xf>
    <xf numFmtId="0" fontId="15" fillId="14" borderId="16" xfId="0" applyFont="1" applyFill="1" applyBorder="1" applyAlignment="1" applyProtection="1">
      <alignment horizontal="right" vertical="center" wrapText="1" indent="1"/>
      <protection locked="0"/>
    </xf>
    <xf numFmtId="0" fontId="11" fillId="14" borderId="45" xfId="0" applyFont="1" applyFill="1" applyBorder="1" applyAlignment="1">
      <alignment horizontal="right" vertical="center" wrapText="1" indent="1"/>
    </xf>
    <xf numFmtId="0" fontId="11" fillId="14" borderId="10" xfId="0" applyFont="1" applyFill="1" applyBorder="1" applyAlignment="1">
      <alignment horizontal="right" vertical="center" wrapText="1" indent="1"/>
    </xf>
    <xf numFmtId="0" fontId="11" fillId="14" borderId="35" xfId="0" applyFont="1" applyFill="1" applyBorder="1" applyAlignment="1">
      <alignment horizontal="right" vertical="center" wrapText="1" indent="1"/>
    </xf>
    <xf numFmtId="0" fontId="15" fillId="14" borderId="13" xfId="0" applyFont="1" applyFill="1" applyBorder="1" applyAlignment="1">
      <alignment horizontal="right" vertical="center" wrapText="1" indent="1"/>
    </xf>
    <xf numFmtId="0" fontId="15" fillId="14" borderId="78" xfId="0" applyFont="1" applyFill="1" applyBorder="1" applyAlignment="1">
      <alignment horizontal="right" vertical="center" wrapText="1" indent="1"/>
    </xf>
    <xf numFmtId="0" fontId="15" fillId="14" borderId="16" xfId="0" applyFont="1" applyFill="1" applyBorder="1" applyAlignment="1">
      <alignment horizontal="right" vertical="center" wrapText="1" indent="1"/>
    </xf>
    <xf numFmtId="0" fontId="261" fillId="102" borderId="5" xfId="0" applyFont="1" applyFill="1" applyBorder="1" applyAlignment="1">
      <alignment horizontal="right" vertical="center" wrapText="1" indent="2"/>
    </xf>
    <xf numFmtId="0" fontId="261" fillId="102" borderId="32" xfId="0" applyFont="1" applyFill="1" applyBorder="1" applyAlignment="1">
      <alignment horizontal="right" vertical="center" wrapText="1" indent="2"/>
    </xf>
    <xf numFmtId="0" fontId="19" fillId="56" borderId="5" xfId="0" applyFont="1" applyFill="1" applyBorder="1" applyAlignment="1">
      <alignment horizontal="right" vertical="center" wrapText="1" indent="2"/>
    </xf>
    <xf numFmtId="0" fontId="19" fillId="56" borderId="32" xfId="0" applyFont="1" applyFill="1" applyBorder="1" applyAlignment="1">
      <alignment horizontal="right" vertical="center" wrapText="1" indent="2"/>
    </xf>
    <xf numFmtId="0" fontId="197" fillId="2" borderId="5" xfId="0" applyFont="1" applyFill="1" applyBorder="1" applyAlignment="1">
      <alignment horizontal="center" vertical="center"/>
    </xf>
    <xf numFmtId="0" fontId="197" fillId="2" borderId="17" xfId="0" applyFont="1" applyFill="1" applyBorder="1" applyAlignment="1">
      <alignment horizontal="center" vertical="center"/>
    </xf>
    <xf numFmtId="0" fontId="76" fillId="14" borderId="5" xfId="0" applyFont="1" applyFill="1" applyBorder="1" applyAlignment="1">
      <alignment horizontal="center" vertical="center" wrapText="1"/>
    </xf>
    <xf numFmtId="0" fontId="76" fillId="14" borderId="17" xfId="0" applyFont="1" applyFill="1" applyBorder="1" applyAlignment="1">
      <alignment horizontal="center" vertical="center" wrapText="1"/>
    </xf>
    <xf numFmtId="0" fontId="13" fillId="14" borderId="17" xfId="0" applyFont="1" applyFill="1" applyBorder="1" applyAlignment="1">
      <alignment horizontal="center" vertical="center" wrapText="1"/>
    </xf>
    <xf numFmtId="0" fontId="13" fillId="14" borderId="32" xfId="0" applyFont="1" applyFill="1" applyBorder="1" applyAlignment="1">
      <alignment horizontal="center" vertical="center" wrapText="1"/>
    </xf>
    <xf numFmtId="0" fontId="18" fillId="13" borderId="15" xfId="0" applyFont="1" applyFill="1" applyBorder="1" applyAlignment="1">
      <alignment horizontal="center" vertical="center" wrapText="1"/>
    </xf>
    <xf numFmtId="0" fontId="18" fillId="13" borderId="17" xfId="0" applyFont="1" applyFill="1" applyBorder="1" applyAlignment="1">
      <alignment horizontal="center" vertical="center" wrapText="1"/>
    </xf>
    <xf numFmtId="0" fontId="18" fillId="13" borderId="78" xfId="0" applyFont="1" applyFill="1" applyBorder="1" applyAlignment="1">
      <alignment horizontal="center" vertical="center" wrapText="1"/>
    </xf>
    <xf numFmtId="0" fontId="85" fillId="9" borderId="5" xfId="0" applyFont="1" applyFill="1" applyBorder="1" applyAlignment="1">
      <alignment horizontal="center" vertical="center" wrapText="1"/>
    </xf>
    <xf numFmtId="0" fontId="85" fillId="9" borderId="17"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243" fillId="65" borderId="17" xfId="0" applyFont="1" applyFill="1" applyBorder="1" applyAlignment="1" applyProtection="1">
      <alignment horizontal="center" vertical="center" wrapText="1"/>
      <protection locked="0"/>
    </xf>
    <xf numFmtId="0" fontId="243" fillId="65" borderId="32" xfId="0" applyFont="1" applyFill="1" applyBorder="1" applyAlignment="1" applyProtection="1">
      <alignment horizontal="center" vertical="center" wrapText="1"/>
      <protection locked="0"/>
    </xf>
    <xf numFmtId="0" fontId="269" fillId="2" borderId="10" xfId="0" applyFont="1" applyFill="1" applyBorder="1" applyAlignment="1">
      <alignment horizontal="right" vertical="center" wrapText="1" indent="1"/>
    </xf>
    <xf numFmtId="0" fontId="269" fillId="2" borderId="20" xfId="0" applyFont="1" applyFill="1" applyBorder="1" applyAlignment="1">
      <alignment horizontal="right" vertical="center" wrapText="1" indent="1"/>
    </xf>
    <xf numFmtId="0" fontId="23" fillId="2" borderId="45"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40" xfId="0" applyFont="1" applyFill="1" applyBorder="1" applyAlignment="1">
      <alignment horizontal="center" vertical="center" wrapText="1"/>
    </xf>
    <xf numFmtId="0" fontId="23" fillId="2" borderId="20" xfId="0" applyFont="1" applyFill="1" applyBorder="1" applyAlignment="1">
      <alignment horizontal="center" vertical="center" wrapText="1"/>
    </xf>
    <xf numFmtId="0" fontId="273" fillId="94" borderId="40" xfId="0" applyFont="1" applyFill="1" applyBorder="1" applyAlignment="1" applyProtection="1">
      <alignment horizontal="center" vertical="center" wrapText="1"/>
      <protection locked="0"/>
    </xf>
    <xf numFmtId="0" fontId="273" fillId="94" borderId="20" xfId="0" applyFont="1" applyFill="1" applyBorder="1" applyAlignment="1" applyProtection="1">
      <alignment horizontal="center" vertical="center" wrapText="1"/>
      <protection locked="0"/>
    </xf>
    <xf numFmtId="0" fontId="273" fillId="94" borderId="49" xfId="0" applyFont="1" applyFill="1" applyBorder="1" applyAlignment="1" applyProtection="1">
      <alignment horizontal="center" vertical="center" wrapText="1"/>
      <protection locked="0"/>
    </xf>
    <xf numFmtId="0" fontId="273" fillId="94" borderId="0" xfId="0" applyFont="1" applyFill="1" applyAlignment="1" applyProtection="1">
      <alignment horizontal="center" vertical="center" wrapText="1"/>
      <protection locked="0"/>
    </xf>
    <xf numFmtId="0" fontId="94" fillId="52" borderId="41" xfId="0" applyFont="1" applyFill="1" applyBorder="1" applyAlignment="1">
      <alignment horizontal="center" vertical="center" wrapText="1"/>
    </xf>
    <xf numFmtId="0" fontId="116" fillId="22" borderId="0" xfId="0" applyFont="1" applyFill="1" applyAlignment="1">
      <alignment horizontal="center" vertical="center" wrapText="1"/>
    </xf>
    <xf numFmtId="0" fontId="5" fillId="22" borderId="0" xfId="0" applyFont="1" applyFill="1" applyAlignment="1">
      <alignment horizontal="center" vertical="center" wrapText="1"/>
    </xf>
    <xf numFmtId="14" fontId="5" fillId="22" borderId="0" xfId="0" applyNumberFormat="1" applyFont="1" applyFill="1" applyAlignment="1">
      <alignment horizontal="center" vertical="center" wrapText="1"/>
    </xf>
    <xf numFmtId="0" fontId="195" fillId="70" borderId="0" xfId="0" applyFont="1" applyFill="1" applyAlignment="1" applyProtection="1">
      <alignment horizontal="center" vertical="center" wrapText="1"/>
      <protection locked="0"/>
    </xf>
    <xf numFmtId="0" fontId="59" fillId="40" borderId="0" xfId="0" applyFont="1" applyFill="1" applyAlignment="1">
      <alignment horizontal="center" vertical="center" wrapText="1"/>
    </xf>
    <xf numFmtId="166" fontId="154" fillId="40" borderId="0" xfId="1" applyFont="1" applyFill="1" applyAlignment="1">
      <alignment horizontal="center" vertical="center" wrapText="1"/>
    </xf>
    <xf numFmtId="0" fontId="54" fillId="40" borderId="0" xfId="0" applyFont="1" applyFill="1" applyAlignment="1">
      <alignment horizontal="center" vertical="center"/>
    </xf>
    <xf numFmtId="0" fontId="150" fillId="27" borderId="0" xfId="0" applyFont="1" applyFill="1" applyAlignment="1" applyProtection="1">
      <alignment horizontal="center" vertical="center" wrapText="1"/>
      <protection locked="0"/>
    </xf>
    <xf numFmtId="0" fontId="152" fillId="40" borderId="0" xfId="0" applyFont="1" applyFill="1" applyAlignment="1">
      <alignment horizontal="right" vertical="top" wrapText="1"/>
    </xf>
    <xf numFmtId="0" fontId="148" fillId="22" borderId="0" xfId="0" applyFont="1" applyFill="1" applyAlignment="1">
      <alignment horizontal="center" vertical="center"/>
    </xf>
    <xf numFmtId="166" fontId="126" fillId="11" borderId="0" xfId="1" applyFont="1" applyFill="1" applyBorder="1" applyAlignment="1">
      <alignment horizontal="center" vertical="center" wrapText="1"/>
    </xf>
    <xf numFmtId="166" fontId="36" fillId="11" borderId="0" xfId="1" applyFont="1" applyFill="1" applyBorder="1" applyAlignment="1">
      <alignment horizontal="center" vertical="center" wrapText="1"/>
    </xf>
    <xf numFmtId="0" fontId="254" fillId="40" borderId="0" xfId="0" applyFont="1" applyFill="1" applyAlignment="1">
      <alignment horizontal="center" vertical="center" wrapText="1"/>
    </xf>
    <xf numFmtId="0" fontId="54" fillId="40" borderId="0" xfId="0" applyFont="1" applyFill="1" applyAlignment="1">
      <alignment horizontal="center" vertical="center" wrapText="1"/>
    </xf>
    <xf numFmtId="0" fontId="62" fillId="11" borderId="0" xfId="0" applyFont="1" applyFill="1" applyAlignment="1">
      <alignment horizontal="center" vertical="center" wrapText="1"/>
    </xf>
    <xf numFmtId="0" fontId="30" fillId="3" borderId="20" xfId="0" applyFont="1" applyFill="1" applyBorder="1" applyAlignment="1">
      <alignment horizontal="center" vertical="center" wrapText="1"/>
    </xf>
    <xf numFmtId="3" fontId="30" fillId="3" borderId="20" xfId="0" applyNumberFormat="1" applyFont="1" applyFill="1" applyBorder="1" applyAlignment="1">
      <alignment horizontal="center" vertical="center" wrapText="1"/>
    </xf>
    <xf numFmtId="1" fontId="129" fillId="44" borderId="0" xfId="0" applyNumberFormat="1" applyFont="1" applyFill="1" applyAlignment="1">
      <alignment horizontal="center" vertical="center" textRotation="90" wrapText="1"/>
    </xf>
    <xf numFmtId="0" fontId="27" fillId="5" borderId="5" xfId="0" applyFont="1" applyFill="1" applyBorder="1" applyAlignment="1">
      <alignment horizontal="center" vertical="center" wrapText="1"/>
    </xf>
    <xf numFmtId="0" fontId="27" fillId="5" borderId="17" xfId="0" applyFont="1" applyFill="1" applyBorder="1" applyAlignment="1">
      <alignment horizontal="center" vertical="center" wrapText="1"/>
    </xf>
    <xf numFmtId="0" fontId="27" fillId="5" borderId="32" xfId="0" applyFont="1" applyFill="1" applyBorder="1" applyAlignment="1">
      <alignment horizontal="center" vertical="center" wrapText="1"/>
    </xf>
    <xf numFmtId="0" fontId="27" fillId="15" borderId="0" xfId="0" applyFont="1" applyFill="1" applyAlignment="1">
      <alignment horizontal="center" vertical="center" wrapText="1"/>
    </xf>
    <xf numFmtId="1" fontId="97" fillId="44" borderId="0" xfId="0" applyNumberFormat="1" applyFont="1" applyFill="1" applyAlignment="1">
      <alignment horizontal="center" vertical="center" textRotation="90" wrapText="1"/>
    </xf>
    <xf numFmtId="0" fontId="67" fillId="27" borderId="57" xfId="0" applyFont="1" applyFill="1" applyBorder="1" applyAlignment="1">
      <alignment horizontal="center" vertical="center" wrapText="1"/>
    </xf>
    <xf numFmtId="0" fontId="67" fillId="27" borderId="0" xfId="0" applyFont="1" applyFill="1" applyAlignment="1">
      <alignment horizontal="center" vertical="center" wrapText="1"/>
    </xf>
    <xf numFmtId="0" fontId="53" fillId="29" borderId="0" xfId="0" applyFont="1" applyFill="1" applyAlignment="1">
      <alignment horizontal="center" vertical="center" wrapText="1"/>
    </xf>
    <xf numFmtId="180" fontId="58" fillId="29" borderId="0" xfId="4" applyNumberFormat="1" applyFont="1" applyFill="1" applyAlignment="1">
      <alignment horizontal="center" vertical="center"/>
    </xf>
    <xf numFmtId="180" fontId="58" fillId="29" borderId="31" xfId="4" applyNumberFormat="1" applyFont="1" applyFill="1" applyBorder="1" applyAlignment="1">
      <alignment horizontal="center" vertical="center"/>
    </xf>
    <xf numFmtId="172" fontId="53" fillId="29" borderId="76" xfId="0" applyNumberFormat="1" applyFont="1" applyFill="1" applyBorder="1" applyAlignment="1">
      <alignment horizontal="center" vertical="center"/>
    </xf>
    <xf numFmtId="172" fontId="53" fillId="29" borderId="73" xfId="0" applyNumberFormat="1" applyFont="1" applyFill="1" applyBorder="1" applyAlignment="1">
      <alignment horizontal="center" vertical="center"/>
    </xf>
    <xf numFmtId="0" fontId="119" fillId="37" borderId="0" xfId="0" applyFont="1" applyFill="1" applyAlignment="1">
      <alignment horizontal="center" vertical="center" wrapText="1"/>
    </xf>
    <xf numFmtId="166" fontId="68" fillId="37" borderId="0" xfId="1" applyFont="1" applyFill="1" applyAlignment="1">
      <alignment horizontal="center" vertical="center" wrapText="1"/>
    </xf>
    <xf numFmtId="166" fontId="68" fillId="37" borderId="31" xfId="1" applyFont="1" applyFill="1" applyBorder="1" applyAlignment="1">
      <alignment horizontal="center" vertical="center" wrapText="1"/>
    </xf>
    <xf numFmtId="0" fontId="53" fillId="29" borderId="0" xfId="0" applyFont="1" applyFill="1" applyAlignment="1">
      <alignment horizontal="center" vertical="center"/>
    </xf>
    <xf numFmtId="0" fontId="213" fillId="53" borderId="0" xfId="0" applyFont="1" applyFill="1" applyAlignment="1">
      <alignment horizontal="center" vertical="center"/>
    </xf>
    <xf numFmtId="0" fontId="2" fillId="22" borderId="0" xfId="0" applyFont="1" applyFill="1" applyAlignment="1">
      <alignment horizontal="center" vertical="center"/>
    </xf>
    <xf numFmtId="44" fontId="220" fillId="95" borderId="0" xfId="1" applyNumberFormat="1" applyFont="1" applyFill="1" applyBorder="1" applyAlignment="1" applyProtection="1">
      <alignment horizontal="center" vertical="center"/>
      <protection locked="0"/>
    </xf>
    <xf numFmtId="0" fontId="214" fillId="93" borderId="0" xfId="0" applyFont="1" applyFill="1" applyAlignment="1">
      <alignment horizontal="center" vertical="center"/>
    </xf>
    <xf numFmtId="0" fontId="214" fillId="93" borderId="0" xfId="0" applyFont="1" applyFill="1" applyAlignment="1">
      <alignment horizontal="center" vertical="center" wrapText="1"/>
    </xf>
    <xf numFmtId="0" fontId="221" fillId="93" borderId="0" xfId="0" applyFont="1" applyFill="1" applyAlignment="1">
      <alignment horizontal="center" vertical="center" wrapText="1"/>
    </xf>
    <xf numFmtId="44" fontId="224" fillId="29" borderId="0" xfId="1" applyNumberFormat="1" applyFont="1" applyFill="1" applyBorder="1" applyAlignment="1">
      <alignment horizontal="center" vertical="center"/>
    </xf>
    <xf numFmtId="44" fontId="224" fillId="29" borderId="0" xfId="0" applyNumberFormat="1" applyFont="1" applyFill="1" applyAlignment="1">
      <alignment horizontal="center" vertical="center"/>
    </xf>
    <xf numFmtId="0" fontId="224" fillId="29" borderId="0" xfId="0" applyFont="1" applyFill="1" applyAlignment="1">
      <alignment horizontal="center" vertical="center"/>
    </xf>
    <xf numFmtId="0" fontId="222" fillId="29" borderId="0" xfId="0" applyFont="1" applyFill="1" applyAlignment="1">
      <alignment horizontal="center" vertical="center"/>
    </xf>
    <xf numFmtId="0" fontId="223" fillId="29" borderId="0" xfId="0" applyFont="1" applyFill="1" applyAlignment="1">
      <alignment horizontal="center" vertical="center"/>
    </xf>
    <xf numFmtId="0" fontId="2" fillId="29" borderId="0" xfId="0" applyFont="1" applyFill="1" applyAlignment="1">
      <alignment horizontal="center" vertical="center"/>
    </xf>
    <xf numFmtId="3" fontId="2" fillId="29" borderId="0" xfId="0" applyNumberFormat="1" applyFont="1" applyFill="1" applyAlignment="1">
      <alignment horizontal="center" vertical="center"/>
    </xf>
    <xf numFmtId="0" fontId="246" fillId="92" borderId="1" xfId="0" applyFont="1" applyFill="1" applyBorder="1" applyAlignment="1">
      <alignment horizontal="center" vertical="center"/>
    </xf>
    <xf numFmtId="0" fontId="2" fillId="29" borderId="0" xfId="0" applyFont="1" applyFill="1" applyAlignment="1">
      <alignment horizontal="center" vertical="center" wrapText="1"/>
    </xf>
    <xf numFmtId="0" fontId="225" fillId="29" borderId="0" xfId="0" applyFont="1" applyFill="1" applyAlignment="1">
      <alignment horizontal="center" vertical="center"/>
    </xf>
    <xf numFmtId="0" fontId="1" fillId="29" borderId="0" xfId="0" applyFont="1" applyFill="1" applyAlignment="1">
      <alignment horizontal="center" vertical="center"/>
    </xf>
    <xf numFmtId="0" fontId="63" fillId="35" borderId="0" xfId="0" applyFont="1" applyFill="1" applyAlignment="1">
      <alignment horizontal="center" vertical="center" wrapText="1"/>
    </xf>
    <xf numFmtId="0" fontId="26" fillId="22" borderId="0" xfId="0" applyFont="1" applyFill="1" applyAlignment="1">
      <alignment horizontal="center" vertical="center" wrapText="1"/>
    </xf>
    <xf numFmtId="0" fontId="184" fillId="67" borderId="23" xfId="0" applyFont="1" applyFill="1" applyBorder="1" applyAlignment="1">
      <alignment horizontal="center" vertical="center" wrapText="1"/>
    </xf>
    <xf numFmtId="0" fontId="192" fillId="66" borderId="37" xfId="0" applyFont="1" applyFill="1" applyBorder="1" applyAlignment="1">
      <alignment horizontal="center" vertical="center" wrapText="1"/>
    </xf>
    <xf numFmtId="0" fontId="192" fillId="66" borderId="44" xfId="0" applyFont="1" applyFill="1" applyBorder="1" applyAlignment="1">
      <alignment horizontal="center" vertical="center" wrapText="1"/>
    </xf>
    <xf numFmtId="0" fontId="8" fillId="24" borderId="1" xfId="0" applyFont="1" applyFill="1" applyBorder="1" applyAlignment="1">
      <alignment horizontal="center" vertical="center" wrapText="1"/>
    </xf>
    <xf numFmtId="0" fontId="5" fillId="24" borderId="1" xfId="0" applyFont="1" applyFill="1" applyBorder="1" applyAlignment="1">
      <alignment horizontal="center" vertical="center" wrapText="1"/>
    </xf>
    <xf numFmtId="0" fontId="81" fillId="41" borderId="109" xfId="0" applyFont="1" applyFill="1" applyBorder="1" applyAlignment="1" applyProtection="1">
      <alignment horizontal="center" vertical="center" wrapText="1"/>
      <protection locked="0"/>
    </xf>
    <xf numFmtId="0" fontId="81" fillId="41" borderId="111" xfId="0" applyFont="1" applyFill="1" applyBorder="1" applyAlignment="1" applyProtection="1">
      <alignment horizontal="center" vertical="center" wrapText="1"/>
      <protection locked="0"/>
    </xf>
    <xf numFmtId="0" fontId="189" fillId="25" borderId="45" xfId="0" applyFont="1" applyFill="1" applyBorder="1" applyAlignment="1">
      <alignment horizontal="left" vertical="center" wrapText="1" indent="26"/>
    </xf>
    <xf numFmtId="0" fontId="189" fillId="25" borderId="10" xfId="0" applyFont="1" applyFill="1" applyBorder="1" applyAlignment="1">
      <alignment horizontal="left" vertical="center" wrapText="1" indent="26"/>
    </xf>
    <xf numFmtId="0" fontId="189" fillId="25" borderId="35" xfId="0" applyFont="1" applyFill="1" applyBorder="1" applyAlignment="1">
      <alignment horizontal="left" vertical="center" wrapText="1" indent="26"/>
    </xf>
    <xf numFmtId="173" fontId="26" fillId="22" borderId="31" xfId="0" applyNumberFormat="1" applyFont="1" applyFill="1" applyBorder="1" applyAlignment="1">
      <alignment horizontal="left" wrapText="1" indent="1"/>
    </xf>
    <xf numFmtId="173" fontId="26" fillId="22" borderId="53" xfId="0" applyNumberFormat="1" applyFont="1" applyFill="1" applyBorder="1" applyAlignment="1">
      <alignment horizontal="left" wrapText="1" indent="1"/>
    </xf>
    <xf numFmtId="0" fontId="26" fillId="22" borderId="31" xfId="0" applyFont="1" applyFill="1" applyBorder="1" applyAlignment="1">
      <alignment horizontal="right" wrapText="1"/>
    </xf>
    <xf numFmtId="171" fontId="40" fillId="14" borderId="1" xfId="0" applyNumberFormat="1" applyFont="1" applyFill="1" applyBorder="1" applyAlignment="1">
      <alignment horizontal="center" vertical="center"/>
    </xf>
    <xf numFmtId="171" fontId="40" fillId="14" borderId="3" xfId="0" applyNumberFormat="1" applyFont="1" applyFill="1" applyBorder="1" applyAlignment="1">
      <alignment horizontal="center" vertical="center"/>
    </xf>
    <xf numFmtId="0" fontId="32" fillId="3" borderId="23" xfId="0" applyFont="1" applyFill="1" applyBorder="1" applyAlignment="1">
      <alignment horizontal="center" vertical="center"/>
    </xf>
    <xf numFmtId="0" fontId="32" fillId="3" borderId="51" xfId="0" applyFont="1" applyFill="1" applyBorder="1" applyAlignment="1">
      <alignment horizontal="center" vertical="center"/>
    </xf>
    <xf numFmtId="0" fontId="32" fillId="53" borderId="1" xfId="0" applyFont="1" applyFill="1" applyBorder="1" applyAlignment="1">
      <alignment horizontal="center" vertical="center"/>
    </xf>
    <xf numFmtId="0" fontId="32" fillId="3" borderId="23" xfId="0" applyFont="1" applyFill="1" applyBorder="1" applyAlignment="1">
      <alignment horizontal="left" vertical="center" indent="4"/>
    </xf>
    <xf numFmtId="0" fontId="32" fillId="3" borderId="4" xfId="0" applyFont="1" applyFill="1" applyBorder="1" applyAlignment="1">
      <alignment horizontal="left" vertical="center" indent="4"/>
    </xf>
    <xf numFmtId="0" fontId="32" fillId="3" borderId="51" xfId="0" applyFont="1" applyFill="1" applyBorder="1" applyAlignment="1">
      <alignment horizontal="left" vertical="center" indent="4"/>
    </xf>
    <xf numFmtId="0" fontId="166" fillId="62" borderId="23" xfId="0" applyFont="1" applyFill="1" applyBorder="1" applyAlignment="1">
      <alignment horizontal="right" vertical="center" indent="2"/>
    </xf>
    <xf numFmtId="0" fontId="166" fillId="62" borderId="4" xfId="0" applyFont="1" applyFill="1" applyBorder="1" applyAlignment="1">
      <alignment horizontal="right" vertical="center" indent="2"/>
    </xf>
    <xf numFmtId="0" fontId="166" fillId="62" borderId="51" xfId="0" applyFont="1" applyFill="1" applyBorder="1" applyAlignment="1">
      <alignment horizontal="right" vertical="center" indent="2"/>
    </xf>
    <xf numFmtId="0" fontId="43" fillId="9" borderId="1" xfId="0" applyFont="1" applyFill="1" applyBorder="1" applyAlignment="1">
      <alignment horizontal="right" vertical="center"/>
    </xf>
    <xf numFmtId="0" fontId="44" fillId="9" borderId="45" xfId="0" applyFont="1" applyFill="1" applyBorder="1" applyAlignment="1">
      <alignment horizontal="center" vertical="center"/>
    </xf>
    <xf numFmtId="0" fontId="44" fillId="9" borderId="10" xfId="0" applyFont="1" applyFill="1" applyBorder="1" applyAlignment="1">
      <alignment horizontal="center" vertical="center"/>
    </xf>
    <xf numFmtId="0" fontId="44" fillId="9" borderId="35" xfId="0" applyFont="1" applyFill="1" applyBorder="1" applyAlignment="1">
      <alignment horizontal="center" vertical="center"/>
    </xf>
    <xf numFmtId="0" fontId="44" fillId="9" borderId="49" xfId="0" applyFont="1" applyFill="1" applyBorder="1" applyAlignment="1">
      <alignment horizontal="center" vertical="center"/>
    </xf>
    <xf numFmtId="0" fontId="44" fillId="9" borderId="0" xfId="0" applyFont="1" applyFill="1" applyAlignment="1">
      <alignment horizontal="center" vertical="center"/>
    </xf>
    <xf numFmtId="0" fontId="44" fillId="9" borderId="50" xfId="0" applyFont="1" applyFill="1" applyBorder="1" applyAlignment="1">
      <alignment horizontal="center" vertical="center"/>
    </xf>
    <xf numFmtId="0" fontId="32" fillId="16" borderId="23" xfId="0" applyFont="1" applyFill="1" applyBorder="1" applyAlignment="1">
      <alignment horizontal="left" vertical="center" indent="28"/>
    </xf>
    <xf numFmtId="0" fontId="32" fillId="16" borderId="4" xfId="0" applyFont="1" applyFill="1" applyBorder="1" applyAlignment="1">
      <alignment horizontal="left" vertical="center" indent="28"/>
    </xf>
    <xf numFmtId="0" fontId="32" fillId="16" borderId="47" xfId="0" applyFont="1" applyFill="1" applyBorder="1" applyAlignment="1">
      <alignment horizontal="left" vertical="center" indent="28"/>
    </xf>
    <xf numFmtId="0" fontId="40" fillId="42" borderId="1" xfId="0" applyFont="1" applyFill="1" applyBorder="1" applyAlignment="1">
      <alignment horizontal="center" vertical="center"/>
    </xf>
    <xf numFmtId="0" fontId="40" fillId="0" borderId="1" xfId="0" applyFont="1" applyBorder="1" applyAlignment="1">
      <alignment horizontal="center" vertical="center"/>
    </xf>
    <xf numFmtId="0" fontId="32" fillId="3" borderId="1" xfId="0" applyFont="1" applyFill="1" applyBorder="1" applyAlignment="1">
      <alignment horizontal="left" vertical="center" indent="4"/>
    </xf>
    <xf numFmtId="0" fontId="45" fillId="9" borderId="45" xfId="0" applyFont="1" applyFill="1" applyBorder="1" applyAlignment="1">
      <alignment horizontal="center" vertical="center"/>
    </xf>
    <xf numFmtId="0" fontId="45" fillId="9" borderId="10" xfId="0" applyFont="1" applyFill="1" applyBorder="1" applyAlignment="1">
      <alignment horizontal="center" vertical="center"/>
    </xf>
    <xf numFmtId="0" fontId="45" fillId="9" borderId="35" xfId="0" applyFont="1" applyFill="1" applyBorder="1" applyAlignment="1">
      <alignment horizontal="center" vertical="center"/>
    </xf>
    <xf numFmtId="0" fontId="45" fillId="9" borderId="40" xfId="0" applyFont="1" applyFill="1" applyBorder="1" applyAlignment="1">
      <alignment horizontal="center" vertical="center"/>
    </xf>
    <xf numFmtId="0" fontId="45" fillId="9" borderId="20" xfId="0" applyFont="1" applyFill="1" applyBorder="1" applyAlignment="1">
      <alignment horizontal="center" vertical="center"/>
    </xf>
    <xf numFmtId="0" fontId="45" fillId="9" borderId="42" xfId="0" applyFont="1" applyFill="1" applyBorder="1" applyAlignment="1">
      <alignment horizontal="center" vertical="center"/>
    </xf>
    <xf numFmtId="0" fontId="43" fillId="9" borderId="45" xfId="0" applyFont="1" applyFill="1" applyBorder="1" applyAlignment="1">
      <alignment horizontal="center" vertical="center"/>
    </xf>
    <xf numFmtId="0" fontId="43" fillId="9" borderId="40" xfId="0" applyFont="1" applyFill="1" applyBorder="1" applyAlignment="1">
      <alignment horizontal="center" vertical="center"/>
    </xf>
    <xf numFmtId="0" fontId="43" fillId="9" borderId="35" xfId="0" applyFont="1" applyFill="1" applyBorder="1" applyAlignment="1">
      <alignment horizontal="center" vertical="center"/>
    </xf>
    <xf numFmtId="0" fontId="43" fillId="9" borderId="42" xfId="0" applyFont="1" applyFill="1" applyBorder="1" applyAlignment="1">
      <alignment horizontal="center" vertical="center"/>
    </xf>
    <xf numFmtId="0" fontId="43" fillId="9" borderId="11" xfId="0" applyFont="1" applyFill="1" applyBorder="1" applyAlignment="1">
      <alignment horizontal="center" vertical="center" wrapText="1"/>
    </xf>
    <xf numFmtId="0" fontId="43" fillId="9" borderId="34" xfId="0" applyFont="1" applyFill="1" applyBorder="1" applyAlignment="1">
      <alignment horizontal="center" vertical="center" wrapText="1"/>
    </xf>
    <xf numFmtId="0" fontId="43" fillId="9" borderId="10" xfId="0" applyFont="1" applyFill="1" applyBorder="1" applyAlignment="1">
      <alignment horizontal="center" vertical="center" wrapText="1"/>
    </xf>
    <xf numFmtId="0" fontId="43" fillId="9" borderId="20" xfId="0" applyFont="1" applyFill="1" applyBorder="1" applyAlignment="1">
      <alignment horizontal="center" vertical="center" wrapText="1"/>
    </xf>
    <xf numFmtId="0" fontId="32" fillId="3" borderId="1" xfId="0" applyFont="1" applyFill="1" applyBorder="1" applyAlignment="1">
      <alignment horizontal="center" vertical="center"/>
    </xf>
    <xf numFmtId="49" fontId="43" fillId="9" borderId="0" xfId="0" applyNumberFormat="1" applyFont="1" applyFill="1" applyAlignment="1">
      <alignment horizontal="center" vertical="center"/>
    </xf>
    <xf numFmtId="49" fontId="43" fillId="9" borderId="46" xfId="0" applyNumberFormat="1" applyFont="1" applyFill="1" applyBorder="1" applyAlignment="1">
      <alignment horizontal="center" vertical="center"/>
    </xf>
    <xf numFmtId="0" fontId="43" fillId="9" borderId="14" xfId="0" applyFont="1" applyFill="1" applyBorder="1" applyAlignment="1">
      <alignment horizontal="right" vertical="center"/>
    </xf>
    <xf numFmtId="171" fontId="43" fillId="10" borderId="14" xfId="0" applyNumberFormat="1" applyFont="1" applyFill="1" applyBorder="1" applyAlignment="1">
      <alignment horizontal="center" vertical="center"/>
    </xf>
    <xf numFmtId="171" fontId="43" fillId="10" borderId="16" xfId="0" applyNumberFormat="1" applyFont="1" applyFill="1" applyBorder="1" applyAlignment="1">
      <alignment horizontal="center" vertical="center"/>
    </xf>
    <xf numFmtId="0" fontId="43" fillId="9" borderId="45" xfId="0" applyFont="1" applyFill="1" applyBorder="1" applyAlignment="1">
      <alignment horizontal="center" vertical="center" wrapText="1"/>
    </xf>
    <xf numFmtId="0" fontId="43" fillId="9" borderId="35" xfId="0" applyFont="1" applyFill="1" applyBorder="1" applyAlignment="1">
      <alignment horizontal="center" vertical="center" wrapText="1"/>
    </xf>
    <xf numFmtId="0" fontId="43" fillId="9" borderId="40" xfId="0" applyFont="1" applyFill="1" applyBorder="1" applyAlignment="1">
      <alignment horizontal="center" vertical="center" wrapText="1"/>
    </xf>
    <xf numFmtId="0" fontId="43" fillId="9" borderId="42" xfId="0" applyFont="1" applyFill="1" applyBorder="1" applyAlignment="1">
      <alignment horizontal="center" vertical="center" wrapText="1"/>
    </xf>
    <xf numFmtId="0" fontId="91" fillId="27" borderId="40" xfId="0" applyFont="1" applyFill="1" applyBorder="1" applyAlignment="1">
      <alignment horizontal="center" vertical="center" wrapText="1"/>
    </xf>
    <xf numFmtId="0" fontId="91" fillId="27" borderId="20" xfId="0" applyFont="1" applyFill="1" applyBorder="1" applyAlignment="1">
      <alignment horizontal="center" vertical="center" wrapText="1"/>
    </xf>
    <xf numFmtId="171" fontId="74" fillId="0" borderId="48" xfId="0" applyNumberFormat="1" applyFont="1" applyBorder="1" applyAlignment="1">
      <alignment horizontal="center" vertical="center"/>
    </xf>
    <xf numFmtId="171" fontId="74" fillId="0" borderId="10" xfId="0" applyNumberFormat="1" applyFont="1" applyBorder="1" applyAlignment="1">
      <alignment horizontal="center" vertical="center"/>
    </xf>
    <xf numFmtId="171" fontId="74" fillId="0" borderId="35" xfId="0" applyNumberFormat="1" applyFont="1" applyBorder="1" applyAlignment="1">
      <alignment horizontal="center" vertical="center"/>
    </xf>
    <xf numFmtId="171" fontId="74" fillId="0" borderId="74" xfId="0" applyNumberFormat="1" applyFont="1" applyBorder="1" applyAlignment="1">
      <alignment horizontal="center" vertical="center"/>
    </xf>
    <xf numFmtId="171" fontId="74" fillId="0" borderId="0" xfId="0" applyNumberFormat="1" applyFont="1" applyAlignment="1">
      <alignment horizontal="center" vertical="center"/>
    </xf>
    <xf numFmtId="171" fontId="74" fillId="0" borderId="50" xfId="0" applyNumberFormat="1" applyFont="1" applyBorder="1" applyAlignment="1">
      <alignment horizontal="center" vertical="center"/>
    </xf>
    <xf numFmtId="171" fontId="74" fillId="0" borderId="82" xfId="0" applyNumberFormat="1" applyFont="1" applyBorder="1" applyAlignment="1">
      <alignment horizontal="center" vertical="center"/>
    </xf>
    <xf numFmtId="171" fontId="74" fillId="0" borderId="20" xfId="0" applyNumberFormat="1" applyFont="1" applyBorder="1" applyAlignment="1">
      <alignment horizontal="center" vertical="center"/>
    </xf>
    <xf numFmtId="171" fontId="74" fillId="0" borderId="42" xfId="0" applyNumberFormat="1" applyFont="1" applyBorder="1" applyAlignment="1">
      <alignment horizontal="center" vertical="center"/>
    </xf>
    <xf numFmtId="171" fontId="43" fillId="10" borderId="1" xfId="0" applyNumberFormat="1" applyFont="1" applyFill="1" applyBorder="1" applyAlignment="1">
      <alignment horizontal="center" vertical="center"/>
    </xf>
    <xf numFmtId="0" fontId="40" fillId="0" borderId="58" xfId="0" applyFont="1" applyBorder="1" applyAlignment="1">
      <alignment horizontal="center" vertical="center"/>
    </xf>
    <xf numFmtId="0" fontId="40" fillId="0" borderId="56" xfId="0" applyFont="1" applyBorder="1" applyAlignment="1">
      <alignment horizontal="center" vertical="center"/>
    </xf>
    <xf numFmtId="0" fontId="40" fillId="0" borderId="68" xfId="0" applyFont="1" applyBorder="1" applyAlignment="1">
      <alignment horizontal="center" vertical="center"/>
    </xf>
    <xf numFmtId="171" fontId="32" fillId="0" borderId="1" xfId="0" applyNumberFormat="1" applyFont="1" applyBorder="1" applyAlignment="1">
      <alignment horizontal="center" vertical="center"/>
    </xf>
    <xf numFmtId="0" fontId="43" fillId="9" borderId="5" xfId="0" applyFont="1" applyFill="1" applyBorder="1" applyAlignment="1">
      <alignment horizontal="center" vertical="center"/>
    </xf>
    <xf numFmtId="0" fontId="43" fillId="9" borderId="17" xfId="0" applyFont="1" applyFill="1" applyBorder="1" applyAlignment="1">
      <alignment horizontal="center" vertical="center"/>
    </xf>
    <xf numFmtId="0" fontId="43" fillId="9" borderId="32" xfId="0" applyFont="1" applyFill="1" applyBorder="1" applyAlignment="1">
      <alignment horizontal="center" vertical="center"/>
    </xf>
    <xf numFmtId="171" fontId="32" fillId="0" borderId="5" xfId="0" applyNumberFormat="1" applyFont="1" applyBorder="1" applyAlignment="1">
      <alignment horizontal="center" vertical="center"/>
    </xf>
    <xf numFmtId="171" fontId="32" fillId="0" borderId="32" xfId="0" applyNumberFormat="1" applyFont="1" applyBorder="1" applyAlignment="1">
      <alignment horizontal="center" vertical="center"/>
    </xf>
    <xf numFmtId="171" fontId="32" fillId="39" borderId="1" xfId="0" applyNumberFormat="1" applyFont="1" applyFill="1" applyBorder="1" applyAlignment="1">
      <alignment horizontal="center" vertical="center"/>
    </xf>
    <xf numFmtId="171" fontId="32" fillId="39" borderId="3" xfId="0" applyNumberFormat="1" applyFont="1" applyFill="1" applyBorder="1" applyAlignment="1">
      <alignment horizontal="center" vertical="center"/>
    </xf>
    <xf numFmtId="0" fontId="43" fillId="37" borderId="11" xfId="0" applyFont="1" applyFill="1" applyBorder="1" applyAlignment="1">
      <alignment horizontal="center" vertical="center" wrapText="1"/>
    </xf>
    <xf numFmtId="0" fontId="43" fillId="37" borderId="34" xfId="0" applyFont="1" applyFill="1" applyBorder="1" applyAlignment="1">
      <alignment horizontal="center" vertical="center" wrapText="1"/>
    </xf>
    <xf numFmtId="171" fontId="40" fillId="14" borderId="23" xfId="0" applyNumberFormat="1" applyFont="1" applyFill="1" applyBorder="1" applyAlignment="1">
      <alignment horizontal="center" vertical="center"/>
    </xf>
    <xf numFmtId="171" fontId="40" fillId="14" borderId="51" xfId="0" applyNumberFormat="1" applyFont="1" applyFill="1" applyBorder="1" applyAlignment="1">
      <alignment horizontal="center" vertical="center"/>
    </xf>
    <xf numFmtId="171" fontId="40" fillId="14" borderId="47" xfId="0" applyNumberFormat="1" applyFont="1" applyFill="1" applyBorder="1" applyAlignment="1">
      <alignment horizontal="center" vertical="center"/>
    </xf>
    <xf numFmtId="0" fontId="140" fillId="27" borderId="9" xfId="0" applyFont="1" applyFill="1" applyBorder="1" applyAlignment="1">
      <alignment horizontal="center" vertical="center" wrapText="1"/>
    </xf>
    <xf numFmtId="0" fontId="140" fillId="27" borderId="96" xfId="0" applyFont="1" applyFill="1" applyBorder="1" applyAlignment="1">
      <alignment horizontal="center" vertical="center" wrapText="1"/>
    </xf>
    <xf numFmtId="0" fontId="134" fillId="29" borderId="0" xfId="0" applyFont="1" applyFill="1" applyAlignment="1">
      <alignment horizontal="center" vertical="center"/>
    </xf>
    <xf numFmtId="166" fontId="134" fillId="29" borderId="0" xfId="0" applyNumberFormat="1" applyFont="1" applyFill="1" applyAlignment="1">
      <alignment horizontal="center" vertical="center"/>
    </xf>
    <xf numFmtId="166" fontId="135" fillId="55" borderId="1" xfId="1" applyFont="1" applyFill="1" applyBorder="1" applyAlignment="1" applyProtection="1">
      <alignment horizontal="center" vertical="center"/>
      <protection locked="0"/>
    </xf>
    <xf numFmtId="166" fontId="135" fillId="55" borderId="3" xfId="1" applyFont="1" applyFill="1" applyBorder="1" applyAlignment="1" applyProtection="1">
      <alignment horizontal="center" vertical="center"/>
      <protection locked="0"/>
    </xf>
    <xf numFmtId="10" fontId="134" fillId="29" borderId="1" xfId="3" applyNumberFormat="1" applyFont="1" applyFill="1" applyBorder="1" applyAlignment="1" applyProtection="1">
      <alignment horizontal="center" vertical="center"/>
    </xf>
    <xf numFmtId="10" fontId="134" fillId="29" borderId="3" xfId="3" applyNumberFormat="1" applyFont="1" applyFill="1" applyBorder="1" applyAlignment="1" applyProtection="1">
      <alignment horizontal="center" vertical="center"/>
    </xf>
    <xf numFmtId="166" fontId="134" fillId="57" borderId="51" xfId="1" applyFont="1" applyFill="1" applyBorder="1" applyAlignment="1" applyProtection="1">
      <alignment horizontal="center" vertical="center"/>
    </xf>
    <xf numFmtId="166" fontId="134" fillId="57" borderId="1" xfId="1" applyFont="1" applyFill="1" applyBorder="1" applyAlignment="1" applyProtection="1">
      <alignment horizontal="center" vertical="center"/>
    </xf>
    <xf numFmtId="166" fontId="135" fillId="55" borderId="44" xfId="1" applyFont="1" applyFill="1" applyBorder="1" applyAlignment="1" applyProtection="1">
      <alignment horizontal="center" vertical="center"/>
      <protection locked="0"/>
    </xf>
    <xf numFmtId="166" fontId="135" fillId="55" borderId="63" xfId="1" applyFont="1" applyFill="1" applyBorder="1" applyAlignment="1" applyProtection="1">
      <alignment horizontal="center" vertical="center"/>
      <protection locked="0"/>
    </xf>
    <xf numFmtId="0" fontId="140" fillId="27" borderId="6" xfId="0" applyFont="1" applyFill="1" applyBorder="1" applyAlignment="1">
      <alignment horizontal="center" vertical="center" wrapText="1"/>
    </xf>
    <xf numFmtId="0" fontId="140" fillId="27" borderId="7" xfId="0" applyFont="1" applyFill="1" applyBorder="1" applyAlignment="1">
      <alignment horizontal="center" vertical="center" wrapText="1"/>
    </xf>
    <xf numFmtId="0" fontId="140" fillId="27" borderId="37" xfId="0" applyFont="1" applyFill="1" applyBorder="1" applyAlignment="1">
      <alignment horizontal="center" vertical="center" wrapText="1"/>
    </xf>
    <xf numFmtId="0" fontId="140" fillId="27" borderId="38" xfId="0" applyFont="1" applyFill="1" applyBorder="1" applyAlignment="1">
      <alignment horizontal="center" vertical="center" wrapText="1"/>
    </xf>
    <xf numFmtId="10" fontId="134" fillId="29" borderId="6" xfId="3" applyNumberFormat="1" applyFont="1" applyFill="1" applyBorder="1" applyAlignment="1" applyProtection="1">
      <alignment horizontal="center" vertical="center"/>
    </xf>
    <xf numFmtId="10" fontId="134" fillId="29" borderId="7" xfId="3" applyNumberFormat="1" applyFont="1" applyFill="1" applyBorder="1" applyAlignment="1" applyProtection="1">
      <alignment horizontal="center" vertical="center"/>
    </xf>
    <xf numFmtId="10" fontId="136" fillId="29" borderId="0" xfId="0" applyNumberFormat="1" applyFont="1" applyFill="1" applyAlignment="1">
      <alignment horizontal="center" vertical="center"/>
    </xf>
    <xf numFmtId="166" fontId="135" fillId="55" borderId="6" xfId="1" applyFont="1" applyFill="1" applyBorder="1" applyAlignment="1" applyProtection="1">
      <alignment horizontal="center" vertical="center"/>
      <protection locked="0"/>
    </xf>
    <xf numFmtId="166" fontId="135" fillId="55" borderId="7" xfId="1" applyFont="1" applyFill="1" applyBorder="1" applyAlignment="1" applyProtection="1">
      <alignment horizontal="center" vertical="center"/>
      <protection locked="0"/>
    </xf>
    <xf numFmtId="0" fontId="141" fillId="27" borderId="6" xfId="0" applyFont="1" applyFill="1" applyBorder="1" applyAlignment="1">
      <alignment horizontal="center" vertical="center" wrapText="1"/>
    </xf>
    <xf numFmtId="0" fontId="141" fillId="27" borderId="37" xfId="0" applyFont="1" applyFill="1" applyBorder="1" applyAlignment="1">
      <alignment horizontal="center" vertical="center" wrapText="1"/>
    </xf>
    <xf numFmtId="166" fontId="134" fillId="57" borderId="97" xfId="1" applyFont="1" applyFill="1" applyBorder="1" applyAlignment="1" applyProtection="1">
      <alignment horizontal="center" vertical="center"/>
    </xf>
    <xf numFmtId="166" fontId="134" fillId="57" borderId="6" xfId="1" applyFont="1" applyFill="1" applyBorder="1" applyAlignment="1" applyProtection="1">
      <alignment horizontal="center" vertical="center"/>
    </xf>
    <xf numFmtId="166" fontId="135" fillId="96" borderId="1" xfId="1" applyFont="1" applyFill="1" applyBorder="1" applyAlignment="1" applyProtection="1">
      <alignment horizontal="center" vertical="center"/>
      <protection locked="0"/>
    </xf>
    <xf numFmtId="166" fontId="135" fillId="96" borderId="3" xfId="1" applyFont="1" applyFill="1" applyBorder="1" applyAlignment="1" applyProtection="1">
      <alignment horizontal="center" vertical="center"/>
      <protection locked="0"/>
    </xf>
    <xf numFmtId="0" fontId="134" fillId="53" borderId="51" xfId="0" applyFont="1" applyFill="1" applyBorder="1" applyAlignment="1">
      <alignment horizontal="left" vertical="center" indent="1"/>
    </xf>
    <xf numFmtId="0" fontId="134" fillId="53" borderId="1" xfId="0" applyFont="1" applyFill="1" applyBorder="1" applyAlignment="1">
      <alignment horizontal="left" vertical="center" indent="1"/>
    </xf>
    <xf numFmtId="10" fontId="134" fillId="29" borderId="4" xfId="3" applyNumberFormat="1" applyFont="1" applyFill="1" applyBorder="1" applyAlignment="1" applyProtection="1">
      <alignment horizontal="center" vertical="center"/>
    </xf>
    <xf numFmtId="10" fontId="134" fillId="29" borderId="47" xfId="3" applyNumberFormat="1" applyFont="1" applyFill="1" applyBorder="1" applyAlignment="1" applyProtection="1">
      <alignment horizontal="center" vertical="center"/>
    </xf>
    <xf numFmtId="166" fontId="135" fillId="36" borderId="1" xfId="1" applyFont="1" applyFill="1" applyBorder="1" applyAlignment="1" applyProtection="1">
      <alignment horizontal="center" vertical="center"/>
      <protection locked="0"/>
    </xf>
    <xf numFmtId="166" fontId="135" fillId="36" borderId="3" xfId="1" applyFont="1" applyFill="1" applyBorder="1" applyAlignment="1" applyProtection="1">
      <alignment horizontal="center" vertical="center"/>
      <protection locked="0"/>
    </xf>
    <xf numFmtId="0" fontId="138" fillId="58" borderId="51" xfId="0" applyFont="1" applyFill="1" applyBorder="1" applyAlignment="1">
      <alignment horizontal="left" vertical="center" indent="1"/>
    </xf>
    <xf numFmtId="0" fontId="138" fillId="58" borderId="1" xfId="0" applyFont="1" applyFill="1" applyBorder="1" applyAlignment="1">
      <alignment horizontal="left" vertical="center" indent="1"/>
    </xf>
    <xf numFmtId="10" fontId="134" fillId="29" borderId="23" xfId="3" applyNumberFormat="1" applyFont="1" applyFill="1" applyBorder="1" applyAlignment="1" applyProtection="1">
      <alignment horizontal="center" vertical="center"/>
    </xf>
    <xf numFmtId="166" fontId="133" fillId="60" borderId="1" xfId="1" applyFont="1" applyFill="1" applyBorder="1" applyAlignment="1" applyProtection="1">
      <alignment horizontal="left" vertical="center" wrapText="1" indent="1"/>
    </xf>
    <xf numFmtId="166" fontId="133" fillId="60" borderId="24" xfId="1" applyFont="1" applyFill="1" applyBorder="1" applyAlignment="1" applyProtection="1">
      <alignment horizontal="left" vertical="center" wrapText="1" indent="1"/>
    </xf>
    <xf numFmtId="10" fontId="134" fillId="29" borderId="24" xfId="3" applyNumberFormat="1" applyFont="1" applyFill="1" applyBorder="1" applyAlignment="1" applyProtection="1">
      <alignment horizontal="center" vertical="center"/>
    </xf>
    <xf numFmtId="10" fontId="134" fillId="29" borderId="25" xfId="3" applyNumberFormat="1" applyFont="1" applyFill="1" applyBorder="1" applyAlignment="1" applyProtection="1">
      <alignment horizontal="center" vertical="center"/>
    </xf>
    <xf numFmtId="166" fontId="135" fillId="59" borderId="1" xfId="1" applyFont="1" applyFill="1" applyBorder="1" applyAlignment="1" applyProtection="1">
      <alignment horizontal="center" vertical="center"/>
      <protection locked="0"/>
    </xf>
    <xf numFmtId="166" fontId="135" fillId="59" borderId="3" xfId="1" applyFont="1" applyFill="1" applyBorder="1" applyAlignment="1" applyProtection="1">
      <alignment horizontal="center" vertical="center"/>
      <protection locked="0"/>
    </xf>
    <xf numFmtId="166" fontId="134" fillId="43" borderId="51" xfId="1" applyFont="1" applyFill="1" applyBorder="1" applyAlignment="1" applyProtection="1">
      <alignment vertical="center"/>
    </xf>
    <xf numFmtId="166" fontId="134" fillId="43" borderId="1" xfId="1" applyFont="1" applyFill="1" applyBorder="1" applyAlignment="1" applyProtection="1">
      <alignment vertical="center"/>
    </xf>
    <xf numFmtId="0" fontId="139" fillId="29" borderId="0" xfId="0" applyFont="1" applyFill="1" applyAlignment="1">
      <alignment horizontal="left" vertical="center" wrapText="1" indent="1"/>
    </xf>
    <xf numFmtId="0" fontId="204" fillId="0" borderId="96" xfId="0" applyFont="1" applyBorder="1" applyAlignment="1" applyProtection="1">
      <alignment horizontal="center" vertical="center"/>
      <protection locked="0"/>
    </xf>
    <xf numFmtId="0" fontId="204" fillId="0" borderId="62" xfId="0" applyFont="1" applyBorder="1" applyAlignment="1" applyProtection="1">
      <alignment horizontal="center" vertical="center"/>
      <protection locked="0"/>
    </xf>
    <xf numFmtId="0" fontId="204" fillId="0" borderId="81" xfId="0" applyFont="1" applyBorder="1" applyAlignment="1" applyProtection="1">
      <alignment horizontal="center" vertical="center"/>
      <protection locked="0"/>
    </xf>
    <xf numFmtId="166" fontId="135" fillId="20" borderId="1" xfId="1" applyFont="1" applyFill="1" applyBorder="1" applyAlignment="1" applyProtection="1">
      <alignment horizontal="center" vertical="center"/>
      <protection locked="0"/>
    </xf>
    <xf numFmtId="166" fontId="135" fillId="20" borderId="3" xfId="1" applyFont="1" applyFill="1" applyBorder="1" applyAlignment="1" applyProtection="1">
      <alignment horizontal="center" vertical="center"/>
      <protection locked="0"/>
    </xf>
    <xf numFmtId="166" fontId="134" fillId="20" borderId="51" xfId="1" applyFont="1" applyFill="1" applyBorder="1" applyAlignment="1" applyProtection="1">
      <alignment horizontal="left" vertical="center" indent="1"/>
    </xf>
    <xf numFmtId="166" fontId="134" fillId="20" borderId="1" xfId="1" applyFont="1" applyFill="1" applyBorder="1" applyAlignment="1" applyProtection="1">
      <alignment horizontal="left" vertical="center" indent="1"/>
    </xf>
    <xf numFmtId="166" fontId="135" fillId="55" borderId="99" xfId="1" applyFont="1" applyFill="1" applyBorder="1" applyAlignment="1" applyProtection="1">
      <alignment horizontal="center" vertical="center"/>
      <protection locked="0"/>
    </xf>
    <xf numFmtId="166" fontId="135" fillId="55" borderId="104" xfId="1" applyFont="1" applyFill="1" applyBorder="1" applyAlignment="1" applyProtection="1">
      <alignment horizontal="center" vertical="center"/>
      <protection locked="0"/>
    </xf>
    <xf numFmtId="166" fontId="135" fillId="55" borderId="64" xfId="1" applyFont="1" applyFill="1" applyBorder="1" applyAlignment="1" applyProtection="1">
      <alignment horizontal="center" vertical="center"/>
      <protection locked="0"/>
    </xf>
    <xf numFmtId="166" fontId="135" fillId="55" borderId="53" xfId="1" applyFont="1" applyFill="1" applyBorder="1" applyAlignment="1" applyProtection="1">
      <alignment horizontal="center" vertical="center"/>
      <protection locked="0"/>
    </xf>
    <xf numFmtId="166" fontId="135" fillId="55" borderId="82" xfId="1" applyFont="1" applyFill="1" applyBorder="1" applyAlignment="1" applyProtection="1">
      <alignment horizontal="center" vertical="center"/>
      <protection locked="0"/>
    </xf>
    <xf numFmtId="166" fontId="135" fillId="55" borderId="42" xfId="1" applyFont="1" applyFill="1" applyBorder="1" applyAlignment="1" applyProtection="1">
      <alignment horizontal="center" vertical="center"/>
      <protection locked="0"/>
    </xf>
    <xf numFmtId="0" fontId="134" fillId="29" borderId="2" xfId="0" applyFont="1" applyFill="1" applyBorder="1" applyAlignment="1">
      <alignment horizontal="center" vertical="center"/>
    </xf>
    <xf numFmtId="0" fontId="134" fillId="29" borderId="3" xfId="0" applyFont="1" applyFill="1" applyBorder="1" applyAlignment="1">
      <alignment horizontal="right" vertical="center" wrapText="1" indent="1"/>
    </xf>
    <xf numFmtId="0" fontId="134" fillId="29" borderId="25" xfId="0" applyFont="1" applyFill="1" applyBorder="1" applyAlignment="1">
      <alignment horizontal="right" vertical="center" indent="1"/>
    </xf>
    <xf numFmtId="0" fontId="134" fillId="29" borderId="19" xfId="0" applyFont="1" applyFill="1" applyBorder="1" applyAlignment="1">
      <alignment horizontal="center" vertical="center"/>
    </xf>
    <xf numFmtId="166" fontId="134" fillId="57" borderId="68" xfId="1" applyFont="1" applyFill="1" applyBorder="1" applyAlignment="1" applyProtection="1">
      <alignment horizontal="center" vertical="center"/>
    </xf>
    <xf numFmtId="166" fontId="134" fillId="57" borderId="24" xfId="1" applyFont="1" applyFill="1" applyBorder="1" applyAlignment="1" applyProtection="1">
      <alignment horizontal="center" vertical="center"/>
    </xf>
    <xf numFmtId="166" fontId="135" fillId="55" borderId="61" xfId="1" applyFont="1" applyFill="1" applyBorder="1" applyAlignment="1" applyProtection="1">
      <alignment horizontal="center" vertical="center"/>
      <protection locked="0"/>
    </xf>
    <xf numFmtId="166" fontId="135" fillId="55" borderId="98" xfId="1" applyFont="1" applyFill="1" applyBorder="1" applyAlignment="1" applyProtection="1">
      <alignment horizontal="center" vertical="center"/>
      <protection locked="0"/>
    </xf>
    <xf numFmtId="166" fontId="135" fillId="55" borderId="23" xfId="1" applyFont="1" applyFill="1" applyBorder="1" applyAlignment="1" applyProtection="1">
      <alignment horizontal="center" vertical="center"/>
      <protection locked="0"/>
    </xf>
    <xf numFmtId="166" fontId="135" fillId="55" borderId="103" xfId="1" applyFont="1" applyFill="1" applyBorder="1" applyAlignment="1" applyProtection="1">
      <alignment horizontal="center" vertical="center"/>
      <protection locked="0"/>
    </xf>
    <xf numFmtId="166" fontId="135" fillId="55" borderId="100" xfId="1" applyFont="1" applyFill="1" applyBorder="1" applyAlignment="1" applyProtection="1">
      <alignment horizontal="center" vertical="center"/>
      <protection locked="0"/>
    </xf>
    <xf numFmtId="166" fontId="135" fillId="55" borderId="102" xfId="1" applyFont="1" applyFill="1" applyBorder="1" applyAlignment="1" applyProtection="1">
      <alignment horizontal="center" vertical="center"/>
      <protection locked="0"/>
    </xf>
    <xf numFmtId="166" fontId="135" fillId="55" borderId="101" xfId="1" applyFont="1" applyFill="1" applyBorder="1" applyAlignment="1" applyProtection="1">
      <alignment horizontal="center" vertical="center"/>
      <protection locked="0"/>
    </xf>
    <xf numFmtId="166" fontId="135" fillId="61" borderId="23" xfId="1" applyFont="1" applyFill="1" applyBorder="1" applyAlignment="1" applyProtection="1">
      <alignment horizontal="center" vertical="center"/>
      <protection locked="0"/>
    </xf>
    <xf numFmtId="166" fontId="135" fillId="61" borderId="103" xfId="1" applyFont="1" applyFill="1" applyBorder="1" applyAlignment="1" applyProtection="1">
      <alignment horizontal="center" vertical="center"/>
      <protection locked="0"/>
    </xf>
    <xf numFmtId="166" fontId="135" fillId="36" borderId="23" xfId="1" applyFont="1" applyFill="1" applyBorder="1" applyAlignment="1" applyProtection="1">
      <alignment horizontal="center" vertical="center"/>
      <protection locked="0"/>
    </xf>
    <xf numFmtId="166" fontId="135" fillId="36" borderId="103" xfId="1" applyFont="1" applyFill="1" applyBorder="1" applyAlignment="1" applyProtection="1">
      <alignment horizontal="center" vertical="center"/>
      <protection locked="0"/>
    </xf>
    <xf numFmtId="166" fontId="135" fillId="59" borderId="23" xfId="1" applyFont="1" applyFill="1" applyBorder="1" applyAlignment="1" applyProtection="1">
      <alignment horizontal="center" vertical="center"/>
      <protection locked="0"/>
    </xf>
    <xf numFmtId="166" fontId="135" fillId="59" borderId="103" xfId="1" applyFont="1" applyFill="1" applyBorder="1" applyAlignment="1" applyProtection="1">
      <alignment horizontal="center" vertical="center"/>
      <protection locked="0"/>
    </xf>
    <xf numFmtId="166" fontId="135" fillId="34" borderId="23" xfId="1" applyFont="1" applyFill="1" applyBorder="1" applyAlignment="1" applyProtection="1">
      <alignment horizontal="center" vertical="center"/>
      <protection locked="0"/>
    </xf>
    <xf numFmtId="166" fontId="135" fillId="34" borderId="103" xfId="1" applyFont="1" applyFill="1" applyBorder="1" applyAlignment="1" applyProtection="1">
      <alignment horizontal="center" vertical="center"/>
      <protection locked="0"/>
    </xf>
    <xf numFmtId="0" fontId="64" fillId="0" borderId="1" xfId="0" applyFont="1" applyBorder="1" applyAlignment="1">
      <alignment horizontal="center" vertical="center" wrapText="1"/>
    </xf>
    <xf numFmtId="0" fontId="64" fillId="3" borderId="1" xfId="0" applyFont="1" applyFill="1" applyBorder="1" applyAlignment="1">
      <alignment horizontal="center" vertical="center"/>
    </xf>
    <xf numFmtId="0" fontId="64" fillId="0" borderId="24" xfId="0" applyFont="1" applyBorder="1" applyAlignment="1">
      <alignment horizontal="center" vertical="center" wrapText="1"/>
    </xf>
    <xf numFmtId="0" fontId="64" fillId="3" borderId="24" xfId="0" applyFont="1" applyFill="1" applyBorder="1" applyAlignment="1">
      <alignment horizontal="center" vertical="center"/>
    </xf>
    <xf numFmtId="0" fontId="37" fillId="11" borderId="10" xfId="0" applyFont="1" applyFill="1" applyBorder="1" applyAlignment="1">
      <alignment horizontal="center" vertical="center" wrapText="1"/>
    </xf>
    <xf numFmtId="0" fontId="37" fillId="11" borderId="20" xfId="0" applyFont="1" applyFill="1" applyBorder="1" applyAlignment="1">
      <alignment horizontal="center" vertical="center" wrapText="1"/>
    </xf>
    <xf numFmtId="0" fontId="170" fillId="11" borderId="96" xfId="0" applyFont="1" applyFill="1" applyBorder="1" applyAlignment="1">
      <alignment horizontal="center" vertical="center" wrapText="1"/>
    </xf>
    <xf numFmtId="0" fontId="170" fillId="11" borderId="80" xfId="0" applyFont="1" applyFill="1" applyBorder="1" applyAlignment="1">
      <alignment horizontal="center" vertical="center" wrapText="1"/>
    </xf>
    <xf numFmtId="0" fontId="175" fillId="11" borderId="39" xfId="0" applyFont="1" applyFill="1" applyBorder="1" applyAlignment="1">
      <alignment horizontal="center" vertical="center" wrapText="1"/>
    </xf>
    <xf numFmtId="0" fontId="175" fillId="11" borderId="0" xfId="0" applyFont="1" applyFill="1" applyAlignment="1">
      <alignment horizontal="center" vertical="center" wrapText="1"/>
    </xf>
    <xf numFmtId="0" fontId="263" fillId="103" borderId="99" xfId="0" applyFont="1" applyFill="1" applyBorder="1" applyAlignment="1">
      <alignment horizontal="center" vertical="center" wrapText="1"/>
    </xf>
    <xf numFmtId="0" fontId="263" fillId="103" borderId="64" xfId="0" applyFont="1" applyFill="1" applyBorder="1" applyAlignment="1">
      <alignment horizontal="center" vertical="center" wrapText="1"/>
    </xf>
    <xf numFmtId="0" fontId="39" fillId="50" borderId="41" xfId="0" applyFont="1" applyFill="1" applyBorder="1" applyAlignment="1">
      <alignment horizontal="center" vertical="center" wrapText="1"/>
    </xf>
    <xf numFmtId="3" fontId="172" fillId="11" borderId="41" xfId="0" applyNumberFormat="1" applyFont="1" applyFill="1" applyBorder="1" applyAlignment="1">
      <alignment horizontal="left" vertical="top" wrapText="1"/>
    </xf>
    <xf numFmtId="3" fontId="172" fillId="11" borderId="44" xfId="0" applyNumberFormat="1" applyFont="1" applyFill="1" applyBorder="1" applyAlignment="1">
      <alignment horizontal="left" vertical="top" wrapText="1"/>
    </xf>
    <xf numFmtId="8" fontId="114" fillId="18" borderId="41" xfId="1" applyNumberFormat="1" applyFont="1" applyFill="1" applyBorder="1" applyAlignment="1">
      <alignment horizontal="center" vertical="center"/>
    </xf>
    <xf numFmtId="8" fontId="114" fillId="18" borderId="44" xfId="1" applyNumberFormat="1" applyFont="1" applyFill="1" applyBorder="1" applyAlignment="1">
      <alignment horizontal="center" vertical="center"/>
    </xf>
    <xf numFmtId="166" fontId="137" fillId="27" borderId="37" xfId="1" applyFont="1" applyFill="1" applyBorder="1" applyAlignment="1">
      <alignment horizontal="center" vertical="center"/>
    </xf>
    <xf numFmtId="166" fontId="137" fillId="27" borderId="44" xfId="1" applyFont="1" applyFill="1" applyBorder="1" applyAlignment="1">
      <alignment horizontal="center" vertical="center"/>
    </xf>
    <xf numFmtId="166" fontId="89" fillId="46" borderId="37" xfId="1" applyFont="1" applyFill="1" applyBorder="1" applyAlignment="1">
      <alignment horizontal="center" vertical="center"/>
    </xf>
    <xf numFmtId="166" fontId="89" fillId="46" borderId="44" xfId="1" applyFont="1" applyFill="1" applyBorder="1" applyAlignment="1">
      <alignment horizontal="center" vertical="center"/>
    </xf>
    <xf numFmtId="177" fontId="89" fillId="46" borderId="37" xfId="0" applyNumberFormat="1" applyFont="1" applyFill="1" applyBorder="1" applyAlignment="1">
      <alignment horizontal="center" vertical="center"/>
    </xf>
    <xf numFmtId="177" fontId="89" fillId="46" borderId="44" xfId="0" applyNumberFormat="1" applyFont="1" applyFill="1" applyBorder="1" applyAlignment="1">
      <alignment horizontal="center" vertical="center"/>
    </xf>
    <xf numFmtId="0" fontId="263" fillId="103" borderId="39" xfId="0" applyFont="1" applyFill="1" applyBorder="1" applyAlignment="1">
      <alignment horizontal="center" vertical="center" wrapText="1"/>
    </xf>
    <xf numFmtId="0" fontId="263" fillId="103" borderId="20" xfId="0" applyFont="1" applyFill="1" applyBorder="1" applyAlignment="1">
      <alignment horizontal="center" vertical="center" wrapText="1"/>
    </xf>
    <xf numFmtId="0" fontId="194" fillId="24" borderId="0" xfId="0" applyFont="1" applyFill="1" applyAlignment="1">
      <alignment horizontal="center" vertical="center" wrapText="1"/>
    </xf>
    <xf numFmtId="0" fontId="194" fillId="24" borderId="0" xfId="0" applyFont="1" applyFill="1" applyAlignment="1">
      <alignment horizontal="center" vertical="center"/>
    </xf>
    <xf numFmtId="0" fontId="188" fillId="22" borderId="0" xfId="0" applyFont="1" applyFill="1" applyAlignment="1">
      <alignment horizontal="left" vertical="center" wrapText="1"/>
    </xf>
  </cellXfs>
  <cellStyles count="14">
    <cellStyle name="Moeda" xfId="1" builtinId="4"/>
    <cellStyle name="Moeda 3" xfId="10" xr:uid="{00000000-0005-0000-0000-000002000000}"/>
    <cellStyle name="Moeda 6" xfId="12" xr:uid="{00000000-0005-0000-0000-000003000000}"/>
    <cellStyle name="Normal" xfId="0" builtinId="0"/>
    <cellStyle name="Normal 2" xfId="11" xr:uid="{00000000-0005-0000-0000-000005000000}"/>
    <cellStyle name="Normal 2 2" xfId="5" xr:uid="{00000000-0005-0000-0000-000006000000}"/>
    <cellStyle name="Normal 2 3" xfId="8" xr:uid="{00000000-0005-0000-0000-000007000000}"/>
    <cellStyle name="Normal 2 6" xfId="13" xr:uid="{00000000-0005-0000-0000-000008000000}"/>
    <cellStyle name="Normal 3" xfId="7" xr:uid="{00000000-0005-0000-0000-000009000000}"/>
    <cellStyle name="Normal 6" xfId="2" xr:uid="{00000000-0005-0000-0000-00000A000000}"/>
    <cellStyle name="Normal 6 2" xfId="6" xr:uid="{00000000-0005-0000-0000-00000B000000}"/>
    <cellStyle name="Normal 6 3" xfId="9" xr:uid="{00000000-0005-0000-0000-00000C000000}"/>
    <cellStyle name="Porcentagem" xfId="3" builtinId="5"/>
    <cellStyle name="Vírgula" xfId="4" builtinId="3"/>
  </cellStyles>
  <dxfs count="100">
    <dxf>
      <font>
        <color theme="0"/>
      </font>
    </dxf>
    <dxf>
      <font>
        <color theme="0"/>
      </font>
    </dxf>
    <dxf>
      <fill>
        <patternFill>
          <bgColor rgb="FFEAEAEA"/>
        </patternFill>
      </fill>
    </dxf>
    <dxf>
      <fill>
        <patternFill>
          <bgColor rgb="FF00FF00"/>
        </patternFill>
      </fill>
    </dxf>
    <dxf>
      <font>
        <color rgb="FFFFFF00"/>
      </font>
      <fill>
        <patternFill>
          <bgColor rgb="FFFF0000"/>
        </patternFill>
      </fill>
    </dxf>
    <dxf>
      <fill>
        <patternFill>
          <bgColor rgb="FF00FF00"/>
        </patternFill>
      </fill>
    </dxf>
    <dxf>
      <font>
        <color rgb="FFFFFF00"/>
      </font>
      <fill>
        <patternFill>
          <bgColor rgb="FFFF0000"/>
        </patternFill>
      </fill>
    </dxf>
    <dxf>
      <fill>
        <patternFill>
          <bgColor rgb="FFFF66FF"/>
        </patternFill>
      </fill>
    </dxf>
    <dxf>
      <fill>
        <patternFill>
          <bgColor rgb="FF0070C0"/>
        </patternFill>
      </fill>
    </dxf>
    <dxf>
      <fill>
        <patternFill>
          <bgColor rgb="FF0070C0"/>
        </patternFill>
      </fill>
    </dxf>
    <dxf>
      <fill>
        <patternFill>
          <bgColor rgb="FF0070C0"/>
        </patternFill>
      </fill>
    </dxf>
    <dxf>
      <fill>
        <patternFill>
          <bgColor rgb="FF0070C0"/>
        </patternFill>
      </fill>
    </dxf>
    <dxf>
      <font>
        <b/>
        <i val="0"/>
        <color rgb="FFFFFF00"/>
      </font>
      <fill>
        <patternFill>
          <bgColor rgb="FF002060"/>
        </patternFill>
      </fill>
    </dxf>
    <dxf>
      <font>
        <color theme="0" tint="-0.34998626667073579"/>
      </font>
    </dxf>
    <dxf>
      <font>
        <color rgb="FFFFFF00"/>
      </font>
      <fill>
        <patternFill>
          <bgColor rgb="FF080808"/>
        </patternFill>
      </fill>
    </dxf>
    <dxf>
      <font>
        <color rgb="FFFFFF00"/>
      </font>
      <fill>
        <patternFill>
          <bgColor rgb="FF080808"/>
        </patternFill>
      </fill>
    </dxf>
    <dxf>
      <font>
        <color rgb="FFFFFF00"/>
      </font>
      <fill>
        <patternFill>
          <bgColor rgb="FF080808"/>
        </patternFill>
      </fill>
    </dxf>
    <dxf>
      <font>
        <color rgb="FFFFFF00"/>
      </font>
      <fill>
        <patternFill>
          <bgColor rgb="FF080808"/>
        </patternFill>
      </fill>
    </dxf>
    <dxf>
      <fill>
        <patternFill>
          <bgColor rgb="FF00FF00"/>
        </patternFill>
      </fill>
    </dxf>
    <dxf>
      <fill>
        <patternFill>
          <bgColor rgb="FF00FF00"/>
        </patternFill>
      </fill>
    </dxf>
    <dxf>
      <fill>
        <patternFill>
          <bgColor rgb="FF00FF00"/>
        </patternFill>
      </fill>
    </dxf>
    <dxf>
      <fill>
        <patternFill>
          <bgColor rgb="FF00FF00"/>
        </patternFill>
      </fill>
    </dxf>
    <dxf>
      <font>
        <color rgb="FFFFFF00"/>
      </font>
      <fill>
        <patternFill>
          <bgColor rgb="FFC00000"/>
        </patternFill>
      </fill>
    </dxf>
    <dxf>
      <font>
        <color theme="1"/>
      </font>
      <fill>
        <patternFill>
          <bgColor rgb="FF00FF00"/>
        </patternFill>
      </fill>
    </dxf>
    <dxf>
      <fill>
        <patternFill>
          <bgColor theme="9"/>
        </patternFill>
      </fill>
    </dxf>
    <dxf>
      <font>
        <color theme="0"/>
      </font>
    </dxf>
    <dxf>
      <font>
        <color theme="0"/>
      </font>
    </dxf>
    <dxf>
      <font>
        <b/>
        <i val="0"/>
        <color rgb="FFFFC000"/>
      </font>
      <fill>
        <patternFill>
          <bgColor theme="1" tint="0.14996795556505021"/>
        </patternFill>
      </fill>
    </dxf>
    <dxf>
      <font>
        <b/>
        <i val="0"/>
      </font>
      <fill>
        <patternFill>
          <bgColor rgb="FF00B050"/>
        </patternFill>
      </fill>
    </dxf>
    <dxf>
      <font>
        <b/>
        <i val="0"/>
      </font>
      <fill>
        <patternFill>
          <bgColor rgb="FF00B0F0"/>
        </patternFill>
      </fill>
    </dxf>
    <dxf>
      <font>
        <color rgb="FFFFFF00"/>
      </font>
      <fill>
        <patternFill>
          <bgColor rgb="FFC00000"/>
        </patternFill>
      </fill>
    </dxf>
    <dxf>
      <font>
        <color theme="1"/>
      </font>
      <fill>
        <patternFill>
          <bgColor rgb="FF00D000"/>
        </patternFill>
      </fill>
    </dxf>
    <dxf>
      <font>
        <b/>
        <i val="0"/>
        <color rgb="FF0000FF"/>
      </font>
      <fill>
        <patternFill>
          <bgColor rgb="FF00FF00"/>
        </patternFill>
      </fill>
    </dxf>
    <dxf>
      <fill>
        <patternFill>
          <bgColor theme="0"/>
        </patternFill>
      </fill>
    </dxf>
    <dxf>
      <font>
        <color theme="0"/>
      </font>
    </dxf>
    <dxf>
      <font>
        <color theme="0"/>
      </font>
    </dxf>
    <dxf>
      <font>
        <b/>
        <i val="0"/>
        <color rgb="FFFFFF00"/>
      </font>
      <fill>
        <patternFill>
          <bgColor rgb="FFFF0000"/>
        </patternFill>
      </fill>
    </dxf>
    <dxf>
      <font>
        <b/>
        <i val="0"/>
      </font>
      <fill>
        <patternFill>
          <bgColor rgb="FF00FF00"/>
        </patternFill>
      </fill>
    </dxf>
    <dxf>
      <font>
        <b/>
        <i val="0"/>
      </font>
      <fill>
        <patternFill>
          <bgColor rgb="FF00B0F0"/>
        </patternFill>
      </fill>
    </dxf>
    <dxf>
      <font>
        <b/>
        <i val="0"/>
        <color rgb="FFFFFF00"/>
      </font>
      <fill>
        <patternFill>
          <bgColor rgb="FF0000FF"/>
        </patternFill>
      </fill>
    </dxf>
    <dxf>
      <font>
        <b/>
        <i val="0"/>
        <color rgb="FFFFFF00"/>
      </font>
      <fill>
        <patternFill>
          <bgColor rgb="FFFF0000"/>
        </patternFill>
      </fill>
    </dxf>
    <dxf>
      <font>
        <b/>
        <i val="0"/>
      </font>
      <fill>
        <patternFill>
          <bgColor rgb="FF00FF00"/>
        </patternFill>
      </fill>
    </dxf>
    <dxf>
      <font>
        <color theme="0" tint="-4.9989318521683403E-2"/>
      </font>
      <fill>
        <patternFill>
          <bgColor rgb="FF002060"/>
        </patternFill>
      </fill>
    </dxf>
    <dxf>
      <font>
        <color rgb="FFFFC000"/>
      </font>
      <fill>
        <patternFill>
          <bgColor theme="3" tint="-0.499984740745262"/>
        </patternFill>
      </fill>
    </dxf>
    <dxf>
      <font>
        <color rgb="FFFFC000"/>
      </font>
      <fill>
        <patternFill>
          <bgColor rgb="FF002060"/>
        </patternFill>
      </fill>
    </dxf>
    <dxf>
      <font>
        <color rgb="FFFFFF00"/>
      </font>
      <fill>
        <patternFill>
          <bgColor rgb="FF002060"/>
        </patternFill>
      </fill>
    </dxf>
    <dxf>
      <font>
        <color rgb="FFFFC000"/>
      </font>
      <fill>
        <patternFill>
          <bgColor theme="3" tint="-0.499984740745262"/>
        </patternFill>
      </fill>
    </dxf>
    <dxf>
      <font>
        <color rgb="FFFFFF00"/>
      </font>
      <fill>
        <patternFill>
          <bgColor rgb="FF002060"/>
        </patternFill>
      </fill>
    </dxf>
    <dxf>
      <font>
        <color rgb="FFFFC000"/>
      </font>
      <fill>
        <patternFill>
          <bgColor rgb="FF002060"/>
        </patternFill>
      </fill>
    </dxf>
    <dxf>
      <font>
        <color rgb="FFFFC000"/>
      </font>
      <fill>
        <patternFill>
          <bgColor rgb="FF002060"/>
        </patternFill>
      </fill>
    </dxf>
    <dxf>
      <font>
        <color rgb="FFFFC000"/>
      </font>
      <fill>
        <patternFill>
          <bgColor theme="3" tint="-0.499984740745262"/>
        </patternFill>
      </fill>
    </dxf>
    <dxf>
      <font>
        <color rgb="FFFFC000"/>
      </font>
      <fill>
        <patternFill>
          <bgColor rgb="FF002060"/>
        </patternFill>
      </fill>
    </dxf>
    <dxf>
      <fill>
        <patternFill>
          <bgColor rgb="FF00FF00"/>
        </patternFill>
      </fill>
    </dxf>
    <dxf>
      <font>
        <color rgb="FFFFFF00"/>
      </font>
      <fill>
        <patternFill>
          <fgColor theme="0"/>
          <bgColor rgb="FFC00000"/>
        </patternFill>
      </fill>
    </dxf>
    <dxf>
      <font>
        <color theme="0" tint="-4.9989318521683403E-2"/>
      </font>
      <fill>
        <patternFill>
          <bgColor rgb="FF002060"/>
        </patternFill>
      </fill>
    </dxf>
    <dxf>
      <font>
        <color theme="0"/>
      </font>
      <fill>
        <patternFill>
          <bgColor rgb="FF0066FF"/>
        </patternFill>
      </fill>
    </dxf>
    <dxf>
      <font>
        <b/>
        <i/>
        <color theme="0"/>
      </font>
      <fill>
        <patternFill>
          <bgColor rgb="FF00B0F0"/>
        </patternFill>
      </fill>
    </dxf>
    <dxf>
      <font>
        <b/>
        <i/>
        <color rgb="FFFFFF00"/>
      </font>
      <fill>
        <patternFill>
          <bgColor rgb="FFFF0000"/>
        </patternFill>
      </fill>
    </dxf>
    <dxf>
      <font>
        <b/>
        <i/>
        <color theme="0"/>
      </font>
      <fill>
        <patternFill>
          <bgColor theme="2" tint="-0.499984740745262"/>
        </patternFill>
      </fill>
    </dxf>
    <dxf>
      <font>
        <b/>
        <i/>
        <color theme="1"/>
      </font>
      <fill>
        <patternFill>
          <bgColor rgb="FFFF9933"/>
        </patternFill>
      </fill>
    </dxf>
    <dxf>
      <font>
        <b/>
        <i/>
        <color theme="2"/>
      </font>
      <fill>
        <patternFill>
          <bgColor rgb="FF002060"/>
        </patternFill>
      </fill>
    </dxf>
    <dxf>
      <font>
        <color rgb="FFFFFF00"/>
      </font>
      <fill>
        <patternFill>
          <bgColor theme="1" tint="0.24994659260841701"/>
        </patternFill>
      </fill>
    </dxf>
    <dxf>
      <font>
        <color rgb="FFFFFF00"/>
      </font>
      <fill>
        <patternFill>
          <bgColor theme="1" tint="0.24994659260841701"/>
        </patternFill>
      </fill>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2"/>
        <color theme="2"/>
        <name val="Calibri"/>
        <scheme val="none"/>
      </font>
      <fill>
        <patternFill patternType="solid">
          <fgColor indexed="64"/>
          <bgColor theme="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theme="2"/>
        <name val="Calibri"/>
        <scheme val="none"/>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2"/>
        <name val="Calibri"/>
        <scheme val="none"/>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2"/>
        <name val="Calibri"/>
        <scheme val="none"/>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2"/>
        <name val="Calibri"/>
        <scheme val="none"/>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2"/>
        <name val="Calibri"/>
        <scheme val="none"/>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2"/>
        <name val="Calibri"/>
        <scheme val="none"/>
      </font>
      <fill>
        <patternFill patternType="solid">
          <fgColor indexed="64"/>
          <bgColor theme="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Arial Narrow"/>
        <scheme val="none"/>
      </font>
      <numFmt numFmtId="185" formatCode="00"/>
      <fill>
        <patternFill patternType="solid">
          <fgColor indexed="64"/>
          <bgColor theme="1"/>
        </patternFill>
      </fill>
      <alignment horizontal="center" vertical="center" textRotation="0" wrapText="0"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0"/>
        <color theme="0"/>
        <name val="Trebuchet MS"/>
        <scheme val="none"/>
      </font>
      <fill>
        <patternFill patternType="solid">
          <fgColor indexed="64"/>
          <bgColor theme="1"/>
        </patternFill>
      </fill>
      <alignment horizontal="center" vertical="center" textRotation="0" wrapText="1"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FF33"/>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AC00"/>
      <color rgb="FF00FFFF"/>
      <color rgb="FFCCCC00"/>
      <color rgb="FF2E002E"/>
      <color rgb="FF660066"/>
      <color rgb="FF66FFCC"/>
      <color rgb="FF66FF33"/>
      <color rgb="FFC198E0"/>
      <color rgb="FF0000FF"/>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jpeg"/><Relationship Id="rId7" Type="http://schemas.openxmlformats.org/officeDocument/2006/relationships/image" Target="../media/image6.png"/><Relationship Id="rId12" Type="http://schemas.openxmlformats.org/officeDocument/2006/relationships/image" Target="../media/image12.jpeg"/><Relationship Id="rId2" Type="http://schemas.openxmlformats.org/officeDocument/2006/relationships/image" Target="../media/image5.png"/><Relationship Id="rId1" Type="http://schemas.openxmlformats.org/officeDocument/2006/relationships/image" Target="../media/image2.jpeg"/><Relationship Id="rId6" Type="http://schemas.openxmlformats.org/officeDocument/2006/relationships/image" Target="../media/image4.jpeg"/><Relationship Id="rId11" Type="http://schemas.openxmlformats.org/officeDocument/2006/relationships/image" Target="../media/image11.jpeg"/><Relationship Id="rId5" Type="http://schemas.openxmlformats.org/officeDocument/2006/relationships/image" Target="../media/image7.png"/><Relationship Id="rId10" Type="http://schemas.openxmlformats.org/officeDocument/2006/relationships/image" Target="../media/image10.png"/><Relationship Id="rId4" Type="http://schemas.openxmlformats.org/officeDocument/2006/relationships/image" Target="../media/image1.png"/><Relationship Id="rId9" Type="http://schemas.openxmlformats.org/officeDocument/2006/relationships/image" Target="../media/image9.jpeg"/><Relationship Id="rId14" Type="http://schemas.openxmlformats.org/officeDocument/2006/relationships/image" Target="../media/image1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60</xdr:col>
      <xdr:colOff>1119187</xdr:colOff>
      <xdr:row>5</xdr:row>
      <xdr:rowOff>130969</xdr:rowOff>
    </xdr:from>
    <xdr:to>
      <xdr:col>61</xdr:col>
      <xdr:colOff>107156</xdr:colOff>
      <xdr:row>5</xdr:row>
      <xdr:rowOff>297656</xdr:rowOff>
    </xdr:to>
    <xdr:sp macro="" textlink="">
      <xdr:nvSpPr>
        <xdr:cNvPr id="3" name="Seta para a direita 2">
          <a:extLst>
            <a:ext uri="{FF2B5EF4-FFF2-40B4-BE49-F238E27FC236}">
              <a16:creationId xmlns:a16="http://schemas.microsoft.com/office/drawing/2014/main" id="{00000000-0008-0000-0500-000003000000}"/>
            </a:ext>
          </a:extLst>
        </xdr:cNvPr>
        <xdr:cNvSpPr/>
      </xdr:nvSpPr>
      <xdr:spPr>
        <a:xfrm>
          <a:off x="38635781" y="2226469"/>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61</xdr:col>
      <xdr:colOff>1104900</xdr:colOff>
      <xdr:row>5</xdr:row>
      <xdr:rowOff>140494</xdr:rowOff>
    </xdr:from>
    <xdr:to>
      <xdr:col>62</xdr:col>
      <xdr:colOff>92869</xdr:colOff>
      <xdr:row>5</xdr:row>
      <xdr:rowOff>307181</xdr:rowOff>
    </xdr:to>
    <xdr:sp macro="" textlink="">
      <xdr:nvSpPr>
        <xdr:cNvPr id="4" name="Seta para a direita 3">
          <a:extLst>
            <a:ext uri="{FF2B5EF4-FFF2-40B4-BE49-F238E27FC236}">
              <a16:creationId xmlns:a16="http://schemas.microsoft.com/office/drawing/2014/main" id="{00000000-0008-0000-0500-000004000000}"/>
            </a:ext>
          </a:extLst>
        </xdr:cNvPr>
        <xdr:cNvSpPr/>
      </xdr:nvSpPr>
      <xdr:spPr>
        <a:xfrm>
          <a:off x="39812119" y="2235994"/>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60</xdr:col>
      <xdr:colOff>1116806</xdr:colOff>
      <xdr:row>6</xdr:row>
      <xdr:rowOff>152401</xdr:rowOff>
    </xdr:from>
    <xdr:to>
      <xdr:col>61</xdr:col>
      <xdr:colOff>104775</xdr:colOff>
      <xdr:row>6</xdr:row>
      <xdr:rowOff>319088</xdr:rowOff>
    </xdr:to>
    <xdr:sp macro="" textlink="">
      <xdr:nvSpPr>
        <xdr:cNvPr id="5" name="Seta para a direita 4">
          <a:extLst>
            <a:ext uri="{FF2B5EF4-FFF2-40B4-BE49-F238E27FC236}">
              <a16:creationId xmlns:a16="http://schemas.microsoft.com/office/drawing/2014/main" id="{00000000-0008-0000-0500-000005000000}"/>
            </a:ext>
          </a:extLst>
        </xdr:cNvPr>
        <xdr:cNvSpPr/>
      </xdr:nvSpPr>
      <xdr:spPr>
        <a:xfrm>
          <a:off x="38633400" y="2688432"/>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60</xdr:col>
      <xdr:colOff>1114425</xdr:colOff>
      <xdr:row>7</xdr:row>
      <xdr:rowOff>161926</xdr:rowOff>
    </xdr:from>
    <xdr:to>
      <xdr:col>61</xdr:col>
      <xdr:colOff>102394</xdr:colOff>
      <xdr:row>7</xdr:row>
      <xdr:rowOff>328613</xdr:rowOff>
    </xdr:to>
    <xdr:sp macro="" textlink="">
      <xdr:nvSpPr>
        <xdr:cNvPr id="6" name="Seta para a direita 5">
          <a:extLst>
            <a:ext uri="{FF2B5EF4-FFF2-40B4-BE49-F238E27FC236}">
              <a16:creationId xmlns:a16="http://schemas.microsoft.com/office/drawing/2014/main" id="{00000000-0008-0000-0500-000006000000}"/>
            </a:ext>
          </a:extLst>
        </xdr:cNvPr>
        <xdr:cNvSpPr/>
      </xdr:nvSpPr>
      <xdr:spPr>
        <a:xfrm>
          <a:off x="38631019" y="3138489"/>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60</xdr:col>
      <xdr:colOff>1131094</xdr:colOff>
      <xdr:row>8</xdr:row>
      <xdr:rowOff>142878</xdr:rowOff>
    </xdr:from>
    <xdr:to>
      <xdr:col>61</xdr:col>
      <xdr:colOff>119063</xdr:colOff>
      <xdr:row>8</xdr:row>
      <xdr:rowOff>309565</xdr:rowOff>
    </xdr:to>
    <xdr:sp macro="" textlink="">
      <xdr:nvSpPr>
        <xdr:cNvPr id="9" name="Seta para a direita 8">
          <a:extLst>
            <a:ext uri="{FF2B5EF4-FFF2-40B4-BE49-F238E27FC236}">
              <a16:creationId xmlns:a16="http://schemas.microsoft.com/office/drawing/2014/main" id="{00000000-0008-0000-0500-000009000000}"/>
            </a:ext>
          </a:extLst>
        </xdr:cNvPr>
        <xdr:cNvSpPr/>
      </xdr:nvSpPr>
      <xdr:spPr>
        <a:xfrm>
          <a:off x="38647688" y="4441034"/>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60</xdr:col>
      <xdr:colOff>1116807</xdr:colOff>
      <xdr:row>9</xdr:row>
      <xdr:rowOff>140496</xdr:rowOff>
    </xdr:from>
    <xdr:to>
      <xdr:col>61</xdr:col>
      <xdr:colOff>104776</xdr:colOff>
      <xdr:row>9</xdr:row>
      <xdr:rowOff>307183</xdr:rowOff>
    </xdr:to>
    <xdr:sp macro="" textlink="">
      <xdr:nvSpPr>
        <xdr:cNvPr id="10" name="Seta para a direita 9">
          <a:extLst>
            <a:ext uri="{FF2B5EF4-FFF2-40B4-BE49-F238E27FC236}">
              <a16:creationId xmlns:a16="http://schemas.microsoft.com/office/drawing/2014/main" id="{00000000-0008-0000-0500-00000A000000}"/>
            </a:ext>
          </a:extLst>
        </xdr:cNvPr>
        <xdr:cNvSpPr/>
      </xdr:nvSpPr>
      <xdr:spPr>
        <a:xfrm>
          <a:off x="38633401" y="4879184"/>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60</xdr:col>
      <xdr:colOff>1126332</xdr:colOff>
      <xdr:row>10</xdr:row>
      <xdr:rowOff>138115</xdr:rowOff>
    </xdr:from>
    <xdr:to>
      <xdr:col>61</xdr:col>
      <xdr:colOff>114301</xdr:colOff>
      <xdr:row>10</xdr:row>
      <xdr:rowOff>304802</xdr:rowOff>
    </xdr:to>
    <xdr:sp macro="" textlink="">
      <xdr:nvSpPr>
        <xdr:cNvPr id="11" name="Seta para a direita 10">
          <a:extLst>
            <a:ext uri="{FF2B5EF4-FFF2-40B4-BE49-F238E27FC236}">
              <a16:creationId xmlns:a16="http://schemas.microsoft.com/office/drawing/2014/main" id="{00000000-0008-0000-0500-00000B000000}"/>
            </a:ext>
          </a:extLst>
        </xdr:cNvPr>
        <xdr:cNvSpPr/>
      </xdr:nvSpPr>
      <xdr:spPr>
        <a:xfrm>
          <a:off x="38642926" y="5317334"/>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60</xdr:col>
      <xdr:colOff>1159669</xdr:colOff>
      <xdr:row>11</xdr:row>
      <xdr:rowOff>135734</xdr:rowOff>
    </xdr:from>
    <xdr:to>
      <xdr:col>61</xdr:col>
      <xdr:colOff>147638</xdr:colOff>
      <xdr:row>11</xdr:row>
      <xdr:rowOff>302421</xdr:rowOff>
    </xdr:to>
    <xdr:sp macro="" textlink="">
      <xdr:nvSpPr>
        <xdr:cNvPr id="12" name="Seta para a direita 11">
          <a:extLst>
            <a:ext uri="{FF2B5EF4-FFF2-40B4-BE49-F238E27FC236}">
              <a16:creationId xmlns:a16="http://schemas.microsoft.com/office/drawing/2014/main" id="{00000000-0008-0000-0500-00000C000000}"/>
            </a:ext>
          </a:extLst>
        </xdr:cNvPr>
        <xdr:cNvSpPr/>
      </xdr:nvSpPr>
      <xdr:spPr>
        <a:xfrm>
          <a:off x="38676263" y="5755484"/>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60</xdr:col>
      <xdr:colOff>1085852</xdr:colOff>
      <xdr:row>12</xdr:row>
      <xdr:rowOff>145259</xdr:rowOff>
    </xdr:from>
    <xdr:to>
      <xdr:col>61</xdr:col>
      <xdr:colOff>73821</xdr:colOff>
      <xdr:row>12</xdr:row>
      <xdr:rowOff>311946</xdr:rowOff>
    </xdr:to>
    <xdr:sp macro="" textlink="">
      <xdr:nvSpPr>
        <xdr:cNvPr id="13" name="Seta para a direita 12">
          <a:extLst>
            <a:ext uri="{FF2B5EF4-FFF2-40B4-BE49-F238E27FC236}">
              <a16:creationId xmlns:a16="http://schemas.microsoft.com/office/drawing/2014/main" id="{00000000-0008-0000-0500-00000D000000}"/>
            </a:ext>
          </a:extLst>
        </xdr:cNvPr>
        <xdr:cNvSpPr/>
      </xdr:nvSpPr>
      <xdr:spPr>
        <a:xfrm>
          <a:off x="38602446" y="6205540"/>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61</xdr:col>
      <xdr:colOff>1114425</xdr:colOff>
      <xdr:row>6</xdr:row>
      <xdr:rowOff>150020</xdr:rowOff>
    </xdr:from>
    <xdr:to>
      <xdr:col>62</xdr:col>
      <xdr:colOff>102394</xdr:colOff>
      <xdr:row>6</xdr:row>
      <xdr:rowOff>316707</xdr:rowOff>
    </xdr:to>
    <xdr:sp macro="" textlink="">
      <xdr:nvSpPr>
        <xdr:cNvPr id="14" name="Seta para a direita 13">
          <a:extLst>
            <a:ext uri="{FF2B5EF4-FFF2-40B4-BE49-F238E27FC236}">
              <a16:creationId xmlns:a16="http://schemas.microsoft.com/office/drawing/2014/main" id="{00000000-0008-0000-0500-00000E000000}"/>
            </a:ext>
          </a:extLst>
        </xdr:cNvPr>
        <xdr:cNvSpPr/>
      </xdr:nvSpPr>
      <xdr:spPr>
        <a:xfrm>
          <a:off x="39821644" y="2686051"/>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61</xdr:col>
      <xdr:colOff>1123950</xdr:colOff>
      <xdr:row>7</xdr:row>
      <xdr:rowOff>159545</xdr:rowOff>
    </xdr:from>
    <xdr:to>
      <xdr:col>62</xdr:col>
      <xdr:colOff>111919</xdr:colOff>
      <xdr:row>7</xdr:row>
      <xdr:rowOff>326232</xdr:rowOff>
    </xdr:to>
    <xdr:sp macro="" textlink="">
      <xdr:nvSpPr>
        <xdr:cNvPr id="15" name="Seta para a direita 14">
          <a:extLst>
            <a:ext uri="{FF2B5EF4-FFF2-40B4-BE49-F238E27FC236}">
              <a16:creationId xmlns:a16="http://schemas.microsoft.com/office/drawing/2014/main" id="{00000000-0008-0000-0500-00000F000000}"/>
            </a:ext>
          </a:extLst>
        </xdr:cNvPr>
        <xdr:cNvSpPr/>
      </xdr:nvSpPr>
      <xdr:spPr>
        <a:xfrm>
          <a:off x="39831169" y="3136108"/>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61</xdr:col>
      <xdr:colOff>1116807</xdr:colOff>
      <xdr:row>8</xdr:row>
      <xdr:rowOff>128593</xdr:rowOff>
    </xdr:from>
    <xdr:to>
      <xdr:col>62</xdr:col>
      <xdr:colOff>104776</xdr:colOff>
      <xdr:row>8</xdr:row>
      <xdr:rowOff>295280</xdr:rowOff>
    </xdr:to>
    <xdr:sp macro="" textlink="">
      <xdr:nvSpPr>
        <xdr:cNvPr id="18" name="Seta para a direita 17">
          <a:extLst>
            <a:ext uri="{FF2B5EF4-FFF2-40B4-BE49-F238E27FC236}">
              <a16:creationId xmlns:a16="http://schemas.microsoft.com/office/drawing/2014/main" id="{00000000-0008-0000-0500-000012000000}"/>
            </a:ext>
          </a:extLst>
        </xdr:cNvPr>
        <xdr:cNvSpPr/>
      </xdr:nvSpPr>
      <xdr:spPr>
        <a:xfrm>
          <a:off x="39824026" y="4426749"/>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61</xdr:col>
      <xdr:colOff>1114426</xdr:colOff>
      <xdr:row>9</xdr:row>
      <xdr:rowOff>126212</xdr:rowOff>
    </xdr:from>
    <xdr:to>
      <xdr:col>62</xdr:col>
      <xdr:colOff>102395</xdr:colOff>
      <xdr:row>9</xdr:row>
      <xdr:rowOff>292899</xdr:rowOff>
    </xdr:to>
    <xdr:sp macro="" textlink="">
      <xdr:nvSpPr>
        <xdr:cNvPr id="19" name="Seta para a direita 18">
          <a:extLst>
            <a:ext uri="{FF2B5EF4-FFF2-40B4-BE49-F238E27FC236}">
              <a16:creationId xmlns:a16="http://schemas.microsoft.com/office/drawing/2014/main" id="{00000000-0008-0000-0500-000013000000}"/>
            </a:ext>
          </a:extLst>
        </xdr:cNvPr>
        <xdr:cNvSpPr/>
      </xdr:nvSpPr>
      <xdr:spPr>
        <a:xfrm>
          <a:off x="39821645" y="4864900"/>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61</xdr:col>
      <xdr:colOff>1112045</xdr:colOff>
      <xdr:row>10</xdr:row>
      <xdr:rowOff>135738</xdr:rowOff>
    </xdr:from>
    <xdr:to>
      <xdr:col>62</xdr:col>
      <xdr:colOff>100014</xdr:colOff>
      <xdr:row>10</xdr:row>
      <xdr:rowOff>302425</xdr:rowOff>
    </xdr:to>
    <xdr:sp macro="" textlink="">
      <xdr:nvSpPr>
        <xdr:cNvPr id="20" name="Seta para a direita 19">
          <a:extLst>
            <a:ext uri="{FF2B5EF4-FFF2-40B4-BE49-F238E27FC236}">
              <a16:creationId xmlns:a16="http://schemas.microsoft.com/office/drawing/2014/main" id="{00000000-0008-0000-0500-000014000000}"/>
            </a:ext>
          </a:extLst>
        </xdr:cNvPr>
        <xdr:cNvSpPr/>
      </xdr:nvSpPr>
      <xdr:spPr>
        <a:xfrm>
          <a:off x="39819264" y="5314957"/>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61</xdr:col>
      <xdr:colOff>1109664</xdr:colOff>
      <xdr:row>11</xdr:row>
      <xdr:rowOff>145264</xdr:rowOff>
    </xdr:from>
    <xdr:to>
      <xdr:col>62</xdr:col>
      <xdr:colOff>97633</xdr:colOff>
      <xdr:row>11</xdr:row>
      <xdr:rowOff>311951</xdr:rowOff>
    </xdr:to>
    <xdr:sp macro="" textlink="">
      <xdr:nvSpPr>
        <xdr:cNvPr id="21" name="Seta para a direita 20">
          <a:extLst>
            <a:ext uri="{FF2B5EF4-FFF2-40B4-BE49-F238E27FC236}">
              <a16:creationId xmlns:a16="http://schemas.microsoft.com/office/drawing/2014/main" id="{00000000-0008-0000-0500-000015000000}"/>
            </a:ext>
          </a:extLst>
        </xdr:cNvPr>
        <xdr:cNvSpPr/>
      </xdr:nvSpPr>
      <xdr:spPr>
        <a:xfrm>
          <a:off x="39816883" y="5765014"/>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61</xdr:col>
      <xdr:colOff>1154907</xdr:colOff>
      <xdr:row>12</xdr:row>
      <xdr:rowOff>142884</xdr:rowOff>
    </xdr:from>
    <xdr:to>
      <xdr:col>62</xdr:col>
      <xdr:colOff>142876</xdr:colOff>
      <xdr:row>12</xdr:row>
      <xdr:rowOff>309571</xdr:rowOff>
    </xdr:to>
    <xdr:sp macro="" textlink="">
      <xdr:nvSpPr>
        <xdr:cNvPr id="22" name="Seta para a direita 21">
          <a:extLst>
            <a:ext uri="{FF2B5EF4-FFF2-40B4-BE49-F238E27FC236}">
              <a16:creationId xmlns:a16="http://schemas.microsoft.com/office/drawing/2014/main" id="{00000000-0008-0000-0500-000016000000}"/>
            </a:ext>
          </a:extLst>
        </xdr:cNvPr>
        <xdr:cNvSpPr/>
      </xdr:nvSpPr>
      <xdr:spPr>
        <a:xfrm>
          <a:off x="39862126" y="6203165"/>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60</xdr:col>
      <xdr:colOff>1085852</xdr:colOff>
      <xdr:row>13</xdr:row>
      <xdr:rowOff>145259</xdr:rowOff>
    </xdr:from>
    <xdr:to>
      <xdr:col>61</xdr:col>
      <xdr:colOff>73821</xdr:colOff>
      <xdr:row>13</xdr:row>
      <xdr:rowOff>311946</xdr:rowOff>
    </xdr:to>
    <xdr:sp macro="" textlink="">
      <xdr:nvSpPr>
        <xdr:cNvPr id="23" name="Seta para a direita 22">
          <a:extLst>
            <a:ext uri="{FF2B5EF4-FFF2-40B4-BE49-F238E27FC236}">
              <a16:creationId xmlns:a16="http://schemas.microsoft.com/office/drawing/2014/main" id="{00000000-0008-0000-0500-000017000000}"/>
            </a:ext>
          </a:extLst>
        </xdr:cNvPr>
        <xdr:cNvSpPr/>
      </xdr:nvSpPr>
      <xdr:spPr>
        <a:xfrm>
          <a:off x="38733415" y="5241134"/>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twoCellAnchor>
    <xdr:from>
      <xdr:col>61</xdr:col>
      <xdr:colOff>1154907</xdr:colOff>
      <xdr:row>13</xdr:row>
      <xdr:rowOff>142884</xdr:rowOff>
    </xdr:from>
    <xdr:to>
      <xdr:col>62</xdr:col>
      <xdr:colOff>142876</xdr:colOff>
      <xdr:row>13</xdr:row>
      <xdr:rowOff>309571</xdr:rowOff>
    </xdr:to>
    <xdr:sp macro="" textlink="">
      <xdr:nvSpPr>
        <xdr:cNvPr id="24" name="Seta para a direita 23">
          <a:extLst>
            <a:ext uri="{FF2B5EF4-FFF2-40B4-BE49-F238E27FC236}">
              <a16:creationId xmlns:a16="http://schemas.microsoft.com/office/drawing/2014/main" id="{00000000-0008-0000-0500-000018000000}"/>
            </a:ext>
          </a:extLst>
        </xdr:cNvPr>
        <xdr:cNvSpPr/>
      </xdr:nvSpPr>
      <xdr:spPr>
        <a:xfrm>
          <a:off x="39993095" y="5238759"/>
          <a:ext cx="178594" cy="166687"/>
        </a:xfrm>
        <a:prstGeom prst="rightArrow">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133356</xdr:colOff>
      <xdr:row>7</xdr:row>
      <xdr:rowOff>19049</xdr:rowOff>
    </xdr:from>
    <xdr:to>
      <xdr:col>1</xdr:col>
      <xdr:colOff>490542</xdr:colOff>
      <xdr:row>9</xdr:row>
      <xdr:rowOff>47189</xdr:rowOff>
    </xdr:to>
    <xdr:pic>
      <xdr:nvPicPr>
        <xdr:cNvPr id="2" name="Imagem 1" descr="download (2).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752481" y="962024"/>
          <a:ext cx="357186" cy="353722"/>
        </a:xfrm>
        <a:prstGeom prst="rect">
          <a:avLst/>
        </a:prstGeom>
      </xdr:spPr>
    </xdr:pic>
    <xdr:clientData/>
  </xdr:twoCellAnchor>
  <xdr:twoCellAnchor editAs="oneCell">
    <xdr:from>
      <xdr:col>1</xdr:col>
      <xdr:colOff>142885</xdr:colOff>
      <xdr:row>9</xdr:row>
      <xdr:rowOff>188333</xdr:rowOff>
    </xdr:from>
    <xdr:to>
      <xdr:col>1</xdr:col>
      <xdr:colOff>490548</xdr:colOff>
      <xdr:row>12</xdr:row>
      <xdr:rowOff>13853</xdr:rowOff>
    </xdr:to>
    <xdr:pic>
      <xdr:nvPicPr>
        <xdr:cNvPr id="3" name="Imagem 2" descr="download (1).jpg">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stretch>
          <a:fillRect/>
        </a:stretch>
      </xdr:blipFill>
      <xdr:spPr>
        <a:xfrm>
          <a:off x="762010" y="1455158"/>
          <a:ext cx="347663" cy="344200"/>
        </a:xfrm>
        <a:prstGeom prst="rect">
          <a:avLst/>
        </a:prstGeom>
      </xdr:spPr>
    </xdr:pic>
    <xdr:clientData/>
  </xdr:twoCellAnchor>
  <xdr:twoCellAnchor editAs="oneCell">
    <xdr:from>
      <xdr:col>1</xdr:col>
      <xdr:colOff>114313</xdr:colOff>
      <xdr:row>13</xdr:row>
      <xdr:rowOff>4763</xdr:rowOff>
    </xdr:from>
    <xdr:to>
      <xdr:col>1</xdr:col>
      <xdr:colOff>502229</xdr:colOff>
      <xdr:row>15</xdr:row>
      <xdr:rowOff>63633</xdr:rowOff>
    </xdr:to>
    <xdr:pic>
      <xdr:nvPicPr>
        <xdr:cNvPr id="4" name="Imagem 3" descr="download (2).jpg">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cstate="print"/>
        <a:stretch>
          <a:fillRect/>
        </a:stretch>
      </xdr:blipFill>
      <xdr:spPr>
        <a:xfrm>
          <a:off x="733438" y="1976438"/>
          <a:ext cx="387916" cy="384452"/>
        </a:xfrm>
        <a:prstGeom prst="rect">
          <a:avLst/>
        </a:prstGeom>
      </xdr:spPr>
    </xdr:pic>
    <xdr:clientData/>
  </xdr:twoCellAnchor>
  <xdr:twoCellAnchor editAs="oneCell">
    <xdr:from>
      <xdr:col>1</xdr:col>
      <xdr:colOff>166687</xdr:colOff>
      <xdr:row>19</xdr:row>
      <xdr:rowOff>14288</xdr:rowOff>
    </xdr:from>
    <xdr:to>
      <xdr:col>1</xdr:col>
      <xdr:colOff>461963</xdr:colOff>
      <xdr:row>21</xdr:row>
      <xdr:rowOff>38797</xdr:rowOff>
    </xdr:to>
    <xdr:pic>
      <xdr:nvPicPr>
        <xdr:cNvPr id="5" name="Imagem 4" descr="download.jpg">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4" cstate="print"/>
        <a:stretch>
          <a:fillRect/>
        </a:stretch>
      </xdr:blipFill>
      <xdr:spPr>
        <a:xfrm>
          <a:off x="785812" y="3014663"/>
          <a:ext cx="295276" cy="350091"/>
        </a:xfrm>
        <a:prstGeom prst="rect">
          <a:avLst/>
        </a:prstGeom>
      </xdr:spPr>
    </xdr:pic>
    <xdr:clientData/>
  </xdr:twoCellAnchor>
  <xdr:twoCellAnchor editAs="oneCell">
    <xdr:from>
      <xdr:col>1</xdr:col>
      <xdr:colOff>23815</xdr:colOff>
      <xdr:row>22</xdr:row>
      <xdr:rowOff>33341</xdr:rowOff>
    </xdr:from>
    <xdr:to>
      <xdr:col>2</xdr:col>
      <xdr:colOff>9527</xdr:colOff>
      <xdr:row>24</xdr:row>
      <xdr:rowOff>17727</xdr:rowOff>
    </xdr:to>
    <xdr:pic>
      <xdr:nvPicPr>
        <xdr:cNvPr id="6" name="Imagem 5" descr="download (1).png">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5"/>
        <a:stretch>
          <a:fillRect/>
        </a:stretch>
      </xdr:blipFill>
      <xdr:spPr>
        <a:xfrm>
          <a:off x="642940" y="3548066"/>
          <a:ext cx="557212" cy="309968"/>
        </a:xfrm>
        <a:prstGeom prst="rect">
          <a:avLst/>
        </a:prstGeom>
      </xdr:spPr>
    </xdr:pic>
    <xdr:clientData/>
  </xdr:twoCellAnchor>
  <xdr:twoCellAnchor editAs="oneCell">
    <xdr:from>
      <xdr:col>1</xdr:col>
      <xdr:colOff>85734</xdr:colOff>
      <xdr:row>25</xdr:row>
      <xdr:rowOff>28578</xdr:rowOff>
    </xdr:from>
    <xdr:to>
      <xdr:col>1</xdr:col>
      <xdr:colOff>507429</xdr:colOff>
      <xdr:row>27</xdr:row>
      <xdr:rowOff>21164</xdr:rowOff>
    </xdr:to>
    <xdr:pic>
      <xdr:nvPicPr>
        <xdr:cNvPr id="7" name="Imagem 6" descr="download.png">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6"/>
        <a:stretch>
          <a:fillRect/>
        </a:stretch>
      </xdr:blipFill>
      <xdr:spPr>
        <a:xfrm>
          <a:off x="704859" y="4057653"/>
          <a:ext cx="421695" cy="318169"/>
        </a:xfrm>
        <a:prstGeom prst="rect">
          <a:avLst/>
        </a:prstGeom>
      </xdr:spPr>
    </xdr:pic>
    <xdr:clientData/>
  </xdr:twoCellAnchor>
  <xdr:twoCellAnchor editAs="oneCell">
    <xdr:from>
      <xdr:col>1</xdr:col>
      <xdr:colOff>155864</xdr:colOff>
      <xdr:row>16</xdr:row>
      <xdr:rowOff>34636</xdr:rowOff>
    </xdr:from>
    <xdr:to>
      <xdr:col>1</xdr:col>
      <xdr:colOff>434250</xdr:colOff>
      <xdr:row>17</xdr:row>
      <xdr:rowOff>148500</xdr:rowOff>
    </xdr:to>
    <xdr:pic>
      <xdr:nvPicPr>
        <xdr:cNvPr id="8" name="Imagem 7" descr="download (3).png">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7"/>
        <a:stretch>
          <a:fillRect/>
        </a:stretch>
      </xdr:blipFill>
      <xdr:spPr>
        <a:xfrm>
          <a:off x="355023" y="2485159"/>
          <a:ext cx="278386" cy="2783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135528</xdr:colOff>
      <xdr:row>2</xdr:row>
      <xdr:rowOff>18613</xdr:rowOff>
    </xdr:from>
    <xdr:to>
      <xdr:col>10</xdr:col>
      <xdr:colOff>442924</xdr:colOff>
      <xdr:row>2</xdr:row>
      <xdr:rowOff>326009</xdr:rowOff>
    </xdr:to>
    <xdr:pic>
      <xdr:nvPicPr>
        <xdr:cNvPr id="2" name="Imagem 1" descr="download (1).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5440953" y="590113"/>
          <a:ext cx="307396" cy="307396"/>
        </a:xfrm>
        <a:prstGeom prst="rect">
          <a:avLst/>
        </a:prstGeom>
      </xdr:spPr>
    </xdr:pic>
    <xdr:clientData/>
  </xdr:twoCellAnchor>
  <xdr:twoCellAnchor editAs="oneCell">
    <xdr:from>
      <xdr:col>8</xdr:col>
      <xdr:colOff>4762</xdr:colOff>
      <xdr:row>2</xdr:row>
      <xdr:rowOff>8018</xdr:rowOff>
    </xdr:from>
    <xdr:to>
      <xdr:col>8</xdr:col>
      <xdr:colOff>561974</xdr:colOff>
      <xdr:row>2</xdr:row>
      <xdr:rowOff>321450</xdr:rowOff>
    </xdr:to>
    <xdr:pic>
      <xdr:nvPicPr>
        <xdr:cNvPr id="3" name="Imagem 2" descr="download (1).png">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4187103" y="579518"/>
          <a:ext cx="557212" cy="313432"/>
        </a:xfrm>
        <a:prstGeom prst="rect">
          <a:avLst/>
        </a:prstGeom>
      </xdr:spPr>
    </xdr:pic>
    <xdr:clientData/>
  </xdr:twoCellAnchor>
  <xdr:twoCellAnchor editAs="oneCell">
    <xdr:from>
      <xdr:col>11</xdr:col>
      <xdr:colOff>103483</xdr:colOff>
      <xdr:row>2</xdr:row>
      <xdr:rowOff>6489</xdr:rowOff>
    </xdr:from>
    <xdr:to>
      <xdr:col>11</xdr:col>
      <xdr:colOff>435132</xdr:colOff>
      <xdr:row>2</xdr:row>
      <xdr:rowOff>338138</xdr:rowOff>
    </xdr:to>
    <xdr:pic>
      <xdr:nvPicPr>
        <xdr:cNvPr id="4" name="Imagem 3" descr="download (2).jpg">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3" cstate="print"/>
        <a:stretch>
          <a:fillRect/>
        </a:stretch>
      </xdr:blipFill>
      <xdr:spPr>
        <a:xfrm>
          <a:off x="5980408" y="577989"/>
          <a:ext cx="331649" cy="331649"/>
        </a:xfrm>
        <a:prstGeom prst="rect">
          <a:avLst/>
        </a:prstGeom>
      </xdr:spPr>
    </xdr:pic>
    <xdr:clientData/>
  </xdr:twoCellAnchor>
  <xdr:twoCellAnchor editAs="oneCell">
    <xdr:from>
      <xdr:col>9</xdr:col>
      <xdr:colOff>139850</xdr:colOff>
      <xdr:row>2</xdr:row>
      <xdr:rowOff>15729</xdr:rowOff>
    </xdr:from>
    <xdr:to>
      <xdr:col>9</xdr:col>
      <xdr:colOff>447682</xdr:colOff>
      <xdr:row>2</xdr:row>
      <xdr:rowOff>323561</xdr:rowOff>
    </xdr:to>
    <xdr:pic>
      <xdr:nvPicPr>
        <xdr:cNvPr id="5" name="Imagem 4" descr="download (2).png">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4"/>
        <a:stretch>
          <a:fillRect/>
        </a:stretch>
      </xdr:blipFill>
      <xdr:spPr>
        <a:xfrm>
          <a:off x="4873775" y="587229"/>
          <a:ext cx="307832" cy="307832"/>
        </a:xfrm>
        <a:prstGeom prst="rect">
          <a:avLst/>
        </a:prstGeom>
      </xdr:spPr>
    </xdr:pic>
    <xdr:clientData/>
  </xdr:twoCellAnchor>
  <xdr:twoCellAnchor editAs="oneCell">
    <xdr:from>
      <xdr:col>12</xdr:col>
      <xdr:colOff>102615</xdr:colOff>
      <xdr:row>2</xdr:row>
      <xdr:rowOff>32035</xdr:rowOff>
    </xdr:from>
    <xdr:to>
      <xdr:col>12</xdr:col>
      <xdr:colOff>381001</xdr:colOff>
      <xdr:row>2</xdr:row>
      <xdr:rowOff>310421</xdr:rowOff>
    </xdr:to>
    <xdr:pic>
      <xdr:nvPicPr>
        <xdr:cNvPr id="6" name="Imagem 5" descr="download (3).png">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5"/>
        <a:stretch>
          <a:fillRect/>
        </a:stretch>
      </xdr:blipFill>
      <xdr:spPr>
        <a:xfrm>
          <a:off x="6570956" y="750740"/>
          <a:ext cx="278386" cy="278386"/>
        </a:xfrm>
        <a:prstGeom prst="rect">
          <a:avLst/>
        </a:prstGeom>
      </xdr:spPr>
    </xdr:pic>
    <xdr:clientData/>
  </xdr:twoCellAnchor>
  <xdr:twoCellAnchor editAs="oneCell">
    <xdr:from>
      <xdr:col>13</xdr:col>
      <xdr:colOff>127738</xdr:colOff>
      <xdr:row>2</xdr:row>
      <xdr:rowOff>8796</xdr:rowOff>
    </xdr:from>
    <xdr:to>
      <xdr:col>13</xdr:col>
      <xdr:colOff>394838</xdr:colOff>
      <xdr:row>2</xdr:row>
      <xdr:rowOff>328613</xdr:rowOff>
    </xdr:to>
    <xdr:pic>
      <xdr:nvPicPr>
        <xdr:cNvPr id="7" name="Imagem 6" descr="download.jpg">
          <a:extLst>
            <a:ext uri="{FF2B5EF4-FFF2-40B4-BE49-F238E27FC236}">
              <a16:creationId xmlns:a16="http://schemas.microsoft.com/office/drawing/2014/main" id="{00000000-0008-0000-0D00-000007000000}"/>
            </a:ext>
          </a:extLst>
        </xdr:cNvPr>
        <xdr:cNvPicPr>
          <a:picLocks noChangeAspect="1"/>
        </xdr:cNvPicPr>
      </xdr:nvPicPr>
      <xdr:blipFill>
        <a:blip xmlns:r="http://schemas.openxmlformats.org/officeDocument/2006/relationships" r:embed="rId6" cstate="print"/>
        <a:stretch>
          <a:fillRect/>
        </a:stretch>
      </xdr:blipFill>
      <xdr:spPr>
        <a:xfrm>
          <a:off x="7147663" y="580296"/>
          <a:ext cx="267100" cy="319817"/>
        </a:xfrm>
        <a:prstGeom prst="rect">
          <a:avLst/>
        </a:prstGeom>
      </xdr:spPr>
    </xdr:pic>
    <xdr:clientData/>
  </xdr:twoCellAnchor>
  <xdr:twoCellAnchor editAs="oneCell">
    <xdr:from>
      <xdr:col>7</xdr:col>
      <xdr:colOff>87896</xdr:colOff>
      <xdr:row>2</xdr:row>
      <xdr:rowOff>6982</xdr:rowOff>
    </xdr:from>
    <xdr:to>
      <xdr:col>7</xdr:col>
      <xdr:colOff>509591</xdr:colOff>
      <xdr:row>2</xdr:row>
      <xdr:rowOff>328614</xdr:rowOff>
    </xdr:to>
    <xdr:pic>
      <xdr:nvPicPr>
        <xdr:cNvPr id="8" name="Imagem 7" descr="download.png">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7"/>
        <a:stretch>
          <a:fillRect/>
        </a:stretch>
      </xdr:blipFill>
      <xdr:spPr>
        <a:xfrm>
          <a:off x="3678821" y="578482"/>
          <a:ext cx="421695" cy="321632"/>
        </a:xfrm>
        <a:prstGeom prst="rect">
          <a:avLst/>
        </a:prstGeom>
      </xdr:spPr>
    </xdr:pic>
    <xdr:clientData/>
  </xdr:twoCellAnchor>
  <xdr:twoCellAnchor editAs="oneCell">
    <xdr:from>
      <xdr:col>14</xdr:col>
      <xdr:colOff>128974</xdr:colOff>
      <xdr:row>2</xdr:row>
      <xdr:rowOff>7292</xdr:rowOff>
    </xdr:from>
    <xdr:to>
      <xdr:col>14</xdr:col>
      <xdr:colOff>458020</xdr:colOff>
      <xdr:row>2</xdr:row>
      <xdr:rowOff>330869</xdr:rowOff>
    </xdr:to>
    <xdr:pic>
      <xdr:nvPicPr>
        <xdr:cNvPr id="10" name="Imagem 9" descr="logo_caio.png">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8"/>
        <a:stretch>
          <a:fillRect/>
        </a:stretch>
      </xdr:blipFill>
      <xdr:spPr>
        <a:xfrm>
          <a:off x="7728921" y="578792"/>
          <a:ext cx="329046" cy="323577"/>
        </a:xfrm>
        <a:prstGeom prst="rect">
          <a:avLst/>
        </a:prstGeom>
      </xdr:spPr>
    </xdr:pic>
    <xdr:clientData/>
  </xdr:twoCellAnchor>
  <xdr:twoCellAnchor editAs="oneCell">
    <xdr:from>
      <xdr:col>16</xdr:col>
      <xdr:colOff>85221</xdr:colOff>
      <xdr:row>2</xdr:row>
      <xdr:rowOff>15039</xdr:rowOff>
    </xdr:from>
    <xdr:to>
      <xdr:col>16</xdr:col>
      <xdr:colOff>486273</xdr:colOff>
      <xdr:row>2</xdr:row>
      <xdr:rowOff>315828</xdr:rowOff>
    </xdr:to>
    <xdr:pic>
      <xdr:nvPicPr>
        <xdr:cNvPr id="12" name="Imagem 11" descr="logo_mascarello.jpg">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9"/>
        <a:stretch>
          <a:fillRect/>
        </a:stretch>
      </xdr:blipFill>
      <xdr:spPr>
        <a:xfrm>
          <a:off x="8828168" y="586539"/>
          <a:ext cx="401052" cy="300789"/>
        </a:xfrm>
        <a:prstGeom prst="rect">
          <a:avLst/>
        </a:prstGeom>
      </xdr:spPr>
    </xdr:pic>
    <xdr:clientData/>
  </xdr:twoCellAnchor>
  <xdr:twoCellAnchor editAs="oneCell">
    <xdr:from>
      <xdr:col>17</xdr:col>
      <xdr:colOff>125326</xdr:colOff>
      <xdr:row>2</xdr:row>
      <xdr:rowOff>20052</xdr:rowOff>
    </xdr:from>
    <xdr:to>
      <xdr:col>17</xdr:col>
      <xdr:colOff>431486</xdr:colOff>
      <xdr:row>2</xdr:row>
      <xdr:rowOff>320841</xdr:rowOff>
    </xdr:to>
    <xdr:pic>
      <xdr:nvPicPr>
        <xdr:cNvPr id="13" name="Imagem 12" descr="logo_marcopolo.png">
          <a:extLst>
            <a:ext uri="{FF2B5EF4-FFF2-40B4-BE49-F238E27FC236}">
              <a16:creationId xmlns:a16="http://schemas.microsoft.com/office/drawing/2014/main" id="{00000000-0008-0000-0D00-00000D000000}"/>
            </a:ext>
          </a:extLst>
        </xdr:cNvPr>
        <xdr:cNvPicPr>
          <a:picLocks noChangeAspect="1"/>
        </xdr:cNvPicPr>
      </xdr:nvPicPr>
      <xdr:blipFill>
        <a:blip xmlns:r="http://schemas.openxmlformats.org/officeDocument/2006/relationships" r:embed="rId10"/>
        <a:stretch>
          <a:fillRect/>
        </a:stretch>
      </xdr:blipFill>
      <xdr:spPr>
        <a:xfrm>
          <a:off x="9439773" y="591552"/>
          <a:ext cx="306160" cy="300789"/>
        </a:xfrm>
        <a:prstGeom prst="rect">
          <a:avLst/>
        </a:prstGeom>
      </xdr:spPr>
    </xdr:pic>
    <xdr:clientData/>
  </xdr:twoCellAnchor>
  <xdr:twoCellAnchor editAs="oneCell">
    <xdr:from>
      <xdr:col>18</xdr:col>
      <xdr:colOff>80209</xdr:colOff>
      <xdr:row>2</xdr:row>
      <xdr:rowOff>20053</xdr:rowOff>
    </xdr:from>
    <xdr:to>
      <xdr:col>18</xdr:col>
      <xdr:colOff>512497</xdr:colOff>
      <xdr:row>2</xdr:row>
      <xdr:rowOff>315829</xdr:rowOff>
    </xdr:to>
    <xdr:pic>
      <xdr:nvPicPr>
        <xdr:cNvPr id="14" name="Imagem 13" descr="logo_comil.jpg">
          <a:extLst>
            <a:ext uri="{FF2B5EF4-FFF2-40B4-BE49-F238E27FC236}">
              <a16:creationId xmlns:a16="http://schemas.microsoft.com/office/drawing/2014/main" id="{00000000-0008-0000-0D00-00000E000000}"/>
            </a:ext>
          </a:extLst>
        </xdr:cNvPr>
        <xdr:cNvPicPr>
          <a:picLocks noChangeAspect="1"/>
        </xdr:cNvPicPr>
      </xdr:nvPicPr>
      <xdr:blipFill>
        <a:blip xmlns:r="http://schemas.openxmlformats.org/officeDocument/2006/relationships" r:embed="rId11"/>
        <a:stretch>
          <a:fillRect/>
        </a:stretch>
      </xdr:blipFill>
      <xdr:spPr>
        <a:xfrm>
          <a:off x="9966156" y="591553"/>
          <a:ext cx="432288" cy="295776"/>
        </a:xfrm>
        <a:prstGeom prst="rect">
          <a:avLst/>
        </a:prstGeom>
      </xdr:spPr>
    </xdr:pic>
    <xdr:clientData/>
  </xdr:twoCellAnchor>
  <xdr:twoCellAnchor editAs="oneCell">
    <xdr:from>
      <xdr:col>20</xdr:col>
      <xdr:colOff>15039</xdr:colOff>
      <xdr:row>2</xdr:row>
      <xdr:rowOff>125326</xdr:rowOff>
    </xdr:from>
    <xdr:to>
      <xdr:col>20</xdr:col>
      <xdr:colOff>556460</xdr:colOff>
      <xdr:row>2</xdr:row>
      <xdr:rowOff>223766</xdr:rowOff>
    </xdr:to>
    <xdr:pic>
      <xdr:nvPicPr>
        <xdr:cNvPr id="16" name="Imagem 15" descr="logo_bepobus.jpg">
          <a:extLst>
            <a:ext uri="{FF2B5EF4-FFF2-40B4-BE49-F238E27FC236}">
              <a16:creationId xmlns:a16="http://schemas.microsoft.com/office/drawing/2014/main" id="{00000000-0008-0000-0D00-000010000000}"/>
            </a:ext>
          </a:extLst>
        </xdr:cNvPr>
        <xdr:cNvPicPr>
          <a:picLocks noChangeAspect="1"/>
        </xdr:cNvPicPr>
      </xdr:nvPicPr>
      <xdr:blipFill>
        <a:blip xmlns:r="http://schemas.openxmlformats.org/officeDocument/2006/relationships" r:embed="rId12"/>
        <a:stretch>
          <a:fillRect/>
        </a:stretch>
      </xdr:blipFill>
      <xdr:spPr>
        <a:xfrm>
          <a:off x="11043986" y="696826"/>
          <a:ext cx="541421" cy="98440"/>
        </a:xfrm>
        <a:prstGeom prst="rect">
          <a:avLst/>
        </a:prstGeom>
      </xdr:spPr>
    </xdr:pic>
    <xdr:clientData/>
  </xdr:twoCellAnchor>
  <xdr:twoCellAnchor>
    <xdr:from>
      <xdr:col>7</xdr:col>
      <xdr:colOff>86589</xdr:colOff>
      <xdr:row>0</xdr:row>
      <xdr:rowOff>34636</xdr:rowOff>
    </xdr:from>
    <xdr:to>
      <xdr:col>11</xdr:col>
      <xdr:colOff>372341</xdr:colOff>
      <xdr:row>0</xdr:row>
      <xdr:rowOff>424295</xdr:rowOff>
    </xdr:to>
    <xdr:sp macro="" textlink="">
      <xdr:nvSpPr>
        <xdr:cNvPr id="17" name="Texto explicativo retangular com cantos arredondados 16">
          <a:extLst>
            <a:ext uri="{FF2B5EF4-FFF2-40B4-BE49-F238E27FC236}">
              <a16:creationId xmlns:a16="http://schemas.microsoft.com/office/drawing/2014/main" id="{00000000-0008-0000-0D00-000011000000}"/>
            </a:ext>
          </a:extLst>
        </xdr:cNvPr>
        <xdr:cNvSpPr/>
      </xdr:nvSpPr>
      <xdr:spPr>
        <a:xfrm>
          <a:off x="3697430" y="34636"/>
          <a:ext cx="2571752" cy="389659"/>
        </a:xfrm>
        <a:prstGeom prst="wedgeRoundRectCallout">
          <a:avLst>
            <a:gd name="adj1" fmla="val -20833"/>
            <a:gd name="adj2" fmla="val 62500"/>
            <a:gd name="adj3" fmla="val 16667"/>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r>
            <a:rPr lang="pt-BR" sz="800"/>
            <a:t>Esse número representa quantas unidades de determinada marca sserá beneficiada ...</a:t>
          </a:r>
        </a:p>
      </xdr:txBody>
    </xdr:sp>
    <xdr:clientData/>
  </xdr:twoCellAnchor>
  <xdr:twoCellAnchor editAs="oneCell">
    <xdr:from>
      <xdr:col>19</xdr:col>
      <xdr:colOff>136081</xdr:colOff>
      <xdr:row>2</xdr:row>
      <xdr:rowOff>9073</xdr:rowOff>
    </xdr:from>
    <xdr:to>
      <xdr:col>19</xdr:col>
      <xdr:colOff>458111</xdr:colOff>
      <xdr:row>2</xdr:row>
      <xdr:rowOff>325453</xdr:rowOff>
    </xdr:to>
    <xdr:pic>
      <xdr:nvPicPr>
        <xdr:cNvPr id="18" name="Imagem 17" descr="logo_amd.png">
          <a:extLst>
            <a:ext uri="{FF2B5EF4-FFF2-40B4-BE49-F238E27FC236}">
              <a16:creationId xmlns:a16="http://schemas.microsoft.com/office/drawing/2014/main" id="{00000000-0008-0000-0D00-000012000000}"/>
            </a:ext>
          </a:extLst>
        </xdr:cNvPr>
        <xdr:cNvPicPr>
          <a:picLocks noChangeAspect="1"/>
        </xdr:cNvPicPr>
      </xdr:nvPicPr>
      <xdr:blipFill>
        <a:blip xmlns:r="http://schemas.openxmlformats.org/officeDocument/2006/relationships" r:embed="rId13"/>
        <a:stretch>
          <a:fillRect/>
        </a:stretch>
      </xdr:blipFill>
      <xdr:spPr>
        <a:xfrm>
          <a:off x="10595438" y="725716"/>
          <a:ext cx="322030" cy="316380"/>
        </a:xfrm>
        <a:prstGeom prst="rect">
          <a:avLst/>
        </a:prstGeom>
      </xdr:spPr>
    </xdr:pic>
    <xdr:clientData/>
  </xdr:twoCellAnchor>
  <xdr:twoCellAnchor editAs="oneCell">
    <xdr:from>
      <xdr:col>15</xdr:col>
      <xdr:colOff>19977</xdr:colOff>
      <xdr:row>2</xdr:row>
      <xdr:rowOff>22464</xdr:rowOff>
    </xdr:from>
    <xdr:to>
      <xdr:col>15</xdr:col>
      <xdr:colOff>558348</xdr:colOff>
      <xdr:row>2</xdr:row>
      <xdr:rowOff>318998</xdr:rowOff>
    </xdr:to>
    <xdr:pic>
      <xdr:nvPicPr>
        <xdr:cNvPr id="19" name="Imagem 18" descr="logo_neobus_2.png">
          <a:extLst>
            <a:ext uri="{FF2B5EF4-FFF2-40B4-BE49-F238E27FC236}">
              <a16:creationId xmlns:a16="http://schemas.microsoft.com/office/drawing/2014/main" id="{00000000-0008-0000-0D00-000013000000}"/>
            </a:ext>
          </a:extLst>
        </xdr:cNvPr>
        <xdr:cNvPicPr>
          <a:picLocks noChangeAspect="1"/>
        </xdr:cNvPicPr>
      </xdr:nvPicPr>
      <xdr:blipFill>
        <a:blip xmlns:r="http://schemas.openxmlformats.org/officeDocument/2006/relationships" r:embed="rId14"/>
        <a:stretch>
          <a:fillRect/>
        </a:stretch>
      </xdr:blipFill>
      <xdr:spPr>
        <a:xfrm>
          <a:off x="8183621" y="736839"/>
          <a:ext cx="538371" cy="2965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619125</xdr:colOff>
      <xdr:row>21</xdr:row>
      <xdr:rowOff>9525</xdr:rowOff>
    </xdr:from>
    <xdr:to>
      <xdr:col>3</xdr:col>
      <xdr:colOff>471487</xdr:colOff>
      <xdr:row>28</xdr:row>
      <xdr:rowOff>0</xdr:rowOff>
    </xdr:to>
    <xdr:pic>
      <xdr:nvPicPr>
        <xdr:cNvPr id="2" name="Imagem 1" descr="_logo_aeturb_2017.pn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619125" y="4010025"/>
          <a:ext cx="1738312" cy="13906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0001%20-%20Transportes%20Ficticios\ZZ-TRANS%20FICT&#205;CIOS%202026\10%20-%20AETURB\__NORMATIZA&#199;&#195;O%20DE%20OS%20URBANA%20-%202025\_PLANILHA%20MATRIZ%20-%20REMUNERA&#199;&#195;O%20AETURB%20-%202025.xlsm" TargetMode="External"/><Relationship Id="rId1" Type="http://schemas.openxmlformats.org/officeDocument/2006/relationships/externalLinkPath" Target="__NORMATIZA&#199;&#195;O%20DE%20OS%20URBANA%20-%202025/_PLANILHA%20MATRIZ%20-%20REMUNERA&#199;&#195;O%20AETURB%20-%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MUNERABILIDADE"/>
      <sheetName val="VEIC APRESENT"/>
      <sheetName val="RECEITA"/>
      <sheetName val="CUSTOS GARAGEM"/>
      <sheetName val="LÍQUIDO POR EMPRESA"/>
      <sheetName val="HISTORICO MESES"/>
      <sheetName val="REMUNERAÇÃO AETURB"/>
    </sheetNames>
    <sheetDataSet>
      <sheetData sheetId="0">
        <row r="9">
          <cell r="H9" t="str">
            <v>MAIO - 2026</v>
          </cell>
          <cell r="P9">
            <v>6.03</v>
          </cell>
          <cell r="T9">
            <v>0.1</v>
          </cell>
        </row>
      </sheetData>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a3" displayName="Tabela3" ref="AA4:AS120" totalsRowShown="0" headerRowDxfId="99" dataDxfId="98">
  <autoFilter ref="AA4:AS120" xr:uid="{00000000-0009-0000-0100-000003000000}"/>
  <tableColumns count="19">
    <tableColumn id="18" xr3:uid="{62F9674A-9778-4CE2-B2A6-AE5C14C9E6AC}" name="LOTE" dataDxfId="97"/>
    <tableColumn id="19" xr3:uid="{4A487395-0996-4E65-875E-AD28412A1963}" name="grupo" dataDxfId="96"/>
    <tableColumn id="1" xr3:uid="{00000000-0010-0000-0000-000001000000}" name="EMPRESA" dataDxfId="95"/>
    <tableColumn id="2" xr3:uid="{00000000-0010-0000-0000-000002000000}" name="Linha 1" dataDxfId="94"/>
    <tableColumn id="3" xr3:uid="{00000000-0010-0000-0000-000003000000}" name="Linha 2" dataDxfId="93"/>
    <tableColumn id="4" xr3:uid="{00000000-0010-0000-0000-000004000000}" name="Linha 3" dataDxfId="92"/>
    <tableColumn id="5" xr3:uid="{00000000-0010-0000-0000-000005000000}" name="Linha 4" dataDxfId="91"/>
    <tableColumn id="6" xr3:uid="{00000000-0010-0000-0000-000006000000}" name="Linha 5" dataDxfId="90"/>
    <tableColumn id="7" xr3:uid="{00000000-0010-0000-0000-000007000000}" name="Linha 6" dataDxfId="89"/>
    <tableColumn id="8" xr3:uid="{00000000-0010-0000-0000-000008000000}" name="Linha 7" dataDxfId="88"/>
    <tableColumn id="9" xr3:uid="{00000000-0010-0000-0000-000009000000}" name="Linha 8" dataDxfId="87"/>
    <tableColumn id="10" xr3:uid="{00000000-0010-0000-0000-00000A000000}" name="Linha 9" dataDxfId="86"/>
    <tableColumn id="11" xr3:uid="{00000000-0010-0000-0000-00000B000000}" name="Linha 10" dataDxfId="85"/>
    <tableColumn id="12" xr3:uid="{00000000-0010-0000-0000-00000C000000}" name="Linha 11" dataDxfId="84"/>
    <tableColumn id="13" xr3:uid="{00000000-0010-0000-0000-00000D000000}" name="Linha 12" dataDxfId="83"/>
    <tableColumn id="14" xr3:uid="{00000000-0010-0000-0000-00000E000000}" name="Linha 13" dataDxfId="82"/>
    <tableColumn id="15" xr3:uid="{00000000-0010-0000-0000-00000F000000}" name="Linha 14" dataDxfId="81"/>
    <tableColumn id="16" xr3:uid="{00000000-0010-0000-0000-000010000000}" name="Linha 15" dataDxfId="80"/>
    <tableColumn id="17" xr3:uid="{00000000-0010-0000-0000-000011000000}" name="Linha 16" dataDxfId="7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a1" displayName="Tabela1" ref="BY5:CC121" totalsRowShown="0" headerRowDxfId="78" dataDxfId="77">
  <autoFilter ref="BY5:CC121" xr:uid="{00000000-0009-0000-0100-000001000000}"/>
  <tableColumns count="5">
    <tableColumn id="5" xr3:uid="{D4FADEB5-FCBE-42C3-89AE-921320612962}" name="Grupo" dataDxfId="76"/>
    <tableColumn id="1" xr3:uid="{00000000-0010-0000-0100-000001000000}" name="Empresa" dataDxfId="75"/>
    <tableColumn id="2" xr3:uid="{00000000-0010-0000-0100-000002000000}" name="Endereço" dataDxfId="74"/>
    <tableColumn id="3" xr3:uid="{00000000-0010-0000-0100-000003000000}" name="Capacidade" dataDxfId="73"/>
    <tableColumn id="4" xr3:uid="{00000000-0010-0000-0100-000004000000}" name="Situação" dataDxfId="7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ela2" displayName="Tabela2" ref="AJ5:AP306" totalsRowShown="0" headerRowDxfId="71" dataDxfId="70">
  <autoFilter ref="AJ5:AP306" xr:uid="{00000000-0009-0000-0100-000002000000}"/>
  <tableColumns count="7">
    <tableColumn id="1" xr3:uid="{00000000-0010-0000-0200-000001000000}" name="MBB" dataDxfId="69"/>
    <tableColumn id="2" xr3:uid="{00000000-0010-0000-0200-000002000000}" name="SCANIA" dataDxfId="68"/>
    <tableColumn id="3" xr3:uid="{00000000-0010-0000-0200-000003000000}" name="VOLVO" dataDxfId="67"/>
    <tableColumn id="4" xr3:uid="{00000000-0010-0000-0200-000004000000}" name="VW" dataDxfId="66"/>
    <tableColumn id="5" xr3:uid="{00000000-0010-0000-0200-000005000000}" name="VW-Man" dataDxfId="65"/>
    <tableColumn id="6" xr3:uid="{00000000-0010-0000-0200-000006000000}" name="IVECO" dataDxfId="64"/>
    <tableColumn id="7" xr3:uid="{00000000-0010-0000-0200-000007000000}" name="AGRALE" dataDxfId="63"/>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6" Type="http://schemas.openxmlformats.org/officeDocument/2006/relationships/hyperlink" Target="03%20-%20RP%20415%20-%20Metropolitano%20de%20Borda%20do%20Campo%20-%20Transportes%20UNI&#195;O.xlsx" TargetMode="External"/><Relationship Id="rId117" Type="http://schemas.openxmlformats.org/officeDocument/2006/relationships/hyperlink" Target="07%20-%20BDP%2032%20-%20Linhas%20Municipais%20BDP%20-%20Via&#231;&#227;o%20REDENTOR.xlsx" TargetMode="External"/><Relationship Id="rId21" Type="http://schemas.openxmlformats.org/officeDocument/2006/relationships/hyperlink" Target="01%20-%2020%20-%20Municipal%20de%20Floril&#226;ndia%20-%20TRANSCOL%20Via&#231;&#227;o.xlsx" TargetMode="External"/><Relationship Id="rId42" Type="http://schemas.openxmlformats.org/officeDocument/2006/relationships/hyperlink" Target="08%20-%20RP%20091%20-%20Metropolitano%20de%20Barcelona%20-%20METROPOLE%20Via&#231;&#227;o.xlsx" TargetMode="External"/><Relationship Id="rId47" Type="http://schemas.openxmlformats.org/officeDocument/2006/relationships/hyperlink" Target="01%20-%2023%20-%20Municipal%20de%20Candido%20Isid&#243;rio%20-%20Via&#231;&#227;o%20REDENTOR.xlsx" TargetMode="External"/><Relationship Id="rId63" Type="http://schemas.openxmlformats.org/officeDocument/2006/relationships/hyperlink" Target="09%20-%2011PR%20-%20Linhas%20Municipais%20GDE%20BDP%20-%20Cons&#243;rcio%20Autobus.xlsx" TargetMode="External"/><Relationship Id="rId68" Type="http://schemas.openxmlformats.org/officeDocument/2006/relationships/hyperlink" Target="06%20-%20RP%20911%20-%20Linhas%20Metropolitanas%20MRP%20-%20AV%20BRASIL%20Luxo.xlsx" TargetMode="External"/><Relationship Id="rId84" Type="http://schemas.openxmlformats.org/officeDocument/2006/relationships/hyperlink" Target="02%20-%20MNR%2082%20-%20Municipal%20de%20MNR%20-%20AV%20Na&#231;&#245;es%20UNIDAS.xlsx" TargetMode="External"/><Relationship Id="rId89" Type="http://schemas.openxmlformats.org/officeDocument/2006/relationships/hyperlink" Target="07%20-%20BDP%2042%20-%20Linhas%20Municipais%20BDP%20-%20Estrela%20de%20PRATA%20Via&#231;&#227;o.xlsx" TargetMode="External"/><Relationship Id="rId112" Type="http://schemas.openxmlformats.org/officeDocument/2006/relationships/hyperlink" Target="02%20-%20MNR%2041%20-%20Municipal%20de%20MNR%20-%20MAUA%20Transportes.xlsx" TargetMode="External"/><Relationship Id="rId16" Type="http://schemas.openxmlformats.org/officeDocument/2006/relationships/hyperlink" Target="01%20-%2015%20-%20Municipal%20de%20Leopoldina%20-%20Transportes%20UNI&#195;O.xlsx" TargetMode="External"/><Relationship Id="rId107" Type="http://schemas.openxmlformats.org/officeDocument/2006/relationships/hyperlink" Target="02%20-%20MNR%2052%20-%20Municipal%20de%20MNR%20-%20Cidade%20do%20FERRO%20Via&#231;&#227;o.xlsx" TargetMode="External"/><Relationship Id="rId11" Type="http://schemas.openxmlformats.org/officeDocument/2006/relationships/hyperlink" Target="04%20-%2004BC%20-%20Municipal%20de%20Borda%20do%20Campo%20-%20Transportes%20SANTO%20ANDR&#201;.xlsx" TargetMode="External"/><Relationship Id="rId32" Type="http://schemas.openxmlformats.org/officeDocument/2006/relationships/hyperlink" Target="08%20-%20RP%20051%20-%20Metropolitano%20de%20Tupinamba%20-%20METROPOLE%20Via&#231;&#227;o.xlsx" TargetMode="External"/><Relationship Id="rId37" Type="http://schemas.openxmlformats.org/officeDocument/2006/relationships/hyperlink" Target="08%20-%20RP%20071%20-%20Metropolitano%20de%20Esmeralda%20-%20Expresso%20TANGUA.xlsx" TargetMode="External"/><Relationship Id="rId53" Type="http://schemas.openxmlformats.org/officeDocument/2006/relationships/hyperlink" Target="02%20-%20MNR%2011%20-%20Municipal%20de%20MNR%20-%20IMPERIAL%20Via&#231;&#227;o.xlsx" TargetMode="External"/><Relationship Id="rId58" Type="http://schemas.openxmlformats.org/officeDocument/2006/relationships/hyperlink" Target="07%20-%20BDP%2071%20-%20Linhas%20Municipais%20BDP%20-%20Cons&#243;rcio%20Autobus.xlsx" TargetMode="External"/><Relationship Id="rId74" Type="http://schemas.openxmlformats.org/officeDocument/2006/relationships/hyperlink" Target="02%20-%20MNR%2061%20-%20Municipal%20de%20MNR%20-%20Auto%20&#212;nibus%20BARONESA.xlsx" TargetMode="External"/><Relationship Id="rId79" Type="http://schemas.openxmlformats.org/officeDocument/2006/relationships/hyperlink" Target="07%20-%20BDP%2052%20-%20Linhas%20Municipais%20BDP%20-%20AO%20Penha%20S&#227;o%20Miguel.xlsx" TargetMode="External"/><Relationship Id="rId102" Type="http://schemas.openxmlformats.org/officeDocument/2006/relationships/hyperlink" Target="06%20-%20RP%20974%20-%20Linhas%20Metropolitanas%20MRP%20-%20Via&#231;&#227;o%20PARATODOS.xlsx" TargetMode="External"/><Relationship Id="rId5" Type="http://schemas.openxmlformats.org/officeDocument/2006/relationships/hyperlink" Target="01%20-%2012%20-%20Municipal%20de%20Nova%20Xingu%20-%20Transportes%20UNI&#195;O.xlsx" TargetMode="External"/><Relationship Id="rId90" Type="http://schemas.openxmlformats.org/officeDocument/2006/relationships/hyperlink" Target="09%20-%2010TP%20-%20Linhas%20Municipais%20GDE%20BDP%20-%20Auto%20RANGELINO%20Via&#231;&#227;o.xlsx" TargetMode="External"/><Relationship Id="rId95" Type="http://schemas.openxmlformats.org/officeDocument/2006/relationships/hyperlink" Target="05%20-%20MRP%205%20-%20Municipais%20de%20MRP%20-%20SANTA%20ISABEL%20Transportes.xlsx" TargetMode="External"/><Relationship Id="rId22" Type="http://schemas.openxmlformats.org/officeDocument/2006/relationships/hyperlink" Target="03%20-%20RP%20206%20-%20Metropolitano%20de%20Pontal%20Noroeste%20-%20Coletivos%20MIRABUSS.xlsx" TargetMode="External"/><Relationship Id="rId27" Type="http://schemas.openxmlformats.org/officeDocument/2006/relationships/hyperlink" Target="03%20-%20RP%20600%20-%20Metropolitano%20de%20Nova%20Fazenda%20-%20Via%20RIO%20Transportes.xlsx" TargetMode="External"/><Relationship Id="rId43" Type="http://schemas.openxmlformats.org/officeDocument/2006/relationships/hyperlink" Target="08%20-%20RP%20095%20-%20Metropolitano%20de%20Barcelona%20-%20METROPOLE%20Via&#231;&#227;o.xlsx" TargetMode="External"/><Relationship Id="rId48" Type="http://schemas.openxmlformats.org/officeDocument/2006/relationships/hyperlink" Target="01%20-%2024%20-%20Municipal%20de%20Taiacupeba%20-%20Auto%20RANGELINO%20Via&#231;&#227;o.xlsx" TargetMode="External"/><Relationship Id="rId64" Type="http://schemas.openxmlformats.org/officeDocument/2006/relationships/hyperlink" Target="09%20-%2012ES%20-%20Linhas%20Municipais%20GDE%20BDP%20-%20Cons&#243;rcio%20Autobus.xlsx" TargetMode="External"/><Relationship Id="rId69" Type="http://schemas.openxmlformats.org/officeDocument/2006/relationships/hyperlink" Target="06%20-%20RP%20946%20-%20Linhas%20Metropolitanas%20MRP%20-%20AV%20BRASIL%20Luxo.xlsx" TargetMode="External"/><Relationship Id="rId113" Type="http://schemas.openxmlformats.org/officeDocument/2006/relationships/hyperlink" Target="02%20-%20MNR%2012%20-%20Municipal%20de%20MNR%20-%20VERMONT%20Transportes.xlsx" TargetMode="External"/><Relationship Id="rId118" Type="http://schemas.openxmlformats.org/officeDocument/2006/relationships/printerSettings" Target="../printerSettings/printerSettings4.bin"/><Relationship Id="rId80" Type="http://schemas.openxmlformats.org/officeDocument/2006/relationships/hyperlink" Target="07%20-%20BDP%2063%20-%20Linhas%20Municipais%20BDP%20-%20AO%20Penha%20S&#227;o%20Miguel.xlsx" TargetMode="External"/><Relationship Id="rId85" Type="http://schemas.openxmlformats.org/officeDocument/2006/relationships/hyperlink" Target="06%20-%20RP%20925%20-%20Linhas%20Metropolitanas%20MRP%20-%20Estrela%20de%20PRATA%20Via&#231;&#227;o.xlsx" TargetMode="External"/><Relationship Id="rId12" Type="http://schemas.openxmlformats.org/officeDocument/2006/relationships/hyperlink" Target="04%20-%2005NF%20-%20Municipal%20de%20Nova%20Fazenda%20-%20Auto%20Via&#231;&#227;o%20EDUCAND&#193;RIO.xlsx" TargetMode="External"/><Relationship Id="rId17" Type="http://schemas.openxmlformats.org/officeDocument/2006/relationships/hyperlink" Target="01%20-%2016%20-%20Municipal%20de%20Pedroso%20-%20Expresso%20CAMBAR&#193;.xlsx" TargetMode="External"/><Relationship Id="rId33" Type="http://schemas.openxmlformats.org/officeDocument/2006/relationships/hyperlink" Target="08%20-%20RP%20055%20-%20Metropolitano%20de%20Tupinamba%20-%20AV%20BRASIL%20Luxo.xlsx" TargetMode="External"/><Relationship Id="rId38" Type="http://schemas.openxmlformats.org/officeDocument/2006/relationships/hyperlink" Target="08%20-%20RP%20075%20-%20Metropolitano%20de%20Esmeralda%20-%20Via&#231;&#227;o%20VALE%20do%20SOL.xlsx" TargetMode="External"/><Relationship Id="rId59" Type="http://schemas.openxmlformats.org/officeDocument/2006/relationships/hyperlink" Target="07%20-%20BDP%2051%20-%20Linhas%20Municipais%20BDP%20-%20Cons&#243;rcio%20Autobus.xlsx" TargetMode="External"/><Relationship Id="rId103" Type="http://schemas.openxmlformats.org/officeDocument/2006/relationships/hyperlink" Target="06%20-%20RP%20988%20-%20Linhas%20Metropolitanas%20MRP%20-%20Via&#231;&#227;o%20PARATODOS.xlsx" TargetMode="External"/><Relationship Id="rId108" Type="http://schemas.openxmlformats.org/officeDocument/2006/relationships/hyperlink" Target="02%20-%20MNR%2062%20-%20Municipal%20de%20MNR%20-%20Cidade%20do%20FERRO%20Via&#231;&#227;o.xlsx" TargetMode="External"/><Relationship Id="rId54" Type="http://schemas.openxmlformats.org/officeDocument/2006/relationships/hyperlink" Target="02%20-%20MNR%2051%20-%20Municipal%20de%20MNR%20-%20Cons&#243;rcio%20AUTOBUS.xlsx" TargetMode="External"/><Relationship Id="rId70" Type="http://schemas.openxmlformats.org/officeDocument/2006/relationships/hyperlink" Target="07%20-%20BDP%2011%20-%20Linhas%20Municipais%20BDP%20-%20AV%20BRASIL%20Luxo.xlsx" TargetMode="External"/><Relationship Id="rId75" Type="http://schemas.openxmlformats.org/officeDocument/2006/relationships/hyperlink" Target="02%20-%20MNR%2081%20-%20Municipal%20de%20MNR%20-%20AO%20Parada%20INGLESA.xlsx" TargetMode="External"/><Relationship Id="rId91" Type="http://schemas.openxmlformats.org/officeDocument/2006/relationships/hyperlink" Target="09%20-%2013ES%20-%20Linhas%20Municipais%20GDE%20BDP%20-%20Auto%20RANGELINO%20Via&#231;&#227;o.xlsx" TargetMode="External"/><Relationship Id="rId96" Type="http://schemas.openxmlformats.org/officeDocument/2006/relationships/hyperlink" Target="06%20-%20RP%20918%20-%20Linhas%20Metropolitanas%20MRP%20-%20SANTA%20ISABEL%20Transportes.xlsx" TargetMode="External"/><Relationship Id="rId1" Type="http://schemas.openxmlformats.org/officeDocument/2006/relationships/printerSettings" Target="../printerSettings/printerSettings3.bin"/><Relationship Id="rId6" Type="http://schemas.openxmlformats.org/officeDocument/2006/relationships/hyperlink" Target="01%20-%2013%20-%20Municipal%20de%20Padre%20Anchieta%20-%20Via%20RIO%20Transportes.xlsx" TargetMode="External"/><Relationship Id="rId23" Type="http://schemas.openxmlformats.org/officeDocument/2006/relationships/hyperlink" Target="03%20-%20RP%20215%20-%20Metropolitano%20de%20Pontal%20Noroeste%20-%20Transportes%20UNI&#195;O.xlsx" TargetMode="External"/><Relationship Id="rId28" Type="http://schemas.openxmlformats.org/officeDocument/2006/relationships/hyperlink" Target="03%20-%20RP%20694%20-%20Metropolitano%20de%20Nova%20Fazenda%20-%20Expresso%20CAMBAR&#193;.xlsx" TargetMode="External"/><Relationship Id="rId49" Type="http://schemas.openxmlformats.org/officeDocument/2006/relationships/hyperlink" Target="01%20-%2025%20-%20Municipal%20de%20S&#227;o%20Lucas%20-%20AO%20PENHA%20S&#195;O%20MIGUEL.xlsx" TargetMode="External"/><Relationship Id="rId114" Type="http://schemas.openxmlformats.org/officeDocument/2006/relationships/hyperlink" Target="05%20-%20MRP%201%20-%20Municipais%20de%20MRP%20-%20VERMONT%20Transoprtes.xlsx" TargetMode="External"/><Relationship Id="rId119" Type="http://schemas.openxmlformats.org/officeDocument/2006/relationships/table" Target="../tables/table1.xml"/><Relationship Id="rId10" Type="http://schemas.openxmlformats.org/officeDocument/2006/relationships/hyperlink" Target="04%20-%2003BC%20-%20Municipal%20de%20Borda%20do%20Campo%20-%20Transportes%20SANTO%20ANDR&#201;.xlsx" TargetMode="External"/><Relationship Id="rId31" Type="http://schemas.openxmlformats.org/officeDocument/2006/relationships/hyperlink" Target="03%20-%20RP%20900%20-%20Metropolitano%20de%20Limoeiro%20-%20Via%20RIO%20Transportes.xlsx" TargetMode="External"/><Relationship Id="rId44" Type="http://schemas.openxmlformats.org/officeDocument/2006/relationships/hyperlink" Target="08%20-%20RP%20099%20-%20Metropolitano%20de%20Barcelona%20-%20METROPOLE%20Via&#231;&#227;o.xlsx" TargetMode="External"/><Relationship Id="rId52" Type="http://schemas.openxmlformats.org/officeDocument/2006/relationships/hyperlink" Target="01%20-%2028%20-%20Municipal%20de%20Rondon%20-%20AV%20Na&#231;&#245;es%20UNIDAS.xlsx" TargetMode="External"/><Relationship Id="rId60" Type="http://schemas.openxmlformats.org/officeDocument/2006/relationships/hyperlink" Target="07%20-%20BDP%2013%20-%20Linhas%20Municipais%20BDP%20-%20Cons&#243;rcio%20Autobus.xlsx" TargetMode="External"/><Relationship Id="rId65" Type="http://schemas.openxmlformats.org/officeDocument/2006/relationships/hyperlink" Target="09%20-%2017BA%20-%20Linhas%20Municipais%20GDE%20BDP%20-%20Cons&#243;rcio%20Autobus.xlsx" TargetMode="External"/><Relationship Id="rId73" Type="http://schemas.openxmlformats.org/officeDocument/2006/relationships/hyperlink" Target="09%20-%2016BA%20-%20Linhas%20Municipais%20GDE%20BDP%20-%20AV%20BRASIL%20Luxo.xlsx" TargetMode="External"/><Relationship Id="rId78" Type="http://schemas.openxmlformats.org/officeDocument/2006/relationships/hyperlink" Target="07%20-%20BDP%2022%20-%20Linhas%20Municipais%20BDP%20-%20AO%20Penha%20S&#227;o%20Miguel.xlsx" TargetMode="External"/><Relationship Id="rId81" Type="http://schemas.openxmlformats.org/officeDocument/2006/relationships/hyperlink" Target="02%20-%20MNR%2021%20-%20Municipal%20de%20MNR%20-%20Estrela%20de%20PRATA%20Via&#231;&#227;o.xlsx" TargetMode="External"/><Relationship Id="rId86" Type="http://schemas.openxmlformats.org/officeDocument/2006/relationships/hyperlink" Target="06%20-%20RP%20939%20-%20Linhas%20Metropolitanas%20MRP%20-%20AV%20Na&#231;&#245;es%20UNIDAS.xlsx" TargetMode="External"/><Relationship Id="rId94" Type="http://schemas.openxmlformats.org/officeDocument/2006/relationships/hyperlink" Target="05%20-%20MRP%203%20-%20Municipais%20de%20MRP%20-%20SANTA%20ISABEL%20Transportes.xlsx" TargetMode="External"/><Relationship Id="rId99" Type="http://schemas.openxmlformats.org/officeDocument/2006/relationships/hyperlink" Target="06%20-%20RP%20953%20-%20Linhas%20Metropolitanas%20MRP%20-%20Via&#231;&#227;o%20JUREMA.xlsx" TargetMode="External"/><Relationship Id="rId101" Type="http://schemas.openxmlformats.org/officeDocument/2006/relationships/hyperlink" Target="06%20-%20RP%20960%20-%20Linhas%20Metropolitanas%20MRP%20-%20Via&#231;&#227;o%20PARATODOS.xlsx" TargetMode="External"/><Relationship Id="rId4" Type="http://schemas.openxmlformats.org/officeDocument/2006/relationships/hyperlink" Target="03%20-%20RP%20593%20-%20Metropolitano%20de%20Borda%20do%20Campo%20-%20NOVA%20CIDADE%20Transp.%20Urbanos.xlsx" TargetMode="External"/><Relationship Id="rId9" Type="http://schemas.openxmlformats.org/officeDocument/2006/relationships/hyperlink" Target="04%20-%2002MN%20-%20Municipal%20de%20Moinho%20Novo%20-%20TRANSCOL%20Via&#231;&#227;o.xlsx" TargetMode="External"/><Relationship Id="rId13" Type="http://schemas.openxmlformats.org/officeDocument/2006/relationships/hyperlink" Target="04%20-%2006NF%20-%20Municipal%20de%20Nova%20Fazenda%20-%20Auto%20Via&#231;&#227;o%20EDUCAND&#193;RIO.xlsx" TargetMode="External"/><Relationship Id="rId18" Type="http://schemas.openxmlformats.org/officeDocument/2006/relationships/hyperlink" Target="01%20-%2017%20-%20Municipal%20de%20Campo%20Verde%20-%20IMPERIAL%20Via&#231;&#227;o.xlsx" TargetMode="External"/><Relationship Id="rId39" Type="http://schemas.openxmlformats.org/officeDocument/2006/relationships/hyperlink" Target="08%20-%20RP%20079%20-%20Metropolitano%20de%20Esmeralda%20-%20Expresso%20TANGUA.xlsx" TargetMode="External"/><Relationship Id="rId109" Type="http://schemas.openxmlformats.org/officeDocument/2006/relationships/hyperlink" Target="02%20-%20MNR%2032%20-%20Municipal%20de%20MNR%20-%20ITAPU&#195;%20Transportes.xlsx" TargetMode="External"/><Relationship Id="rId34" Type="http://schemas.openxmlformats.org/officeDocument/2006/relationships/hyperlink" Target="08%20-%20RP%20059%20-%20Metropolitano%20de%20Pinheirais%20-%20NAPOLES%20Transportes.xlsx" TargetMode="External"/><Relationship Id="rId50" Type="http://schemas.openxmlformats.org/officeDocument/2006/relationships/hyperlink" Target="01%20-%2026%20-%20Municipal%20de%20Graciosa%20-%20AO%20PENHA%20S&#195;O%20MIGUEL.xlsx" TargetMode="External"/><Relationship Id="rId55" Type="http://schemas.openxmlformats.org/officeDocument/2006/relationships/hyperlink" Target="05%20-%20MRP%207%20-%20Municipais%20de%20MRP%20-%20Cons&#243;rcio%20AUTOBUS.xlsx" TargetMode="External"/><Relationship Id="rId76" Type="http://schemas.openxmlformats.org/officeDocument/2006/relationships/hyperlink" Target="05%20-%20MRP%208%20-%20Municipais%20de%20MRP%20-%20AO%20Parada%20INGLESA.xlsx" TargetMode="External"/><Relationship Id="rId97" Type="http://schemas.openxmlformats.org/officeDocument/2006/relationships/hyperlink" Target="07%20-%20BDP%2062%20-%20Linhas%20Municipais%20BDP%20-%20SANTA%20ISABEL%20Transportes.xlsx" TargetMode="External"/><Relationship Id="rId104" Type="http://schemas.openxmlformats.org/officeDocument/2006/relationships/hyperlink" Target="07%20-%20BDP%2043%20-%20Linhas%20Municipais%20BDP%20-%20Via&#231;&#227;o%20GON&#199;ALENSE.xlsx" TargetMode="External"/><Relationship Id="rId7" Type="http://schemas.openxmlformats.org/officeDocument/2006/relationships/hyperlink" Target="01%20-%2014%20-%20Municipal%20de%20Sabar&#225;%20do%20Sul%20-%20TRANSCOL%20Via&#231;&#227;o.xlsx" TargetMode="External"/><Relationship Id="rId71" Type="http://schemas.openxmlformats.org/officeDocument/2006/relationships/hyperlink" Target="07%20-%20BDP%2031%20-%20Linhas%20Municipais%20BDP%20-%20AV%20BRASIL%20Luxo.xlsx" TargetMode="External"/><Relationship Id="rId92" Type="http://schemas.openxmlformats.org/officeDocument/2006/relationships/hyperlink" Target="09%20-%2014YP%20-%20Linhas%20Municipais%20GDE%20BDP%20-%20Auto%20RANGELINO%20Via&#231;&#227;o.xlsx" TargetMode="External"/><Relationship Id="rId2" Type="http://schemas.openxmlformats.org/officeDocument/2006/relationships/hyperlink" Target="01%20-%2011%20-%20Municipal%20de%20Pedrante%20-%20IMPERIAL%20Via&#231;&#227;o.xlsx" TargetMode="External"/><Relationship Id="rId29" Type="http://schemas.openxmlformats.org/officeDocument/2006/relationships/hyperlink" Target="03%20-%20RP%20695%20-%20Metropolitano%20de%20Nova%20Fazenda%20-%20Expresso%20CAMBAR&#193;.xlsx" TargetMode="External"/><Relationship Id="rId24" Type="http://schemas.openxmlformats.org/officeDocument/2006/relationships/hyperlink" Target="03%20-%20RP%20305%20-%20Metropolitano%20de%20Moinho%20Novo%20-%20Auto%20&#212;nibus%20BARONESA.xlsx" TargetMode="External"/><Relationship Id="rId40" Type="http://schemas.openxmlformats.org/officeDocument/2006/relationships/hyperlink" Target="08%20-%20RP%20083%20-%20Metropolitano%20de%20Yporanga%20-%20Via&#231;&#227;o%20VALE%20do%20SOL.xlsx" TargetMode="External"/><Relationship Id="rId45" Type="http://schemas.openxmlformats.org/officeDocument/2006/relationships/hyperlink" Target="01%20-%2021%20-%20Municipal%20de%20Santa%20Marta%20-%20Cons&#243;rcio%20AUTOBUS.xlsx" TargetMode="External"/><Relationship Id="rId66" Type="http://schemas.openxmlformats.org/officeDocument/2006/relationships/hyperlink" Target="05%20-%20MRP%202%20-%20Municipais%20de%20MRP%20-%20AV%20BRASIL%20Luxo.xlsx" TargetMode="External"/><Relationship Id="rId87" Type="http://schemas.openxmlformats.org/officeDocument/2006/relationships/hyperlink" Target="07%20-%20BDP%2012%20-%20Linhas%20Municipais%20BDP%20-%20Estrela%20de%20PRATA%20Via&#231;&#227;o.xlsx" TargetMode="External"/><Relationship Id="rId110" Type="http://schemas.openxmlformats.org/officeDocument/2006/relationships/hyperlink" Target="02%20-%20MNR%2042%20-%20Municipal%20de%20MNR%20-%20ITAPU&#195;%20Transportes.xlsx" TargetMode="External"/><Relationship Id="rId115" Type="http://schemas.openxmlformats.org/officeDocument/2006/relationships/hyperlink" Target="02%20-%20MNR%2031%20-%20Municipal%20de%20MNR%20-%20IMPERIAL%20Via&#231;&#227;o.xlsx" TargetMode="External"/><Relationship Id="rId61" Type="http://schemas.openxmlformats.org/officeDocument/2006/relationships/hyperlink" Target="06%20-%20RP%20981%20-%20Linhas%20Metropolitanas%20MRP%20-%20Cons&#243;rcio%20Autobus.xlsx" TargetMode="External"/><Relationship Id="rId82" Type="http://schemas.openxmlformats.org/officeDocument/2006/relationships/hyperlink" Target="02%20-%20MNR%2071%20-%20Municipal%20de%20MNR%20-%20AV%20Na&#231;&#245;es%20UNIDAS.xlsx" TargetMode="External"/><Relationship Id="rId19" Type="http://schemas.openxmlformats.org/officeDocument/2006/relationships/hyperlink" Target="01%20-%2018%20-%20Municipal%20de%20Canaviais%20-%20Expresso%20CAMBAR&#193;.xlsx" TargetMode="External"/><Relationship Id="rId14" Type="http://schemas.openxmlformats.org/officeDocument/2006/relationships/hyperlink" Target="04%20-%2007LM%20-%20Municipal%20de%20Limoeiro%20-%20Transportes%20IPANEMA.xlsx" TargetMode="External"/><Relationship Id="rId30" Type="http://schemas.openxmlformats.org/officeDocument/2006/relationships/hyperlink" Target="03%20-%20RP%20726%20-%20Metropolitano%20de%20Limoeiro%20-%20NOVA%20CIDADE%20Transp.%20Urbanos.xlsx" TargetMode="External"/><Relationship Id="rId35" Type="http://schemas.openxmlformats.org/officeDocument/2006/relationships/hyperlink" Target="08%20-%20RP%20063%20-%20Metropolitano%20de%20Pinheirais%20-%20NAPOLES%20Transportes.xlsx" TargetMode="External"/><Relationship Id="rId56" Type="http://schemas.openxmlformats.org/officeDocument/2006/relationships/hyperlink" Target="06%20-%20RP%20932%20-%20Linhas%20Metropolitanas%20MRP%20-%20Cons&#243;rcio%20Autobus.xlsx" TargetMode="External"/><Relationship Id="rId77" Type="http://schemas.openxmlformats.org/officeDocument/2006/relationships/hyperlink" Target="07%20-%20BDP%2061%20-%20Linhas%20Municipais%20BDP%20-%20AO%20Parada%20INGLESA.xlsx" TargetMode="External"/><Relationship Id="rId100" Type="http://schemas.openxmlformats.org/officeDocument/2006/relationships/hyperlink" Target="07%20-%20BDP%2023%20-%20Linhas%20Municipais%20BDP%20-%20Via&#231;&#227;o%20JUREMA.xlsx" TargetMode="External"/><Relationship Id="rId105" Type="http://schemas.openxmlformats.org/officeDocument/2006/relationships/hyperlink" Target="07%20-%20BDP%2053%20-%20Linhas%20Municipais%20BDP%20-%20Via&#231;&#227;o%20GON&#199;ALENSE.xlsx" TargetMode="External"/><Relationship Id="rId8" Type="http://schemas.openxmlformats.org/officeDocument/2006/relationships/hyperlink" Target="04%20-%2001PN%20-%20Municipal%20de%20Pontal%20Noroeste%20-%20TRANSCOL%20Via&#231;&#227;o.xlsx" TargetMode="External"/><Relationship Id="rId51" Type="http://schemas.openxmlformats.org/officeDocument/2006/relationships/hyperlink" Target="01%20-%2027%20-%20Municipal%20de%20Santa%20Ifig&#234;nia%20-%20AO%20PARADA%20INGLESA.xlsx" TargetMode="External"/><Relationship Id="rId72" Type="http://schemas.openxmlformats.org/officeDocument/2006/relationships/hyperlink" Target="07%20-%20BDP%2041%20-%20Linhas%20Municipais%20BDP%20-%20AV%20BRASIL%20Luxo.xlsx" TargetMode="External"/><Relationship Id="rId93" Type="http://schemas.openxmlformats.org/officeDocument/2006/relationships/hyperlink" Target="09%20-%2015JM%20-%20Linhas%20Municipais%20GDE%20BDP%20-%20Auto%20RANGELINO%20Via&#231;&#227;o.xlsx" TargetMode="External"/><Relationship Id="rId98" Type="http://schemas.openxmlformats.org/officeDocument/2006/relationships/hyperlink" Target="05%20-%20MRP%209%20-%20Municipais%20de%20MRP%20-%20Via&#231;&#227;o%20JUREMA.xlsx" TargetMode="External"/><Relationship Id="rId3" Type="http://schemas.openxmlformats.org/officeDocument/2006/relationships/hyperlink" Target="03%20-%20RP%20377%20-%20Metropolitano%20de%20Borda%20do%20Campo%20-%20Auto%20&#212;nibus%20BARONESA.xlsx" TargetMode="External"/><Relationship Id="rId25" Type="http://schemas.openxmlformats.org/officeDocument/2006/relationships/hyperlink" Target="03%20-%20RP%20351%20-%20Metropolitano%20de%20Moinho%20Novo%20-%20Coletivos%20MIRABUSS.xlsx" TargetMode="External"/><Relationship Id="rId46" Type="http://schemas.openxmlformats.org/officeDocument/2006/relationships/hyperlink" Target="01%20-%2022%20-%20Municipal%20de%20Romana%20-%20SANTA%20ISABEL%20Transportes.xlsx" TargetMode="External"/><Relationship Id="rId67" Type="http://schemas.openxmlformats.org/officeDocument/2006/relationships/hyperlink" Target="05%20-%20MRP%206%20-%20Municipais%20de%20MRP%20-%20AV%20BRASIL%20Luxo.xlsx" TargetMode="External"/><Relationship Id="rId116" Type="http://schemas.openxmlformats.org/officeDocument/2006/relationships/hyperlink" Target="05%20-%20MRP%204%20-%20Municipais%20de%20MRP%20-%20TRANSCOL%20Via&#231;&#227;o.xlsx" TargetMode="External"/><Relationship Id="rId20" Type="http://schemas.openxmlformats.org/officeDocument/2006/relationships/hyperlink" Target="01%20-%2019%20-%20Municipal%20de%20Pedra%20Nova%20-%20Via%20RIO%20Transportes.xlsx" TargetMode="External"/><Relationship Id="rId41" Type="http://schemas.openxmlformats.org/officeDocument/2006/relationships/hyperlink" Target="08%20-%20RP%20087%20-%20Metropolitano%20de%20Jaguara%20Mirim%20-%20NAPOLES%20Transportes.xlsx" TargetMode="External"/><Relationship Id="rId62" Type="http://schemas.openxmlformats.org/officeDocument/2006/relationships/hyperlink" Target="09%20-%2009TP%20-%20Linhas%20Municipais%20GDE%20BDP%20-%20Cons&#243;rcio%20Autobus.xlsx" TargetMode="External"/><Relationship Id="rId83" Type="http://schemas.openxmlformats.org/officeDocument/2006/relationships/hyperlink" Target="02%20-%20MNR%2072%20-%20Municipal%20de%20MNR%20-%20AV%20Na&#231;&#245;es%20UNIDAS.xlsx" TargetMode="External"/><Relationship Id="rId88" Type="http://schemas.openxmlformats.org/officeDocument/2006/relationships/hyperlink" Target="07%20-%20BDP%2021%20-%20Linhas%20Municipais%20BDP%20-%20Estrela%20de%20PRATA%20Via&#231;&#227;o.xlsx" TargetMode="External"/><Relationship Id="rId111" Type="http://schemas.openxmlformats.org/officeDocument/2006/relationships/hyperlink" Target="02%20-%20MNR%2022%20-%20Municipal%20de%20MNR%20-%20MAUA%20Transportes.xlsx" TargetMode="External"/><Relationship Id="rId15" Type="http://schemas.openxmlformats.org/officeDocument/2006/relationships/hyperlink" Target="04%20-%2008LM%20-%20Municipal%20de%20Limoeiro%20-%20Transportes%20IPANEMA.xlsx" TargetMode="External"/><Relationship Id="rId36" Type="http://schemas.openxmlformats.org/officeDocument/2006/relationships/hyperlink" Target="08%20-%20RP%20067%20-%20Metropolitano%20de%20Esmeralda%20-%20Via&#231;&#227;o%20VALE%20do%20SOL.xlsx" TargetMode="External"/><Relationship Id="rId57" Type="http://schemas.openxmlformats.org/officeDocument/2006/relationships/hyperlink" Target="06%20-%20RP%20967%20-%20Linhas%20Metropolitanas%20MRP%20-%20Cons&#243;rcio%20Autobus.xlsx" TargetMode="External"/><Relationship Id="rId106" Type="http://schemas.openxmlformats.org/officeDocument/2006/relationships/hyperlink" Target="07%20-%20BDP%2072%20-%20Linhas%20Municipais%20BDP%20-%20Via&#231;&#227;o%20GON&#199;ALENSE.xlsx"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table" Target="../tables/table3.xml"/><Relationship Id="rId4"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46"/>
  <sheetViews>
    <sheetView workbookViewId="0">
      <selection activeCell="K27" sqref="K27:K41"/>
    </sheetView>
  </sheetViews>
  <sheetFormatPr defaultRowHeight="15" x14ac:dyDescent="0.2"/>
  <cols>
    <col min="1" max="1" width="3.140625" style="205" customWidth="1"/>
    <col min="2" max="2" width="12" style="205" customWidth="1"/>
    <col min="3" max="3" width="10.28515625" style="205" bestFit="1" customWidth="1"/>
    <col min="4" max="4" width="10.140625" style="205" bestFit="1" customWidth="1"/>
    <col min="5" max="5" width="22.5703125" style="205" bestFit="1" customWidth="1"/>
    <col min="6" max="6" width="10.28515625" style="205" bestFit="1" customWidth="1"/>
    <col min="7" max="7" width="8.85546875" style="205" bestFit="1" customWidth="1"/>
    <col min="8" max="8" width="32" style="205" bestFit="1" customWidth="1"/>
    <col min="9" max="9" width="10.28515625" style="205" bestFit="1" customWidth="1"/>
    <col min="10" max="10" width="8.85546875" style="205" bestFit="1" customWidth="1"/>
    <col min="11" max="11" width="32" style="205" bestFit="1" customWidth="1"/>
    <col min="12" max="12" width="8.140625" style="205" bestFit="1" customWidth="1"/>
    <col min="13" max="13" width="14.28515625" style="205" bestFit="1" customWidth="1"/>
    <col min="14" max="14" width="14.140625" style="205" bestFit="1" customWidth="1"/>
    <col min="15" max="16" width="20.42578125" style="205" bestFit="1" customWidth="1"/>
    <col min="17" max="16384" width="9.140625" style="205"/>
  </cols>
  <sheetData>
    <row r="2" spans="2:11" ht="15.75" thickBot="1" x14ac:dyDescent="0.25"/>
    <row r="3" spans="2:11" ht="15.75" thickBot="1" x14ac:dyDescent="0.25">
      <c r="B3" s="609" t="s">
        <v>25</v>
      </c>
      <c r="C3" s="612" t="s">
        <v>403</v>
      </c>
      <c r="D3" s="613"/>
      <c r="E3" s="614"/>
      <c r="F3" s="612" t="s">
        <v>278</v>
      </c>
      <c r="G3" s="613"/>
      <c r="H3" s="614"/>
      <c r="I3" s="612" t="s">
        <v>404</v>
      </c>
      <c r="J3" s="613"/>
      <c r="K3" s="614"/>
    </row>
    <row r="4" spans="2:11" x14ac:dyDescent="0.2">
      <c r="B4" s="610"/>
      <c r="C4" s="602" t="s">
        <v>405</v>
      </c>
      <c r="D4" s="604" t="s">
        <v>406</v>
      </c>
      <c r="E4" s="600" t="s">
        <v>407</v>
      </c>
      <c r="F4" s="602" t="s">
        <v>405</v>
      </c>
      <c r="G4" s="604" t="s">
        <v>406</v>
      </c>
      <c r="H4" s="600" t="s">
        <v>407</v>
      </c>
      <c r="I4" s="602" t="s">
        <v>405</v>
      </c>
      <c r="J4" s="604" t="s">
        <v>406</v>
      </c>
      <c r="K4" s="600" t="s">
        <v>407</v>
      </c>
    </row>
    <row r="5" spans="2:11" ht="15.75" thickBot="1" x14ac:dyDescent="0.25">
      <c r="B5" s="611"/>
      <c r="C5" s="603"/>
      <c r="D5" s="605"/>
      <c r="E5" s="601"/>
      <c r="F5" s="603"/>
      <c r="G5" s="605"/>
      <c r="H5" s="601"/>
      <c r="I5" s="603"/>
      <c r="J5" s="605"/>
      <c r="K5" s="601"/>
    </row>
    <row r="6" spans="2:11" x14ac:dyDescent="0.2">
      <c r="B6" s="206" t="str">
        <f>IF(PERFIL!$B5="","",IF(PERFIL!$B5="---","",PERFIL!$B5))</f>
        <v/>
      </c>
      <c r="C6" s="207" t="str">
        <f>IF(B6="","",IF(B6="---","",ROUNDDOWN(SUMIF(SEM!$D$6:$D$305,TRANSPORTADOS!$B6,SEM!$AD$6:$AD$305),0)))</f>
        <v/>
      </c>
      <c r="D6" s="208" t="str">
        <f>IF(B6="","",IF(B6="---","",VLOOKUP(TRANSPORTADOS!B6,PERFIL!$B$4:$M$20,8,0)))</f>
        <v/>
      </c>
      <c r="E6" s="209" t="str">
        <f>IF(C6="","",ROUNDUP((C6/D6),0))</f>
        <v/>
      </c>
      <c r="F6" s="207" t="str">
        <f>IF(E6="","",IF(E6="---","",ROUNDDOWN(SUMIF(SAB!$D$6:$D$305,TRANSPORTADOS!$B6,SAB!$AD$6:$AD$305),0)))</f>
        <v/>
      </c>
      <c r="G6" s="208" t="str">
        <f>IF($B6="","",IF(F6="","",VLOOKUP(TRANSPORTADOS!$B6,PERFIL!$B$4:$M$20,11,0)))</f>
        <v/>
      </c>
      <c r="H6" s="209" t="str">
        <f>IF(F6="","",ROUNDUP((F6/G6),0))</f>
        <v/>
      </c>
      <c r="I6" s="207" t="str">
        <f>IF(H6="","",ROUNDDOWN(SUMIF(DF!$D$6:$D$305,TRANSPORTADOS!$B6,DF!$AD$6:$AD$305),0))</f>
        <v/>
      </c>
      <c r="J6" s="208" t="str">
        <f>IF($I6="","",VLOOKUP(TRANSPORTADOS!$B6,PERFIL!$B$4:$M$20,12,0))</f>
        <v/>
      </c>
      <c r="K6" s="209" t="str">
        <f>IF(I6="","",ROUNDUP((I6/J6),0))</f>
        <v/>
      </c>
    </row>
    <row r="7" spans="2:11" x14ac:dyDescent="0.2">
      <c r="B7" s="206" t="str">
        <f>IF(PERFIL!$B6="","",IF(PERFIL!$B6="---","",PERFIL!$B6))</f>
        <v/>
      </c>
      <c r="C7" s="207" t="str">
        <f>IF(B7="","",IF(B7="---","",ROUNDDOWN(SUMIF(SEM!$D$6:$D$305,TRANSPORTADOS!$B7,SEM!$AD$6:$AD$305),0)))</f>
        <v/>
      </c>
      <c r="D7" s="208" t="str">
        <f>IF(B7="","",IF(B7="---","",VLOOKUP(TRANSPORTADOS!B7,PERFIL!$B$4:$M$20,8,0)))</f>
        <v/>
      </c>
      <c r="E7" s="209" t="str">
        <f t="shared" ref="E7:E21" si="0">IF(C7="","",ROUNDUP((C7/D7),0))</f>
        <v/>
      </c>
      <c r="F7" s="207" t="str">
        <f>IF(E7="","",IF(E7="---","",ROUNDDOWN(SUMIF(SAB!$D$6:$D$305,TRANSPORTADOS!$B7,SAB!$AD$6:$AD$305),0)))</f>
        <v/>
      </c>
      <c r="G7" s="208" t="str">
        <f>IF($B7="","",IF(F7="","",VLOOKUP(TRANSPORTADOS!$B7,PERFIL!$B$4:$M$20,11,0)))</f>
        <v/>
      </c>
      <c r="H7" s="209" t="str">
        <f t="shared" ref="H7:H21" si="1">IF(F7="","",ROUNDUP((F7/G7),0))</f>
        <v/>
      </c>
      <c r="I7" s="207" t="str">
        <f>IF(H7="","",ROUNDDOWN(SUMIF(DF!$D$6:$D$305,TRANSPORTADOS!$B7,DF!$AD$6:$AD$305),0))</f>
        <v/>
      </c>
      <c r="J7" s="208" t="str">
        <f>IF($I7="","",VLOOKUP(TRANSPORTADOS!$B7,PERFIL!$B$4:$M$20,12,0))</f>
        <v/>
      </c>
      <c r="K7" s="209" t="str">
        <f t="shared" ref="K7:K21" si="2">IF(I7="","",ROUNDUP((I7/J7),0))</f>
        <v/>
      </c>
    </row>
    <row r="8" spans="2:11" x14ac:dyDescent="0.2">
      <c r="B8" s="206" t="str">
        <f>IF(PERFIL!$B7="","",IF(PERFIL!$B7="---","",PERFIL!$B7))</f>
        <v/>
      </c>
      <c r="C8" s="207" t="str">
        <f>IF(B8="","",IF(B8="---","",ROUNDDOWN(SUMIF(SEM!$D$6:$D$305,TRANSPORTADOS!$B8,SEM!$AD$6:$AD$305),0)))</f>
        <v/>
      </c>
      <c r="D8" s="208" t="str">
        <f>IF(B8="","",IF(B8="---","",VLOOKUP(TRANSPORTADOS!B8,PERFIL!$B$4:$M$20,8,0)))</f>
        <v/>
      </c>
      <c r="E8" s="209" t="str">
        <f t="shared" si="0"/>
        <v/>
      </c>
      <c r="F8" s="207" t="str">
        <f>IF(E8="","",IF(E8="---","",ROUNDDOWN(SUMIF(SAB!$D$6:$D$305,TRANSPORTADOS!$B8,SAB!$AD$6:$AD$305),0)))</f>
        <v/>
      </c>
      <c r="G8" s="208" t="str">
        <f>IF($B8="","",IF(F8="","",VLOOKUP(TRANSPORTADOS!$B8,PERFIL!$B$4:$M$20,11,0)))</f>
        <v/>
      </c>
      <c r="H8" s="209" t="str">
        <f t="shared" si="1"/>
        <v/>
      </c>
      <c r="I8" s="207" t="str">
        <f>IF(H8="","",ROUNDDOWN(SUMIF(DF!$D$6:$D$305,TRANSPORTADOS!$B8,DF!$AD$6:$AD$305),0))</f>
        <v/>
      </c>
      <c r="J8" s="208" t="str">
        <f>IF($I8="","",VLOOKUP(TRANSPORTADOS!$B8,PERFIL!$B$4:$M$20,12,0))</f>
        <v/>
      </c>
      <c r="K8" s="209" t="str">
        <f t="shared" si="2"/>
        <v/>
      </c>
    </row>
    <row r="9" spans="2:11" x14ac:dyDescent="0.2">
      <c r="B9" s="206" t="str">
        <f>IF(PERFIL!$B8="","",IF(PERFIL!$B8="---","",PERFIL!$B8))</f>
        <v/>
      </c>
      <c r="C9" s="207" t="str">
        <f>IF(B9="","",IF(B9="---","",ROUNDDOWN(SUMIF(SEM!$D$6:$D$305,TRANSPORTADOS!$B9,SEM!$AD$6:$AD$305),0)))</f>
        <v/>
      </c>
      <c r="D9" s="208" t="str">
        <f>IF(B9="","",IF(B9="---","",VLOOKUP(TRANSPORTADOS!B9,PERFIL!$B$4:$M$20,8,0)))</f>
        <v/>
      </c>
      <c r="E9" s="209" t="str">
        <f t="shared" si="0"/>
        <v/>
      </c>
      <c r="F9" s="207" t="str">
        <f>IF(E9="","",IF(E9="---","",ROUNDDOWN(SUMIF(SAB!$D$6:$D$305,TRANSPORTADOS!$B9,SAB!$AD$6:$AD$305),0)))</f>
        <v/>
      </c>
      <c r="G9" s="208" t="str">
        <f>IF($B9="","",IF(F9="","",VLOOKUP(TRANSPORTADOS!$B9,PERFIL!$B$4:$M$20,11,0)))</f>
        <v/>
      </c>
      <c r="H9" s="209" t="str">
        <f t="shared" si="1"/>
        <v/>
      </c>
      <c r="I9" s="207" t="str">
        <f>IF(H9="","",ROUNDDOWN(SUMIF(DF!$D$6:$D$305,TRANSPORTADOS!$B9,DF!$AD$6:$AD$305),0))</f>
        <v/>
      </c>
      <c r="J9" s="208" t="str">
        <f>IF($I9="","",VLOOKUP(TRANSPORTADOS!$B9,PERFIL!$B$4:$M$20,12,0))</f>
        <v/>
      </c>
      <c r="K9" s="209" t="str">
        <f t="shared" si="2"/>
        <v/>
      </c>
    </row>
    <row r="10" spans="2:11" x14ac:dyDescent="0.2">
      <c r="B10" s="206" t="str">
        <f>IF(PERFIL!$B9="","",IF(PERFIL!$B9="---","",PERFIL!$B9))</f>
        <v/>
      </c>
      <c r="C10" s="207" t="str">
        <f>IF(B10="","",IF(B10="---","",ROUNDDOWN(SUMIF(SEM!$D$6:$D$305,TRANSPORTADOS!$B10,SEM!$AD$6:$AD$305),0)))</f>
        <v/>
      </c>
      <c r="D10" s="208" t="str">
        <f>IF(B10="","",IF(B10="---","",VLOOKUP(TRANSPORTADOS!B10,PERFIL!$B$4:$M$20,8,0)))</f>
        <v/>
      </c>
      <c r="E10" s="209" t="str">
        <f t="shared" si="0"/>
        <v/>
      </c>
      <c r="F10" s="207" t="str">
        <f>IF(E10="","",IF(E10="---","",ROUNDDOWN(SUMIF(SAB!$D$6:$D$305,TRANSPORTADOS!$B10,SAB!$AD$6:$AD$305),0)))</f>
        <v/>
      </c>
      <c r="G10" s="208" t="str">
        <f>IF($B10="","",IF(F10="","",VLOOKUP(TRANSPORTADOS!$B10,PERFIL!$B$4:$M$20,11,0)))</f>
        <v/>
      </c>
      <c r="H10" s="209" t="str">
        <f t="shared" si="1"/>
        <v/>
      </c>
      <c r="I10" s="207" t="str">
        <f>IF(H10="","",ROUNDDOWN(SUMIF(DF!$D$6:$D$305,TRANSPORTADOS!$B10,DF!$AD$6:$AD$305),0))</f>
        <v/>
      </c>
      <c r="J10" s="208" t="str">
        <f>IF($I10="","",VLOOKUP(TRANSPORTADOS!$B10,PERFIL!$B$4:$M$20,12,0))</f>
        <v/>
      </c>
      <c r="K10" s="209" t="str">
        <f t="shared" si="2"/>
        <v/>
      </c>
    </row>
    <row r="11" spans="2:11" x14ac:dyDescent="0.2">
      <c r="B11" s="206" t="str">
        <f>IF(PERFIL!$B10="","",IF(PERFIL!$B10="---","",PERFIL!$B10))</f>
        <v/>
      </c>
      <c r="C11" s="207" t="str">
        <f>IF(B11="","",IF(B11="---","",ROUNDDOWN(SUMIF(SEM!$D$6:$D$305,TRANSPORTADOS!$B11,SEM!$AD$6:$AD$305),0)))</f>
        <v/>
      </c>
      <c r="D11" s="208" t="str">
        <f>IF(B11="","",IF(B11="---","",VLOOKUP(TRANSPORTADOS!B11,PERFIL!$B$4:$M$20,8,0)))</f>
        <v/>
      </c>
      <c r="E11" s="209" t="str">
        <f t="shared" si="0"/>
        <v/>
      </c>
      <c r="F11" s="207" t="str">
        <f>IF(E11="","",IF(E11="---","",ROUNDDOWN(SUMIF(SAB!$D$6:$D$305,TRANSPORTADOS!$B11,SAB!$AD$6:$AD$305),0)))</f>
        <v/>
      </c>
      <c r="G11" s="208" t="str">
        <f>IF($B11="","",IF(F11="","",VLOOKUP(TRANSPORTADOS!$B11,PERFIL!$B$4:$M$20,11,0)))</f>
        <v/>
      </c>
      <c r="H11" s="209" t="str">
        <f t="shared" si="1"/>
        <v/>
      </c>
      <c r="I11" s="207" t="str">
        <f>IF(H11="","",ROUNDDOWN(SUMIF(DF!$D$6:$D$305,TRANSPORTADOS!$B11,DF!$AD$6:$AD$305),0))</f>
        <v/>
      </c>
      <c r="J11" s="208" t="str">
        <f>IF($I11="","",VLOOKUP(TRANSPORTADOS!$B11,PERFIL!$B$4:$M$20,12,0))</f>
        <v/>
      </c>
      <c r="K11" s="209" t="str">
        <f t="shared" si="2"/>
        <v/>
      </c>
    </row>
    <row r="12" spans="2:11" x14ac:dyDescent="0.2">
      <c r="B12" s="206" t="str">
        <f>IF(PERFIL!$B11="","",IF(PERFIL!$B11="---","",PERFIL!$B11))</f>
        <v/>
      </c>
      <c r="C12" s="207" t="str">
        <f>IF(B12="","",IF(B12="---","",ROUNDDOWN(SUMIF(SEM!$D$6:$D$305,TRANSPORTADOS!$B12,SEM!$AD$6:$AD$305),0)))</f>
        <v/>
      </c>
      <c r="D12" s="208" t="str">
        <f>IF(B12="","",IF(B12="---","",VLOOKUP(TRANSPORTADOS!B12,PERFIL!$B$4:$M$20,8,0)))</f>
        <v/>
      </c>
      <c r="E12" s="209" t="str">
        <f t="shared" si="0"/>
        <v/>
      </c>
      <c r="F12" s="207" t="str">
        <f>IF(E12="","",IF(E12="---","",ROUNDDOWN(SUMIF(SAB!$D$6:$D$305,TRANSPORTADOS!$B12,SAB!$AD$6:$AD$305),0)))</f>
        <v/>
      </c>
      <c r="G12" s="208" t="str">
        <f>IF($B12="","",IF(F12="","",VLOOKUP(TRANSPORTADOS!$B12,PERFIL!$B$4:$M$20,11,0)))</f>
        <v/>
      </c>
      <c r="H12" s="209" t="str">
        <f t="shared" si="1"/>
        <v/>
      </c>
      <c r="I12" s="207" t="str">
        <f>IF(H12="","",ROUNDDOWN(SUMIF(DF!$D$6:$D$305,TRANSPORTADOS!$B12,DF!$AD$6:$AD$305),0))</f>
        <v/>
      </c>
      <c r="J12" s="208" t="str">
        <f>IF($I12="","",VLOOKUP(TRANSPORTADOS!$B12,PERFIL!$B$4:$M$20,12,0))</f>
        <v/>
      </c>
      <c r="K12" s="209" t="str">
        <f t="shared" si="2"/>
        <v/>
      </c>
    </row>
    <row r="13" spans="2:11" x14ac:dyDescent="0.2">
      <c r="B13" s="206" t="str">
        <f>IF(PERFIL!$B12="","",IF(PERFIL!$B12="---","",PERFIL!$B12))</f>
        <v/>
      </c>
      <c r="C13" s="207" t="str">
        <f>IF(B13="","",IF(B13="---","",ROUNDDOWN(SUMIF(SEM!$D$6:$D$305,TRANSPORTADOS!$B13,SEM!$AD$6:$AD$305),0)))</f>
        <v/>
      </c>
      <c r="D13" s="208" t="str">
        <f>IF(B13="","",IF(B13="---","",VLOOKUP(TRANSPORTADOS!B13,PERFIL!$B$4:$M$20,8,0)))</f>
        <v/>
      </c>
      <c r="E13" s="209" t="str">
        <f t="shared" si="0"/>
        <v/>
      </c>
      <c r="F13" s="207" t="str">
        <f>IF(E13="","",IF(E13="---","",ROUNDDOWN(SUMIF(SAB!$D$6:$D$305,TRANSPORTADOS!$B13,SAB!$AD$6:$AD$305),0)))</f>
        <v/>
      </c>
      <c r="G13" s="208" t="str">
        <f>IF($B13="","",IF(F13="","",VLOOKUP(TRANSPORTADOS!$B13,PERFIL!$B$4:$M$20,11,0)))</f>
        <v/>
      </c>
      <c r="H13" s="209" t="str">
        <f t="shared" si="1"/>
        <v/>
      </c>
      <c r="I13" s="207" t="str">
        <f>IF(H13="","",ROUNDDOWN(SUMIF(DF!$D$6:$D$305,TRANSPORTADOS!$B13,DF!$AD$6:$AD$305),0))</f>
        <v/>
      </c>
      <c r="J13" s="208" t="str">
        <f>IF($I13="","",VLOOKUP(TRANSPORTADOS!$B13,PERFIL!$B$4:$M$20,12,0))</f>
        <v/>
      </c>
      <c r="K13" s="209" t="str">
        <f t="shared" si="2"/>
        <v/>
      </c>
    </row>
    <row r="14" spans="2:11" x14ac:dyDescent="0.2">
      <c r="B14" s="206" t="str">
        <f>IF(PERFIL!$B13="","",IF(PERFIL!$B13="---","",PERFIL!$B13))</f>
        <v/>
      </c>
      <c r="C14" s="207" t="str">
        <f>IF(B14="","",IF(B14="---","",ROUNDDOWN(SUMIF(SEM!$D$6:$D$305,TRANSPORTADOS!$B14,SEM!$AD$6:$AD$305),0)))</f>
        <v/>
      </c>
      <c r="D14" s="208" t="str">
        <f>IF(B14="","",IF(B14="---","",VLOOKUP(TRANSPORTADOS!B14,PERFIL!$B$4:$M$20,8,0)))</f>
        <v/>
      </c>
      <c r="E14" s="209" t="str">
        <f t="shared" si="0"/>
        <v/>
      </c>
      <c r="F14" s="207" t="str">
        <f>IF(E14="","",IF(E14="---","",ROUNDDOWN(SUMIF(SAB!$D$6:$D$305,TRANSPORTADOS!$B14,SAB!$AD$6:$AD$305),0)))</f>
        <v/>
      </c>
      <c r="G14" s="208" t="str">
        <f>IF($B14="","",IF(F14="","",VLOOKUP(TRANSPORTADOS!$B14,PERFIL!$B$4:$M$20,11,0)))</f>
        <v/>
      </c>
      <c r="H14" s="209" t="str">
        <f t="shared" si="1"/>
        <v/>
      </c>
      <c r="I14" s="207" t="str">
        <f>IF(H14="","",ROUNDDOWN(SUMIF(DF!$D$6:$D$305,TRANSPORTADOS!$B14,DF!$AD$6:$AD$305),0))</f>
        <v/>
      </c>
      <c r="J14" s="208" t="str">
        <f>IF($I14="","",VLOOKUP(TRANSPORTADOS!$B14,PERFIL!$B$4:$M$20,12,0))</f>
        <v/>
      </c>
      <c r="K14" s="209" t="str">
        <f t="shared" si="2"/>
        <v/>
      </c>
    </row>
    <row r="15" spans="2:11" x14ac:dyDescent="0.2">
      <c r="B15" s="206" t="str">
        <f>IF(PERFIL!$B14="","",IF(PERFIL!$B14="---","",PERFIL!$B14))</f>
        <v/>
      </c>
      <c r="C15" s="207" t="str">
        <f>IF(B15="","",IF(B15="---","",ROUNDDOWN(SUMIF(SEM!$D$6:$D$305,TRANSPORTADOS!$B15,SEM!$AD$6:$AD$305),0)))</f>
        <v/>
      </c>
      <c r="D15" s="208" t="str">
        <f>IF(B15="","",IF(B15="---","",VLOOKUP(TRANSPORTADOS!B15,PERFIL!$B$4:$M$20,8,0)))</f>
        <v/>
      </c>
      <c r="E15" s="209" t="str">
        <f t="shared" si="0"/>
        <v/>
      </c>
      <c r="F15" s="207" t="str">
        <f>IF(E15="","",IF(E15="---","",ROUNDDOWN(SUMIF(SAB!$D$6:$D$305,TRANSPORTADOS!$B15,SAB!$AD$6:$AD$305),0)))</f>
        <v/>
      </c>
      <c r="G15" s="208" t="str">
        <f>IF($B15="","",IF(F15="","",VLOOKUP(TRANSPORTADOS!$B15,PERFIL!$B$4:$M$20,11,0)))</f>
        <v/>
      </c>
      <c r="H15" s="209" t="str">
        <f t="shared" si="1"/>
        <v/>
      </c>
      <c r="I15" s="207" t="str">
        <f>IF(H15="","",ROUNDDOWN(SUMIF(DF!$D$6:$D$305,TRANSPORTADOS!$B15,DF!$AD$6:$AD$305),0))</f>
        <v/>
      </c>
      <c r="J15" s="208" t="str">
        <f>IF($I15="","",VLOOKUP(TRANSPORTADOS!$B15,PERFIL!$B$4:$M$20,12,0))</f>
        <v/>
      </c>
      <c r="K15" s="209" t="str">
        <f t="shared" si="2"/>
        <v/>
      </c>
    </row>
    <row r="16" spans="2:11" x14ac:dyDescent="0.2">
      <c r="B16" s="206" t="str">
        <f>IF(PERFIL!$B15="","",IF(PERFIL!$B15="---","",PERFIL!$B15))</f>
        <v/>
      </c>
      <c r="C16" s="207" t="str">
        <f>IF(B16="","",IF(B16="---","",ROUNDDOWN(SUMIF(SEM!$D$6:$D$305,TRANSPORTADOS!$B16,SEM!$AD$6:$AD$305),0)))</f>
        <v/>
      </c>
      <c r="D16" s="208" t="str">
        <f>IF(B16="","",IF(B16="---","",VLOOKUP(TRANSPORTADOS!B16,PERFIL!$B$4:$M$20,8,0)))</f>
        <v/>
      </c>
      <c r="E16" s="209" t="str">
        <f t="shared" si="0"/>
        <v/>
      </c>
      <c r="F16" s="207" t="str">
        <f>IF(E16="","",IF(E16="---","",ROUNDDOWN(SUMIF(SAB!$D$6:$D$305,TRANSPORTADOS!$B16,SAB!$AD$6:$AD$305),0)))</f>
        <v/>
      </c>
      <c r="G16" s="208" t="str">
        <f>IF($B16="","",IF(F16="","",VLOOKUP(TRANSPORTADOS!$B16,PERFIL!$B$4:$M$20,11,0)))</f>
        <v/>
      </c>
      <c r="H16" s="209" t="str">
        <f t="shared" si="1"/>
        <v/>
      </c>
      <c r="I16" s="207" t="str">
        <f>IF(H16="","",ROUNDDOWN(SUMIF(DF!$D$6:$D$305,TRANSPORTADOS!$B16,DF!$AD$6:$AD$305),0))</f>
        <v/>
      </c>
      <c r="J16" s="208" t="str">
        <f>IF($I16="","",VLOOKUP(TRANSPORTADOS!$B16,PERFIL!$B$4:$M$20,12,0))</f>
        <v/>
      </c>
      <c r="K16" s="209" t="str">
        <f t="shared" si="2"/>
        <v/>
      </c>
    </row>
    <row r="17" spans="2:16" x14ac:dyDescent="0.2">
      <c r="B17" s="206" t="str">
        <f>IF(PERFIL!$B16="","",IF(PERFIL!$B16="---","",PERFIL!$B16))</f>
        <v/>
      </c>
      <c r="C17" s="207" t="str">
        <f>IF(B17="","",IF(B17="---","",ROUNDDOWN(SUMIF(SEM!$D$6:$D$305,TRANSPORTADOS!$B17,SEM!$AD$6:$AD$305),0)))</f>
        <v/>
      </c>
      <c r="D17" s="208" t="str">
        <f>IF(B17="","",IF(B17="---","",VLOOKUP(TRANSPORTADOS!B17,PERFIL!$B$4:$M$20,8,0)))</f>
        <v/>
      </c>
      <c r="E17" s="209" t="str">
        <f t="shared" si="0"/>
        <v/>
      </c>
      <c r="F17" s="207" t="str">
        <f>IF(E17="","",IF(E17="---","",ROUNDDOWN(SUMIF(SAB!$D$6:$D$305,TRANSPORTADOS!$B17,SAB!$AD$6:$AD$305),0)))</f>
        <v/>
      </c>
      <c r="G17" s="208" t="str">
        <f>IF($B17="","",IF(F17="","",VLOOKUP(TRANSPORTADOS!$B17,PERFIL!$B$4:$M$20,11,0)))</f>
        <v/>
      </c>
      <c r="H17" s="209" t="str">
        <f t="shared" si="1"/>
        <v/>
      </c>
      <c r="I17" s="207" t="str">
        <f>IF(H17="","",ROUNDDOWN(SUMIF(DF!$D$6:$D$305,TRANSPORTADOS!$B17,DF!$AD$6:$AD$305),0))</f>
        <v/>
      </c>
      <c r="J17" s="208" t="str">
        <f>IF($I17="","",VLOOKUP(TRANSPORTADOS!$B17,PERFIL!$B$4:$M$20,12,0))</f>
        <v/>
      </c>
      <c r="K17" s="209" t="str">
        <f t="shared" si="2"/>
        <v/>
      </c>
    </row>
    <row r="18" spans="2:16" x14ac:dyDescent="0.2">
      <c r="B18" s="206" t="str">
        <f>IF(PERFIL!$B17="","",IF(PERFIL!$B17="---","",PERFIL!$B17))</f>
        <v/>
      </c>
      <c r="C18" s="207" t="str">
        <f>IF(B18="","",IF(B18="---","",ROUNDDOWN(SUMIF(SEM!$D$6:$D$305,TRANSPORTADOS!$B18,SEM!$AD$6:$AD$305),0)))</f>
        <v/>
      </c>
      <c r="D18" s="208" t="str">
        <f>IF(B18="","",IF(B18="---","",VLOOKUP(TRANSPORTADOS!B18,PERFIL!$B$4:$M$20,8,0)))</f>
        <v/>
      </c>
      <c r="E18" s="209" t="str">
        <f t="shared" si="0"/>
        <v/>
      </c>
      <c r="F18" s="207" t="str">
        <f>IF(E18="","",IF(E18="---","",ROUNDDOWN(SUMIF(SAB!$D$6:$D$305,TRANSPORTADOS!$B18,SAB!$AD$6:$AD$305),0)))</f>
        <v/>
      </c>
      <c r="G18" s="208" t="str">
        <f>IF($B18="","",IF(F18="","",VLOOKUP(TRANSPORTADOS!$B18,PERFIL!$B$4:$M$20,11,0)))</f>
        <v/>
      </c>
      <c r="H18" s="209" t="str">
        <f t="shared" si="1"/>
        <v/>
      </c>
      <c r="I18" s="207" t="str">
        <f>IF(H18="","",ROUNDDOWN(SUMIF(DF!$D$6:$D$305,TRANSPORTADOS!$B18,DF!$AD$6:$AD$305),0))</f>
        <v/>
      </c>
      <c r="J18" s="208" t="str">
        <f>IF($I18="","",VLOOKUP(TRANSPORTADOS!$B18,PERFIL!$B$4:$M$20,12,0))</f>
        <v/>
      </c>
      <c r="K18" s="209" t="str">
        <f t="shared" si="2"/>
        <v/>
      </c>
    </row>
    <row r="19" spans="2:16" x14ac:dyDescent="0.2">
      <c r="B19" s="206" t="str">
        <f>IF(PERFIL!$B18="","",IF(PERFIL!$B18="---","",PERFIL!$B18))</f>
        <v/>
      </c>
      <c r="C19" s="207" t="str">
        <f>IF(B19="","",IF(B19="---","",ROUNDDOWN(SUMIF(SEM!$D$6:$D$305,TRANSPORTADOS!$B19,SEM!$AD$6:$AD$305),0)))</f>
        <v/>
      </c>
      <c r="D19" s="208" t="str">
        <f>IF(B19="","",IF(B19="---","",VLOOKUP(TRANSPORTADOS!B19,PERFIL!$B$4:$M$20,8,0)))</f>
        <v/>
      </c>
      <c r="E19" s="209" t="str">
        <f t="shared" si="0"/>
        <v/>
      </c>
      <c r="F19" s="207" t="str">
        <f>IF(E19="","",IF(E19="---","",ROUNDDOWN(SUMIF(SAB!$D$6:$D$305,TRANSPORTADOS!$B19,SAB!$AD$6:$AD$305),0)))</f>
        <v/>
      </c>
      <c r="G19" s="208" t="str">
        <f>IF($B19="","",IF(F19="","",VLOOKUP(TRANSPORTADOS!$B19,PERFIL!$B$4:$M$20,11,0)))</f>
        <v/>
      </c>
      <c r="H19" s="209" t="str">
        <f t="shared" si="1"/>
        <v/>
      </c>
      <c r="I19" s="207" t="str">
        <f>IF(H19="","",ROUNDDOWN(SUMIF(DF!$D$6:$D$305,TRANSPORTADOS!$B19,DF!$AD$6:$AD$305),0))</f>
        <v/>
      </c>
      <c r="J19" s="208" t="str">
        <f>IF($I19="","",VLOOKUP(TRANSPORTADOS!$B19,PERFIL!$B$4:$M$20,12,0))</f>
        <v/>
      </c>
      <c r="K19" s="209" t="str">
        <f t="shared" si="2"/>
        <v/>
      </c>
    </row>
    <row r="20" spans="2:16" x14ac:dyDescent="0.2">
      <c r="B20" s="206" t="str">
        <f>IF(PERFIL!$B19="","",IF(PERFIL!$B19="---","",PERFIL!$B19))</f>
        <v/>
      </c>
      <c r="C20" s="207" t="str">
        <f>IF(B20="","",IF(B20="---","",ROUNDDOWN(SUMIF(SEM!$D$6:$D$305,TRANSPORTADOS!$B20,SEM!$AD$6:$AD$305),0)))</f>
        <v/>
      </c>
      <c r="D20" s="208" t="str">
        <f>IF(B20="","",IF(B20="---","",VLOOKUP(TRANSPORTADOS!B20,PERFIL!$B$4:$M$20,8,0)))</f>
        <v/>
      </c>
      <c r="E20" s="209" t="str">
        <f t="shared" si="0"/>
        <v/>
      </c>
      <c r="F20" s="207" t="str">
        <f>IF(E20="","",IF(E20="---","",ROUNDDOWN(SUMIF(SAB!$D$6:$D$305,TRANSPORTADOS!$B20,SAB!$AD$6:$AD$305),0)))</f>
        <v/>
      </c>
      <c r="G20" s="208" t="str">
        <f>IF($B20="","",IF(F20="","",VLOOKUP(TRANSPORTADOS!$B20,PERFIL!$B$4:$M$20,11,0)))</f>
        <v/>
      </c>
      <c r="H20" s="209" t="str">
        <f t="shared" si="1"/>
        <v/>
      </c>
      <c r="I20" s="207" t="str">
        <f>IF(H20="","",ROUNDDOWN(SUMIF(DF!$D$6:$D$305,TRANSPORTADOS!$B20,DF!$AD$6:$AD$305),0))</f>
        <v/>
      </c>
      <c r="J20" s="208" t="str">
        <f>IF($I20="","",VLOOKUP(TRANSPORTADOS!$B20,PERFIL!$B$4:$M$20,12,0))</f>
        <v/>
      </c>
      <c r="K20" s="209" t="str">
        <f t="shared" si="2"/>
        <v/>
      </c>
    </row>
    <row r="21" spans="2:16" ht="15.75" thickBot="1" x14ac:dyDescent="0.25">
      <c r="B21" s="206" t="str">
        <f>IF(PERFIL!$B20="","",IF(PERFIL!$B20="---","",PERFIL!$B20))</f>
        <v/>
      </c>
      <c r="C21" s="207" t="str">
        <f>IF(B21="","",IF(B21="---","",ROUNDDOWN(SUMIF(SEM!$D$6:$D$305,TRANSPORTADOS!$B21,SEM!$AD$6:$AD$305),0)))</f>
        <v/>
      </c>
      <c r="D21" s="208" t="str">
        <f>IF(B21="","",IF(B21="---","",VLOOKUP(TRANSPORTADOS!B21,PERFIL!$B$4:$M$20,8,0)))</f>
        <v/>
      </c>
      <c r="E21" s="209" t="str">
        <f t="shared" si="0"/>
        <v/>
      </c>
      <c r="F21" s="207" t="str">
        <f>IF(E21="","",IF(E21="---","",ROUNDDOWN(SUMIF(SAB!$D$6:$D$305,TRANSPORTADOS!$B21,SAB!$AD$6:$AD$305),0)))</f>
        <v/>
      </c>
      <c r="G21" s="208" t="str">
        <f>IF($B21="","",IF(F21="","",VLOOKUP(TRANSPORTADOS!$B21,PERFIL!$B$4:$M$20,11,0)))</f>
        <v/>
      </c>
      <c r="H21" s="209" t="str">
        <f t="shared" si="1"/>
        <v/>
      </c>
      <c r="I21" s="207" t="str">
        <f>IF(H21="","",ROUNDDOWN(SUMIF(DF!$D$6:$D$305,TRANSPORTADOS!$B21,DF!$AD$6:$AD$305),0))</f>
        <v/>
      </c>
      <c r="J21" s="208" t="str">
        <f>IF($I21="","",VLOOKUP(TRANSPORTADOS!$B21,PERFIL!$B$4:$M$20,12,0))</f>
        <v/>
      </c>
      <c r="K21" s="209" t="str">
        <f t="shared" si="2"/>
        <v/>
      </c>
    </row>
    <row r="22" spans="2:16" ht="15.75" thickBot="1" x14ac:dyDescent="0.25">
      <c r="B22" s="606" t="s">
        <v>408</v>
      </c>
      <c r="C22" s="607"/>
      <c r="D22" s="607"/>
      <c r="E22" s="607"/>
      <c r="F22" s="607"/>
      <c r="G22" s="607"/>
      <c r="H22" s="607"/>
      <c r="I22" s="607"/>
      <c r="J22" s="607"/>
      <c r="K22" s="608"/>
    </row>
    <row r="23" spans="2:16" ht="15.75" thickBot="1" x14ac:dyDescent="0.25">
      <c r="B23" s="609" t="s">
        <v>25</v>
      </c>
      <c r="C23" s="612" t="s">
        <v>403</v>
      </c>
      <c r="D23" s="613"/>
      <c r="E23" s="614"/>
      <c r="F23" s="612" t="s">
        <v>278</v>
      </c>
      <c r="G23" s="613"/>
      <c r="H23" s="614"/>
      <c r="I23" s="612" t="s">
        <v>404</v>
      </c>
      <c r="J23" s="613"/>
      <c r="K23" s="614"/>
      <c r="L23" s="205" t="s">
        <v>409</v>
      </c>
      <c r="M23" s="205" t="s">
        <v>409</v>
      </c>
      <c r="N23" s="205" t="s">
        <v>410</v>
      </c>
      <c r="O23" s="205" t="s">
        <v>411</v>
      </c>
      <c r="P23" s="205" t="s">
        <v>411</v>
      </c>
    </row>
    <row r="24" spans="2:16" ht="15" customHeight="1" x14ac:dyDescent="0.2">
      <c r="B24" s="610"/>
      <c r="C24" s="602" t="s">
        <v>412</v>
      </c>
      <c r="D24" s="604" t="s">
        <v>406</v>
      </c>
      <c r="E24" s="600" t="s">
        <v>413</v>
      </c>
      <c r="F24" s="602" t="s">
        <v>412</v>
      </c>
      <c r="G24" s="604" t="s">
        <v>406</v>
      </c>
      <c r="H24" s="600" t="s">
        <v>422</v>
      </c>
      <c r="I24" s="602" t="s">
        <v>412</v>
      </c>
      <c r="J24" s="604" t="s">
        <v>406</v>
      </c>
      <c r="K24" s="600" t="s">
        <v>423</v>
      </c>
      <c r="L24" s="205" t="s">
        <v>414</v>
      </c>
      <c r="M24" s="205" t="s">
        <v>415</v>
      </c>
      <c r="N24" s="205" t="s">
        <v>416</v>
      </c>
      <c r="O24" s="205" t="s">
        <v>417</v>
      </c>
      <c r="P24" s="205" t="s">
        <v>417</v>
      </c>
    </row>
    <row r="25" spans="2:16" ht="15.75" thickBot="1" x14ac:dyDescent="0.25">
      <c r="B25" s="611"/>
      <c r="C25" s="603"/>
      <c r="D25" s="605"/>
      <c r="E25" s="601"/>
      <c r="F25" s="603"/>
      <c r="G25" s="605"/>
      <c r="H25" s="601"/>
      <c r="I25" s="603"/>
      <c r="J25" s="605"/>
      <c r="K25" s="601"/>
    </row>
    <row r="26" spans="2:16" x14ac:dyDescent="0.2">
      <c r="B26" s="206" t="str">
        <f>IF(PERFIL!B5="","",IF(PERFIL!B5="---","",PERFIL!B5))</f>
        <v/>
      </c>
      <c r="C26" s="207" t="str">
        <f>IF($B26="","",VLOOKUP($B26,PERFIL!$B$4:$H$20,7,0))</f>
        <v/>
      </c>
      <c r="D26" s="208" t="str">
        <f>IF($B26="","",IF($B26="---","",VLOOKUP(TRANSPORTADOS!$B26,PERFIL!$B$4:$M$20,8,0)))</f>
        <v/>
      </c>
      <c r="E26" s="209" t="str">
        <f>IF($C26="","",IF(ESCALA!I4="","",SUM(C26*D26)*ESCALA!I4))</f>
        <v/>
      </c>
      <c r="F26" s="207" t="str">
        <f>IF($B26="","",VLOOKUP($B26,PERFIL!$B$4:$H$19,7,0))</f>
        <v/>
      </c>
      <c r="G26" s="208" t="str">
        <f>IF($B26="","",IF($B26="---","",VLOOKUP(TRANSPORTADOS!$B26,PERFIL!$B$4:$M$20,11,0)))</f>
        <v/>
      </c>
      <c r="H26" s="209" t="str">
        <f>IF($C26="","",IF(E26="","",SUM(F26*G26)*ESCALA!K4))</f>
        <v/>
      </c>
      <c r="I26" s="207" t="str">
        <f>IF($B26="","",VLOOKUP($B26,PERFIL!$B$4:$H$19,7,0))</f>
        <v/>
      </c>
      <c r="J26" s="208" t="str">
        <f>IF($B26="","",IF($B26="---","",VLOOKUP(TRANSPORTADOS!$B26,PERFIL!$B$4:$M$20,12,0)))</f>
        <v/>
      </c>
      <c r="K26" s="209" t="str">
        <f>IF($C26="","",IF(E26="","",SUM(I26*J26)*ESCALA!M4))</f>
        <v/>
      </c>
      <c r="L26" s="205">
        <f>SUM(E26,H26,K26)</f>
        <v>0</v>
      </c>
      <c r="M26" s="205">
        <f>L26*20</f>
        <v>0</v>
      </c>
      <c r="N26" s="210">
        <f>M26/2</f>
        <v>0</v>
      </c>
      <c r="O26" s="211" t="e">
        <f>M26*CUSTOS!$E$2</f>
        <v>#VALUE!</v>
      </c>
      <c r="P26" s="212">
        <v>61117.333333333336</v>
      </c>
    </row>
    <row r="27" spans="2:16" x14ac:dyDescent="0.2">
      <c r="B27" s="206" t="str">
        <f>IF(PERFIL!B6="","",IF(PERFIL!B6="---","",PERFIL!B6))</f>
        <v/>
      </c>
      <c r="C27" s="207" t="str">
        <f>IF($B27="","",VLOOKUP($B27,PERFIL!$B$4:$H$20,7,0))</f>
        <v/>
      </c>
      <c r="D27" s="208" t="str">
        <f>IF($B27="","",IF($B27="---","",VLOOKUP(TRANSPORTADOS!$B27,PERFIL!$B$4:$M$20,8,0)))</f>
        <v/>
      </c>
      <c r="E27" s="209" t="str">
        <f>IF($C27="","",IF(ESCALA!I5="","",SUM(C27*D27)*ESCALA!I5))</f>
        <v/>
      </c>
      <c r="F27" s="207" t="str">
        <f>IF($B27="","",VLOOKUP($B27,PERFIL!$B$4:$H$19,7,0))</f>
        <v/>
      </c>
      <c r="G27" s="208" t="str">
        <f>IF($B27="","",IF($B27="---","",VLOOKUP(TRANSPORTADOS!$B27,PERFIL!$B$4:$M$20,11,0)))</f>
        <v/>
      </c>
      <c r="H27" s="209" t="str">
        <f>IF($C27="","",IF(E27="","",SUM(F27*G27)*ESCALA!K5))</f>
        <v/>
      </c>
      <c r="I27" s="207" t="str">
        <f>IF($B27="","",VLOOKUP($B27,PERFIL!$B$4:$H$19,7,0))</f>
        <v/>
      </c>
      <c r="J27" s="208" t="str">
        <f>IF($B27="","",IF($B27="---","",VLOOKUP(TRANSPORTADOS!$B27,PERFIL!$B$4:$M$20,12,0)))</f>
        <v/>
      </c>
      <c r="K27" s="209" t="str">
        <f>IF($C27="","",IF(E27="","",SUM(I27*J27)*ESCALA!M5))</f>
        <v/>
      </c>
      <c r="L27" s="205">
        <f t="shared" ref="L27:L41" si="3">SUM(E27,H27,K27)</f>
        <v>0</v>
      </c>
      <c r="M27" s="205">
        <f t="shared" ref="M27:M41" si="4">L27*20</f>
        <v>0</v>
      </c>
      <c r="N27" s="210">
        <f t="shared" ref="N27:N42" si="5">M27/2</f>
        <v>0</v>
      </c>
      <c r="O27" s="211" t="e">
        <f>M27*CUSTOS!$E$2</f>
        <v>#VALUE!</v>
      </c>
      <c r="P27" s="212">
        <v>66817.7</v>
      </c>
    </row>
    <row r="28" spans="2:16" x14ac:dyDescent="0.2">
      <c r="B28" s="206" t="str">
        <f>IF(PERFIL!B7="","",IF(PERFIL!B7="---","",PERFIL!B7))</f>
        <v/>
      </c>
      <c r="C28" s="207" t="str">
        <f>IF($B28="","",VLOOKUP($B28,PERFIL!$B$4:$H$20,7,0))</f>
        <v/>
      </c>
      <c r="D28" s="208" t="str">
        <f>IF($B28="","",IF($B28="---","",VLOOKUP(TRANSPORTADOS!$B28,PERFIL!$B$4:$M$20,8,0)))</f>
        <v/>
      </c>
      <c r="E28" s="209" t="str">
        <f>IF($C28="","",IF(ESCALA!I6="","",SUM(C28*D28)*ESCALA!I6))</f>
        <v/>
      </c>
      <c r="F28" s="207" t="str">
        <f>IF($B28="","",VLOOKUP($B28,PERFIL!$B$4:$H$19,7,0))</f>
        <v/>
      </c>
      <c r="G28" s="208" t="str">
        <f>IF($B28="","",IF($B28="---","",VLOOKUP(TRANSPORTADOS!$B28,PERFIL!$B$4:$M$20,11,0)))</f>
        <v/>
      </c>
      <c r="H28" s="209" t="str">
        <f>IF($C28="","",IF(E28="","",SUM(F28*G28)*ESCALA!K6))</f>
        <v/>
      </c>
      <c r="I28" s="207" t="str">
        <f>IF($B28="","",VLOOKUP($B28,PERFIL!$B$4:$H$19,7,0))</f>
        <v/>
      </c>
      <c r="J28" s="208" t="str">
        <f>IF($B28="","",IF($B28="---","",VLOOKUP(TRANSPORTADOS!$B28,PERFIL!$B$4:$M$20,12,0)))</f>
        <v/>
      </c>
      <c r="K28" s="209" t="str">
        <f>IF($C28="","",IF(E28="","",SUM(I28*J28)*ESCALA!M6))</f>
        <v/>
      </c>
      <c r="L28" s="205">
        <f t="shared" si="3"/>
        <v>0</v>
      </c>
      <c r="M28" s="205">
        <f t="shared" si="4"/>
        <v>0</v>
      </c>
      <c r="N28" s="210">
        <f t="shared" si="5"/>
        <v>0</v>
      </c>
      <c r="O28" s="211" t="e">
        <f>M28*CUSTOS!$E$2</f>
        <v>#VALUE!</v>
      </c>
      <c r="P28" s="212">
        <v>65600</v>
      </c>
    </row>
    <row r="29" spans="2:16" x14ac:dyDescent="0.2">
      <c r="B29" s="206" t="str">
        <f>IF(PERFIL!B8="","",IF(PERFIL!B8="---","",PERFIL!B8))</f>
        <v/>
      </c>
      <c r="C29" s="207" t="str">
        <f>IF($B29="","",VLOOKUP($B29,PERFIL!$B$4:$H$20,7,0))</f>
        <v/>
      </c>
      <c r="D29" s="208" t="str">
        <f>IF($B29="","",IF($B29="---","",VLOOKUP(TRANSPORTADOS!$B29,PERFIL!$B$4:$M$20,8,0)))</f>
        <v/>
      </c>
      <c r="E29" s="209" t="str">
        <f>IF($C29="","",IF(ESCALA!I7="","",SUM(C29*D29)*ESCALA!I7))</f>
        <v/>
      </c>
      <c r="F29" s="207" t="str">
        <f>IF($B29="","",VLOOKUP($B29,PERFIL!$B$4:$H$19,7,0))</f>
        <v/>
      </c>
      <c r="G29" s="208" t="str">
        <f>IF($B29="","",IF($B29="---","",VLOOKUP(TRANSPORTADOS!$B29,PERFIL!$B$4:$M$20,11,0)))</f>
        <v/>
      </c>
      <c r="H29" s="209" t="str">
        <f>IF($C29="","",IF(E29="","",SUM(F29*G29)*ESCALA!K7))</f>
        <v/>
      </c>
      <c r="I29" s="207" t="str">
        <f>IF($B29="","",VLOOKUP($B29,PERFIL!$B$4:$H$19,7,0))</f>
        <v/>
      </c>
      <c r="J29" s="208" t="str">
        <f>IF($B29="","",IF($B29="---","",VLOOKUP(TRANSPORTADOS!$B29,PERFIL!$B$4:$M$20,12,0)))</f>
        <v/>
      </c>
      <c r="K29" s="209" t="str">
        <f>IF($C29="","",IF(E29="","",SUM(I29*J29)*ESCALA!M7))</f>
        <v/>
      </c>
      <c r="L29" s="205">
        <f t="shared" si="3"/>
        <v>0</v>
      </c>
      <c r="M29" s="205">
        <f t="shared" si="4"/>
        <v>0</v>
      </c>
      <c r="N29" s="210">
        <f t="shared" si="5"/>
        <v>0</v>
      </c>
      <c r="O29" s="211" t="e">
        <f>M29*CUSTOS!$E$2</f>
        <v>#VALUE!</v>
      </c>
      <c r="P29" s="212">
        <v>31706.666666666668</v>
      </c>
    </row>
    <row r="30" spans="2:16" x14ac:dyDescent="0.2">
      <c r="B30" s="206" t="str">
        <f>IF(PERFIL!B9="","",IF(PERFIL!B9="---","",PERFIL!B9))</f>
        <v/>
      </c>
      <c r="C30" s="207" t="str">
        <f>IF($B30="","",VLOOKUP($B30,PERFIL!$B$4:$H$20,7,0))</f>
        <v/>
      </c>
      <c r="D30" s="208" t="str">
        <f>IF($B30="","",IF($B30="---","",VLOOKUP(TRANSPORTADOS!$B30,PERFIL!$B$4:$M$20,8,0)))</f>
        <v/>
      </c>
      <c r="E30" s="209" t="str">
        <f>IF($C30="","",IF(ESCALA!I8="","",SUM(C30*D30)*ESCALA!I8))</f>
        <v/>
      </c>
      <c r="F30" s="207" t="str">
        <f>IF($B30="","",VLOOKUP($B30,PERFIL!$B$4:$H$19,7,0))</f>
        <v/>
      </c>
      <c r="G30" s="208" t="str">
        <f>IF($B30="","",IF($B30="---","",VLOOKUP(TRANSPORTADOS!$B30,PERFIL!$B$4:$M$20,11,0)))</f>
        <v/>
      </c>
      <c r="H30" s="209" t="str">
        <f>IF($C30="","",IF(E30="","",SUM(F30*G30)*ESCALA!K8))</f>
        <v/>
      </c>
      <c r="I30" s="207" t="str">
        <f>IF($B30="","",VLOOKUP($B30,PERFIL!$B$4:$H$19,7,0))</f>
        <v/>
      </c>
      <c r="J30" s="208" t="str">
        <f>IF($B30="","",IF($B30="---","",VLOOKUP(TRANSPORTADOS!$B30,PERFIL!$B$4:$M$20,12,0)))</f>
        <v/>
      </c>
      <c r="K30" s="209" t="str">
        <f>IF($C30="","",IF(E30="","",SUM(I30*J30)*ESCALA!M8))</f>
        <v/>
      </c>
      <c r="L30" s="205">
        <f t="shared" si="3"/>
        <v>0</v>
      </c>
      <c r="M30" s="205">
        <f t="shared" si="4"/>
        <v>0</v>
      </c>
      <c r="N30" s="210">
        <f t="shared" si="5"/>
        <v>0</v>
      </c>
      <c r="O30" s="211" t="e">
        <f>M30*CUSTOS!$E$2</f>
        <v>#VALUE!</v>
      </c>
      <c r="P30" s="212">
        <v>53808.4</v>
      </c>
    </row>
    <row r="31" spans="2:16" x14ac:dyDescent="0.2">
      <c r="B31" s="206" t="str">
        <f>IF(PERFIL!B10="","",IF(PERFIL!B10="---","",PERFIL!B10))</f>
        <v/>
      </c>
      <c r="C31" s="207" t="str">
        <f>IF($B31="","",VLOOKUP($B31,PERFIL!$B$4:$H$20,7,0))</f>
        <v/>
      </c>
      <c r="D31" s="208" t="str">
        <f>IF($B31="","",IF($B31="---","",VLOOKUP(TRANSPORTADOS!$B31,PERFIL!$B$4:$M$20,8,0)))</f>
        <v/>
      </c>
      <c r="E31" s="209" t="str">
        <f>IF($C31="","",IF(ESCALA!I9="","",SUM(C31*D31)*ESCALA!I9))</f>
        <v/>
      </c>
      <c r="F31" s="207" t="str">
        <f>IF($B31="","",VLOOKUP($B31,PERFIL!$B$4:$H$19,7,0))</f>
        <v/>
      </c>
      <c r="G31" s="208" t="str">
        <f>IF($B31="","",IF($B31="---","",VLOOKUP(TRANSPORTADOS!$B31,PERFIL!$B$4:$M$20,11,0)))</f>
        <v/>
      </c>
      <c r="H31" s="209" t="str">
        <f>IF($C31="","",IF(E31="","",SUM(F31*G31)*ESCALA!K9))</f>
        <v/>
      </c>
      <c r="I31" s="207" t="str">
        <f>IF($B31="","",VLOOKUP($B31,PERFIL!$B$4:$H$19,7,0))</f>
        <v/>
      </c>
      <c r="J31" s="208" t="str">
        <f>IF($B31="","",IF($B31="---","",VLOOKUP(TRANSPORTADOS!$B31,PERFIL!$B$4:$M$20,12,0)))</f>
        <v/>
      </c>
      <c r="K31" s="209" t="str">
        <f>IF($C31="","",IF(E31="","",SUM(I31*J31)*ESCALA!M9))</f>
        <v/>
      </c>
      <c r="L31" s="205">
        <f t="shared" si="3"/>
        <v>0</v>
      </c>
      <c r="M31" s="205">
        <f t="shared" si="4"/>
        <v>0</v>
      </c>
      <c r="N31" s="210">
        <f t="shared" si="5"/>
        <v>0</v>
      </c>
      <c r="O31" s="211" t="e">
        <f>M31*CUSTOS!$E$2</f>
        <v>#VALUE!</v>
      </c>
      <c r="P31" s="212">
        <v>73854.666666666657</v>
      </c>
    </row>
    <row r="32" spans="2:16" x14ac:dyDescent="0.2">
      <c r="B32" s="206" t="str">
        <f>IF(PERFIL!B11="","",IF(PERFIL!B11="---","",PERFIL!B11))</f>
        <v/>
      </c>
      <c r="C32" s="207" t="str">
        <f>IF($B32="","",VLOOKUP($B32,PERFIL!$B$4:$H$20,7,0))</f>
        <v/>
      </c>
      <c r="D32" s="208" t="str">
        <f>IF($B32="","",IF($B32="---","",VLOOKUP(TRANSPORTADOS!$B32,PERFIL!$B$4:$M$20,8,0)))</f>
        <v/>
      </c>
      <c r="E32" s="209" t="str">
        <f>IF($C32="","",IF(ESCALA!I10="","",SUM(C32*D32)*ESCALA!I10))</f>
        <v/>
      </c>
      <c r="F32" s="207" t="str">
        <f>IF($B32="","",VLOOKUP($B32,PERFIL!$B$4:$H$19,7,0))</f>
        <v/>
      </c>
      <c r="G32" s="208" t="str">
        <f>IF($B32="","",IF($B32="---","",VLOOKUP(TRANSPORTADOS!$B32,PERFIL!$B$4:$M$20,11,0)))</f>
        <v/>
      </c>
      <c r="H32" s="209" t="str">
        <f>IF($C32="","",IF(E32="","",SUM(F32*G32)*ESCALA!K10))</f>
        <v/>
      </c>
      <c r="I32" s="207" t="str">
        <f>IF($B32="","",VLOOKUP($B32,PERFIL!$B$4:$H$19,7,0))</f>
        <v/>
      </c>
      <c r="J32" s="208" t="str">
        <f>IF($B32="","",IF($B32="---","",VLOOKUP(TRANSPORTADOS!$B32,PERFIL!$B$4:$M$20,12,0)))</f>
        <v/>
      </c>
      <c r="K32" s="209" t="str">
        <f>IF($C32="","",IF(E32="","",SUM(I32*J32)*ESCALA!M10))</f>
        <v/>
      </c>
      <c r="L32" s="205">
        <f t="shared" si="3"/>
        <v>0</v>
      </c>
      <c r="M32" s="205">
        <f t="shared" si="4"/>
        <v>0</v>
      </c>
      <c r="N32" s="210">
        <f t="shared" si="5"/>
        <v>0</v>
      </c>
      <c r="O32" s="211" t="e">
        <f>M32*CUSTOS!$E$2</f>
        <v>#VALUE!</v>
      </c>
      <c r="P32" s="212">
        <v>55103.999999999993</v>
      </c>
    </row>
    <row r="33" spans="2:16" x14ac:dyDescent="0.2">
      <c r="B33" s="206" t="str">
        <f>IF(PERFIL!B12="","",IF(PERFIL!B12="---","",PERFIL!B12))</f>
        <v/>
      </c>
      <c r="C33" s="207" t="str">
        <f>IF($B33="","",VLOOKUP($B33,PERFIL!$B$4:$H$20,7,0))</f>
        <v/>
      </c>
      <c r="D33" s="208" t="str">
        <f>IF($B33="","",IF($B33="---","",VLOOKUP(TRANSPORTADOS!$B33,PERFIL!$B$4:$M$20,8,0)))</f>
        <v/>
      </c>
      <c r="E33" s="209" t="str">
        <f>IF($C33="","",IF(ESCALA!I11="","",SUM(C33*D33)*ESCALA!I11))</f>
        <v/>
      </c>
      <c r="F33" s="207" t="str">
        <f>IF($B33="","",VLOOKUP($B33,PERFIL!$B$4:$H$19,7,0))</f>
        <v/>
      </c>
      <c r="G33" s="208" t="str">
        <f>IF($B33="","",IF($B33="---","",VLOOKUP(TRANSPORTADOS!$B33,PERFIL!$B$4:$M$20,11,0)))</f>
        <v/>
      </c>
      <c r="H33" s="209" t="str">
        <f>IF($C33="","",IF(E33="","",SUM(F33*G33)*ESCALA!K11))</f>
        <v/>
      </c>
      <c r="I33" s="207" t="str">
        <f>IF($B33="","",VLOOKUP($B33,PERFIL!$B$4:$H$19,7,0))</f>
        <v/>
      </c>
      <c r="J33" s="208" t="str">
        <f>IF($B33="","",IF($B33="---","",VLOOKUP(TRANSPORTADOS!$B33,PERFIL!$B$4:$M$20,12,0)))</f>
        <v/>
      </c>
      <c r="K33" s="209" t="str">
        <f>IF($C33="","",IF(E33="","",SUM(I33*J33)*ESCALA!M11))</f>
        <v/>
      </c>
      <c r="L33" s="205">
        <f t="shared" si="3"/>
        <v>0</v>
      </c>
      <c r="M33" s="205">
        <f t="shared" si="4"/>
        <v>0</v>
      </c>
      <c r="N33" s="210">
        <f t="shared" si="5"/>
        <v>0</v>
      </c>
      <c r="O33" s="211" t="e">
        <f>M33*CUSTOS!$E$2</f>
        <v>#VALUE!</v>
      </c>
      <c r="P33" s="212">
        <v>143306.18181818179</v>
      </c>
    </row>
    <row r="34" spans="2:16" x14ac:dyDescent="0.2">
      <c r="B34" s="206" t="str">
        <f>IF(PERFIL!B13="","",IF(PERFIL!B13="---","",PERFIL!B13))</f>
        <v/>
      </c>
      <c r="C34" s="207" t="str">
        <f>IF($B34="","",VLOOKUP($B34,PERFIL!$B$4:$H$20,7,0))</f>
        <v/>
      </c>
      <c r="D34" s="208" t="str">
        <f>IF($B34="","",IF($B34="---","",VLOOKUP(TRANSPORTADOS!$B34,PERFIL!$B$4:$M$20,8,0)))</f>
        <v/>
      </c>
      <c r="E34" s="209" t="str">
        <f>IF($C34="","",IF(ESCALA!I12="","",SUM(C34*D34)*ESCALA!I12))</f>
        <v/>
      </c>
      <c r="F34" s="207" t="str">
        <f>IF($B34="","",VLOOKUP($B34,PERFIL!$B$4:$H$19,7,0))</f>
        <v/>
      </c>
      <c r="G34" s="208" t="str">
        <f>IF($B34="","",IF($B34="---","",VLOOKUP(TRANSPORTADOS!$B34,PERFIL!$B$4:$M$20,11,0)))</f>
        <v/>
      </c>
      <c r="H34" s="209" t="str">
        <f>IF($C34="","",IF(E34="","",SUM(F34*G34)*ESCALA!K12))</f>
        <v/>
      </c>
      <c r="I34" s="207" t="str">
        <f>IF($B34="","",VLOOKUP($B34,PERFIL!$B$4:$H$19,7,0))</f>
        <v/>
      </c>
      <c r="J34" s="208" t="str">
        <f>IF($B34="","",IF($B34="---","",VLOOKUP(TRANSPORTADOS!$B34,PERFIL!$B$4:$M$20,12,0)))</f>
        <v/>
      </c>
      <c r="K34" s="209" t="str">
        <f>IF($C34="","",IF(E34="","",SUM(I34*J34)*ESCALA!M12))</f>
        <v/>
      </c>
      <c r="L34" s="205">
        <f t="shared" si="3"/>
        <v>0</v>
      </c>
      <c r="M34" s="205">
        <f t="shared" si="4"/>
        <v>0</v>
      </c>
      <c r="N34" s="210">
        <f t="shared" si="5"/>
        <v>0</v>
      </c>
      <c r="O34" s="211" t="e">
        <f>M34*CUSTOS!$E$2</f>
        <v>#VALUE!</v>
      </c>
      <c r="P34" s="212" t="s">
        <v>382</v>
      </c>
    </row>
    <row r="35" spans="2:16" x14ac:dyDescent="0.2">
      <c r="B35" s="206" t="str">
        <f>IF(PERFIL!B14="","",IF(PERFIL!B14="---","",PERFIL!B14))</f>
        <v/>
      </c>
      <c r="C35" s="207" t="str">
        <f>IF($B35="","",VLOOKUP($B35,PERFIL!$B$4:$H$20,7,0))</f>
        <v/>
      </c>
      <c r="D35" s="208" t="str">
        <f>IF($B35="","",IF($B35="---","",VLOOKUP(TRANSPORTADOS!$B35,PERFIL!$B$4:$M$20,8,0)))</f>
        <v/>
      </c>
      <c r="E35" s="209" t="str">
        <f>IF($C35="","",IF(ESCALA!I13="","",SUM(C35*D35)*ESCALA!I13))</f>
        <v/>
      </c>
      <c r="F35" s="207" t="str">
        <f>IF($B35="","",VLOOKUP($B35,PERFIL!$B$4:$H$19,7,0))</f>
        <v/>
      </c>
      <c r="G35" s="208" t="str">
        <f>IF($B35="","",IF($B35="---","",VLOOKUP(TRANSPORTADOS!$B35,PERFIL!$B$4:$M$20,11,0)))</f>
        <v/>
      </c>
      <c r="H35" s="209" t="str">
        <f>IF($C35="","",IF(E35="","",SUM(F35*G35)*ESCALA!K13))</f>
        <v/>
      </c>
      <c r="I35" s="207" t="str">
        <f>IF($B35="","",VLOOKUP($B35,PERFIL!$B$4:$H$19,7,0))</f>
        <v/>
      </c>
      <c r="J35" s="208" t="str">
        <f>IF($B35="","",IF($B35="---","",VLOOKUP(TRANSPORTADOS!$B35,PERFIL!$B$4:$M$20,12,0)))</f>
        <v/>
      </c>
      <c r="K35" s="209" t="str">
        <f>IF($C35="","",IF(E35="","",SUM(I35*J35)*ESCALA!M13))</f>
        <v/>
      </c>
      <c r="L35" s="205">
        <f t="shared" si="3"/>
        <v>0</v>
      </c>
      <c r="M35" s="205">
        <f t="shared" si="4"/>
        <v>0</v>
      </c>
      <c r="N35" s="210">
        <f t="shared" si="5"/>
        <v>0</v>
      </c>
      <c r="O35" s="211" t="e">
        <f>M35*CUSTOS!$E$2</f>
        <v>#VALUE!</v>
      </c>
      <c r="P35" s="212" t="s">
        <v>382</v>
      </c>
    </row>
    <row r="36" spans="2:16" x14ac:dyDescent="0.2">
      <c r="B36" s="206" t="str">
        <f>IF(PERFIL!B15="","",IF(PERFIL!B15="---","",PERFIL!B15))</f>
        <v/>
      </c>
      <c r="C36" s="207" t="str">
        <f>IF($B36="","",VLOOKUP($B36,PERFIL!$B$4:$H$20,7,0))</f>
        <v/>
      </c>
      <c r="D36" s="208" t="str">
        <f>IF($B36="","",IF($B36="---","",VLOOKUP(TRANSPORTADOS!$B36,PERFIL!$B$4:$M$20,8,0)))</f>
        <v/>
      </c>
      <c r="E36" s="209" t="str">
        <f>IF($C36="","",IF(ESCALA!I14="","",SUM(C36*D36)*ESCALA!I14))</f>
        <v/>
      </c>
      <c r="F36" s="207" t="str">
        <f>IF($B36="","",VLOOKUP($B36,PERFIL!$B$4:$H$19,7,0))</f>
        <v/>
      </c>
      <c r="G36" s="208" t="str">
        <f>IF($B36="","",IF($B36="---","",VLOOKUP(TRANSPORTADOS!$B36,PERFIL!$B$4:$M$20,11,0)))</f>
        <v/>
      </c>
      <c r="H36" s="209" t="str">
        <f>IF($C36="","",IF(E36="","",SUM(F36*G36)*ESCALA!K14))</f>
        <v/>
      </c>
      <c r="I36" s="207" t="str">
        <f>IF($B36="","",VLOOKUP($B36,PERFIL!$B$4:$H$19,7,0))</f>
        <v/>
      </c>
      <c r="J36" s="208" t="str">
        <f>IF($B36="","",IF($B36="---","",VLOOKUP(TRANSPORTADOS!$B36,PERFIL!$B$4:$M$20,12,0)))</f>
        <v/>
      </c>
      <c r="K36" s="209" t="str">
        <f>IF($C36="","",IF(E36="","",SUM(I36*J36)*ESCALA!M14))</f>
        <v/>
      </c>
      <c r="L36" s="205">
        <f t="shared" si="3"/>
        <v>0</v>
      </c>
      <c r="M36" s="205">
        <f t="shared" si="4"/>
        <v>0</v>
      </c>
      <c r="N36" s="210">
        <f t="shared" si="5"/>
        <v>0</v>
      </c>
      <c r="O36" s="211" t="e">
        <f>M36*CUSTOS!$E$2</f>
        <v>#VALUE!</v>
      </c>
      <c r="P36" s="212" t="s">
        <v>382</v>
      </c>
    </row>
    <row r="37" spans="2:16" x14ac:dyDescent="0.2">
      <c r="B37" s="206" t="str">
        <f>IF(PERFIL!B16="","",IF(PERFIL!B16="---","",PERFIL!B16))</f>
        <v/>
      </c>
      <c r="C37" s="207" t="str">
        <f>IF($B37="","",VLOOKUP($B37,PERFIL!$B$4:$H$20,7,0))</f>
        <v/>
      </c>
      <c r="D37" s="208" t="str">
        <f>IF($B37="","",IF($B37="---","",VLOOKUP(TRANSPORTADOS!$B37,PERFIL!$B$4:$M$20,8,0)))</f>
        <v/>
      </c>
      <c r="E37" s="209" t="str">
        <f>IF($C37="","",IF(ESCALA!I15="","",SUM(C37*D37)*ESCALA!I15))</f>
        <v/>
      </c>
      <c r="F37" s="207" t="str">
        <f>IF($B37="","",VLOOKUP($B37,PERFIL!$B$4:$H$19,7,0))</f>
        <v/>
      </c>
      <c r="G37" s="208" t="str">
        <f>IF($B37="","",IF($B37="---","",VLOOKUP(TRANSPORTADOS!$B37,PERFIL!$B$4:$M$20,11,0)))</f>
        <v/>
      </c>
      <c r="H37" s="209" t="str">
        <f>IF($C37="","",IF(E37="","",SUM(F37*G37)*ESCALA!K15))</f>
        <v/>
      </c>
      <c r="I37" s="207" t="str">
        <f>IF($B37="","",VLOOKUP($B37,PERFIL!$B$4:$H$19,7,0))</f>
        <v/>
      </c>
      <c r="J37" s="208" t="str">
        <f>IF($B37="","",IF($B37="---","",VLOOKUP(TRANSPORTADOS!$B37,PERFIL!$B$4:$M$20,12,0)))</f>
        <v/>
      </c>
      <c r="K37" s="209" t="str">
        <f>IF($C37="","",IF(E37="","",SUM(I37*J37)*ESCALA!M15))</f>
        <v/>
      </c>
      <c r="L37" s="205">
        <f t="shared" si="3"/>
        <v>0</v>
      </c>
      <c r="M37" s="205">
        <f t="shared" si="4"/>
        <v>0</v>
      </c>
      <c r="N37" s="210">
        <f t="shared" si="5"/>
        <v>0</v>
      </c>
      <c r="O37" s="211" t="e">
        <f>M37*CUSTOS!$E$2</f>
        <v>#VALUE!</v>
      </c>
      <c r="P37" s="212" t="s">
        <v>382</v>
      </c>
    </row>
    <row r="38" spans="2:16" x14ac:dyDescent="0.2">
      <c r="B38" s="206" t="str">
        <f>IF(PERFIL!B17="","",IF(PERFIL!B17="---","",PERFIL!B17))</f>
        <v/>
      </c>
      <c r="C38" s="207" t="str">
        <f>IF($B38="","",VLOOKUP($B38,PERFIL!$B$4:$H$20,7,0))</f>
        <v/>
      </c>
      <c r="D38" s="208" t="str">
        <f>IF($B38="","",IF($B38="---","",VLOOKUP(TRANSPORTADOS!$B38,PERFIL!$B$4:$M$20,8,0)))</f>
        <v/>
      </c>
      <c r="E38" s="209" t="str">
        <f>IF($C38="","",IF(ESCALA!I16="","",SUM(C38*D38)*ESCALA!I16))</f>
        <v/>
      </c>
      <c r="F38" s="207" t="str">
        <f>IF($B38="","",VLOOKUP($B38,PERFIL!$B$4:$H$19,7,0))</f>
        <v/>
      </c>
      <c r="G38" s="208" t="str">
        <f>IF($B38="","",IF($B38="---","",VLOOKUP(TRANSPORTADOS!$B38,PERFIL!$B$4:$M$20,11,0)))</f>
        <v/>
      </c>
      <c r="H38" s="209" t="str">
        <f>IF($C38="","",IF(E38="","",SUM(F38*G38)*ESCALA!K16))</f>
        <v/>
      </c>
      <c r="I38" s="207" t="str">
        <f>IF($B38="","",VLOOKUP($B38,PERFIL!$B$4:$H$19,7,0))</f>
        <v/>
      </c>
      <c r="J38" s="208" t="str">
        <f>IF($B38="","",IF($B38="---","",VLOOKUP(TRANSPORTADOS!$B38,PERFIL!$B$4:$M$20,12,0)))</f>
        <v/>
      </c>
      <c r="K38" s="209" t="str">
        <f>IF($C38="","",IF(E38="","",SUM(I38*J38)*ESCALA!M16))</f>
        <v/>
      </c>
      <c r="L38" s="205">
        <f t="shared" si="3"/>
        <v>0</v>
      </c>
      <c r="M38" s="205">
        <f t="shared" si="4"/>
        <v>0</v>
      </c>
      <c r="N38" s="210">
        <f t="shared" si="5"/>
        <v>0</v>
      </c>
      <c r="O38" s="211" t="e">
        <f>M38*CUSTOS!$E$2</f>
        <v>#VALUE!</v>
      </c>
      <c r="P38" s="212" t="s">
        <v>382</v>
      </c>
    </row>
    <row r="39" spans="2:16" x14ac:dyDescent="0.2">
      <c r="B39" s="206" t="str">
        <f>IF(PERFIL!B18="","",IF(PERFIL!B18="---","",PERFIL!B18))</f>
        <v/>
      </c>
      <c r="C39" s="207" t="str">
        <f>IF($B39="","",VLOOKUP($B39,PERFIL!$B$4:$H$20,7,0))</f>
        <v/>
      </c>
      <c r="D39" s="208" t="str">
        <f>IF($B39="","",IF($B39="---","",VLOOKUP(TRANSPORTADOS!$B39,PERFIL!$B$4:$M$20,8,0)))</f>
        <v/>
      </c>
      <c r="E39" s="209" t="str">
        <f>IF($C39="","",IF(ESCALA!I17="","",SUM(C39*D39)*ESCALA!I17))</f>
        <v/>
      </c>
      <c r="F39" s="207" t="str">
        <f>IF($B39="","",VLOOKUP($B39,PERFIL!$B$4:$H$19,7,0))</f>
        <v/>
      </c>
      <c r="G39" s="208" t="str">
        <f>IF($B39="","",IF($B39="---","",VLOOKUP(TRANSPORTADOS!$B39,PERFIL!$B$4:$M$20,11,0)))</f>
        <v/>
      </c>
      <c r="H39" s="209" t="str">
        <f>IF($C39="","",IF(E39="","",SUM(F39*G39)*ESCALA!K17))</f>
        <v/>
      </c>
      <c r="I39" s="207" t="str">
        <f>IF($B39="","",VLOOKUP($B39,PERFIL!$B$4:$H$19,7,0))</f>
        <v/>
      </c>
      <c r="J39" s="208" t="str">
        <f>IF($B39="","",IF($B39="---","",VLOOKUP(TRANSPORTADOS!$B39,PERFIL!$B$4:$M$20,12,0)))</f>
        <v/>
      </c>
      <c r="K39" s="209" t="str">
        <f>IF($C39="","",IF(E39="","",SUM(I39*J39)*ESCALA!M17))</f>
        <v/>
      </c>
      <c r="L39" s="205">
        <f t="shared" si="3"/>
        <v>0</v>
      </c>
      <c r="M39" s="205">
        <f t="shared" si="4"/>
        <v>0</v>
      </c>
      <c r="N39" s="210">
        <f t="shared" si="5"/>
        <v>0</v>
      </c>
      <c r="O39" s="211" t="e">
        <f>M39*CUSTOS!$E$2</f>
        <v>#VALUE!</v>
      </c>
      <c r="P39" s="212" t="s">
        <v>382</v>
      </c>
    </row>
    <row r="40" spans="2:16" x14ac:dyDescent="0.2">
      <c r="B40" s="206" t="str">
        <f>IF(PERFIL!B19="","",IF(PERFIL!B19="---","",PERFIL!B19))</f>
        <v/>
      </c>
      <c r="C40" s="207" t="str">
        <f>IF($B40="","",VLOOKUP($B40,PERFIL!$B$4:$H$20,7,0))</f>
        <v/>
      </c>
      <c r="D40" s="208" t="str">
        <f>IF($B40="","",IF($B40="---","",VLOOKUP(TRANSPORTADOS!$B40,PERFIL!$B$4:$M$20,8,0)))</f>
        <v/>
      </c>
      <c r="E40" s="209" t="str">
        <f>IF($C40="","",IF(ESCALA!I18="","",SUM(C40*D40)*ESCALA!I18))</f>
        <v/>
      </c>
      <c r="F40" s="207" t="str">
        <f>IF($B40="","",VLOOKUP($B40,PERFIL!$B$4:$H$19,7,0))</f>
        <v/>
      </c>
      <c r="G40" s="208" t="str">
        <f>IF($B40="","",IF($B40="---","",VLOOKUP(TRANSPORTADOS!$B40,PERFIL!$B$4:$M$20,11,0)))</f>
        <v/>
      </c>
      <c r="H40" s="209" t="str">
        <f>IF($C40="","",IF(E40="","",SUM(F40*G40)*ESCALA!K18))</f>
        <v/>
      </c>
      <c r="I40" s="207" t="str">
        <f>IF($B40="","",VLOOKUP($B40,PERFIL!$B$4:$H$19,7,0))</f>
        <v/>
      </c>
      <c r="J40" s="208" t="str">
        <f>IF($B40="","",IF($B40="---","",VLOOKUP(TRANSPORTADOS!$B40,PERFIL!$B$4:$M$20,12,0)))</f>
        <v/>
      </c>
      <c r="K40" s="209" t="str">
        <f>IF($C40="","",IF(E40="","",SUM(I40*J40)*ESCALA!M18))</f>
        <v/>
      </c>
      <c r="L40" s="205">
        <f t="shared" si="3"/>
        <v>0</v>
      </c>
      <c r="M40" s="205">
        <f t="shared" si="4"/>
        <v>0</v>
      </c>
      <c r="N40" s="210">
        <f t="shared" si="5"/>
        <v>0</v>
      </c>
      <c r="O40" s="211" t="e">
        <f>M40*CUSTOS!$E$2</f>
        <v>#VALUE!</v>
      </c>
      <c r="P40" s="212" t="s">
        <v>382</v>
      </c>
    </row>
    <row r="41" spans="2:16" x14ac:dyDescent="0.2">
      <c r="B41" s="206" t="str">
        <f>IF(PERFIL!B20="","",IF(PERFIL!B20="---","",PERFIL!B20))</f>
        <v/>
      </c>
      <c r="C41" s="207" t="str">
        <f>IF($B41="","",VLOOKUP($B41,PERFIL!$B$4:$H$20,7,0))</f>
        <v/>
      </c>
      <c r="D41" s="208" t="str">
        <f>IF($B41="","",IF($B41="---","",VLOOKUP(TRANSPORTADOS!$B41,PERFIL!$B$4:$M$20,8,0)))</f>
        <v/>
      </c>
      <c r="E41" s="209" t="str">
        <f>IF($C41="","",IF(ESCALA!I19="","",SUM(C41*D41)*ESCALA!I19))</f>
        <v/>
      </c>
      <c r="F41" s="207" t="str">
        <f>IF($B41="","",VLOOKUP($B41,PERFIL!$B$4:$H$20,7,0))</f>
        <v/>
      </c>
      <c r="G41" s="208" t="str">
        <f>IF($B41="","",IF($B41="---","",VLOOKUP(TRANSPORTADOS!$B41,PERFIL!$B$4:$M$20,11,0)))</f>
        <v/>
      </c>
      <c r="H41" s="209" t="str">
        <f>IF($C41="","",IF(E41="","",SUM(F41*G41)*ESCALA!K19))</f>
        <v/>
      </c>
      <c r="I41" s="207" t="str">
        <f>IF($B41="","",VLOOKUP($B41,PERFIL!$B$4:$H$20,7,0))</f>
        <v/>
      </c>
      <c r="J41" s="208" t="str">
        <f>IF($B41="","",IF($B41="---","",VLOOKUP(TRANSPORTADOS!$B41,PERFIL!$B$4:$M$20,12,0)))</f>
        <v/>
      </c>
      <c r="K41" s="209" t="str">
        <f>IF($C41="","",IF(E41="","",SUM(I41*J41)*ESCALA!M19))</f>
        <v/>
      </c>
      <c r="L41" s="205">
        <f t="shared" si="3"/>
        <v>0</v>
      </c>
      <c r="M41" s="205">
        <f t="shared" si="4"/>
        <v>0</v>
      </c>
      <c r="N41" s="210">
        <f t="shared" si="5"/>
        <v>0</v>
      </c>
      <c r="O41" s="211" t="e">
        <f>M41*CUSTOS!$E$2</f>
        <v>#VALUE!</v>
      </c>
      <c r="P41" s="212" t="s">
        <v>382</v>
      </c>
    </row>
    <row r="42" spans="2:16" x14ac:dyDescent="0.2">
      <c r="M42" s="205">
        <f>SUM(M26:M41)*3</f>
        <v>0</v>
      </c>
      <c r="N42" s="205">
        <f t="shared" si="5"/>
        <v>0</v>
      </c>
      <c r="O42" s="212" t="e">
        <f>SUM(O26:O41)</f>
        <v>#VALUE!</v>
      </c>
    </row>
    <row r="43" spans="2:16" x14ac:dyDescent="0.2">
      <c r="N43" s="205" t="s">
        <v>418</v>
      </c>
      <c r="O43" s="213" t="e">
        <f>O42/CUSTOS!E2</f>
        <v>#VALUE!</v>
      </c>
      <c r="P43" s="214" t="s">
        <v>419</v>
      </c>
    </row>
    <row r="45" spans="2:16" x14ac:dyDescent="0.2">
      <c r="O45" s="211"/>
    </row>
    <row r="46" spans="2:16" x14ac:dyDescent="0.2">
      <c r="O46" s="211"/>
    </row>
  </sheetData>
  <mergeCells count="27">
    <mergeCell ref="J24:J25"/>
    <mergeCell ref="E24:E25"/>
    <mergeCell ref="F24:F25"/>
    <mergeCell ref="G24:G25"/>
    <mergeCell ref="H24:H25"/>
    <mergeCell ref="I24:I25"/>
    <mergeCell ref="J4:J5"/>
    <mergeCell ref="K4:K5"/>
    <mergeCell ref="B22:K22"/>
    <mergeCell ref="B23:B25"/>
    <mergeCell ref="C23:E23"/>
    <mergeCell ref="F23:H23"/>
    <mergeCell ref="I23:K23"/>
    <mergeCell ref="C24:C25"/>
    <mergeCell ref="D24:D25"/>
    <mergeCell ref="B3:B5"/>
    <mergeCell ref="C3:E3"/>
    <mergeCell ref="F3:H3"/>
    <mergeCell ref="I3:K3"/>
    <mergeCell ref="C4:C5"/>
    <mergeCell ref="D4:D5"/>
    <mergeCell ref="K24:K25"/>
    <mergeCell ref="E4:E5"/>
    <mergeCell ref="F4:F5"/>
    <mergeCell ref="G4:G5"/>
    <mergeCell ref="H4:H5"/>
    <mergeCell ref="I4:I5"/>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6"/>
  <dimension ref="B1:AX311"/>
  <sheetViews>
    <sheetView workbookViewId="0">
      <pane ySplit="5" topLeftCell="A6" activePane="bottomLeft" state="frozen"/>
      <selection activeCell="E112" sqref="E112"/>
      <selection pane="bottomLeft" activeCell="E112" sqref="E112"/>
    </sheetView>
  </sheetViews>
  <sheetFormatPr defaultColWidth="14.42578125" defaultRowHeight="17.25" customHeight="1" x14ac:dyDescent="0.2"/>
  <cols>
    <col min="1" max="1" width="2.28515625" style="5" customWidth="1"/>
    <col min="2" max="2" width="2.85546875" style="5" customWidth="1"/>
    <col min="3" max="4" width="10.7109375" style="5" customWidth="1"/>
    <col min="5" max="5" width="15.140625" style="5" bestFit="1" customWidth="1"/>
    <col min="6" max="7" width="11.7109375" style="5" customWidth="1"/>
    <col min="8" max="28" width="3.140625" style="5" customWidth="1"/>
    <col min="29" max="29" width="10.85546875" style="5" customWidth="1"/>
    <col min="30" max="30" width="6.5703125" style="5" bestFit="1" customWidth="1"/>
    <col min="31" max="31" width="10.85546875" style="5" customWidth="1"/>
    <col min="32" max="32" width="6.5703125" style="5" bestFit="1" customWidth="1"/>
    <col min="33" max="33" width="10.85546875" style="5" customWidth="1"/>
    <col min="34" max="34" width="6.5703125" style="5" bestFit="1" customWidth="1"/>
    <col min="35" max="35" width="10.85546875" style="5" customWidth="1"/>
    <col min="36" max="36" width="6.5703125" style="5" bestFit="1" customWidth="1"/>
    <col min="37" max="37" width="15" style="5" customWidth="1"/>
    <col min="38" max="38" width="3" style="5" customWidth="1"/>
    <col min="39" max="39" width="18.140625" style="5" bestFit="1" customWidth="1"/>
    <col min="40" max="41" width="18.140625" style="5" customWidth="1"/>
    <col min="42" max="42" width="22.85546875" style="5" bestFit="1" customWidth="1"/>
    <col min="43" max="43" width="11.5703125" style="5" bestFit="1" customWidth="1"/>
    <col min="44" max="44" width="6.140625" style="12" customWidth="1"/>
    <col min="45" max="45" width="4.28515625" style="5" customWidth="1"/>
    <col min="46" max="46" width="6.85546875" style="5" bestFit="1" customWidth="1"/>
    <col min="47" max="50" width="17.85546875" style="5" customWidth="1"/>
    <col min="51" max="16384" width="14.42578125" style="5"/>
  </cols>
  <sheetData>
    <row r="1" spans="2:50" ht="7.5" customHeight="1" x14ac:dyDescent="0.2"/>
    <row r="2" spans="2:50" ht="37.5" customHeight="1" thickBot="1" x14ac:dyDescent="0.25">
      <c r="B2" s="6"/>
      <c r="C2" s="731" t="s">
        <v>188</v>
      </c>
      <c r="D2" s="731"/>
      <c r="E2" s="731"/>
      <c r="F2" s="731"/>
      <c r="G2" s="731"/>
      <c r="H2" s="731"/>
      <c r="I2" s="731"/>
      <c r="J2" s="731"/>
      <c r="K2" s="731"/>
      <c r="L2" s="731"/>
      <c r="M2" s="731"/>
      <c r="N2" s="731"/>
      <c r="O2" s="731"/>
      <c r="P2" s="731"/>
      <c r="Q2" s="731"/>
      <c r="R2" s="731"/>
      <c r="S2" s="731"/>
      <c r="T2" s="731"/>
      <c r="U2" s="731"/>
      <c r="V2" s="731"/>
      <c r="W2" s="731"/>
      <c r="X2" s="731"/>
      <c r="Y2" s="731"/>
      <c r="Z2" s="731"/>
      <c r="AA2" s="731"/>
      <c r="AB2" s="731"/>
      <c r="AC2" s="731"/>
      <c r="AD2" s="731"/>
      <c r="AE2" s="731" t="s">
        <v>239</v>
      </c>
      <c r="AF2" s="731"/>
      <c r="AG2" s="731"/>
      <c r="AH2" s="732" t="str">
        <f>IF(RECEBÍVEIS!E10="","",RECEBÍVEIS!E10*0.77)</f>
        <v/>
      </c>
      <c r="AI2" s="731"/>
      <c r="AJ2" s="731"/>
      <c r="AK2" s="731"/>
      <c r="AL2" s="18"/>
      <c r="AM2" s="12"/>
      <c r="AN2" s="12"/>
      <c r="AO2" s="12"/>
      <c r="AP2" s="12"/>
      <c r="AQ2" s="12"/>
      <c r="AR2" s="13"/>
    </row>
    <row r="3" spans="2:50" ht="33.75" customHeight="1" thickBot="1" x14ac:dyDescent="0.25">
      <c r="B3" s="6"/>
      <c r="C3" s="734" t="s">
        <v>211</v>
      </c>
      <c r="D3" s="735"/>
      <c r="E3" s="735"/>
      <c r="F3" s="735"/>
      <c r="G3" s="735"/>
      <c r="H3" s="735"/>
      <c r="I3" s="735"/>
      <c r="J3" s="735"/>
      <c r="K3" s="735"/>
      <c r="L3" s="735"/>
      <c r="M3" s="735"/>
      <c r="N3" s="735"/>
      <c r="O3" s="735"/>
      <c r="P3" s="735"/>
      <c r="Q3" s="735"/>
      <c r="R3" s="735"/>
      <c r="S3" s="735"/>
      <c r="T3" s="735"/>
      <c r="U3" s="735"/>
      <c r="V3" s="735"/>
      <c r="W3" s="735"/>
      <c r="X3" s="735"/>
      <c r="Y3" s="735"/>
      <c r="Z3" s="735"/>
      <c r="AA3" s="735"/>
      <c r="AB3" s="735"/>
      <c r="AC3" s="735"/>
      <c r="AD3" s="735"/>
      <c r="AE3" s="735"/>
      <c r="AF3" s="735"/>
      <c r="AG3" s="735"/>
      <c r="AH3" s="735"/>
      <c r="AI3" s="735"/>
      <c r="AJ3" s="735"/>
      <c r="AK3" s="736"/>
      <c r="AL3" s="18"/>
      <c r="AM3" s="79">
        <f>SUM(AM6:AM305)</f>
        <v>0</v>
      </c>
      <c r="AN3" s="12"/>
      <c r="AO3" s="12"/>
      <c r="AP3" s="12"/>
      <c r="AQ3" s="12"/>
      <c r="AR3" s="13"/>
      <c r="AU3" s="737"/>
      <c r="AV3" s="737"/>
      <c r="AW3" s="737"/>
      <c r="AX3" s="737"/>
    </row>
    <row r="4" spans="2:50" ht="7.5" customHeight="1" thickBot="1" x14ac:dyDescent="0.2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12"/>
      <c r="AN4" s="12"/>
      <c r="AO4" s="12"/>
      <c r="AP4" s="12"/>
      <c r="AQ4" s="12"/>
      <c r="AR4" s="13"/>
    </row>
    <row r="5" spans="2:50" ht="52.5" customHeight="1" thickBot="1" x14ac:dyDescent="0.25">
      <c r="B5" s="6"/>
      <c r="C5" s="7" t="s">
        <v>182</v>
      </c>
      <c r="D5" s="8" t="s">
        <v>0</v>
      </c>
      <c r="E5" s="8" t="s">
        <v>1</v>
      </c>
      <c r="F5" s="19" t="s">
        <v>185</v>
      </c>
      <c r="G5" s="70" t="s">
        <v>246</v>
      </c>
      <c r="H5" s="91" t="s">
        <v>32</v>
      </c>
      <c r="I5" s="92" t="s">
        <v>33</v>
      </c>
      <c r="J5" s="93" t="s">
        <v>34</v>
      </c>
      <c r="K5" s="93" t="s">
        <v>35</v>
      </c>
      <c r="L5" s="93" t="s">
        <v>36</v>
      </c>
      <c r="M5" s="93" t="s">
        <v>37</v>
      </c>
      <c r="N5" s="93" t="s">
        <v>38</v>
      </c>
      <c r="O5" s="93" t="s">
        <v>39</v>
      </c>
      <c r="P5" s="93" t="s">
        <v>40</v>
      </c>
      <c r="Q5" s="93" t="s">
        <v>41</v>
      </c>
      <c r="R5" s="94" t="s">
        <v>42</v>
      </c>
      <c r="S5" s="94" t="s">
        <v>43</v>
      </c>
      <c r="T5" s="94" t="s">
        <v>44</v>
      </c>
      <c r="U5" s="94" t="s">
        <v>45</v>
      </c>
      <c r="V5" s="94" t="s">
        <v>46</v>
      </c>
      <c r="W5" s="94" t="s">
        <v>47</v>
      </c>
      <c r="X5" s="94" t="s">
        <v>2</v>
      </c>
      <c r="Y5" s="94" t="s">
        <v>48</v>
      </c>
      <c r="Z5" s="94" t="s">
        <v>49</v>
      </c>
      <c r="AA5" s="95" t="s">
        <v>50</v>
      </c>
      <c r="AB5" s="96" t="s">
        <v>51</v>
      </c>
      <c r="AC5" s="34" t="str">
        <f>AO5</f>
        <v>OP. DIA TODO</v>
      </c>
      <c r="AD5" s="39" t="s">
        <v>208</v>
      </c>
      <c r="AE5" s="8" t="str">
        <f>AO6</f>
        <v>OP. MANHÃ</v>
      </c>
      <c r="AF5" s="39" t="s">
        <v>208</v>
      </c>
      <c r="AG5" s="8" t="str">
        <f>AO7</f>
        <v>OP. TARDE / NOITE</v>
      </c>
      <c r="AH5" s="39" t="s">
        <v>208</v>
      </c>
      <c r="AI5" s="8" t="str">
        <f>AO8</f>
        <v>OP. Hor. PICO</v>
      </c>
      <c r="AJ5" s="39" t="s">
        <v>208</v>
      </c>
      <c r="AK5" s="36" t="s">
        <v>31</v>
      </c>
      <c r="AL5" s="6"/>
      <c r="AM5" s="80" t="s">
        <v>251</v>
      </c>
      <c r="AN5" s="12"/>
      <c r="AO5" s="118" t="s">
        <v>183</v>
      </c>
      <c r="AP5" s="25" t="s">
        <v>178</v>
      </c>
      <c r="AQ5" s="25" t="s">
        <v>53</v>
      </c>
      <c r="AR5" s="14"/>
    </row>
    <row r="6" spans="2:50" ht="17.25" customHeight="1" x14ac:dyDescent="0.2">
      <c r="B6" s="6"/>
      <c r="C6" s="49" t="str">
        <f>IF(SEM!C6="","",SEM!C6)</f>
        <v/>
      </c>
      <c r="D6" s="220" t="str">
        <f>IF(C6="","",VLOOKUP(SEM!C6,FROTA!$B$5:$C$305,2,0))</f>
        <v/>
      </c>
      <c r="E6" s="24" t="str">
        <f>IF(C6="","",VLOOKUP(C6,FROTA!$B$5:$N$305,7,0))</f>
        <v/>
      </c>
      <c r="F6" s="38" t="str">
        <f>IF(E6="","",VLOOKUP(E6,$AP$5:$AQ$18,2,0))</f>
        <v/>
      </c>
      <c r="G6" s="71" t="str">
        <f>IF(C6="","",F6/$F$307)</f>
        <v/>
      </c>
      <c r="H6" s="88" t="str">
        <f>IF($C6="","",IF(SUM(H$307*$G6)&gt;$F6,$F6,SUM(H$307*$G6)))</f>
        <v/>
      </c>
      <c r="I6" s="89" t="str">
        <f>IF($C6="","",IF(SUM(I$307*$G6)&gt;$F6,$F6,SUM(I$307*$G6)))</f>
        <v/>
      </c>
      <c r="J6" s="89" t="str">
        <f>IF($C6="","",IF(SUM(J$307*$G6)&gt;$F6,$F6,SUM(J$307*$G6)))</f>
        <v/>
      </c>
      <c r="K6" s="89" t="str">
        <f t="shared" ref="K6:Q21" si="0">IF($C6="","",IF(SUM(K$307*$G6)&gt;$F6,$F6,SUM(K$307*$G6)))</f>
        <v/>
      </c>
      <c r="L6" s="89" t="str">
        <f t="shared" si="0"/>
        <v/>
      </c>
      <c r="M6" s="89" t="str">
        <f t="shared" si="0"/>
        <v/>
      </c>
      <c r="N6" s="89" t="str">
        <f>IF($C6="","",IF(SUM(N$307*$G6)&gt;$F6,$F6,SUM(N$307*$G6)))</f>
        <v/>
      </c>
      <c r="O6" s="89" t="str">
        <f>IF($C6="","",IF(SUM(O$307*$G6)&gt;$F6,$F6,SUM(O$307*$G6)))</f>
        <v/>
      </c>
      <c r="P6" s="89" t="str">
        <f>IF($C6="","",IF(SUM(P$307*$G6)&gt;$F6,$F6,SUM(P$307*$G6)))</f>
        <v/>
      </c>
      <c r="Q6" s="89" t="str">
        <f>IF($C6="","",IF(SUM(Q$307*$G6)&gt;$F6,$F6,SUM(Q$307*$G6)))</f>
        <v/>
      </c>
      <c r="R6" s="89" t="str">
        <f t="shared" ref="R6:AB16" si="1">IF($C6="","",IF(SUM(R$307*$G6)&gt;$F6,$F6,SUM(R$307*$G6)))</f>
        <v/>
      </c>
      <c r="S6" s="89" t="str">
        <f t="shared" si="1"/>
        <v/>
      </c>
      <c r="T6" s="89" t="str">
        <f t="shared" si="1"/>
        <v/>
      </c>
      <c r="U6" s="89" t="str">
        <f t="shared" si="1"/>
        <v/>
      </c>
      <c r="V6" s="89" t="str">
        <f t="shared" si="1"/>
        <v/>
      </c>
      <c r="W6" s="89" t="str">
        <f t="shared" si="1"/>
        <v/>
      </c>
      <c r="X6" s="89" t="str">
        <f t="shared" si="1"/>
        <v/>
      </c>
      <c r="Y6" s="89" t="str">
        <f t="shared" si="1"/>
        <v/>
      </c>
      <c r="Z6" s="89" t="str">
        <f t="shared" si="1"/>
        <v/>
      </c>
      <c r="AA6" s="89" t="str">
        <f t="shared" si="1"/>
        <v/>
      </c>
      <c r="AB6" s="90" t="str">
        <f t="shared" si="1"/>
        <v/>
      </c>
      <c r="AC6" s="35" t="str">
        <f>IF(C6="","",SUM(H6:AB6)*AK6)</f>
        <v/>
      </c>
      <c r="AD6" s="40" t="str">
        <f>IF(C6="","",SUM(H6:AB6))</f>
        <v/>
      </c>
      <c r="AE6" s="37" t="str">
        <f>IF(C6="","",SUM(H6:Q6)*AK6)</f>
        <v/>
      </c>
      <c r="AF6" s="40" t="str">
        <f>IF(C6="","",SUM(H6:Q6))</f>
        <v/>
      </c>
      <c r="AG6" s="37" t="str">
        <f>IF(C6="","",SUM(R6:AB6)*AK6)</f>
        <v/>
      </c>
      <c r="AH6" s="40" t="str">
        <f>IF(C6="","",SUM(R6:AB6))</f>
        <v/>
      </c>
      <c r="AI6" s="37" t="str">
        <f>IF(C6="","",SUM(J6:L6,T6:V6)*AK6)</f>
        <v/>
      </c>
      <c r="AJ6" s="40" t="str">
        <f>IF(C6="","",SUM(J6:L6,T6:V6))</f>
        <v/>
      </c>
      <c r="AK6" s="33" t="str">
        <f>IF(SEM!AK6="","",SEM!AK6)</f>
        <v/>
      </c>
      <c r="AL6" s="6"/>
      <c r="AM6" s="79" t="str">
        <f>IF(C6="","",SUM(H6:AB6))</f>
        <v/>
      </c>
      <c r="AN6" s="12"/>
      <c r="AO6" s="118" t="s">
        <v>187</v>
      </c>
      <c r="AP6" s="17" t="s">
        <v>54</v>
      </c>
      <c r="AQ6" s="44">
        <v>22</v>
      </c>
      <c r="AR6" s="15"/>
      <c r="AU6" s="198"/>
      <c r="AV6" s="198"/>
      <c r="AW6" s="198"/>
      <c r="AX6" s="198"/>
    </row>
    <row r="7" spans="2:50" ht="17.25" customHeight="1" x14ac:dyDescent="0.2">
      <c r="B7" s="6"/>
      <c r="C7" s="49" t="str">
        <f>IF(SEM!C7="","",SEM!C7)</f>
        <v/>
      </c>
      <c r="D7" s="220" t="str">
        <f>IF(C7="","",VLOOKUP(SEM!C7,FROTA!$B$5:$C$305,2,0))</f>
        <v/>
      </c>
      <c r="E7" s="24" t="str">
        <f>IF(C7="","",VLOOKUP(C7,FROTA!$B$5:$N$305,7,0))</f>
        <v/>
      </c>
      <c r="F7" s="38" t="str">
        <f t="shared" ref="F7:F70" si="2">IF(E7="","",VLOOKUP(E7,$AP$5:$AQ$18,2,0))</f>
        <v/>
      </c>
      <c r="G7" s="71" t="str">
        <f>IF(C7="","",F7/$F$307)</f>
        <v/>
      </c>
      <c r="H7" s="32" t="str">
        <f t="shared" ref="H7:J22" si="3">IF($C7="","",IF(SUM(H$307*$G7)&gt;$F7,$F7,SUM(H$307*$G7)))</f>
        <v/>
      </c>
      <c r="I7" s="73" t="str">
        <f t="shared" si="3"/>
        <v/>
      </c>
      <c r="J7" s="73" t="str">
        <f t="shared" si="3"/>
        <v/>
      </c>
      <c r="K7" s="73" t="str">
        <f t="shared" si="0"/>
        <v/>
      </c>
      <c r="L7" s="73" t="str">
        <f t="shared" si="0"/>
        <v/>
      </c>
      <c r="M7" s="73" t="str">
        <f t="shared" si="0"/>
        <v/>
      </c>
      <c r="N7" s="73" t="str">
        <f t="shared" si="0"/>
        <v/>
      </c>
      <c r="O7" s="73" t="str">
        <f t="shared" si="0"/>
        <v/>
      </c>
      <c r="P7" s="73" t="str">
        <f t="shared" si="0"/>
        <v/>
      </c>
      <c r="Q7" s="73" t="str">
        <f t="shared" si="0"/>
        <v/>
      </c>
      <c r="R7" s="73" t="str">
        <f t="shared" si="1"/>
        <v/>
      </c>
      <c r="S7" s="73" t="str">
        <f t="shared" si="1"/>
        <v/>
      </c>
      <c r="T7" s="73" t="str">
        <f t="shared" si="1"/>
        <v/>
      </c>
      <c r="U7" s="73" t="str">
        <f t="shared" si="1"/>
        <v/>
      </c>
      <c r="V7" s="73" t="str">
        <f t="shared" si="1"/>
        <v/>
      </c>
      <c r="W7" s="73" t="str">
        <f t="shared" si="1"/>
        <v/>
      </c>
      <c r="X7" s="73" t="str">
        <f t="shared" si="1"/>
        <v/>
      </c>
      <c r="Y7" s="73" t="str">
        <f t="shared" si="1"/>
        <v/>
      </c>
      <c r="Z7" s="73" t="str">
        <f t="shared" si="1"/>
        <v/>
      </c>
      <c r="AA7" s="73" t="str">
        <f t="shared" si="1"/>
        <v/>
      </c>
      <c r="AB7" s="74" t="str">
        <f t="shared" si="1"/>
        <v/>
      </c>
      <c r="AC7" s="35" t="str">
        <f t="shared" ref="AC7:AC15" si="4">IF(C7="","",SUM(H7:AB7)*AK7)</f>
        <v/>
      </c>
      <c r="AD7" s="40" t="str">
        <f t="shared" ref="AD7:AD15" si="5">IF(C7="","",SUM(H7:AB7))</f>
        <v/>
      </c>
      <c r="AE7" s="37" t="str">
        <f t="shared" ref="AE7:AE15" si="6">IF(C7="","",SUM(H7:Q7)*AK7)</f>
        <v/>
      </c>
      <c r="AF7" s="40" t="str">
        <f t="shared" ref="AF7:AF15" si="7">IF(C7="","",SUM(H7:Q7))</f>
        <v/>
      </c>
      <c r="AG7" s="37" t="str">
        <f t="shared" ref="AG7:AG15" si="8">IF(C7="","",SUM(R7:AB7)*AK7)</f>
        <v/>
      </c>
      <c r="AH7" s="40" t="str">
        <f t="shared" ref="AH7:AH15" si="9">IF(C7="","",SUM(R7:AB7))</f>
        <v/>
      </c>
      <c r="AI7" s="37" t="str">
        <f t="shared" ref="AI7:AI15" si="10">IF(C7="","",SUM(J7:L7,T7:V7)*AK7)</f>
        <v/>
      </c>
      <c r="AJ7" s="40" t="str">
        <f t="shared" ref="AJ7:AJ15" si="11">IF(C7="","",SUM(J7:L7,T7:V7))</f>
        <v/>
      </c>
      <c r="AK7" s="33" t="str">
        <f>IF(SEM!AK7="","",SEM!AK7)</f>
        <v/>
      </c>
      <c r="AL7" s="6"/>
      <c r="AM7" s="79" t="str">
        <f t="shared" ref="AM7:AM70" si="12">IF(C7="","",SUM(H7:AB7))</f>
        <v/>
      </c>
      <c r="AN7" s="12"/>
      <c r="AO7" s="118" t="s">
        <v>186</v>
      </c>
      <c r="AP7" s="17" t="s">
        <v>179</v>
      </c>
      <c r="AQ7" s="44">
        <v>32</v>
      </c>
      <c r="AR7" s="15"/>
      <c r="AU7" s="198"/>
      <c r="AV7" s="198"/>
      <c r="AW7" s="198"/>
      <c r="AX7" s="198"/>
    </row>
    <row r="8" spans="2:50" ht="17.25" customHeight="1" x14ac:dyDescent="0.2">
      <c r="B8" s="6"/>
      <c r="C8" s="49" t="str">
        <f>IF(SEM!C8="","",SEM!C8)</f>
        <v/>
      </c>
      <c r="D8" s="220" t="str">
        <f>IF(C8="","",VLOOKUP(SEM!C8,FROTA!$B$5:$C$305,2,0))</f>
        <v/>
      </c>
      <c r="E8" s="24" t="str">
        <f>IF(C8="","",VLOOKUP(C8,FROTA!$B$5:$N$305,7,0))</f>
        <v/>
      </c>
      <c r="F8" s="38" t="str">
        <f t="shared" si="2"/>
        <v/>
      </c>
      <c r="G8" s="71" t="str">
        <f>IF(C8="","",F8/$F$307)</f>
        <v/>
      </c>
      <c r="H8" s="32" t="str">
        <f t="shared" si="3"/>
        <v/>
      </c>
      <c r="I8" s="73" t="str">
        <f t="shared" si="3"/>
        <v/>
      </c>
      <c r="J8" s="73" t="str">
        <f t="shared" si="3"/>
        <v/>
      </c>
      <c r="K8" s="73" t="str">
        <f t="shared" si="0"/>
        <v/>
      </c>
      <c r="L8" s="73" t="str">
        <f t="shared" si="0"/>
        <v/>
      </c>
      <c r="M8" s="73" t="str">
        <f t="shared" si="0"/>
        <v/>
      </c>
      <c r="N8" s="73" t="str">
        <f t="shared" si="0"/>
        <v/>
      </c>
      <c r="O8" s="73" t="str">
        <f t="shared" si="0"/>
        <v/>
      </c>
      <c r="P8" s="73" t="str">
        <f t="shared" si="0"/>
        <v/>
      </c>
      <c r="Q8" s="73" t="str">
        <f t="shared" si="0"/>
        <v/>
      </c>
      <c r="R8" s="73" t="str">
        <f t="shared" si="1"/>
        <v/>
      </c>
      <c r="S8" s="73" t="str">
        <f t="shared" si="1"/>
        <v/>
      </c>
      <c r="T8" s="73" t="str">
        <f t="shared" si="1"/>
        <v/>
      </c>
      <c r="U8" s="73" t="str">
        <f t="shared" si="1"/>
        <v/>
      </c>
      <c r="V8" s="73" t="str">
        <f t="shared" si="1"/>
        <v/>
      </c>
      <c r="W8" s="73" t="str">
        <f t="shared" si="1"/>
        <v/>
      </c>
      <c r="X8" s="73" t="str">
        <f t="shared" si="1"/>
        <v/>
      </c>
      <c r="Y8" s="73" t="str">
        <f t="shared" si="1"/>
        <v/>
      </c>
      <c r="Z8" s="73" t="str">
        <f t="shared" si="1"/>
        <v/>
      </c>
      <c r="AA8" s="73" t="str">
        <f t="shared" si="1"/>
        <v/>
      </c>
      <c r="AB8" s="74" t="str">
        <f t="shared" si="1"/>
        <v/>
      </c>
      <c r="AC8" s="35" t="str">
        <f t="shared" si="4"/>
        <v/>
      </c>
      <c r="AD8" s="40" t="str">
        <f t="shared" si="5"/>
        <v/>
      </c>
      <c r="AE8" s="37" t="str">
        <f t="shared" si="6"/>
        <v/>
      </c>
      <c r="AF8" s="40" t="str">
        <f t="shared" si="7"/>
        <v/>
      </c>
      <c r="AG8" s="37" t="str">
        <f t="shared" si="8"/>
        <v/>
      </c>
      <c r="AH8" s="40" t="str">
        <f t="shared" si="9"/>
        <v/>
      </c>
      <c r="AI8" s="37" t="str">
        <f t="shared" si="10"/>
        <v/>
      </c>
      <c r="AJ8" s="40" t="str">
        <f t="shared" si="11"/>
        <v/>
      </c>
      <c r="AK8" s="33" t="str">
        <f>IF(SEM!AK8="","",SEM!AK8)</f>
        <v/>
      </c>
      <c r="AL8" s="6"/>
      <c r="AM8" s="79" t="str">
        <f t="shared" si="12"/>
        <v/>
      </c>
      <c r="AN8" s="12"/>
      <c r="AO8" s="118" t="s">
        <v>184</v>
      </c>
      <c r="AP8" s="17" t="s">
        <v>265</v>
      </c>
      <c r="AQ8" s="44">
        <v>67</v>
      </c>
      <c r="AR8" s="15"/>
      <c r="AU8" s="198"/>
      <c r="AV8" s="198"/>
      <c r="AW8" s="198"/>
      <c r="AX8" s="198"/>
    </row>
    <row r="9" spans="2:50" ht="17.25" customHeight="1" x14ac:dyDescent="0.2">
      <c r="B9" s="6"/>
      <c r="C9" s="49" t="str">
        <f>IF(SEM!C9="","",SEM!C9)</f>
        <v/>
      </c>
      <c r="D9" s="220" t="str">
        <f>IF(C9="","",VLOOKUP(SEM!C9,FROTA!$B$5:$C$305,2,0))</f>
        <v/>
      </c>
      <c r="E9" s="24" t="str">
        <f>IF(C9="","",VLOOKUP(C9,FROTA!$B$5:$N$305,7,0))</f>
        <v/>
      </c>
      <c r="F9" s="38" t="str">
        <f t="shared" si="2"/>
        <v/>
      </c>
      <c r="G9" s="71" t="str">
        <f t="shared" ref="G9:G72" si="13">IF(C9="","",F9/$F$307)</f>
        <v/>
      </c>
      <c r="H9" s="32" t="str">
        <f t="shared" si="3"/>
        <v/>
      </c>
      <c r="I9" s="73" t="str">
        <f t="shared" si="3"/>
        <v/>
      </c>
      <c r="J9" s="73" t="str">
        <f t="shared" si="3"/>
        <v/>
      </c>
      <c r="K9" s="73" t="str">
        <f t="shared" si="0"/>
        <v/>
      </c>
      <c r="L9" s="73" t="str">
        <f t="shared" si="0"/>
        <v/>
      </c>
      <c r="M9" s="73" t="str">
        <f t="shared" si="0"/>
        <v/>
      </c>
      <c r="N9" s="73" t="str">
        <f t="shared" si="0"/>
        <v/>
      </c>
      <c r="O9" s="73" t="str">
        <f t="shared" si="0"/>
        <v/>
      </c>
      <c r="P9" s="73" t="str">
        <f t="shared" si="0"/>
        <v/>
      </c>
      <c r="Q9" s="73" t="str">
        <f t="shared" si="0"/>
        <v/>
      </c>
      <c r="R9" s="73" t="str">
        <f t="shared" si="1"/>
        <v/>
      </c>
      <c r="S9" s="73" t="str">
        <f t="shared" si="1"/>
        <v/>
      </c>
      <c r="T9" s="73" t="str">
        <f t="shared" si="1"/>
        <v/>
      </c>
      <c r="U9" s="73" t="str">
        <f t="shared" si="1"/>
        <v/>
      </c>
      <c r="V9" s="73" t="str">
        <f t="shared" si="1"/>
        <v/>
      </c>
      <c r="W9" s="73" t="str">
        <f t="shared" si="1"/>
        <v/>
      </c>
      <c r="X9" s="73" t="str">
        <f t="shared" si="1"/>
        <v/>
      </c>
      <c r="Y9" s="73" t="str">
        <f t="shared" si="1"/>
        <v/>
      </c>
      <c r="Z9" s="73" t="str">
        <f t="shared" si="1"/>
        <v/>
      </c>
      <c r="AA9" s="73" t="str">
        <f t="shared" si="1"/>
        <v/>
      </c>
      <c r="AB9" s="74" t="str">
        <f t="shared" si="1"/>
        <v/>
      </c>
      <c r="AC9" s="35" t="str">
        <f t="shared" si="4"/>
        <v/>
      </c>
      <c r="AD9" s="40" t="str">
        <f t="shared" si="5"/>
        <v/>
      </c>
      <c r="AE9" s="37" t="str">
        <f t="shared" si="6"/>
        <v/>
      </c>
      <c r="AF9" s="40" t="str">
        <f t="shared" si="7"/>
        <v/>
      </c>
      <c r="AG9" s="37" t="str">
        <f t="shared" si="8"/>
        <v/>
      </c>
      <c r="AH9" s="40" t="str">
        <f t="shared" si="9"/>
        <v/>
      </c>
      <c r="AI9" s="37" t="str">
        <f t="shared" si="10"/>
        <v/>
      </c>
      <c r="AJ9" s="40" t="str">
        <f t="shared" si="11"/>
        <v/>
      </c>
      <c r="AK9" s="33" t="str">
        <f>IF(SEM!AK9="","",SEM!AK9)</f>
        <v/>
      </c>
      <c r="AL9" s="6"/>
      <c r="AM9" s="79" t="str">
        <f t="shared" si="12"/>
        <v/>
      </c>
      <c r="AN9" s="12"/>
      <c r="AO9" s="12"/>
      <c r="AP9" s="17" t="s">
        <v>55</v>
      </c>
      <c r="AQ9" s="44">
        <v>90</v>
      </c>
      <c r="AR9" s="15"/>
      <c r="AU9" s="198"/>
      <c r="AV9" s="198"/>
      <c r="AW9" s="198"/>
      <c r="AX9" s="198"/>
    </row>
    <row r="10" spans="2:50" ht="17.25" customHeight="1" x14ac:dyDescent="0.2">
      <c r="B10" s="6"/>
      <c r="C10" s="49" t="str">
        <f>IF(SEM!C10="","",SEM!C10)</f>
        <v/>
      </c>
      <c r="D10" s="220" t="str">
        <f>IF(C10="","",VLOOKUP(SEM!C10,FROTA!$B$5:$C$305,2,0))</f>
        <v/>
      </c>
      <c r="E10" s="24" t="str">
        <f>IF(C10="","",VLOOKUP(C10,FROTA!$B$5:$N$305,7,0))</f>
        <v/>
      </c>
      <c r="F10" s="38" t="str">
        <f t="shared" si="2"/>
        <v/>
      </c>
      <c r="G10" s="71" t="str">
        <f t="shared" si="13"/>
        <v/>
      </c>
      <c r="H10" s="32" t="str">
        <f t="shared" si="3"/>
        <v/>
      </c>
      <c r="I10" s="73" t="str">
        <f t="shared" si="3"/>
        <v/>
      </c>
      <c r="J10" s="73" t="str">
        <f t="shared" si="3"/>
        <v/>
      </c>
      <c r="K10" s="73" t="str">
        <f t="shared" si="0"/>
        <v/>
      </c>
      <c r="L10" s="73" t="str">
        <f t="shared" si="0"/>
        <v/>
      </c>
      <c r="M10" s="73" t="str">
        <f t="shared" si="0"/>
        <v/>
      </c>
      <c r="N10" s="73" t="str">
        <f t="shared" si="0"/>
        <v/>
      </c>
      <c r="O10" s="73" t="str">
        <f t="shared" si="0"/>
        <v/>
      </c>
      <c r="P10" s="73" t="str">
        <f t="shared" si="0"/>
        <v/>
      </c>
      <c r="Q10" s="73" t="str">
        <f t="shared" si="0"/>
        <v/>
      </c>
      <c r="R10" s="73" t="str">
        <f t="shared" si="1"/>
        <v/>
      </c>
      <c r="S10" s="73" t="str">
        <f t="shared" si="1"/>
        <v/>
      </c>
      <c r="T10" s="73" t="str">
        <f t="shared" si="1"/>
        <v/>
      </c>
      <c r="U10" s="73" t="str">
        <f t="shared" si="1"/>
        <v/>
      </c>
      <c r="V10" s="73" t="str">
        <f t="shared" si="1"/>
        <v/>
      </c>
      <c r="W10" s="73" t="str">
        <f t="shared" si="1"/>
        <v/>
      </c>
      <c r="X10" s="73" t="str">
        <f t="shared" si="1"/>
        <v/>
      </c>
      <c r="Y10" s="73" t="str">
        <f t="shared" si="1"/>
        <v/>
      </c>
      <c r="Z10" s="73" t="str">
        <f t="shared" si="1"/>
        <v/>
      </c>
      <c r="AA10" s="73" t="str">
        <f t="shared" si="1"/>
        <v/>
      </c>
      <c r="AB10" s="74" t="str">
        <f t="shared" si="1"/>
        <v/>
      </c>
      <c r="AC10" s="35" t="str">
        <f t="shared" si="4"/>
        <v/>
      </c>
      <c r="AD10" s="40" t="str">
        <f t="shared" si="5"/>
        <v/>
      </c>
      <c r="AE10" s="37" t="str">
        <f t="shared" si="6"/>
        <v/>
      </c>
      <c r="AF10" s="40" t="str">
        <f t="shared" si="7"/>
        <v/>
      </c>
      <c r="AG10" s="37" t="str">
        <f t="shared" si="8"/>
        <v/>
      </c>
      <c r="AH10" s="40" t="str">
        <f t="shared" si="9"/>
        <v/>
      </c>
      <c r="AI10" s="37" t="str">
        <f t="shared" si="10"/>
        <v/>
      </c>
      <c r="AJ10" s="40" t="str">
        <f t="shared" si="11"/>
        <v/>
      </c>
      <c r="AK10" s="33" t="str">
        <f>IF(SEM!AK10="","",SEM!AK10)</f>
        <v/>
      </c>
      <c r="AL10" s="6"/>
      <c r="AM10" s="79" t="str">
        <f t="shared" si="12"/>
        <v/>
      </c>
      <c r="AN10" s="12"/>
      <c r="AO10" s="12"/>
      <c r="AP10" s="17" t="s">
        <v>180</v>
      </c>
      <c r="AQ10" s="44">
        <v>105</v>
      </c>
      <c r="AR10" s="15"/>
      <c r="AU10" s="198"/>
      <c r="AV10" s="198"/>
      <c r="AW10" s="198"/>
      <c r="AX10" s="198"/>
    </row>
    <row r="11" spans="2:50" ht="17.25" customHeight="1" x14ac:dyDescent="0.2">
      <c r="B11" s="6"/>
      <c r="C11" s="49" t="str">
        <f>IF(SEM!C11="","",SEM!C11)</f>
        <v/>
      </c>
      <c r="D11" s="220" t="str">
        <f>IF(C11="","",VLOOKUP(SEM!C11,FROTA!$B$5:$C$305,2,0))</f>
        <v/>
      </c>
      <c r="E11" s="24" t="str">
        <f>IF(C11="","",VLOOKUP(C11,FROTA!$B$5:$N$305,7,0))</f>
        <v/>
      </c>
      <c r="F11" s="38" t="str">
        <f t="shared" si="2"/>
        <v/>
      </c>
      <c r="G11" s="71" t="str">
        <f t="shared" si="13"/>
        <v/>
      </c>
      <c r="H11" s="32" t="str">
        <f t="shared" si="3"/>
        <v/>
      </c>
      <c r="I11" s="73" t="str">
        <f t="shared" si="3"/>
        <v/>
      </c>
      <c r="J11" s="73" t="str">
        <f t="shared" si="3"/>
        <v/>
      </c>
      <c r="K11" s="73" t="str">
        <f t="shared" si="0"/>
        <v/>
      </c>
      <c r="L11" s="73" t="str">
        <f t="shared" si="0"/>
        <v/>
      </c>
      <c r="M11" s="73" t="str">
        <f t="shared" si="0"/>
        <v/>
      </c>
      <c r="N11" s="73" t="str">
        <f t="shared" si="0"/>
        <v/>
      </c>
      <c r="O11" s="73" t="str">
        <f t="shared" si="0"/>
        <v/>
      </c>
      <c r="P11" s="73" t="str">
        <f t="shared" si="0"/>
        <v/>
      </c>
      <c r="Q11" s="73" t="str">
        <f t="shared" si="0"/>
        <v/>
      </c>
      <c r="R11" s="73" t="str">
        <f t="shared" si="1"/>
        <v/>
      </c>
      <c r="S11" s="73" t="str">
        <f t="shared" si="1"/>
        <v/>
      </c>
      <c r="T11" s="73" t="str">
        <f t="shared" si="1"/>
        <v/>
      </c>
      <c r="U11" s="73" t="str">
        <f t="shared" si="1"/>
        <v/>
      </c>
      <c r="V11" s="73" t="str">
        <f t="shared" si="1"/>
        <v/>
      </c>
      <c r="W11" s="73" t="str">
        <f t="shared" si="1"/>
        <v/>
      </c>
      <c r="X11" s="73" t="str">
        <f t="shared" si="1"/>
        <v/>
      </c>
      <c r="Y11" s="73" t="str">
        <f t="shared" si="1"/>
        <v/>
      </c>
      <c r="Z11" s="73" t="str">
        <f t="shared" si="1"/>
        <v/>
      </c>
      <c r="AA11" s="73" t="str">
        <f t="shared" si="1"/>
        <v/>
      </c>
      <c r="AB11" s="74" t="str">
        <f t="shared" si="1"/>
        <v/>
      </c>
      <c r="AC11" s="35" t="str">
        <f t="shared" si="4"/>
        <v/>
      </c>
      <c r="AD11" s="40" t="str">
        <f t="shared" si="5"/>
        <v/>
      </c>
      <c r="AE11" s="37" t="str">
        <f t="shared" si="6"/>
        <v/>
      </c>
      <c r="AF11" s="40" t="str">
        <f t="shared" si="7"/>
        <v/>
      </c>
      <c r="AG11" s="37" t="str">
        <f t="shared" si="8"/>
        <v/>
      </c>
      <c r="AH11" s="40" t="str">
        <f t="shared" si="9"/>
        <v/>
      </c>
      <c r="AI11" s="37" t="str">
        <f t="shared" si="10"/>
        <v/>
      </c>
      <c r="AJ11" s="40" t="str">
        <f t="shared" si="11"/>
        <v/>
      </c>
      <c r="AK11" s="33" t="str">
        <f>IF(SEM!AK11="","",SEM!AK11)</f>
        <v/>
      </c>
      <c r="AL11" s="6"/>
      <c r="AM11" s="79" t="str">
        <f t="shared" si="12"/>
        <v/>
      </c>
      <c r="AN11" s="12"/>
      <c r="AO11" s="12"/>
      <c r="AP11" s="17" t="s">
        <v>56</v>
      </c>
      <c r="AQ11" s="44">
        <v>145</v>
      </c>
      <c r="AR11" s="15"/>
      <c r="AU11" s="198"/>
      <c r="AV11" s="198"/>
      <c r="AW11" s="198"/>
      <c r="AX11" s="198"/>
    </row>
    <row r="12" spans="2:50" ht="17.25" customHeight="1" x14ac:dyDescent="0.2">
      <c r="B12" s="6"/>
      <c r="C12" s="49" t="str">
        <f>IF(SEM!C12="","",SEM!C12)</f>
        <v/>
      </c>
      <c r="D12" s="220" t="str">
        <f>IF(C12="","",VLOOKUP(SEM!C12,FROTA!$B$5:$C$305,2,0))</f>
        <v/>
      </c>
      <c r="E12" s="24" t="str">
        <f>IF(C12="","",VLOOKUP(C12,FROTA!$B$5:$N$305,7,0))</f>
        <v/>
      </c>
      <c r="F12" s="38" t="str">
        <f t="shared" si="2"/>
        <v/>
      </c>
      <c r="G12" s="71" t="str">
        <f t="shared" si="13"/>
        <v/>
      </c>
      <c r="H12" s="32" t="str">
        <f t="shared" si="3"/>
        <v/>
      </c>
      <c r="I12" s="73" t="str">
        <f t="shared" si="3"/>
        <v/>
      </c>
      <c r="J12" s="73" t="str">
        <f t="shared" si="3"/>
        <v/>
      </c>
      <c r="K12" s="73" t="str">
        <f t="shared" si="0"/>
        <v/>
      </c>
      <c r="L12" s="73" t="str">
        <f t="shared" si="0"/>
        <v/>
      </c>
      <c r="M12" s="73" t="str">
        <f t="shared" si="0"/>
        <v/>
      </c>
      <c r="N12" s="73" t="str">
        <f t="shared" si="0"/>
        <v/>
      </c>
      <c r="O12" s="73" t="str">
        <f t="shared" si="0"/>
        <v/>
      </c>
      <c r="P12" s="73" t="str">
        <f t="shared" si="0"/>
        <v/>
      </c>
      <c r="Q12" s="73" t="str">
        <f t="shared" si="0"/>
        <v/>
      </c>
      <c r="R12" s="73" t="str">
        <f t="shared" si="1"/>
        <v/>
      </c>
      <c r="S12" s="73" t="str">
        <f t="shared" si="1"/>
        <v/>
      </c>
      <c r="T12" s="73" t="str">
        <f t="shared" si="1"/>
        <v/>
      </c>
      <c r="U12" s="73" t="str">
        <f t="shared" si="1"/>
        <v/>
      </c>
      <c r="V12" s="73" t="str">
        <f t="shared" si="1"/>
        <v/>
      </c>
      <c r="W12" s="73" t="str">
        <f t="shared" si="1"/>
        <v/>
      </c>
      <c r="X12" s="73" t="str">
        <f t="shared" si="1"/>
        <v/>
      </c>
      <c r="Y12" s="73" t="str">
        <f t="shared" si="1"/>
        <v/>
      </c>
      <c r="Z12" s="73" t="str">
        <f t="shared" si="1"/>
        <v/>
      </c>
      <c r="AA12" s="73" t="str">
        <f t="shared" si="1"/>
        <v/>
      </c>
      <c r="AB12" s="74" t="str">
        <f t="shared" si="1"/>
        <v/>
      </c>
      <c r="AC12" s="35" t="str">
        <f t="shared" si="4"/>
        <v/>
      </c>
      <c r="AD12" s="40" t="str">
        <f t="shared" si="5"/>
        <v/>
      </c>
      <c r="AE12" s="37" t="str">
        <f t="shared" si="6"/>
        <v/>
      </c>
      <c r="AF12" s="40" t="str">
        <f t="shared" si="7"/>
        <v/>
      </c>
      <c r="AG12" s="37" t="str">
        <f t="shared" si="8"/>
        <v/>
      </c>
      <c r="AH12" s="40" t="str">
        <f t="shared" si="9"/>
        <v/>
      </c>
      <c r="AI12" s="37" t="str">
        <f t="shared" si="10"/>
        <v/>
      </c>
      <c r="AJ12" s="40" t="str">
        <f t="shared" si="11"/>
        <v/>
      </c>
      <c r="AK12" s="33" t="str">
        <f>IF(SEM!AK12="","",SEM!AK12)</f>
        <v/>
      </c>
      <c r="AL12" s="6"/>
      <c r="AM12" s="79" t="str">
        <f t="shared" si="12"/>
        <v/>
      </c>
      <c r="AN12" s="12"/>
      <c r="AO12" s="12"/>
      <c r="AP12" s="17" t="s">
        <v>181</v>
      </c>
      <c r="AQ12" s="44">
        <v>195</v>
      </c>
      <c r="AR12" s="15"/>
      <c r="AU12" s="198"/>
      <c r="AV12" s="198"/>
      <c r="AW12" s="198"/>
      <c r="AX12" s="198"/>
    </row>
    <row r="13" spans="2:50" ht="17.25" customHeight="1" x14ac:dyDescent="0.2">
      <c r="B13" s="6"/>
      <c r="C13" s="49" t="str">
        <f>IF(SEM!C13="","",SEM!C13)</f>
        <v/>
      </c>
      <c r="D13" s="220" t="str">
        <f>IF(C13="","",VLOOKUP(SEM!C13,FROTA!$B$5:$C$305,2,0))</f>
        <v/>
      </c>
      <c r="E13" s="24" t="str">
        <f>IF(C13="","",VLOOKUP(C13,FROTA!$B$5:$N$305,7,0))</f>
        <v/>
      </c>
      <c r="F13" s="38" t="str">
        <f t="shared" si="2"/>
        <v/>
      </c>
      <c r="G13" s="71" t="str">
        <f t="shared" si="13"/>
        <v/>
      </c>
      <c r="H13" s="32" t="str">
        <f t="shared" si="3"/>
        <v/>
      </c>
      <c r="I13" s="73" t="str">
        <f t="shared" si="3"/>
        <v/>
      </c>
      <c r="J13" s="73" t="str">
        <f t="shared" si="3"/>
        <v/>
      </c>
      <c r="K13" s="73" t="str">
        <f t="shared" si="0"/>
        <v/>
      </c>
      <c r="L13" s="73" t="str">
        <f t="shared" si="0"/>
        <v/>
      </c>
      <c r="M13" s="73" t="str">
        <f t="shared" si="0"/>
        <v/>
      </c>
      <c r="N13" s="73" t="str">
        <f t="shared" si="0"/>
        <v/>
      </c>
      <c r="O13" s="73" t="str">
        <f t="shared" si="0"/>
        <v/>
      </c>
      <c r="P13" s="73" t="str">
        <f t="shared" si="0"/>
        <v/>
      </c>
      <c r="Q13" s="73" t="str">
        <f t="shared" si="0"/>
        <v/>
      </c>
      <c r="R13" s="73" t="str">
        <f t="shared" si="1"/>
        <v/>
      </c>
      <c r="S13" s="73" t="str">
        <f t="shared" si="1"/>
        <v/>
      </c>
      <c r="T13" s="73" t="str">
        <f t="shared" si="1"/>
        <v/>
      </c>
      <c r="U13" s="73" t="str">
        <f t="shared" si="1"/>
        <v/>
      </c>
      <c r="V13" s="73" t="str">
        <f t="shared" si="1"/>
        <v/>
      </c>
      <c r="W13" s="73" t="str">
        <f t="shared" si="1"/>
        <v/>
      </c>
      <c r="X13" s="73" t="str">
        <f t="shared" si="1"/>
        <v/>
      </c>
      <c r="Y13" s="73" t="str">
        <f t="shared" si="1"/>
        <v/>
      </c>
      <c r="Z13" s="73" t="str">
        <f t="shared" si="1"/>
        <v/>
      </c>
      <c r="AA13" s="73" t="str">
        <f t="shared" si="1"/>
        <v/>
      </c>
      <c r="AB13" s="74" t="str">
        <f t="shared" si="1"/>
        <v/>
      </c>
      <c r="AC13" s="35" t="str">
        <f t="shared" si="4"/>
        <v/>
      </c>
      <c r="AD13" s="40" t="str">
        <f t="shared" si="5"/>
        <v/>
      </c>
      <c r="AE13" s="37" t="str">
        <f t="shared" si="6"/>
        <v/>
      </c>
      <c r="AF13" s="40" t="str">
        <f t="shared" si="7"/>
        <v/>
      </c>
      <c r="AG13" s="37" t="str">
        <f t="shared" si="8"/>
        <v/>
      </c>
      <c r="AH13" s="40" t="str">
        <f t="shared" si="9"/>
        <v/>
      </c>
      <c r="AI13" s="37" t="str">
        <f t="shared" si="10"/>
        <v/>
      </c>
      <c r="AJ13" s="40" t="str">
        <f t="shared" si="11"/>
        <v/>
      </c>
      <c r="AK13" s="33" t="str">
        <f>IF(SEM!AK13="","",SEM!AK13)</f>
        <v/>
      </c>
      <c r="AL13" s="6"/>
      <c r="AM13" s="79" t="str">
        <f t="shared" si="12"/>
        <v/>
      </c>
      <c r="AN13" s="12"/>
      <c r="AO13" s="12"/>
      <c r="AP13" s="17" t="s">
        <v>57</v>
      </c>
      <c r="AQ13" s="44">
        <v>250</v>
      </c>
      <c r="AR13" s="15"/>
      <c r="AU13" s="198"/>
      <c r="AV13" s="198"/>
      <c r="AW13" s="198"/>
      <c r="AX13" s="198"/>
    </row>
    <row r="14" spans="2:50" ht="17.25" customHeight="1" x14ac:dyDescent="0.2">
      <c r="B14" s="6"/>
      <c r="C14" s="49" t="str">
        <f>IF(SEM!C14="","",SEM!C14)</f>
        <v/>
      </c>
      <c r="D14" s="220" t="str">
        <f>IF(C14="","",VLOOKUP(SEM!C14,FROTA!$B$5:$C$305,2,0))</f>
        <v/>
      </c>
      <c r="E14" s="24" t="str">
        <f>IF(C14="","",VLOOKUP(C14,FROTA!$B$5:$N$305,7,0))</f>
        <v/>
      </c>
      <c r="F14" s="38" t="str">
        <f t="shared" si="2"/>
        <v/>
      </c>
      <c r="G14" s="71" t="str">
        <f t="shared" si="13"/>
        <v/>
      </c>
      <c r="H14" s="32" t="str">
        <f t="shared" si="3"/>
        <v/>
      </c>
      <c r="I14" s="73" t="str">
        <f t="shared" si="3"/>
        <v/>
      </c>
      <c r="J14" s="73" t="str">
        <f t="shared" si="3"/>
        <v/>
      </c>
      <c r="K14" s="73" t="str">
        <f t="shared" si="0"/>
        <v/>
      </c>
      <c r="L14" s="73" t="str">
        <f t="shared" si="0"/>
        <v/>
      </c>
      <c r="M14" s="73" t="str">
        <f t="shared" si="0"/>
        <v/>
      </c>
      <c r="N14" s="73" t="str">
        <f t="shared" si="0"/>
        <v/>
      </c>
      <c r="O14" s="73" t="str">
        <f t="shared" si="0"/>
        <v/>
      </c>
      <c r="P14" s="73" t="str">
        <f t="shared" si="0"/>
        <v/>
      </c>
      <c r="Q14" s="73" t="str">
        <f t="shared" si="0"/>
        <v/>
      </c>
      <c r="R14" s="73" t="str">
        <f t="shared" si="1"/>
        <v/>
      </c>
      <c r="S14" s="73" t="str">
        <f t="shared" si="1"/>
        <v/>
      </c>
      <c r="T14" s="73" t="str">
        <f t="shared" si="1"/>
        <v/>
      </c>
      <c r="U14" s="73" t="str">
        <f t="shared" si="1"/>
        <v/>
      </c>
      <c r="V14" s="73" t="str">
        <f t="shared" si="1"/>
        <v/>
      </c>
      <c r="W14" s="73" t="str">
        <f t="shared" si="1"/>
        <v/>
      </c>
      <c r="X14" s="73" t="str">
        <f t="shared" si="1"/>
        <v/>
      </c>
      <c r="Y14" s="73" t="str">
        <f t="shared" si="1"/>
        <v/>
      </c>
      <c r="Z14" s="73" t="str">
        <f t="shared" si="1"/>
        <v/>
      </c>
      <c r="AA14" s="73" t="str">
        <f t="shared" si="1"/>
        <v/>
      </c>
      <c r="AB14" s="74" t="str">
        <f t="shared" si="1"/>
        <v/>
      </c>
      <c r="AC14" s="35" t="str">
        <f t="shared" si="4"/>
        <v/>
      </c>
      <c r="AD14" s="40" t="str">
        <f t="shared" si="5"/>
        <v/>
      </c>
      <c r="AE14" s="37" t="str">
        <f t="shared" si="6"/>
        <v/>
      </c>
      <c r="AF14" s="40" t="str">
        <f t="shared" si="7"/>
        <v/>
      </c>
      <c r="AG14" s="37" t="str">
        <f t="shared" si="8"/>
        <v/>
      </c>
      <c r="AH14" s="40" t="str">
        <f t="shared" si="9"/>
        <v/>
      </c>
      <c r="AI14" s="37" t="str">
        <f t="shared" si="10"/>
        <v/>
      </c>
      <c r="AJ14" s="40" t="str">
        <f t="shared" si="11"/>
        <v/>
      </c>
      <c r="AK14" s="33" t="str">
        <f>IF(SEM!AK14="","",SEM!AK14)</f>
        <v/>
      </c>
      <c r="AL14" s="6"/>
      <c r="AM14" s="79" t="str">
        <f t="shared" si="12"/>
        <v/>
      </c>
      <c r="AN14" s="12"/>
      <c r="AO14" s="12"/>
      <c r="AP14" s="203" t="s">
        <v>1019</v>
      </c>
      <c r="AQ14" s="45">
        <v>45</v>
      </c>
      <c r="AR14" s="15"/>
      <c r="AU14" s="198"/>
      <c r="AV14" s="198"/>
      <c r="AW14" s="198"/>
      <c r="AX14" s="198"/>
    </row>
    <row r="15" spans="2:50" ht="17.25" customHeight="1" x14ac:dyDescent="0.2">
      <c r="B15" s="6"/>
      <c r="C15" s="49" t="str">
        <f>IF(SEM!C15="","",SEM!C15)</f>
        <v/>
      </c>
      <c r="D15" s="220" t="str">
        <f>IF(C15="","",VLOOKUP(SEM!C15,FROTA!$B$5:$C$305,2,0))</f>
        <v/>
      </c>
      <c r="E15" s="24" t="str">
        <f>IF(C15="","",VLOOKUP(C15,FROTA!$B$5:$N$305,7,0))</f>
        <v/>
      </c>
      <c r="F15" s="38" t="str">
        <f t="shared" si="2"/>
        <v/>
      </c>
      <c r="G15" s="71" t="str">
        <f t="shared" si="13"/>
        <v/>
      </c>
      <c r="H15" s="32" t="str">
        <f t="shared" si="3"/>
        <v/>
      </c>
      <c r="I15" s="73" t="str">
        <f t="shared" si="3"/>
        <v/>
      </c>
      <c r="J15" s="73" t="str">
        <f t="shared" si="3"/>
        <v/>
      </c>
      <c r="K15" s="73" t="str">
        <f t="shared" si="0"/>
        <v/>
      </c>
      <c r="L15" s="73" t="str">
        <f t="shared" si="0"/>
        <v/>
      </c>
      <c r="M15" s="73" t="str">
        <f t="shared" si="0"/>
        <v/>
      </c>
      <c r="N15" s="73" t="str">
        <f t="shared" si="0"/>
        <v/>
      </c>
      <c r="O15" s="73" t="str">
        <f t="shared" si="0"/>
        <v/>
      </c>
      <c r="P15" s="73" t="str">
        <f t="shared" si="0"/>
        <v/>
      </c>
      <c r="Q15" s="73" t="str">
        <f t="shared" si="0"/>
        <v/>
      </c>
      <c r="R15" s="73" t="str">
        <f t="shared" si="1"/>
        <v/>
      </c>
      <c r="S15" s="73" t="str">
        <f t="shared" si="1"/>
        <v/>
      </c>
      <c r="T15" s="73" t="str">
        <f t="shared" si="1"/>
        <v/>
      </c>
      <c r="U15" s="73" t="str">
        <f t="shared" si="1"/>
        <v/>
      </c>
      <c r="V15" s="73" t="str">
        <f t="shared" si="1"/>
        <v/>
      </c>
      <c r="W15" s="73" t="str">
        <f t="shared" si="1"/>
        <v/>
      </c>
      <c r="X15" s="73" t="str">
        <f t="shared" si="1"/>
        <v/>
      </c>
      <c r="Y15" s="73" t="str">
        <f t="shared" si="1"/>
        <v/>
      </c>
      <c r="Z15" s="73" t="str">
        <f t="shared" si="1"/>
        <v/>
      </c>
      <c r="AA15" s="73" t="str">
        <f t="shared" si="1"/>
        <v/>
      </c>
      <c r="AB15" s="74" t="str">
        <f t="shared" si="1"/>
        <v/>
      </c>
      <c r="AC15" s="35" t="str">
        <f t="shared" si="4"/>
        <v/>
      </c>
      <c r="AD15" s="40" t="str">
        <f t="shared" si="5"/>
        <v/>
      </c>
      <c r="AE15" s="37" t="str">
        <f t="shared" si="6"/>
        <v/>
      </c>
      <c r="AF15" s="40" t="str">
        <f t="shared" si="7"/>
        <v/>
      </c>
      <c r="AG15" s="37" t="str">
        <f t="shared" si="8"/>
        <v/>
      </c>
      <c r="AH15" s="40" t="str">
        <f t="shared" si="9"/>
        <v/>
      </c>
      <c r="AI15" s="37" t="str">
        <f t="shared" si="10"/>
        <v/>
      </c>
      <c r="AJ15" s="40" t="str">
        <f t="shared" si="11"/>
        <v/>
      </c>
      <c r="AK15" s="33" t="str">
        <f>IF(SEM!AK15="","",SEM!AK15)</f>
        <v/>
      </c>
      <c r="AL15" s="6"/>
      <c r="AM15" s="79" t="str">
        <f t="shared" si="12"/>
        <v/>
      </c>
      <c r="AN15" s="12"/>
      <c r="AO15" s="12"/>
      <c r="AP15" s="203" t="s">
        <v>402</v>
      </c>
      <c r="AQ15" s="45">
        <v>40</v>
      </c>
      <c r="AR15" s="15"/>
      <c r="AU15" s="198"/>
      <c r="AV15" s="198"/>
      <c r="AW15" s="198"/>
      <c r="AX15" s="198"/>
    </row>
    <row r="16" spans="2:50" ht="17.25" customHeight="1" x14ac:dyDescent="0.2">
      <c r="B16" s="6"/>
      <c r="C16" s="49" t="str">
        <f>IF(SEM!C16="","",SEM!C16)</f>
        <v/>
      </c>
      <c r="D16" s="220" t="str">
        <f>IF(C16="","",VLOOKUP(SEM!C16,FROTA!$B$5:$C$305,2,0))</f>
        <v/>
      </c>
      <c r="E16" s="24" t="str">
        <f>IF(C16="","",VLOOKUP(C16,FROTA!$B$5:$N$305,7,0))</f>
        <v/>
      </c>
      <c r="F16" s="38" t="str">
        <f t="shared" si="2"/>
        <v/>
      </c>
      <c r="G16" s="71" t="str">
        <f t="shared" si="13"/>
        <v/>
      </c>
      <c r="H16" s="32" t="str">
        <f t="shared" si="3"/>
        <v/>
      </c>
      <c r="I16" s="73" t="str">
        <f t="shared" si="3"/>
        <v/>
      </c>
      <c r="J16" s="73" t="str">
        <f t="shared" si="3"/>
        <v/>
      </c>
      <c r="K16" s="73" t="str">
        <f t="shared" si="0"/>
        <v/>
      </c>
      <c r="L16" s="73" t="str">
        <f t="shared" si="0"/>
        <v/>
      </c>
      <c r="M16" s="73" t="str">
        <f t="shared" si="0"/>
        <v/>
      </c>
      <c r="N16" s="73" t="str">
        <f t="shared" si="0"/>
        <v/>
      </c>
      <c r="O16" s="73" t="str">
        <f t="shared" si="0"/>
        <v/>
      </c>
      <c r="P16" s="73" t="str">
        <f t="shared" si="0"/>
        <v/>
      </c>
      <c r="Q16" s="73" t="str">
        <f t="shared" si="0"/>
        <v/>
      </c>
      <c r="R16" s="73" t="str">
        <f t="shared" si="1"/>
        <v/>
      </c>
      <c r="S16" s="73" t="str">
        <f t="shared" si="1"/>
        <v/>
      </c>
      <c r="T16" s="73" t="str">
        <f t="shared" ref="R16:AB39" si="14">IF($C16="","",IF(SUM(T$307*$G16)&gt;$F16,$F16,SUM(T$307*$G16)))</f>
        <v/>
      </c>
      <c r="U16" s="73" t="str">
        <f t="shared" si="14"/>
        <v/>
      </c>
      <c r="V16" s="73" t="str">
        <f t="shared" si="14"/>
        <v/>
      </c>
      <c r="W16" s="73" t="str">
        <f t="shared" si="14"/>
        <v/>
      </c>
      <c r="X16" s="73" t="str">
        <f t="shared" si="14"/>
        <v/>
      </c>
      <c r="Y16" s="73" t="str">
        <f t="shared" si="14"/>
        <v/>
      </c>
      <c r="Z16" s="73" t="str">
        <f t="shared" si="14"/>
        <v/>
      </c>
      <c r="AA16" s="73" t="str">
        <f t="shared" si="14"/>
        <v/>
      </c>
      <c r="AB16" s="74" t="str">
        <f t="shared" si="14"/>
        <v/>
      </c>
      <c r="AC16" s="35" t="str">
        <f t="shared" ref="AC16:AC70" si="15">IF(C16="","",SUM(H16:AB16)*AK16)</f>
        <v/>
      </c>
      <c r="AD16" s="40" t="str">
        <f t="shared" ref="AD16:AD70" si="16">IF(C16="","",SUM(H16:AB16))</f>
        <v/>
      </c>
      <c r="AE16" s="37" t="str">
        <f t="shared" ref="AE16:AE70" si="17">IF(C16="","",SUM(H16:R16)*AK16)</f>
        <v/>
      </c>
      <c r="AF16" s="40" t="str">
        <f t="shared" ref="AF16:AF70" si="18">IF(C16="","",SUM(H16:Q16))</f>
        <v/>
      </c>
      <c r="AG16" s="37" t="str">
        <f t="shared" ref="AG16:AG70" si="19">IF(C16="","",SUM(R16:AB16)*AK16)</f>
        <v/>
      </c>
      <c r="AH16" s="40" t="str">
        <f t="shared" ref="AH16:AH70" si="20">IF(C16="","",SUM(R16:AB16))</f>
        <v/>
      </c>
      <c r="AI16" s="37" t="str">
        <f t="shared" ref="AI16:AI70" si="21">IF(C16="","",SUM(J16:M16,T16:W16)*AK16)</f>
        <v/>
      </c>
      <c r="AJ16" s="40" t="str">
        <f t="shared" ref="AJ16:AJ70" si="22">IF(C16="","",SUM(J16:M16,T16:W16))</f>
        <v/>
      </c>
      <c r="AK16" s="33" t="str">
        <f>IF(SEM!AK16="","",SEM!AK16)</f>
        <v/>
      </c>
      <c r="AL16" s="6"/>
      <c r="AM16" s="79" t="str">
        <f t="shared" si="12"/>
        <v/>
      </c>
      <c r="AN16" s="12"/>
      <c r="AO16" s="12"/>
      <c r="AP16" s="203" t="s">
        <v>1022</v>
      </c>
      <c r="AQ16" s="45">
        <v>45</v>
      </c>
      <c r="AR16" s="15"/>
      <c r="AU16" s="198"/>
      <c r="AV16" s="198"/>
      <c r="AW16" s="198"/>
      <c r="AX16" s="198"/>
    </row>
    <row r="17" spans="2:50" ht="17.25" customHeight="1" x14ac:dyDescent="0.2">
      <c r="B17" s="6"/>
      <c r="C17" s="49" t="str">
        <f>IF(SEM!C17="","",SEM!C17)</f>
        <v/>
      </c>
      <c r="D17" s="220" t="str">
        <f>IF(C17="","",VLOOKUP(SEM!C17,FROTA!$B$5:$C$305,2,0))</f>
        <v/>
      </c>
      <c r="E17" s="24" t="str">
        <f>IF(C17="","",VLOOKUP(C17,FROTA!$B$5:$N$305,7,0))</f>
        <v/>
      </c>
      <c r="F17" s="38" t="str">
        <f t="shared" si="2"/>
        <v/>
      </c>
      <c r="G17" s="71" t="str">
        <f t="shared" si="13"/>
        <v/>
      </c>
      <c r="H17" s="32" t="str">
        <f t="shared" si="3"/>
        <v/>
      </c>
      <c r="I17" s="73" t="str">
        <f t="shared" si="3"/>
        <v/>
      </c>
      <c r="J17" s="73" t="str">
        <f t="shared" si="3"/>
        <v/>
      </c>
      <c r="K17" s="73" t="str">
        <f t="shared" si="0"/>
        <v/>
      </c>
      <c r="L17" s="73" t="str">
        <f t="shared" si="0"/>
        <v/>
      </c>
      <c r="M17" s="73" t="str">
        <f t="shared" si="0"/>
        <v/>
      </c>
      <c r="N17" s="73" t="str">
        <f t="shared" si="0"/>
        <v/>
      </c>
      <c r="O17" s="73" t="str">
        <f t="shared" si="0"/>
        <v/>
      </c>
      <c r="P17" s="73" t="str">
        <f t="shared" si="0"/>
        <v/>
      </c>
      <c r="Q17" s="73" t="str">
        <f t="shared" si="0"/>
        <v/>
      </c>
      <c r="R17" s="73" t="str">
        <f t="shared" si="14"/>
        <v/>
      </c>
      <c r="S17" s="73" t="str">
        <f t="shared" si="14"/>
        <v/>
      </c>
      <c r="T17" s="73" t="str">
        <f t="shared" si="14"/>
        <v/>
      </c>
      <c r="U17" s="73" t="str">
        <f t="shared" si="14"/>
        <v/>
      </c>
      <c r="V17" s="73" t="str">
        <f t="shared" si="14"/>
        <v/>
      </c>
      <c r="W17" s="73" t="str">
        <f t="shared" si="14"/>
        <v/>
      </c>
      <c r="X17" s="73" t="str">
        <f t="shared" si="14"/>
        <v/>
      </c>
      <c r="Y17" s="73" t="str">
        <f t="shared" si="14"/>
        <v/>
      </c>
      <c r="Z17" s="73" t="str">
        <f t="shared" si="14"/>
        <v/>
      </c>
      <c r="AA17" s="73" t="str">
        <f t="shared" si="14"/>
        <v/>
      </c>
      <c r="AB17" s="74" t="str">
        <f t="shared" si="14"/>
        <v/>
      </c>
      <c r="AC17" s="35" t="str">
        <f t="shared" si="15"/>
        <v/>
      </c>
      <c r="AD17" s="40" t="str">
        <f t="shared" si="16"/>
        <v/>
      </c>
      <c r="AE17" s="37" t="str">
        <f t="shared" si="17"/>
        <v/>
      </c>
      <c r="AF17" s="40" t="str">
        <f t="shared" si="18"/>
        <v/>
      </c>
      <c r="AG17" s="37" t="str">
        <f t="shared" si="19"/>
        <v/>
      </c>
      <c r="AH17" s="40" t="str">
        <f t="shared" si="20"/>
        <v/>
      </c>
      <c r="AI17" s="37" t="str">
        <f t="shared" si="21"/>
        <v/>
      </c>
      <c r="AJ17" s="40" t="str">
        <f t="shared" si="22"/>
        <v/>
      </c>
      <c r="AK17" s="33" t="str">
        <f>IF(SEM!AK17="","",SEM!AK17)</f>
        <v/>
      </c>
      <c r="AL17" s="6"/>
      <c r="AM17" s="79" t="str">
        <f t="shared" si="12"/>
        <v/>
      </c>
      <c r="AN17" s="12"/>
      <c r="AO17" s="12"/>
      <c r="AP17" s="203" t="s">
        <v>1020</v>
      </c>
      <c r="AQ17" s="45">
        <v>45</v>
      </c>
      <c r="AR17" s="15"/>
      <c r="AU17" s="198"/>
      <c r="AV17" s="198"/>
      <c r="AW17" s="198"/>
      <c r="AX17" s="198"/>
    </row>
    <row r="18" spans="2:50" ht="17.25" customHeight="1" x14ac:dyDescent="0.2">
      <c r="B18" s="6"/>
      <c r="C18" s="49" t="str">
        <f>IF(SEM!C18="","",SEM!C18)</f>
        <v/>
      </c>
      <c r="D18" s="220" t="str">
        <f>IF(C18="","",VLOOKUP(SEM!C18,FROTA!$B$5:$C$305,2,0))</f>
        <v/>
      </c>
      <c r="E18" s="24" t="str">
        <f>IF(C18="","",VLOOKUP(C18,FROTA!$B$5:$N$305,7,0))</f>
        <v/>
      </c>
      <c r="F18" s="38" t="str">
        <f t="shared" si="2"/>
        <v/>
      </c>
      <c r="G18" s="71" t="str">
        <f t="shared" si="13"/>
        <v/>
      </c>
      <c r="H18" s="32" t="str">
        <f t="shared" si="3"/>
        <v/>
      </c>
      <c r="I18" s="73" t="str">
        <f t="shared" si="3"/>
        <v/>
      </c>
      <c r="J18" s="73" t="str">
        <f t="shared" si="3"/>
        <v/>
      </c>
      <c r="K18" s="73" t="str">
        <f t="shared" si="0"/>
        <v/>
      </c>
      <c r="L18" s="73" t="str">
        <f t="shared" si="0"/>
        <v/>
      </c>
      <c r="M18" s="73" t="str">
        <f t="shared" si="0"/>
        <v/>
      </c>
      <c r="N18" s="73" t="str">
        <f t="shared" si="0"/>
        <v/>
      </c>
      <c r="O18" s="73" t="str">
        <f t="shared" si="0"/>
        <v/>
      </c>
      <c r="P18" s="73" t="str">
        <f t="shared" si="0"/>
        <v/>
      </c>
      <c r="Q18" s="73" t="str">
        <f t="shared" si="0"/>
        <v/>
      </c>
      <c r="R18" s="73" t="str">
        <f t="shared" si="14"/>
        <v/>
      </c>
      <c r="S18" s="73" t="str">
        <f t="shared" si="14"/>
        <v/>
      </c>
      <c r="T18" s="73" t="str">
        <f t="shared" si="14"/>
        <v/>
      </c>
      <c r="U18" s="73" t="str">
        <f t="shared" si="14"/>
        <v/>
      </c>
      <c r="V18" s="73" t="str">
        <f t="shared" si="14"/>
        <v/>
      </c>
      <c r="W18" s="73" t="str">
        <f t="shared" si="14"/>
        <v/>
      </c>
      <c r="X18" s="73" t="str">
        <f t="shared" si="14"/>
        <v/>
      </c>
      <c r="Y18" s="73" t="str">
        <f t="shared" si="14"/>
        <v/>
      </c>
      <c r="Z18" s="73" t="str">
        <f t="shared" si="14"/>
        <v/>
      </c>
      <c r="AA18" s="73" t="str">
        <f t="shared" si="14"/>
        <v/>
      </c>
      <c r="AB18" s="74" t="str">
        <f t="shared" si="14"/>
        <v/>
      </c>
      <c r="AC18" s="35" t="str">
        <f t="shared" si="15"/>
        <v/>
      </c>
      <c r="AD18" s="40" t="str">
        <f t="shared" si="16"/>
        <v/>
      </c>
      <c r="AE18" s="37" t="str">
        <f t="shared" si="17"/>
        <v/>
      </c>
      <c r="AF18" s="40" t="str">
        <f t="shared" si="18"/>
        <v/>
      </c>
      <c r="AG18" s="37" t="str">
        <f t="shared" si="19"/>
        <v/>
      </c>
      <c r="AH18" s="40" t="str">
        <f t="shared" si="20"/>
        <v/>
      </c>
      <c r="AI18" s="37" t="str">
        <f t="shared" si="21"/>
        <v/>
      </c>
      <c r="AJ18" s="40" t="str">
        <f t="shared" si="22"/>
        <v/>
      </c>
      <c r="AK18" s="33" t="str">
        <f>IF(SEM!AK18="","",SEM!AK18)</f>
        <v/>
      </c>
      <c r="AL18" s="6"/>
      <c r="AM18" s="79" t="str">
        <f t="shared" si="12"/>
        <v/>
      </c>
      <c r="AN18" s="12"/>
      <c r="AO18" s="12"/>
      <c r="AP18" s="203" t="s">
        <v>1021</v>
      </c>
      <c r="AQ18" s="45">
        <v>45</v>
      </c>
      <c r="AR18" s="15"/>
      <c r="AU18" s="198"/>
      <c r="AV18" s="198"/>
      <c r="AW18" s="198"/>
      <c r="AX18" s="198"/>
    </row>
    <row r="19" spans="2:50" ht="17.25" customHeight="1" x14ac:dyDescent="0.2">
      <c r="B19" s="6"/>
      <c r="C19" s="49" t="str">
        <f>IF(SEM!C19="","",SEM!C19)</f>
        <v/>
      </c>
      <c r="D19" s="220" t="str">
        <f>IF(C19="","",VLOOKUP(SEM!C19,FROTA!$B$5:$C$305,2,0))</f>
        <v/>
      </c>
      <c r="E19" s="24" t="str">
        <f>IF(C19="","",VLOOKUP(C19,FROTA!$B$5:$N$305,7,0))</f>
        <v/>
      </c>
      <c r="F19" s="38" t="str">
        <f t="shared" si="2"/>
        <v/>
      </c>
      <c r="G19" s="71" t="str">
        <f t="shared" si="13"/>
        <v/>
      </c>
      <c r="H19" s="32" t="str">
        <f t="shared" si="3"/>
        <v/>
      </c>
      <c r="I19" s="73" t="str">
        <f t="shared" si="3"/>
        <v/>
      </c>
      <c r="J19" s="73" t="str">
        <f t="shared" si="3"/>
        <v/>
      </c>
      <c r="K19" s="73" t="str">
        <f t="shared" si="0"/>
        <v/>
      </c>
      <c r="L19" s="73" t="str">
        <f t="shared" si="0"/>
        <v/>
      </c>
      <c r="M19" s="73" t="str">
        <f t="shared" si="0"/>
        <v/>
      </c>
      <c r="N19" s="73" t="str">
        <f t="shared" si="0"/>
        <v/>
      </c>
      <c r="O19" s="73" t="str">
        <f t="shared" si="0"/>
        <v/>
      </c>
      <c r="P19" s="73" t="str">
        <f t="shared" si="0"/>
        <v/>
      </c>
      <c r="Q19" s="73" t="str">
        <f t="shared" si="0"/>
        <v/>
      </c>
      <c r="R19" s="73" t="str">
        <f t="shared" si="14"/>
        <v/>
      </c>
      <c r="S19" s="73" t="str">
        <f t="shared" si="14"/>
        <v/>
      </c>
      <c r="T19" s="73" t="str">
        <f t="shared" si="14"/>
        <v/>
      </c>
      <c r="U19" s="73" t="str">
        <f t="shared" si="14"/>
        <v/>
      </c>
      <c r="V19" s="73" t="str">
        <f t="shared" si="14"/>
        <v/>
      </c>
      <c r="W19" s="73" t="str">
        <f t="shared" si="14"/>
        <v/>
      </c>
      <c r="X19" s="73" t="str">
        <f t="shared" si="14"/>
        <v/>
      </c>
      <c r="Y19" s="73" t="str">
        <f t="shared" si="14"/>
        <v/>
      </c>
      <c r="Z19" s="73" t="str">
        <f t="shared" si="14"/>
        <v/>
      </c>
      <c r="AA19" s="73" t="str">
        <f t="shared" si="14"/>
        <v/>
      </c>
      <c r="AB19" s="74" t="str">
        <f t="shared" si="14"/>
        <v/>
      </c>
      <c r="AC19" s="35" t="str">
        <f t="shared" si="15"/>
        <v/>
      </c>
      <c r="AD19" s="40" t="str">
        <f t="shared" si="16"/>
        <v/>
      </c>
      <c r="AE19" s="37" t="str">
        <f t="shared" si="17"/>
        <v/>
      </c>
      <c r="AF19" s="40" t="str">
        <f t="shared" si="18"/>
        <v/>
      </c>
      <c r="AG19" s="37" t="str">
        <f t="shared" si="19"/>
        <v/>
      </c>
      <c r="AH19" s="40" t="str">
        <f t="shared" si="20"/>
        <v/>
      </c>
      <c r="AI19" s="37" t="str">
        <f t="shared" si="21"/>
        <v/>
      </c>
      <c r="AJ19" s="40" t="str">
        <f t="shared" si="22"/>
        <v/>
      </c>
      <c r="AK19" s="33" t="str">
        <f>IF(SEM!AK19="","",SEM!AK19)</f>
        <v/>
      </c>
      <c r="AL19" s="6"/>
      <c r="AM19" s="79" t="str">
        <f t="shared" si="12"/>
        <v/>
      </c>
      <c r="AN19" s="12"/>
      <c r="AO19" s="12"/>
      <c r="AP19" s="14"/>
      <c r="AQ19" s="16"/>
      <c r="AR19" s="15"/>
      <c r="AU19" s="198"/>
      <c r="AV19" s="198"/>
      <c r="AW19" s="198"/>
      <c r="AX19" s="198"/>
    </row>
    <row r="20" spans="2:50" ht="17.25" customHeight="1" x14ac:dyDescent="0.2">
      <c r="B20" s="6"/>
      <c r="C20" s="49" t="str">
        <f>IF(SEM!C20="","",SEM!C20)</f>
        <v/>
      </c>
      <c r="D20" s="220" t="str">
        <f>IF(C20="","",VLOOKUP(SEM!C20,FROTA!$B$5:$C$305,2,0))</f>
        <v/>
      </c>
      <c r="E20" s="24" t="str">
        <f>IF(C20="","",VLOOKUP(C20,FROTA!$B$5:$N$305,7,0))</f>
        <v/>
      </c>
      <c r="F20" s="38" t="str">
        <f t="shared" si="2"/>
        <v/>
      </c>
      <c r="G20" s="71" t="str">
        <f t="shared" si="13"/>
        <v/>
      </c>
      <c r="H20" s="32" t="str">
        <f t="shared" si="3"/>
        <v/>
      </c>
      <c r="I20" s="73" t="str">
        <f t="shared" si="3"/>
        <v/>
      </c>
      <c r="J20" s="73" t="str">
        <f t="shared" si="3"/>
        <v/>
      </c>
      <c r="K20" s="73" t="str">
        <f t="shared" si="0"/>
        <v/>
      </c>
      <c r="L20" s="73" t="str">
        <f t="shared" si="0"/>
        <v/>
      </c>
      <c r="M20" s="73" t="str">
        <f t="shared" si="0"/>
        <v/>
      </c>
      <c r="N20" s="73" t="str">
        <f t="shared" si="0"/>
        <v/>
      </c>
      <c r="O20" s="73" t="str">
        <f t="shared" si="0"/>
        <v/>
      </c>
      <c r="P20" s="73" t="str">
        <f t="shared" si="0"/>
        <v/>
      </c>
      <c r="Q20" s="73" t="str">
        <f t="shared" si="0"/>
        <v/>
      </c>
      <c r="R20" s="73" t="str">
        <f t="shared" si="14"/>
        <v/>
      </c>
      <c r="S20" s="73" t="str">
        <f t="shared" si="14"/>
        <v/>
      </c>
      <c r="T20" s="73" t="str">
        <f t="shared" si="14"/>
        <v/>
      </c>
      <c r="U20" s="73" t="str">
        <f t="shared" si="14"/>
        <v/>
      </c>
      <c r="V20" s="73" t="str">
        <f t="shared" si="14"/>
        <v/>
      </c>
      <c r="W20" s="73" t="str">
        <f t="shared" si="14"/>
        <v/>
      </c>
      <c r="X20" s="73" t="str">
        <f t="shared" si="14"/>
        <v/>
      </c>
      <c r="Y20" s="73" t="str">
        <f t="shared" si="14"/>
        <v/>
      </c>
      <c r="Z20" s="73" t="str">
        <f t="shared" si="14"/>
        <v/>
      </c>
      <c r="AA20" s="73" t="str">
        <f t="shared" si="14"/>
        <v/>
      </c>
      <c r="AB20" s="74" t="str">
        <f t="shared" si="14"/>
        <v/>
      </c>
      <c r="AC20" s="35" t="str">
        <f t="shared" si="15"/>
        <v/>
      </c>
      <c r="AD20" s="40" t="str">
        <f t="shared" si="16"/>
        <v/>
      </c>
      <c r="AE20" s="37" t="str">
        <f t="shared" si="17"/>
        <v/>
      </c>
      <c r="AF20" s="40" t="str">
        <f t="shared" si="18"/>
        <v/>
      </c>
      <c r="AG20" s="37" t="str">
        <f t="shared" si="19"/>
        <v/>
      </c>
      <c r="AH20" s="40" t="str">
        <f t="shared" si="20"/>
        <v/>
      </c>
      <c r="AI20" s="37" t="str">
        <f t="shared" si="21"/>
        <v/>
      </c>
      <c r="AJ20" s="40" t="str">
        <f t="shared" si="22"/>
        <v/>
      </c>
      <c r="AK20" s="33" t="str">
        <f>IF(SEM!AK20="","",SEM!AK20)</f>
        <v/>
      </c>
      <c r="AL20" s="6"/>
      <c r="AM20" s="79" t="str">
        <f t="shared" si="12"/>
        <v/>
      </c>
      <c r="AN20" s="12"/>
      <c r="AO20" s="12"/>
      <c r="AP20" s="14"/>
      <c r="AQ20" s="16"/>
      <c r="AR20" s="15"/>
      <c r="AU20" s="198"/>
      <c r="AV20" s="198"/>
      <c r="AW20" s="198"/>
      <c r="AX20" s="198"/>
    </row>
    <row r="21" spans="2:50" ht="17.25" customHeight="1" x14ac:dyDescent="0.2">
      <c r="B21" s="6"/>
      <c r="C21" s="49" t="str">
        <f>IF(SEM!C21="","",SEM!C21)</f>
        <v/>
      </c>
      <c r="D21" s="220" t="str">
        <f>IF(C21="","",VLOOKUP(SEM!C21,FROTA!$B$5:$C$305,2,0))</f>
        <v/>
      </c>
      <c r="E21" s="24" t="str">
        <f>IF(C21="","",VLOOKUP(C21,FROTA!$B$5:$N$305,7,0))</f>
        <v/>
      </c>
      <c r="F21" s="38" t="str">
        <f t="shared" si="2"/>
        <v/>
      </c>
      <c r="G21" s="71" t="str">
        <f t="shared" si="13"/>
        <v/>
      </c>
      <c r="H21" s="32" t="str">
        <f t="shared" si="3"/>
        <v/>
      </c>
      <c r="I21" s="73" t="str">
        <f t="shared" si="3"/>
        <v/>
      </c>
      <c r="J21" s="73" t="str">
        <f t="shared" si="3"/>
        <v/>
      </c>
      <c r="K21" s="73" t="str">
        <f t="shared" si="0"/>
        <v/>
      </c>
      <c r="L21" s="73" t="str">
        <f t="shared" si="0"/>
        <v/>
      </c>
      <c r="M21" s="73" t="str">
        <f t="shared" si="0"/>
        <v/>
      </c>
      <c r="N21" s="73" t="str">
        <f t="shared" si="0"/>
        <v/>
      </c>
      <c r="O21" s="73" t="str">
        <f t="shared" si="0"/>
        <v/>
      </c>
      <c r="P21" s="73" t="str">
        <f t="shared" si="0"/>
        <v/>
      </c>
      <c r="Q21" s="73" t="str">
        <f t="shared" si="0"/>
        <v/>
      </c>
      <c r="R21" s="73" t="str">
        <f t="shared" si="14"/>
        <v/>
      </c>
      <c r="S21" s="73" t="str">
        <f t="shared" si="14"/>
        <v/>
      </c>
      <c r="T21" s="73" t="str">
        <f t="shared" si="14"/>
        <v/>
      </c>
      <c r="U21" s="73" t="str">
        <f t="shared" si="14"/>
        <v/>
      </c>
      <c r="V21" s="73" t="str">
        <f t="shared" si="14"/>
        <v/>
      </c>
      <c r="W21" s="73" t="str">
        <f t="shared" si="14"/>
        <v/>
      </c>
      <c r="X21" s="73" t="str">
        <f t="shared" si="14"/>
        <v/>
      </c>
      <c r="Y21" s="73" t="str">
        <f t="shared" si="14"/>
        <v/>
      </c>
      <c r="Z21" s="73" t="str">
        <f t="shared" si="14"/>
        <v/>
      </c>
      <c r="AA21" s="73" t="str">
        <f t="shared" si="14"/>
        <v/>
      </c>
      <c r="AB21" s="74" t="str">
        <f t="shared" si="14"/>
        <v/>
      </c>
      <c r="AC21" s="35" t="str">
        <f t="shared" si="15"/>
        <v/>
      </c>
      <c r="AD21" s="40" t="str">
        <f t="shared" si="16"/>
        <v/>
      </c>
      <c r="AE21" s="37" t="str">
        <f t="shared" si="17"/>
        <v/>
      </c>
      <c r="AF21" s="40" t="str">
        <f t="shared" si="18"/>
        <v/>
      </c>
      <c r="AG21" s="37" t="str">
        <f t="shared" si="19"/>
        <v/>
      </c>
      <c r="AH21" s="40" t="str">
        <f t="shared" si="20"/>
        <v/>
      </c>
      <c r="AI21" s="37" t="str">
        <f t="shared" si="21"/>
        <v/>
      </c>
      <c r="AJ21" s="40" t="str">
        <f t="shared" si="22"/>
        <v/>
      </c>
      <c r="AK21" s="33" t="str">
        <f>IF(SEM!AK21="","",SEM!AK21)</f>
        <v/>
      </c>
      <c r="AL21" s="6"/>
      <c r="AM21" s="79" t="str">
        <f t="shared" si="12"/>
        <v/>
      </c>
      <c r="AN21" s="12"/>
      <c r="AO21" s="12"/>
      <c r="AP21" s="14"/>
      <c r="AQ21" s="16"/>
      <c r="AR21" s="15"/>
      <c r="AU21" s="198"/>
      <c r="AV21" s="198"/>
      <c r="AW21" s="198"/>
      <c r="AX21" s="198"/>
    </row>
    <row r="22" spans="2:50" ht="17.25" customHeight="1" x14ac:dyDescent="0.2">
      <c r="B22" s="6"/>
      <c r="C22" s="49" t="str">
        <f>IF(SEM!C22="","",SEM!C22)</f>
        <v/>
      </c>
      <c r="D22" s="220" t="str">
        <f>IF(C22="","",VLOOKUP(SEM!C22,FROTA!$B$5:$C$305,2,0))</f>
        <v/>
      </c>
      <c r="E22" s="24" t="str">
        <f>IF(C22="","",VLOOKUP(C22,FROTA!$B$5:$N$305,7,0))</f>
        <v/>
      </c>
      <c r="F22" s="38" t="str">
        <f t="shared" si="2"/>
        <v/>
      </c>
      <c r="G22" s="71" t="str">
        <f t="shared" si="13"/>
        <v/>
      </c>
      <c r="H22" s="32" t="str">
        <f t="shared" si="3"/>
        <v/>
      </c>
      <c r="I22" s="73" t="str">
        <f t="shared" si="3"/>
        <v/>
      </c>
      <c r="J22" s="73" t="str">
        <f t="shared" si="3"/>
        <v/>
      </c>
      <c r="K22" s="73" t="str">
        <f t="shared" ref="K22:Q58" si="23">IF($C22="","",IF(SUM(K$307*$G22)&gt;$F22,$F22,SUM(K$307*$G22)))</f>
        <v/>
      </c>
      <c r="L22" s="73" t="str">
        <f t="shared" si="23"/>
        <v/>
      </c>
      <c r="M22" s="73" t="str">
        <f t="shared" si="23"/>
        <v/>
      </c>
      <c r="N22" s="73" t="str">
        <f t="shared" si="23"/>
        <v/>
      </c>
      <c r="O22" s="73" t="str">
        <f t="shared" si="23"/>
        <v/>
      </c>
      <c r="P22" s="73" t="str">
        <f t="shared" si="23"/>
        <v/>
      </c>
      <c r="Q22" s="73" t="str">
        <f t="shared" si="23"/>
        <v/>
      </c>
      <c r="R22" s="73" t="str">
        <f t="shared" si="14"/>
        <v/>
      </c>
      <c r="S22" s="73" t="str">
        <f t="shared" si="14"/>
        <v/>
      </c>
      <c r="T22" s="73" t="str">
        <f t="shared" si="14"/>
        <v/>
      </c>
      <c r="U22" s="73" t="str">
        <f t="shared" si="14"/>
        <v/>
      </c>
      <c r="V22" s="73" t="str">
        <f t="shared" si="14"/>
        <v/>
      </c>
      <c r="W22" s="73" t="str">
        <f t="shared" si="14"/>
        <v/>
      </c>
      <c r="X22" s="73" t="str">
        <f t="shared" si="14"/>
        <v/>
      </c>
      <c r="Y22" s="73" t="str">
        <f t="shared" si="14"/>
        <v/>
      </c>
      <c r="Z22" s="73" t="str">
        <f t="shared" si="14"/>
        <v/>
      </c>
      <c r="AA22" s="73" t="str">
        <f t="shared" si="14"/>
        <v/>
      </c>
      <c r="AB22" s="74" t="str">
        <f t="shared" si="14"/>
        <v/>
      </c>
      <c r="AC22" s="35" t="str">
        <f t="shared" si="15"/>
        <v/>
      </c>
      <c r="AD22" s="40" t="str">
        <f t="shared" si="16"/>
        <v/>
      </c>
      <c r="AE22" s="37" t="str">
        <f t="shared" si="17"/>
        <v/>
      </c>
      <c r="AF22" s="40" t="str">
        <f t="shared" si="18"/>
        <v/>
      </c>
      <c r="AG22" s="37" t="str">
        <f t="shared" si="19"/>
        <v/>
      </c>
      <c r="AH22" s="40" t="str">
        <f t="shared" si="20"/>
        <v/>
      </c>
      <c r="AI22" s="37" t="str">
        <f t="shared" si="21"/>
        <v/>
      </c>
      <c r="AJ22" s="40" t="str">
        <f t="shared" si="22"/>
        <v/>
      </c>
      <c r="AK22" s="33" t="str">
        <f>IF(SEM!AK22="","",SEM!AK22)</f>
        <v/>
      </c>
      <c r="AL22" s="6"/>
      <c r="AM22" s="79" t="str">
        <f t="shared" si="12"/>
        <v/>
      </c>
      <c r="AN22" s="12"/>
      <c r="AO22" s="12"/>
      <c r="AP22" s="14"/>
      <c r="AQ22" s="16"/>
      <c r="AR22" s="15"/>
      <c r="AU22" s="198"/>
      <c r="AV22" s="198"/>
      <c r="AW22" s="198"/>
      <c r="AX22" s="198"/>
    </row>
    <row r="23" spans="2:50" ht="17.25" customHeight="1" x14ac:dyDescent="0.2">
      <c r="B23" s="6"/>
      <c r="C23" s="49" t="str">
        <f>IF(SEM!C23="","",SEM!C23)</f>
        <v/>
      </c>
      <c r="D23" s="220" t="str">
        <f>IF(C23="","",VLOOKUP(SEM!C23,FROTA!$B$5:$C$305,2,0))</f>
        <v/>
      </c>
      <c r="E23" s="24" t="str">
        <f>IF(C23="","",VLOOKUP(C23,FROTA!$B$5:$N$305,7,0))</f>
        <v/>
      </c>
      <c r="F23" s="38" t="str">
        <f t="shared" si="2"/>
        <v/>
      </c>
      <c r="G23" s="71" t="str">
        <f t="shared" si="13"/>
        <v/>
      </c>
      <c r="H23" s="32" t="str">
        <f t="shared" ref="H23:J86" si="24">IF($C23="","",IF(SUM(H$307*$G23)&gt;$F23,$F23,SUM(H$307*$G23)))</f>
        <v/>
      </c>
      <c r="I23" s="73" t="str">
        <f t="shared" si="24"/>
        <v/>
      </c>
      <c r="J23" s="73" t="str">
        <f t="shared" si="24"/>
        <v/>
      </c>
      <c r="K23" s="73" t="str">
        <f t="shared" si="23"/>
        <v/>
      </c>
      <c r="L23" s="73" t="str">
        <f t="shared" si="23"/>
        <v/>
      </c>
      <c r="M23" s="73" t="str">
        <f t="shared" si="23"/>
        <v/>
      </c>
      <c r="N23" s="73" t="str">
        <f t="shared" si="23"/>
        <v/>
      </c>
      <c r="O23" s="73" t="str">
        <f t="shared" si="23"/>
        <v/>
      </c>
      <c r="P23" s="73" t="str">
        <f t="shared" si="23"/>
        <v/>
      </c>
      <c r="Q23" s="73" t="str">
        <f t="shared" si="23"/>
        <v/>
      </c>
      <c r="R23" s="73" t="str">
        <f t="shared" si="14"/>
        <v/>
      </c>
      <c r="S23" s="73" t="str">
        <f t="shared" si="14"/>
        <v/>
      </c>
      <c r="T23" s="73" t="str">
        <f t="shared" si="14"/>
        <v/>
      </c>
      <c r="U23" s="73" t="str">
        <f t="shared" si="14"/>
        <v/>
      </c>
      <c r="V23" s="73" t="str">
        <f t="shared" si="14"/>
        <v/>
      </c>
      <c r="W23" s="73" t="str">
        <f t="shared" si="14"/>
        <v/>
      </c>
      <c r="X23" s="73" t="str">
        <f t="shared" si="14"/>
        <v/>
      </c>
      <c r="Y23" s="73" t="str">
        <f t="shared" si="14"/>
        <v/>
      </c>
      <c r="Z23" s="73" t="str">
        <f t="shared" si="14"/>
        <v/>
      </c>
      <c r="AA23" s="73" t="str">
        <f t="shared" si="14"/>
        <v/>
      </c>
      <c r="AB23" s="74" t="str">
        <f t="shared" si="14"/>
        <v/>
      </c>
      <c r="AC23" s="35" t="str">
        <f t="shared" si="15"/>
        <v/>
      </c>
      <c r="AD23" s="40" t="str">
        <f t="shared" si="16"/>
        <v/>
      </c>
      <c r="AE23" s="37" t="str">
        <f t="shared" si="17"/>
        <v/>
      </c>
      <c r="AF23" s="40" t="str">
        <f t="shared" si="18"/>
        <v/>
      </c>
      <c r="AG23" s="37" t="str">
        <f t="shared" si="19"/>
        <v/>
      </c>
      <c r="AH23" s="40" t="str">
        <f t="shared" si="20"/>
        <v/>
      </c>
      <c r="AI23" s="37" t="str">
        <f t="shared" si="21"/>
        <v/>
      </c>
      <c r="AJ23" s="40" t="str">
        <f t="shared" si="22"/>
        <v/>
      </c>
      <c r="AK23" s="33" t="str">
        <f>IF(SEM!AK23="","",SEM!AK23)</f>
        <v/>
      </c>
      <c r="AL23" s="6"/>
      <c r="AM23" s="79" t="str">
        <f t="shared" si="12"/>
        <v/>
      </c>
      <c r="AN23" s="12"/>
      <c r="AO23" s="12"/>
      <c r="AP23" s="14"/>
      <c r="AQ23" s="16"/>
      <c r="AR23" s="15"/>
      <c r="AU23" s="198"/>
      <c r="AV23" s="198"/>
      <c r="AW23" s="198"/>
      <c r="AX23" s="198"/>
    </row>
    <row r="24" spans="2:50" ht="17.25" customHeight="1" x14ac:dyDescent="0.2">
      <c r="B24" s="6"/>
      <c r="C24" s="49" t="str">
        <f>IF(SEM!C24="","",SEM!C24)</f>
        <v/>
      </c>
      <c r="D24" s="220" t="str">
        <f>IF(C24="","",VLOOKUP(SEM!C24,FROTA!$B$5:$C$305,2,0))</f>
        <v/>
      </c>
      <c r="E24" s="24" t="str">
        <f>IF(C24="","",VLOOKUP(C24,FROTA!$B$5:$N$305,7,0))</f>
        <v/>
      </c>
      <c r="F24" s="38" t="str">
        <f t="shared" si="2"/>
        <v/>
      </c>
      <c r="G24" s="71" t="str">
        <f t="shared" si="13"/>
        <v/>
      </c>
      <c r="H24" s="32" t="str">
        <f t="shared" si="24"/>
        <v/>
      </c>
      <c r="I24" s="73" t="str">
        <f t="shared" si="24"/>
        <v/>
      </c>
      <c r="J24" s="73" t="str">
        <f t="shared" si="24"/>
        <v/>
      </c>
      <c r="K24" s="73" t="str">
        <f t="shared" si="23"/>
        <v/>
      </c>
      <c r="L24" s="73" t="str">
        <f t="shared" si="23"/>
        <v/>
      </c>
      <c r="M24" s="73" t="str">
        <f t="shared" si="23"/>
        <v/>
      </c>
      <c r="N24" s="73" t="str">
        <f t="shared" si="23"/>
        <v/>
      </c>
      <c r="O24" s="73" t="str">
        <f t="shared" si="23"/>
        <v/>
      </c>
      <c r="P24" s="73" t="str">
        <f t="shared" si="23"/>
        <v/>
      </c>
      <c r="Q24" s="73" t="str">
        <f t="shared" si="23"/>
        <v/>
      </c>
      <c r="R24" s="73" t="str">
        <f t="shared" si="14"/>
        <v/>
      </c>
      <c r="S24" s="73" t="str">
        <f t="shared" si="14"/>
        <v/>
      </c>
      <c r="T24" s="73" t="str">
        <f t="shared" si="14"/>
        <v/>
      </c>
      <c r="U24" s="73" t="str">
        <f t="shared" si="14"/>
        <v/>
      </c>
      <c r="V24" s="73" t="str">
        <f t="shared" si="14"/>
        <v/>
      </c>
      <c r="W24" s="73" t="str">
        <f t="shared" si="14"/>
        <v/>
      </c>
      <c r="X24" s="73" t="str">
        <f t="shared" si="14"/>
        <v/>
      </c>
      <c r="Y24" s="73" t="str">
        <f t="shared" si="14"/>
        <v/>
      </c>
      <c r="Z24" s="73" t="str">
        <f t="shared" si="14"/>
        <v/>
      </c>
      <c r="AA24" s="73" t="str">
        <f t="shared" si="14"/>
        <v/>
      </c>
      <c r="AB24" s="74" t="str">
        <f t="shared" si="14"/>
        <v/>
      </c>
      <c r="AC24" s="35" t="str">
        <f t="shared" si="15"/>
        <v/>
      </c>
      <c r="AD24" s="40" t="str">
        <f t="shared" si="16"/>
        <v/>
      </c>
      <c r="AE24" s="37" t="str">
        <f t="shared" si="17"/>
        <v/>
      </c>
      <c r="AF24" s="40" t="str">
        <f t="shared" si="18"/>
        <v/>
      </c>
      <c r="AG24" s="37" t="str">
        <f t="shared" si="19"/>
        <v/>
      </c>
      <c r="AH24" s="40" t="str">
        <f t="shared" si="20"/>
        <v/>
      </c>
      <c r="AI24" s="37" t="str">
        <f t="shared" si="21"/>
        <v/>
      </c>
      <c r="AJ24" s="40" t="str">
        <f t="shared" si="22"/>
        <v/>
      </c>
      <c r="AK24" s="33" t="str">
        <f>IF(SEM!AK24="","",SEM!AK24)</f>
        <v/>
      </c>
      <c r="AL24" s="6"/>
      <c r="AM24" s="79" t="str">
        <f t="shared" si="12"/>
        <v/>
      </c>
      <c r="AN24" s="12"/>
      <c r="AO24" s="12"/>
      <c r="AP24" s="14"/>
      <c r="AQ24" s="16"/>
      <c r="AR24" s="15"/>
      <c r="AU24" s="198"/>
      <c r="AV24" s="198"/>
      <c r="AW24" s="198"/>
      <c r="AX24" s="198"/>
    </row>
    <row r="25" spans="2:50" ht="17.25" customHeight="1" x14ac:dyDescent="0.2">
      <c r="B25" s="6"/>
      <c r="C25" s="49" t="str">
        <f>IF(SEM!C25="","",SEM!C25)</f>
        <v/>
      </c>
      <c r="D25" s="220" t="str">
        <f>IF(C25="","",VLOOKUP(SEM!C25,FROTA!$B$5:$C$305,2,0))</f>
        <v/>
      </c>
      <c r="E25" s="24" t="str">
        <f>IF(C25="","",VLOOKUP(C25,FROTA!$B$5:$N$305,7,0))</f>
        <v/>
      </c>
      <c r="F25" s="38" t="str">
        <f t="shared" si="2"/>
        <v/>
      </c>
      <c r="G25" s="71" t="str">
        <f t="shared" si="13"/>
        <v/>
      </c>
      <c r="H25" s="32" t="str">
        <f t="shared" si="24"/>
        <v/>
      </c>
      <c r="I25" s="73" t="str">
        <f t="shared" si="24"/>
        <v/>
      </c>
      <c r="J25" s="73" t="str">
        <f t="shared" si="24"/>
        <v/>
      </c>
      <c r="K25" s="73" t="str">
        <f t="shared" si="23"/>
        <v/>
      </c>
      <c r="L25" s="73" t="str">
        <f t="shared" si="23"/>
        <v/>
      </c>
      <c r="M25" s="73" t="str">
        <f t="shared" si="23"/>
        <v/>
      </c>
      <c r="N25" s="73" t="str">
        <f t="shared" si="23"/>
        <v/>
      </c>
      <c r="O25" s="73" t="str">
        <f t="shared" si="23"/>
        <v/>
      </c>
      <c r="P25" s="73" t="str">
        <f t="shared" si="23"/>
        <v/>
      </c>
      <c r="Q25" s="73" t="str">
        <f t="shared" si="23"/>
        <v/>
      </c>
      <c r="R25" s="73" t="str">
        <f t="shared" si="14"/>
        <v/>
      </c>
      <c r="S25" s="73" t="str">
        <f t="shared" si="14"/>
        <v/>
      </c>
      <c r="T25" s="73" t="str">
        <f t="shared" si="14"/>
        <v/>
      </c>
      <c r="U25" s="73" t="str">
        <f t="shared" si="14"/>
        <v/>
      </c>
      <c r="V25" s="73" t="str">
        <f t="shared" si="14"/>
        <v/>
      </c>
      <c r="W25" s="73" t="str">
        <f t="shared" si="14"/>
        <v/>
      </c>
      <c r="X25" s="73" t="str">
        <f t="shared" si="14"/>
        <v/>
      </c>
      <c r="Y25" s="73" t="str">
        <f t="shared" si="14"/>
        <v/>
      </c>
      <c r="Z25" s="73" t="str">
        <f t="shared" si="14"/>
        <v/>
      </c>
      <c r="AA25" s="73" t="str">
        <f t="shared" si="14"/>
        <v/>
      </c>
      <c r="AB25" s="74" t="str">
        <f t="shared" si="14"/>
        <v/>
      </c>
      <c r="AC25" s="35" t="str">
        <f t="shared" si="15"/>
        <v/>
      </c>
      <c r="AD25" s="40" t="str">
        <f t="shared" si="16"/>
        <v/>
      </c>
      <c r="AE25" s="37" t="str">
        <f t="shared" si="17"/>
        <v/>
      </c>
      <c r="AF25" s="40" t="str">
        <f t="shared" si="18"/>
        <v/>
      </c>
      <c r="AG25" s="37" t="str">
        <f t="shared" si="19"/>
        <v/>
      </c>
      <c r="AH25" s="40" t="str">
        <f t="shared" si="20"/>
        <v/>
      </c>
      <c r="AI25" s="37" t="str">
        <f t="shared" si="21"/>
        <v/>
      </c>
      <c r="AJ25" s="40" t="str">
        <f t="shared" si="22"/>
        <v/>
      </c>
      <c r="AK25" s="33" t="str">
        <f>IF(SEM!AK25="","",SEM!AK25)</f>
        <v/>
      </c>
      <c r="AL25" s="6"/>
      <c r="AM25" s="79" t="str">
        <f t="shared" si="12"/>
        <v/>
      </c>
      <c r="AN25" s="12"/>
      <c r="AO25" s="12"/>
      <c r="AP25" s="14"/>
      <c r="AQ25" s="16"/>
      <c r="AR25" s="15"/>
      <c r="AU25" s="198"/>
      <c r="AV25" s="198"/>
      <c r="AW25" s="198"/>
      <c r="AX25" s="198"/>
    </row>
    <row r="26" spans="2:50" ht="17.25" customHeight="1" x14ac:dyDescent="0.2">
      <c r="B26" s="6"/>
      <c r="C26" s="49" t="str">
        <f>IF(SEM!C26="","",SEM!C26)</f>
        <v/>
      </c>
      <c r="D26" s="220" t="str">
        <f>IF(C26="","",VLOOKUP(SEM!C26,FROTA!$B$5:$C$305,2,0))</f>
        <v/>
      </c>
      <c r="E26" s="24" t="str">
        <f>IF(C26="","",VLOOKUP(C26,FROTA!$B$5:$N$305,7,0))</f>
        <v/>
      </c>
      <c r="F26" s="38" t="str">
        <f t="shared" si="2"/>
        <v/>
      </c>
      <c r="G26" s="71" t="str">
        <f t="shared" si="13"/>
        <v/>
      </c>
      <c r="H26" s="32" t="str">
        <f t="shared" si="24"/>
        <v/>
      </c>
      <c r="I26" s="73" t="str">
        <f t="shared" si="24"/>
        <v/>
      </c>
      <c r="J26" s="73" t="str">
        <f t="shared" si="24"/>
        <v/>
      </c>
      <c r="K26" s="73" t="str">
        <f t="shared" si="23"/>
        <v/>
      </c>
      <c r="L26" s="73" t="str">
        <f t="shared" si="23"/>
        <v/>
      </c>
      <c r="M26" s="73" t="str">
        <f t="shared" si="23"/>
        <v/>
      </c>
      <c r="N26" s="73" t="str">
        <f t="shared" si="23"/>
        <v/>
      </c>
      <c r="O26" s="73" t="str">
        <f t="shared" si="23"/>
        <v/>
      </c>
      <c r="P26" s="73" t="str">
        <f t="shared" si="23"/>
        <v/>
      </c>
      <c r="Q26" s="73" t="str">
        <f t="shared" si="23"/>
        <v/>
      </c>
      <c r="R26" s="73" t="str">
        <f t="shared" si="14"/>
        <v/>
      </c>
      <c r="S26" s="73" t="str">
        <f t="shared" si="14"/>
        <v/>
      </c>
      <c r="T26" s="73" t="str">
        <f t="shared" si="14"/>
        <v/>
      </c>
      <c r="U26" s="73" t="str">
        <f t="shared" si="14"/>
        <v/>
      </c>
      <c r="V26" s="73" t="str">
        <f t="shared" si="14"/>
        <v/>
      </c>
      <c r="W26" s="73" t="str">
        <f t="shared" si="14"/>
        <v/>
      </c>
      <c r="X26" s="73" t="str">
        <f t="shared" si="14"/>
        <v/>
      </c>
      <c r="Y26" s="73" t="str">
        <f t="shared" si="14"/>
        <v/>
      </c>
      <c r="Z26" s="73" t="str">
        <f t="shared" si="14"/>
        <v/>
      </c>
      <c r="AA26" s="73" t="str">
        <f t="shared" si="14"/>
        <v/>
      </c>
      <c r="AB26" s="74" t="str">
        <f t="shared" si="14"/>
        <v/>
      </c>
      <c r="AC26" s="35" t="str">
        <f t="shared" si="15"/>
        <v/>
      </c>
      <c r="AD26" s="40" t="str">
        <f t="shared" si="16"/>
        <v/>
      </c>
      <c r="AE26" s="37" t="str">
        <f t="shared" si="17"/>
        <v/>
      </c>
      <c r="AF26" s="40" t="str">
        <f t="shared" si="18"/>
        <v/>
      </c>
      <c r="AG26" s="37" t="str">
        <f t="shared" si="19"/>
        <v/>
      </c>
      <c r="AH26" s="40" t="str">
        <f t="shared" si="20"/>
        <v/>
      </c>
      <c r="AI26" s="37" t="str">
        <f t="shared" si="21"/>
        <v/>
      </c>
      <c r="AJ26" s="40" t="str">
        <f t="shared" si="22"/>
        <v/>
      </c>
      <c r="AK26" s="33" t="str">
        <f>IF(SEM!AK26="","",SEM!AK26)</f>
        <v/>
      </c>
      <c r="AL26" s="6"/>
      <c r="AM26" s="79" t="str">
        <f t="shared" si="12"/>
        <v/>
      </c>
      <c r="AN26" s="12"/>
      <c r="AO26" s="12"/>
      <c r="AP26" s="14"/>
      <c r="AQ26" s="16"/>
      <c r="AR26" s="15"/>
      <c r="AU26" s="198"/>
      <c r="AV26" s="198"/>
      <c r="AW26" s="198"/>
      <c r="AX26" s="198"/>
    </row>
    <row r="27" spans="2:50" ht="17.25" customHeight="1" x14ac:dyDescent="0.2">
      <c r="B27" s="6"/>
      <c r="C27" s="49" t="str">
        <f>IF(SEM!C27="","",SEM!C27)</f>
        <v/>
      </c>
      <c r="D27" s="220" t="str">
        <f>IF(C27="","",VLOOKUP(SEM!C27,FROTA!$B$5:$C$305,2,0))</f>
        <v/>
      </c>
      <c r="E27" s="24" t="str">
        <f>IF(C27="","",VLOOKUP(C27,FROTA!$B$5:$N$305,7,0))</f>
        <v/>
      </c>
      <c r="F27" s="38" t="str">
        <f t="shared" si="2"/>
        <v/>
      </c>
      <c r="G27" s="71" t="str">
        <f t="shared" si="13"/>
        <v/>
      </c>
      <c r="H27" s="32" t="str">
        <f t="shared" si="24"/>
        <v/>
      </c>
      <c r="I27" s="73" t="str">
        <f t="shared" si="24"/>
        <v/>
      </c>
      <c r="J27" s="73" t="str">
        <f t="shared" si="24"/>
        <v/>
      </c>
      <c r="K27" s="73" t="str">
        <f t="shared" si="23"/>
        <v/>
      </c>
      <c r="L27" s="73" t="str">
        <f t="shared" si="23"/>
        <v/>
      </c>
      <c r="M27" s="73" t="str">
        <f t="shared" si="23"/>
        <v/>
      </c>
      <c r="N27" s="73" t="str">
        <f t="shared" si="23"/>
        <v/>
      </c>
      <c r="O27" s="73" t="str">
        <f t="shared" si="23"/>
        <v/>
      </c>
      <c r="P27" s="73" t="str">
        <f t="shared" si="23"/>
        <v/>
      </c>
      <c r="Q27" s="73" t="str">
        <f t="shared" si="23"/>
        <v/>
      </c>
      <c r="R27" s="73" t="str">
        <f t="shared" si="14"/>
        <v/>
      </c>
      <c r="S27" s="73" t="str">
        <f t="shared" si="14"/>
        <v/>
      </c>
      <c r="T27" s="73" t="str">
        <f t="shared" si="14"/>
        <v/>
      </c>
      <c r="U27" s="73" t="str">
        <f t="shared" si="14"/>
        <v/>
      </c>
      <c r="V27" s="73" t="str">
        <f t="shared" si="14"/>
        <v/>
      </c>
      <c r="W27" s="73" t="str">
        <f t="shared" si="14"/>
        <v/>
      </c>
      <c r="X27" s="73" t="str">
        <f t="shared" si="14"/>
        <v/>
      </c>
      <c r="Y27" s="73" t="str">
        <f t="shared" si="14"/>
        <v/>
      </c>
      <c r="Z27" s="73" t="str">
        <f t="shared" si="14"/>
        <v/>
      </c>
      <c r="AA27" s="73" t="str">
        <f t="shared" si="14"/>
        <v/>
      </c>
      <c r="AB27" s="74" t="str">
        <f t="shared" si="14"/>
        <v/>
      </c>
      <c r="AC27" s="35" t="str">
        <f t="shared" si="15"/>
        <v/>
      </c>
      <c r="AD27" s="40" t="str">
        <f t="shared" si="16"/>
        <v/>
      </c>
      <c r="AE27" s="37" t="str">
        <f t="shared" si="17"/>
        <v/>
      </c>
      <c r="AF27" s="40" t="str">
        <f t="shared" si="18"/>
        <v/>
      </c>
      <c r="AG27" s="37" t="str">
        <f t="shared" si="19"/>
        <v/>
      </c>
      <c r="AH27" s="40" t="str">
        <f t="shared" si="20"/>
        <v/>
      </c>
      <c r="AI27" s="37" t="str">
        <f t="shared" si="21"/>
        <v/>
      </c>
      <c r="AJ27" s="40" t="str">
        <f t="shared" si="22"/>
        <v/>
      </c>
      <c r="AK27" s="33" t="str">
        <f>IF(SEM!AK27="","",SEM!AK27)</f>
        <v/>
      </c>
      <c r="AL27" s="6"/>
      <c r="AM27" s="79" t="str">
        <f t="shared" si="12"/>
        <v/>
      </c>
      <c r="AN27" s="12"/>
      <c r="AO27" s="12"/>
      <c r="AP27" s="14"/>
      <c r="AQ27" s="16"/>
      <c r="AR27" s="15"/>
      <c r="AU27" s="198"/>
      <c r="AV27" s="198"/>
      <c r="AW27" s="198"/>
      <c r="AX27" s="198"/>
    </row>
    <row r="28" spans="2:50" ht="17.25" customHeight="1" x14ac:dyDescent="0.2">
      <c r="B28" s="6"/>
      <c r="C28" s="49" t="str">
        <f>IF(SEM!C28="","",SEM!C28)</f>
        <v/>
      </c>
      <c r="D28" s="220" t="str">
        <f>IF(C28="","",VLOOKUP(SEM!C28,FROTA!$B$5:$C$305,2,0))</f>
        <v/>
      </c>
      <c r="E28" s="24" t="str">
        <f>IF(C28="","",VLOOKUP(C28,FROTA!$B$5:$N$305,7,0))</f>
        <v/>
      </c>
      <c r="F28" s="38" t="str">
        <f t="shared" si="2"/>
        <v/>
      </c>
      <c r="G28" s="71" t="str">
        <f t="shared" si="13"/>
        <v/>
      </c>
      <c r="H28" s="32" t="str">
        <f t="shared" si="24"/>
        <v/>
      </c>
      <c r="I28" s="73" t="str">
        <f t="shared" si="24"/>
        <v/>
      </c>
      <c r="J28" s="73" t="str">
        <f t="shared" si="24"/>
        <v/>
      </c>
      <c r="K28" s="73" t="str">
        <f t="shared" si="23"/>
        <v/>
      </c>
      <c r="L28" s="73" t="str">
        <f t="shared" si="23"/>
        <v/>
      </c>
      <c r="M28" s="73" t="str">
        <f t="shared" si="23"/>
        <v/>
      </c>
      <c r="N28" s="73" t="str">
        <f t="shared" si="23"/>
        <v/>
      </c>
      <c r="O28" s="73" t="str">
        <f t="shared" si="23"/>
        <v/>
      </c>
      <c r="P28" s="73" t="str">
        <f t="shared" si="23"/>
        <v/>
      </c>
      <c r="Q28" s="73" t="str">
        <f t="shared" si="23"/>
        <v/>
      </c>
      <c r="R28" s="73" t="str">
        <f t="shared" si="14"/>
        <v/>
      </c>
      <c r="S28" s="73" t="str">
        <f t="shared" si="14"/>
        <v/>
      </c>
      <c r="T28" s="73" t="str">
        <f t="shared" si="14"/>
        <v/>
      </c>
      <c r="U28" s="73" t="str">
        <f t="shared" si="14"/>
        <v/>
      </c>
      <c r="V28" s="73" t="str">
        <f t="shared" si="14"/>
        <v/>
      </c>
      <c r="W28" s="73" t="str">
        <f t="shared" si="14"/>
        <v/>
      </c>
      <c r="X28" s="73" t="str">
        <f t="shared" si="14"/>
        <v/>
      </c>
      <c r="Y28" s="73" t="str">
        <f t="shared" si="14"/>
        <v/>
      </c>
      <c r="Z28" s="73" t="str">
        <f t="shared" si="14"/>
        <v/>
      </c>
      <c r="AA28" s="73" t="str">
        <f t="shared" si="14"/>
        <v/>
      </c>
      <c r="AB28" s="74" t="str">
        <f t="shared" si="14"/>
        <v/>
      </c>
      <c r="AC28" s="35" t="str">
        <f t="shared" si="15"/>
        <v/>
      </c>
      <c r="AD28" s="40" t="str">
        <f t="shared" si="16"/>
        <v/>
      </c>
      <c r="AE28" s="37" t="str">
        <f t="shared" si="17"/>
        <v/>
      </c>
      <c r="AF28" s="40" t="str">
        <f t="shared" si="18"/>
        <v/>
      </c>
      <c r="AG28" s="37" t="str">
        <f t="shared" si="19"/>
        <v/>
      </c>
      <c r="AH28" s="40" t="str">
        <f t="shared" si="20"/>
        <v/>
      </c>
      <c r="AI28" s="37" t="str">
        <f t="shared" si="21"/>
        <v/>
      </c>
      <c r="AJ28" s="40" t="str">
        <f t="shared" si="22"/>
        <v/>
      </c>
      <c r="AK28" s="33" t="str">
        <f>IF(SEM!AK28="","",SEM!AK28)</f>
        <v/>
      </c>
      <c r="AL28" s="6"/>
      <c r="AM28" s="79" t="str">
        <f t="shared" si="12"/>
        <v/>
      </c>
      <c r="AN28" s="12"/>
      <c r="AO28" s="12"/>
      <c r="AP28" s="14"/>
      <c r="AQ28" s="16"/>
      <c r="AR28" s="15"/>
      <c r="AU28" s="198"/>
      <c r="AV28" s="198"/>
      <c r="AW28" s="198"/>
      <c r="AX28" s="198"/>
    </row>
    <row r="29" spans="2:50" ht="17.25" customHeight="1" x14ac:dyDescent="0.2">
      <c r="B29" s="6"/>
      <c r="C29" s="49" t="str">
        <f>IF(SEM!C29="","",SEM!C29)</f>
        <v/>
      </c>
      <c r="D29" s="220" t="str">
        <f>IF(C29="","",VLOOKUP(SEM!C29,FROTA!$B$5:$C$305,2,0))</f>
        <v/>
      </c>
      <c r="E29" s="24" t="str">
        <f>IF(C29="","",VLOOKUP(C29,FROTA!$B$5:$N$305,7,0))</f>
        <v/>
      </c>
      <c r="F29" s="38" t="str">
        <f t="shared" si="2"/>
        <v/>
      </c>
      <c r="G29" s="71" t="str">
        <f t="shared" si="13"/>
        <v/>
      </c>
      <c r="H29" s="32" t="str">
        <f t="shared" si="24"/>
        <v/>
      </c>
      <c r="I29" s="73" t="str">
        <f t="shared" si="24"/>
        <v/>
      </c>
      <c r="J29" s="73" t="str">
        <f t="shared" si="24"/>
        <v/>
      </c>
      <c r="K29" s="73" t="str">
        <f t="shared" si="23"/>
        <v/>
      </c>
      <c r="L29" s="73" t="str">
        <f t="shared" si="23"/>
        <v/>
      </c>
      <c r="M29" s="73" t="str">
        <f t="shared" si="23"/>
        <v/>
      </c>
      <c r="N29" s="73" t="str">
        <f t="shared" si="23"/>
        <v/>
      </c>
      <c r="O29" s="73" t="str">
        <f t="shared" si="23"/>
        <v/>
      </c>
      <c r="P29" s="73" t="str">
        <f t="shared" si="23"/>
        <v/>
      </c>
      <c r="Q29" s="73" t="str">
        <f t="shared" si="23"/>
        <v/>
      </c>
      <c r="R29" s="73" t="str">
        <f t="shared" si="14"/>
        <v/>
      </c>
      <c r="S29" s="73" t="str">
        <f t="shared" si="14"/>
        <v/>
      </c>
      <c r="T29" s="73" t="str">
        <f t="shared" si="14"/>
        <v/>
      </c>
      <c r="U29" s="73" t="str">
        <f t="shared" si="14"/>
        <v/>
      </c>
      <c r="V29" s="73" t="str">
        <f t="shared" si="14"/>
        <v/>
      </c>
      <c r="W29" s="73" t="str">
        <f t="shared" si="14"/>
        <v/>
      </c>
      <c r="X29" s="73" t="str">
        <f t="shared" si="14"/>
        <v/>
      </c>
      <c r="Y29" s="73" t="str">
        <f t="shared" si="14"/>
        <v/>
      </c>
      <c r="Z29" s="73" t="str">
        <f t="shared" si="14"/>
        <v/>
      </c>
      <c r="AA29" s="73" t="str">
        <f t="shared" si="14"/>
        <v/>
      </c>
      <c r="AB29" s="74" t="str">
        <f t="shared" si="14"/>
        <v/>
      </c>
      <c r="AC29" s="35" t="str">
        <f t="shared" si="15"/>
        <v/>
      </c>
      <c r="AD29" s="40" t="str">
        <f t="shared" si="16"/>
        <v/>
      </c>
      <c r="AE29" s="37" t="str">
        <f t="shared" si="17"/>
        <v/>
      </c>
      <c r="AF29" s="40" t="str">
        <f t="shared" si="18"/>
        <v/>
      </c>
      <c r="AG29" s="37" t="str">
        <f t="shared" si="19"/>
        <v/>
      </c>
      <c r="AH29" s="40" t="str">
        <f t="shared" si="20"/>
        <v/>
      </c>
      <c r="AI29" s="37" t="str">
        <f t="shared" si="21"/>
        <v/>
      </c>
      <c r="AJ29" s="40" t="str">
        <f t="shared" si="22"/>
        <v/>
      </c>
      <c r="AK29" s="33" t="str">
        <f>IF(SEM!AK29="","",SEM!AK29)</f>
        <v/>
      </c>
      <c r="AL29" s="6"/>
      <c r="AM29" s="79" t="str">
        <f t="shared" si="12"/>
        <v/>
      </c>
      <c r="AN29" s="12"/>
      <c r="AO29" s="12"/>
      <c r="AP29" s="14"/>
      <c r="AQ29" s="16"/>
      <c r="AR29" s="15"/>
      <c r="AU29" s="198"/>
      <c r="AV29" s="198"/>
      <c r="AW29" s="198"/>
      <c r="AX29" s="198"/>
    </row>
    <row r="30" spans="2:50" ht="17.25" customHeight="1" x14ac:dyDescent="0.2">
      <c r="B30" s="6"/>
      <c r="C30" s="49" t="str">
        <f>IF(SEM!C30="","",SEM!C30)</f>
        <v/>
      </c>
      <c r="D30" s="220" t="str">
        <f>IF(C30="","",VLOOKUP(SEM!C30,FROTA!$B$5:$C$305,2,0))</f>
        <v/>
      </c>
      <c r="E30" s="24" t="str">
        <f>IF(C30="","",VLOOKUP(C30,FROTA!$B$5:$N$305,7,0))</f>
        <v/>
      </c>
      <c r="F30" s="38" t="str">
        <f t="shared" si="2"/>
        <v/>
      </c>
      <c r="G30" s="71" t="str">
        <f t="shared" si="13"/>
        <v/>
      </c>
      <c r="H30" s="32" t="str">
        <f t="shared" si="24"/>
        <v/>
      </c>
      <c r="I30" s="73" t="str">
        <f t="shared" si="24"/>
        <v/>
      </c>
      <c r="J30" s="73" t="str">
        <f t="shared" si="24"/>
        <v/>
      </c>
      <c r="K30" s="73" t="str">
        <f t="shared" si="23"/>
        <v/>
      </c>
      <c r="L30" s="73" t="str">
        <f t="shared" si="23"/>
        <v/>
      </c>
      <c r="M30" s="73" t="str">
        <f t="shared" si="23"/>
        <v/>
      </c>
      <c r="N30" s="73" t="str">
        <f t="shared" si="23"/>
        <v/>
      </c>
      <c r="O30" s="73" t="str">
        <f t="shared" si="23"/>
        <v/>
      </c>
      <c r="P30" s="73" t="str">
        <f t="shared" si="23"/>
        <v/>
      </c>
      <c r="Q30" s="73" t="str">
        <f t="shared" si="23"/>
        <v/>
      </c>
      <c r="R30" s="73" t="str">
        <f t="shared" si="14"/>
        <v/>
      </c>
      <c r="S30" s="73" t="str">
        <f t="shared" si="14"/>
        <v/>
      </c>
      <c r="T30" s="73" t="str">
        <f t="shared" si="14"/>
        <v/>
      </c>
      <c r="U30" s="73" t="str">
        <f t="shared" si="14"/>
        <v/>
      </c>
      <c r="V30" s="73" t="str">
        <f t="shared" si="14"/>
        <v/>
      </c>
      <c r="W30" s="73" t="str">
        <f t="shared" si="14"/>
        <v/>
      </c>
      <c r="X30" s="73" t="str">
        <f t="shared" si="14"/>
        <v/>
      </c>
      <c r="Y30" s="73" t="str">
        <f t="shared" si="14"/>
        <v/>
      </c>
      <c r="Z30" s="73" t="str">
        <f t="shared" si="14"/>
        <v/>
      </c>
      <c r="AA30" s="73" t="str">
        <f t="shared" si="14"/>
        <v/>
      </c>
      <c r="AB30" s="74" t="str">
        <f t="shared" si="14"/>
        <v/>
      </c>
      <c r="AC30" s="35" t="str">
        <f t="shared" si="15"/>
        <v/>
      </c>
      <c r="AD30" s="40" t="str">
        <f t="shared" si="16"/>
        <v/>
      </c>
      <c r="AE30" s="37" t="str">
        <f t="shared" si="17"/>
        <v/>
      </c>
      <c r="AF30" s="40" t="str">
        <f t="shared" si="18"/>
        <v/>
      </c>
      <c r="AG30" s="37" t="str">
        <f t="shared" si="19"/>
        <v/>
      </c>
      <c r="AH30" s="40" t="str">
        <f t="shared" si="20"/>
        <v/>
      </c>
      <c r="AI30" s="37" t="str">
        <f t="shared" si="21"/>
        <v/>
      </c>
      <c r="AJ30" s="40" t="str">
        <f t="shared" si="22"/>
        <v/>
      </c>
      <c r="AK30" s="33" t="str">
        <f>IF(SEM!AK30="","",SEM!AK30)</f>
        <v/>
      </c>
      <c r="AL30" s="6"/>
      <c r="AM30" s="79" t="str">
        <f t="shared" si="12"/>
        <v/>
      </c>
      <c r="AN30" s="12"/>
      <c r="AO30" s="12"/>
      <c r="AP30" s="14"/>
      <c r="AQ30" s="16"/>
      <c r="AR30" s="15"/>
      <c r="AU30" s="198"/>
      <c r="AV30" s="198"/>
      <c r="AW30" s="198"/>
      <c r="AX30" s="198"/>
    </row>
    <row r="31" spans="2:50" ht="17.25" customHeight="1" x14ac:dyDescent="0.2">
      <c r="B31" s="6"/>
      <c r="C31" s="49" t="str">
        <f>IF(SEM!C31="","",SEM!C31)</f>
        <v/>
      </c>
      <c r="D31" s="220" t="str">
        <f>IF(C31="","",VLOOKUP(SEM!C31,FROTA!$B$5:$C$305,2,0))</f>
        <v/>
      </c>
      <c r="E31" s="24" t="str">
        <f>IF(C31="","",VLOOKUP(C31,FROTA!$B$5:$N$305,7,0))</f>
        <v/>
      </c>
      <c r="F31" s="38" t="str">
        <f t="shared" si="2"/>
        <v/>
      </c>
      <c r="G31" s="71" t="str">
        <f t="shared" si="13"/>
        <v/>
      </c>
      <c r="H31" s="32" t="str">
        <f t="shared" si="24"/>
        <v/>
      </c>
      <c r="I31" s="73" t="str">
        <f t="shared" si="24"/>
        <v/>
      </c>
      <c r="J31" s="73" t="str">
        <f t="shared" si="24"/>
        <v/>
      </c>
      <c r="K31" s="73" t="str">
        <f t="shared" si="23"/>
        <v/>
      </c>
      <c r="L31" s="73" t="str">
        <f t="shared" si="23"/>
        <v/>
      </c>
      <c r="M31" s="73" t="str">
        <f t="shared" si="23"/>
        <v/>
      </c>
      <c r="N31" s="73" t="str">
        <f t="shared" si="23"/>
        <v/>
      </c>
      <c r="O31" s="73" t="str">
        <f t="shared" si="23"/>
        <v/>
      </c>
      <c r="P31" s="73" t="str">
        <f t="shared" si="23"/>
        <v/>
      </c>
      <c r="Q31" s="73" t="str">
        <f t="shared" si="23"/>
        <v/>
      </c>
      <c r="R31" s="73" t="str">
        <f t="shared" si="14"/>
        <v/>
      </c>
      <c r="S31" s="73" t="str">
        <f t="shared" si="14"/>
        <v/>
      </c>
      <c r="T31" s="73" t="str">
        <f t="shared" si="14"/>
        <v/>
      </c>
      <c r="U31" s="73" t="str">
        <f t="shared" si="14"/>
        <v/>
      </c>
      <c r="V31" s="73" t="str">
        <f t="shared" si="14"/>
        <v/>
      </c>
      <c r="W31" s="73" t="str">
        <f t="shared" si="14"/>
        <v/>
      </c>
      <c r="X31" s="73" t="str">
        <f t="shared" si="14"/>
        <v/>
      </c>
      <c r="Y31" s="73" t="str">
        <f t="shared" si="14"/>
        <v/>
      </c>
      <c r="Z31" s="73" t="str">
        <f t="shared" si="14"/>
        <v/>
      </c>
      <c r="AA31" s="73" t="str">
        <f t="shared" si="14"/>
        <v/>
      </c>
      <c r="AB31" s="74" t="str">
        <f t="shared" si="14"/>
        <v/>
      </c>
      <c r="AC31" s="35" t="str">
        <f t="shared" si="15"/>
        <v/>
      </c>
      <c r="AD31" s="40" t="str">
        <f t="shared" si="16"/>
        <v/>
      </c>
      <c r="AE31" s="37" t="str">
        <f t="shared" si="17"/>
        <v/>
      </c>
      <c r="AF31" s="40" t="str">
        <f t="shared" si="18"/>
        <v/>
      </c>
      <c r="AG31" s="37" t="str">
        <f t="shared" si="19"/>
        <v/>
      </c>
      <c r="AH31" s="40" t="str">
        <f t="shared" si="20"/>
        <v/>
      </c>
      <c r="AI31" s="37" t="str">
        <f t="shared" si="21"/>
        <v/>
      </c>
      <c r="AJ31" s="40" t="str">
        <f t="shared" si="22"/>
        <v/>
      </c>
      <c r="AK31" s="33" t="str">
        <f>IF(SEM!AK31="","",SEM!AK31)</f>
        <v/>
      </c>
      <c r="AL31" s="6"/>
      <c r="AM31" s="79" t="str">
        <f t="shared" si="12"/>
        <v/>
      </c>
      <c r="AN31" s="12"/>
      <c r="AO31" s="12"/>
      <c r="AP31" s="14"/>
      <c r="AQ31" s="16"/>
      <c r="AR31" s="15"/>
      <c r="AU31" s="198"/>
      <c r="AV31" s="198"/>
      <c r="AW31" s="198"/>
      <c r="AX31" s="198"/>
    </row>
    <row r="32" spans="2:50" ht="17.25" customHeight="1" x14ac:dyDescent="0.2">
      <c r="B32" s="6"/>
      <c r="C32" s="49" t="str">
        <f>IF(SEM!C32="","",SEM!C32)</f>
        <v/>
      </c>
      <c r="D32" s="220" t="str">
        <f>IF(C32="","",VLOOKUP(SEM!C32,FROTA!$B$5:$C$305,2,0))</f>
        <v/>
      </c>
      <c r="E32" s="24" t="str">
        <f>IF(C32="","",VLOOKUP(C32,FROTA!$B$5:$N$305,7,0))</f>
        <v/>
      </c>
      <c r="F32" s="38" t="str">
        <f t="shared" si="2"/>
        <v/>
      </c>
      <c r="G32" s="71" t="str">
        <f t="shared" si="13"/>
        <v/>
      </c>
      <c r="H32" s="32" t="str">
        <f t="shared" si="24"/>
        <v/>
      </c>
      <c r="I32" s="73" t="str">
        <f t="shared" si="24"/>
        <v/>
      </c>
      <c r="J32" s="73" t="str">
        <f t="shared" si="24"/>
        <v/>
      </c>
      <c r="K32" s="73" t="str">
        <f t="shared" si="23"/>
        <v/>
      </c>
      <c r="L32" s="73" t="str">
        <f t="shared" si="23"/>
        <v/>
      </c>
      <c r="M32" s="73" t="str">
        <f t="shared" si="23"/>
        <v/>
      </c>
      <c r="N32" s="73" t="str">
        <f t="shared" si="23"/>
        <v/>
      </c>
      <c r="O32" s="73" t="str">
        <f t="shared" si="23"/>
        <v/>
      </c>
      <c r="P32" s="73" t="str">
        <f t="shared" si="23"/>
        <v/>
      </c>
      <c r="Q32" s="73" t="str">
        <f t="shared" si="23"/>
        <v/>
      </c>
      <c r="R32" s="73" t="str">
        <f t="shared" si="14"/>
        <v/>
      </c>
      <c r="S32" s="73" t="str">
        <f t="shared" si="14"/>
        <v/>
      </c>
      <c r="T32" s="73" t="str">
        <f t="shared" si="14"/>
        <v/>
      </c>
      <c r="U32" s="73" t="str">
        <f t="shared" si="14"/>
        <v/>
      </c>
      <c r="V32" s="73" t="str">
        <f t="shared" si="14"/>
        <v/>
      </c>
      <c r="W32" s="73" t="str">
        <f t="shared" si="14"/>
        <v/>
      </c>
      <c r="X32" s="73" t="str">
        <f t="shared" si="14"/>
        <v/>
      </c>
      <c r="Y32" s="73" t="str">
        <f t="shared" si="14"/>
        <v/>
      </c>
      <c r="Z32" s="73" t="str">
        <f t="shared" si="14"/>
        <v/>
      </c>
      <c r="AA32" s="73" t="str">
        <f t="shared" si="14"/>
        <v/>
      </c>
      <c r="AB32" s="74" t="str">
        <f t="shared" si="14"/>
        <v/>
      </c>
      <c r="AC32" s="35" t="str">
        <f t="shared" si="15"/>
        <v/>
      </c>
      <c r="AD32" s="40" t="str">
        <f t="shared" si="16"/>
        <v/>
      </c>
      <c r="AE32" s="37" t="str">
        <f t="shared" si="17"/>
        <v/>
      </c>
      <c r="AF32" s="40" t="str">
        <f t="shared" si="18"/>
        <v/>
      </c>
      <c r="AG32" s="37" t="str">
        <f t="shared" si="19"/>
        <v/>
      </c>
      <c r="AH32" s="40" t="str">
        <f t="shared" si="20"/>
        <v/>
      </c>
      <c r="AI32" s="37" t="str">
        <f t="shared" si="21"/>
        <v/>
      </c>
      <c r="AJ32" s="40" t="str">
        <f t="shared" si="22"/>
        <v/>
      </c>
      <c r="AK32" s="33" t="str">
        <f>IF(SEM!AK32="","",SEM!AK32)</f>
        <v/>
      </c>
      <c r="AL32" s="6"/>
      <c r="AM32" s="79" t="str">
        <f t="shared" si="12"/>
        <v/>
      </c>
      <c r="AN32" s="12"/>
      <c r="AO32" s="12"/>
      <c r="AP32" s="14"/>
      <c r="AQ32" s="16"/>
      <c r="AR32" s="15"/>
      <c r="AU32" s="198"/>
      <c r="AV32" s="198"/>
      <c r="AW32" s="198"/>
      <c r="AX32" s="198"/>
    </row>
    <row r="33" spans="2:50" ht="17.25" customHeight="1" x14ac:dyDescent="0.2">
      <c r="B33" s="6"/>
      <c r="C33" s="49" t="str">
        <f>IF(SEM!C33="","",SEM!C33)</f>
        <v/>
      </c>
      <c r="D33" s="220" t="str">
        <f>IF(C33="","",VLOOKUP(SEM!C33,FROTA!$B$5:$C$305,2,0))</f>
        <v/>
      </c>
      <c r="E33" s="24" t="str">
        <f>IF(C33="","",VLOOKUP(C33,FROTA!$B$5:$N$305,7,0))</f>
        <v/>
      </c>
      <c r="F33" s="38" t="str">
        <f t="shared" si="2"/>
        <v/>
      </c>
      <c r="G33" s="71" t="str">
        <f t="shared" si="13"/>
        <v/>
      </c>
      <c r="H33" s="32" t="str">
        <f t="shared" si="24"/>
        <v/>
      </c>
      <c r="I33" s="73" t="str">
        <f t="shared" si="24"/>
        <v/>
      </c>
      <c r="J33" s="73" t="str">
        <f t="shared" si="24"/>
        <v/>
      </c>
      <c r="K33" s="73" t="str">
        <f t="shared" si="23"/>
        <v/>
      </c>
      <c r="L33" s="73" t="str">
        <f t="shared" si="23"/>
        <v/>
      </c>
      <c r="M33" s="73" t="str">
        <f t="shared" si="23"/>
        <v/>
      </c>
      <c r="N33" s="73" t="str">
        <f t="shared" si="23"/>
        <v/>
      </c>
      <c r="O33" s="73" t="str">
        <f t="shared" si="23"/>
        <v/>
      </c>
      <c r="P33" s="73" t="str">
        <f t="shared" si="23"/>
        <v/>
      </c>
      <c r="Q33" s="73" t="str">
        <f t="shared" si="23"/>
        <v/>
      </c>
      <c r="R33" s="73" t="str">
        <f t="shared" si="14"/>
        <v/>
      </c>
      <c r="S33" s="73" t="str">
        <f t="shared" si="14"/>
        <v/>
      </c>
      <c r="T33" s="73" t="str">
        <f t="shared" si="14"/>
        <v/>
      </c>
      <c r="U33" s="73" t="str">
        <f t="shared" si="14"/>
        <v/>
      </c>
      <c r="V33" s="73" t="str">
        <f t="shared" si="14"/>
        <v/>
      </c>
      <c r="W33" s="73" t="str">
        <f t="shared" si="14"/>
        <v/>
      </c>
      <c r="X33" s="73" t="str">
        <f t="shared" si="14"/>
        <v/>
      </c>
      <c r="Y33" s="73" t="str">
        <f t="shared" si="14"/>
        <v/>
      </c>
      <c r="Z33" s="73" t="str">
        <f t="shared" si="14"/>
        <v/>
      </c>
      <c r="AA33" s="73" t="str">
        <f t="shared" si="14"/>
        <v/>
      </c>
      <c r="AB33" s="74" t="str">
        <f t="shared" si="14"/>
        <v/>
      </c>
      <c r="AC33" s="35" t="str">
        <f t="shared" si="15"/>
        <v/>
      </c>
      <c r="AD33" s="40" t="str">
        <f t="shared" si="16"/>
        <v/>
      </c>
      <c r="AE33" s="37" t="str">
        <f t="shared" si="17"/>
        <v/>
      </c>
      <c r="AF33" s="40" t="str">
        <f t="shared" si="18"/>
        <v/>
      </c>
      <c r="AG33" s="37" t="str">
        <f t="shared" si="19"/>
        <v/>
      </c>
      <c r="AH33" s="40" t="str">
        <f t="shared" si="20"/>
        <v/>
      </c>
      <c r="AI33" s="37" t="str">
        <f t="shared" si="21"/>
        <v/>
      </c>
      <c r="AJ33" s="40" t="str">
        <f t="shared" si="22"/>
        <v/>
      </c>
      <c r="AK33" s="33" t="str">
        <f>IF(SEM!AK33="","",SEM!AK33)</f>
        <v/>
      </c>
      <c r="AL33" s="6"/>
      <c r="AM33" s="79" t="str">
        <f t="shared" si="12"/>
        <v/>
      </c>
      <c r="AN33" s="12"/>
      <c r="AO33" s="12"/>
      <c r="AP33" s="14"/>
      <c r="AQ33" s="16"/>
      <c r="AR33" s="15"/>
      <c r="AU33" s="198"/>
      <c r="AV33" s="198"/>
      <c r="AW33" s="198"/>
      <c r="AX33" s="198"/>
    </row>
    <row r="34" spans="2:50" ht="17.25" customHeight="1" x14ac:dyDescent="0.2">
      <c r="B34" s="6"/>
      <c r="C34" s="49" t="str">
        <f>IF(SEM!C34="","",SEM!C34)</f>
        <v/>
      </c>
      <c r="D34" s="220" t="str">
        <f>IF(C34="","",VLOOKUP(SEM!C34,FROTA!$B$5:$C$305,2,0))</f>
        <v/>
      </c>
      <c r="E34" s="24" t="str">
        <f>IF(C34="","",VLOOKUP(C34,FROTA!$B$5:$N$305,7,0))</f>
        <v/>
      </c>
      <c r="F34" s="38" t="str">
        <f t="shared" si="2"/>
        <v/>
      </c>
      <c r="G34" s="71" t="str">
        <f t="shared" si="13"/>
        <v/>
      </c>
      <c r="H34" s="32" t="str">
        <f t="shared" si="24"/>
        <v/>
      </c>
      <c r="I34" s="73" t="str">
        <f t="shared" si="24"/>
        <v/>
      </c>
      <c r="J34" s="73" t="str">
        <f t="shared" si="24"/>
        <v/>
      </c>
      <c r="K34" s="73" t="str">
        <f t="shared" si="23"/>
        <v/>
      </c>
      <c r="L34" s="73" t="str">
        <f t="shared" si="23"/>
        <v/>
      </c>
      <c r="M34" s="73" t="str">
        <f t="shared" si="23"/>
        <v/>
      </c>
      <c r="N34" s="73" t="str">
        <f t="shared" si="23"/>
        <v/>
      </c>
      <c r="O34" s="73" t="str">
        <f t="shared" si="23"/>
        <v/>
      </c>
      <c r="P34" s="73" t="str">
        <f t="shared" si="23"/>
        <v/>
      </c>
      <c r="Q34" s="73" t="str">
        <f t="shared" si="23"/>
        <v/>
      </c>
      <c r="R34" s="73" t="str">
        <f t="shared" si="14"/>
        <v/>
      </c>
      <c r="S34" s="73" t="str">
        <f t="shared" si="14"/>
        <v/>
      </c>
      <c r="T34" s="73" t="str">
        <f t="shared" si="14"/>
        <v/>
      </c>
      <c r="U34" s="73" t="str">
        <f t="shared" si="14"/>
        <v/>
      </c>
      <c r="V34" s="73" t="str">
        <f t="shared" si="14"/>
        <v/>
      </c>
      <c r="W34" s="73" t="str">
        <f t="shared" si="14"/>
        <v/>
      </c>
      <c r="X34" s="73" t="str">
        <f t="shared" si="14"/>
        <v/>
      </c>
      <c r="Y34" s="73" t="str">
        <f t="shared" si="14"/>
        <v/>
      </c>
      <c r="Z34" s="73" t="str">
        <f t="shared" si="14"/>
        <v/>
      </c>
      <c r="AA34" s="73" t="str">
        <f t="shared" si="14"/>
        <v/>
      </c>
      <c r="AB34" s="74" t="str">
        <f t="shared" si="14"/>
        <v/>
      </c>
      <c r="AC34" s="35" t="str">
        <f t="shared" si="15"/>
        <v/>
      </c>
      <c r="AD34" s="40" t="str">
        <f t="shared" si="16"/>
        <v/>
      </c>
      <c r="AE34" s="37" t="str">
        <f t="shared" si="17"/>
        <v/>
      </c>
      <c r="AF34" s="40" t="str">
        <f t="shared" si="18"/>
        <v/>
      </c>
      <c r="AG34" s="37" t="str">
        <f t="shared" si="19"/>
        <v/>
      </c>
      <c r="AH34" s="40" t="str">
        <f t="shared" si="20"/>
        <v/>
      </c>
      <c r="AI34" s="37" t="str">
        <f t="shared" si="21"/>
        <v/>
      </c>
      <c r="AJ34" s="40" t="str">
        <f t="shared" si="22"/>
        <v/>
      </c>
      <c r="AK34" s="33" t="str">
        <f>IF(SEM!AK34="","",SEM!AK34)</f>
        <v/>
      </c>
      <c r="AL34" s="6"/>
      <c r="AM34" s="79" t="str">
        <f t="shared" si="12"/>
        <v/>
      </c>
      <c r="AN34" s="12"/>
      <c r="AO34" s="12"/>
      <c r="AP34" s="14"/>
      <c r="AQ34" s="16"/>
      <c r="AR34" s="15"/>
      <c r="AU34" s="198"/>
      <c r="AV34" s="198"/>
      <c r="AW34" s="198"/>
      <c r="AX34" s="198"/>
    </row>
    <row r="35" spans="2:50" ht="17.25" customHeight="1" x14ac:dyDescent="0.2">
      <c r="B35" s="6"/>
      <c r="C35" s="49" t="str">
        <f>IF(SEM!C35="","",SEM!C35)</f>
        <v/>
      </c>
      <c r="D35" s="220" t="str">
        <f>IF(C35="","",VLOOKUP(SEM!C35,FROTA!$B$5:$C$305,2,0))</f>
        <v/>
      </c>
      <c r="E35" s="24" t="str">
        <f>IF(C35="","",VLOOKUP(C35,FROTA!$B$5:$N$305,7,0))</f>
        <v/>
      </c>
      <c r="F35" s="38" t="str">
        <f t="shared" si="2"/>
        <v/>
      </c>
      <c r="G35" s="71" t="str">
        <f t="shared" si="13"/>
        <v/>
      </c>
      <c r="H35" s="32" t="str">
        <f t="shared" si="24"/>
        <v/>
      </c>
      <c r="I35" s="73" t="str">
        <f t="shared" si="24"/>
        <v/>
      </c>
      <c r="J35" s="73" t="str">
        <f t="shared" si="24"/>
        <v/>
      </c>
      <c r="K35" s="73" t="str">
        <f t="shared" si="23"/>
        <v/>
      </c>
      <c r="L35" s="73" t="str">
        <f t="shared" si="23"/>
        <v/>
      </c>
      <c r="M35" s="73" t="str">
        <f t="shared" si="23"/>
        <v/>
      </c>
      <c r="N35" s="73" t="str">
        <f t="shared" si="23"/>
        <v/>
      </c>
      <c r="O35" s="73" t="str">
        <f t="shared" si="23"/>
        <v/>
      </c>
      <c r="P35" s="73" t="str">
        <f t="shared" si="23"/>
        <v/>
      </c>
      <c r="Q35" s="73" t="str">
        <f t="shared" si="23"/>
        <v/>
      </c>
      <c r="R35" s="73" t="str">
        <f t="shared" si="14"/>
        <v/>
      </c>
      <c r="S35" s="73" t="str">
        <f t="shared" si="14"/>
        <v/>
      </c>
      <c r="T35" s="73" t="str">
        <f t="shared" si="14"/>
        <v/>
      </c>
      <c r="U35" s="73" t="str">
        <f t="shared" si="14"/>
        <v/>
      </c>
      <c r="V35" s="73" t="str">
        <f t="shared" si="14"/>
        <v/>
      </c>
      <c r="W35" s="73" t="str">
        <f t="shared" si="14"/>
        <v/>
      </c>
      <c r="X35" s="73" t="str">
        <f t="shared" si="14"/>
        <v/>
      </c>
      <c r="Y35" s="73" t="str">
        <f t="shared" si="14"/>
        <v/>
      </c>
      <c r="Z35" s="73" t="str">
        <f t="shared" si="14"/>
        <v/>
      </c>
      <c r="AA35" s="73" t="str">
        <f t="shared" si="14"/>
        <v/>
      </c>
      <c r="AB35" s="74" t="str">
        <f t="shared" si="14"/>
        <v/>
      </c>
      <c r="AC35" s="35" t="str">
        <f t="shared" si="15"/>
        <v/>
      </c>
      <c r="AD35" s="40" t="str">
        <f t="shared" si="16"/>
        <v/>
      </c>
      <c r="AE35" s="37" t="str">
        <f t="shared" si="17"/>
        <v/>
      </c>
      <c r="AF35" s="40" t="str">
        <f t="shared" si="18"/>
        <v/>
      </c>
      <c r="AG35" s="37" t="str">
        <f t="shared" si="19"/>
        <v/>
      </c>
      <c r="AH35" s="40" t="str">
        <f t="shared" si="20"/>
        <v/>
      </c>
      <c r="AI35" s="37" t="str">
        <f t="shared" si="21"/>
        <v/>
      </c>
      <c r="AJ35" s="40" t="str">
        <f t="shared" si="22"/>
        <v/>
      </c>
      <c r="AK35" s="33" t="str">
        <f>IF(SEM!AK35="","",SEM!AK35)</f>
        <v/>
      </c>
      <c r="AL35" s="6"/>
      <c r="AM35" s="79" t="str">
        <f t="shared" si="12"/>
        <v/>
      </c>
      <c r="AN35" s="12"/>
      <c r="AO35" s="12"/>
      <c r="AP35" s="14"/>
      <c r="AQ35" s="16"/>
      <c r="AR35" s="15"/>
      <c r="AU35" s="198"/>
      <c r="AV35" s="198"/>
      <c r="AW35" s="198"/>
      <c r="AX35" s="198"/>
    </row>
    <row r="36" spans="2:50" ht="17.25" customHeight="1" x14ac:dyDescent="0.2">
      <c r="B36" s="6"/>
      <c r="C36" s="49" t="str">
        <f>IF(SEM!C36="","",SEM!C36)</f>
        <v/>
      </c>
      <c r="D36" s="220" t="str">
        <f>IF(C36="","",VLOOKUP(SEM!C36,FROTA!$B$5:$C$305,2,0))</f>
        <v/>
      </c>
      <c r="E36" s="24" t="str">
        <f>IF(C36="","",VLOOKUP(C36,FROTA!$B$5:$N$305,7,0))</f>
        <v/>
      </c>
      <c r="F36" s="38" t="str">
        <f t="shared" si="2"/>
        <v/>
      </c>
      <c r="G36" s="71" t="str">
        <f t="shared" si="13"/>
        <v/>
      </c>
      <c r="H36" s="32" t="str">
        <f t="shared" si="24"/>
        <v/>
      </c>
      <c r="I36" s="73" t="str">
        <f t="shared" si="24"/>
        <v/>
      </c>
      <c r="J36" s="73" t="str">
        <f t="shared" si="24"/>
        <v/>
      </c>
      <c r="K36" s="73" t="str">
        <f t="shared" si="23"/>
        <v/>
      </c>
      <c r="L36" s="73" t="str">
        <f t="shared" si="23"/>
        <v/>
      </c>
      <c r="M36" s="73" t="str">
        <f t="shared" si="23"/>
        <v/>
      </c>
      <c r="N36" s="73" t="str">
        <f t="shared" si="23"/>
        <v/>
      </c>
      <c r="O36" s="73" t="str">
        <f t="shared" si="23"/>
        <v/>
      </c>
      <c r="P36" s="73" t="str">
        <f t="shared" si="23"/>
        <v/>
      </c>
      <c r="Q36" s="73" t="str">
        <f t="shared" si="23"/>
        <v/>
      </c>
      <c r="R36" s="73" t="str">
        <f t="shared" si="14"/>
        <v/>
      </c>
      <c r="S36" s="73" t="str">
        <f t="shared" si="14"/>
        <v/>
      </c>
      <c r="T36" s="73" t="str">
        <f t="shared" si="14"/>
        <v/>
      </c>
      <c r="U36" s="73" t="str">
        <f t="shared" si="14"/>
        <v/>
      </c>
      <c r="V36" s="73" t="str">
        <f t="shared" si="14"/>
        <v/>
      </c>
      <c r="W36" s="73" t="str">
        <f t="shared" si="14"/>
        <v/>
      </c>
      <c r="X36" s="73" t="str">
        <f t="shared" si="14"/>
        <v/>
      </c>
      <c r="Y36" s="73" t="str">
        <f t="shared" si="14"/>
        <v/>
      </c>
      <c r="Z36" s="73" t="str">
        <f t="shared" si="14"/>
        <v/>
      </c>
      <c r="AA36" s="73" t="str">
        <f t="shared" si="14"/>
        <v/>
      </c>
      <c r="AB36" s="74" t="str">
        <f t="shared" si="14"/>
        <v/>
      </c>
      <c r="AC36" s="35" t="str">
        <f t="shared" si="15"/>
        <v/>
      </c>
      <c r="AD36" s="40" t="str">
        <f t="shared" si="16"/>
        <v/>
      </c>
      <c r="AE36" s="37" t="str">
        <f t="shared" si="17"/>
        <v/>
      </c>
      <c r="AF36" s="40" t="str">
        <f t="shared" si="18"/>
        <v/>
      </c>
      <c r="AG36" s="37" t="str">
        <f t="shared" si="19"/>
        <v/>
      </c>
      <c r="AH36" s="40" t="str">
        <f t="shared" si="20"/>
        <v/>
      </c>
      <c r="AI36" s="37" t="str">
        <f t="shared" si="21"/>
        <v/>
      </c>
      <c r="AJ36" s="40" t="str">
        <f t="shared" si="22"/>
        <v/>
      </c>
      <c r="AK36" s="33" t="str">
        <f>IF(SEM!AK36="","",SEM!AK36)</f>
        <v/>
      </c>
      <c r="AL36" s="6"/>
      <c r="AM36" s="79" t="str">
        <f t="shared" si="12"/>
        <v/>
      </c>
      <c r="AN36" s="12"/>
      <c r="AO36" s="12"/>
      <c r="AP36" s="14"/>
      <c r="AQ36" s="16"/>
      <c r="AR36" s="15"/>
      <c r="AU36" s="198"/>
      <c r="AV36" s="198"/>
      <c r="AW36" s="198"/>
      <c r="AX36" s="198"/>
    </row>
    <row r="37" spans="2:50" ht="17.25" customHeight="1" x14ac:dyDescent="0.2">
      <c r="B37" s="6"/>
      <c r="C37" s="49" t="str">
        <f>IF(SEM!C37="","",SEM!C37)</f>
        <v/>
      </c>
      <c r="D37" s="220" t="str">
        <f>IF(C37="","",VLOOKUP(SEM!C37,FROTA!$B$5:$C$305,2,0))</f>
        <v/>
      </c>
      <c r="E37" s="24" t="str">
        <f>IF(C37="","",VLOOKUP(C37,FROTA!$B$5:$N$305,7,0))</f>
        <v/>
      </c>
      <c r="F37" s="38" t="str">
        <f t="shared" si="2"/>
        <v/>
      </c>
      <c r="G37" s="71" t="str">
        <f t="shared" si="13"/>
        <v/>
      </c>
      <c r="H37" s="32" t="str">
        <f t="shared" si="24"/>
        <v/>
      </c>
      <c r="I37" s="73" t="str">
        <f t="shared" si="24"/>
        <v/>
      </c>
      <c r="J37" s="73" t="str">
        <f t="shared" si="24"/>
        <v/>
      </c>
      <c r="K37" s="73" t="str">
        <f t="shared" si="23"/>
        <v/>
      </c>
      <c r="L37" s="73" t="str">
        <f t="shared" si="23"/>
        <v/>
      </c>
      <c r="M37" s="73" t="str">
        <f t="shared" si="23"/>
        <v/>
      </c>
      <c r="N37" s="73" t="str">
        <f t="shared" si="23"/>
        <v/>
      </c>
      <c r="O37" s="73" t="str">
        <f t="shared" si="23"/>
        <v/>
      </c>
      <c r="P37" s="73" t="str">
        <f t="shared" si="23"/>
        <v/>
      </c>
      <c r="Q37" s="73" t="str">
        <f t="shared" si="23"/>
        <v/>
      </c>
      <c r="R37" s="73" t="str">
        <f t="shared" si="14"/>
        <v/>
      </c>
      <c r="S37" s="73" t="str">
        <f t="shared" si="14"/>
        <v/>
      </c>
      <c r="T37" s="73" t="str">
        <f t="shared" si="14"/>
        <v/>
      </c>
      <c r="U37" s="73" t="str">
        <f t="shared" si="14"/>
        <v/>
      </c>
      <c r="V37" s="73" t="str">
        <f t="shared" si="14"/>
        <v/>
      </c>
      <c r="W37" s="73" t="str">
        <f t="shared" si="14"/>
        <v/>
      </c>
      <c r="X37" s="73" t="str">
        <f t="shared" si="14"/>
        <v/>
      </c>
      <c r="Y37" s="73" t="str">
        <f t="shared" si="14"/>
        <v/>
      </c>
      <c r="Z37" s="73" t="str">
        <f t="shared" si="14"/>
        <v/>
      </c>
      <c r="AA37" s="73" t="str">
        <f t="shared" si="14"/>
        <v/>
      </c>
      <c r="AB37" s="74" t="str">
        <f t="shared" si="14"/>
        <v/>
      </c>
      <c r="AC37" s="35" t="str">
        <f t="shared" si="15"/>
        <v/>
      </c>
      <c r="AD37" s="40" t="str">
        <f t="shared" si="16"/>
        <v/>
      </c>
      <c r="AE37" s="37" t="str">
        <f t="shared" si="17"/>
        <v/>
      </c>
      <c r="AF37" s="40" t="str">
        <f t="shared" si="18"/>
        <v/>
      </c>
      <c r="AG37" s="37" t="str">
        <f t="shared" si="19"/>
        <v/>
      </c>
      <c r="AH37" s="40" t="str">
        <f t="shared" si="20"/>
        <v/>
      </c>
      <c r="AI37" s="37" t="str">
        <f t="shared" si="21"/>
        <v/>
      </c>
      <c r="AJ37" s="40" t="str">
        <f t="shared" si="22"/>
        <v/>
      </c>
      <c r="AK37" s="33" t="str">
        <f>IF(SEM!AK37="","",SEM!AK37)</f>
        <v/>
      </c>
      <c r="AL37" s="6"/>
      <c r="AM37" s="79" t="str">
        <f t="shared" si="12"/>
        <v/>
      </c>
      <c r="AN37" s="12"/>
      <c r="AO37" s="12"/>
      <c r="AP37" s="14"/>
      <c r="AQ37" s="16"/>
      <c r="AR37" s="15"/>
      <c r="AU37" s="198"/>
      <c r="AV37" s="198"/>
      <c r="AW37" s="198"/>
      <c r="AX37" s="198"/>
    </row>
    <row r="38" spans="2:50" ht="17.25" customHeight="1" x14ac:dyDescent="0.2">
      <c r="B38" s="6"/>
      <c r="C38" s="49" t="str">
        <f>IF(SEM!C38="","",SEM!C38)</f>
        <v/>
      </c>
      <c r="D38" s="220" t="str">
        <f>IF(C38="","",VLOOKUP(SEM!C38,FROTA!$B$5:$C$305,2,0))</f>
        <v/>
      </c>
      <c r="E38" s="24" t="str">
        <f>IF(C38="","",VLOOKUP(C38,FROTA!$B$5:$N$305,7,0))</f>
        <v/>
      </c>
      <c r="F38" s="38" t="str">
        <f t="shared" si="2"/>
        <v/>
      </c>
      <c r="G38" s="71" t="str">
        <f t="shared" si="13"/>
        <v/>
      </c>
      <c r="H38" s="32" t="str">
        <f t="shared" si="24"/>
        <v/>
      </c>
      <c r="I38" s="73" t="str">
        <f t="shared" si="24"/>
        <v/>
      </c>
      <c r="J38" s="73" t="str">
        <f t="shared" si="24"/>
        <v/>
      </c>
      <c r="K38" s="73" t="str">
        <f t="shared" si="23"/>
        <v/>
      </c>
      <c r="L38" s="73" t="str">
        <f t="shared" si="23"/>
        <v/>
      </c>
      <c r="M38" s="73" t="str">
        <f t="shared" si="23"/>
        <v/>
      </c>
      <c r="N38" s="73" t="str">
        <f t="shared" si="23"/>
        <v/>
      </c>
      <c r="O38" s="73" t="str">
        <f t="shared" si="23"/>
        <v/>
      </c>
      <c r="P38" s="73" t="str">
        <f t="shared" si="23"/>
        <v/>
      </c>
      <c r="Q38" s="73" t="str">
        <f t="shared" si="23"/>
        <v/>
      </c>
      <c r="R38" s="73" t="str">
        <f t="shared" si="14"/>
        <v/>
      </c>
      <c r="S38" s="73" t="str">
        <f t="shared" si="14"/>
        <v/>
      </c>
      <c r="T38" s="73" t="str">
        <f t="shared" si="14"/>
        <v/>
      </c>
      <c r="U38" s="73" t="str">
        <f t="shared" si="14"/>
        <v/>
      </c>
      <c r="V38" s="73" t="str">
        <f t="shared" si="14"/>
        <v/>
      </c>
      <c r="W38" s="73" t="str">
        <f t="shared" si="14"/>
        <v/>
      </c>
      <c r="X38" s="73" t="str">
        <f t="shared" si="14"/>
        <v/>
      </c>
      <c r="Y38" s="73" t="str">
        <f t="shared" si="14"/>
        <v/>
      </c>
      <c r="Z38" s="73" t="str">
        <f t="shared" si="14"/>
        <v/>
      </c>
      <c r="AA38" s="73" t="str">
        <f t="shared" si="14"/>
        <v/>
      </c>
      <c r="AB38" s="74" t="str">
        <f t="shared" si="14"/>
        <v/>
      </c>
      <c r="AC38" s="35" t="str">
        <f t="shared" si="15"/>
        <v/>
      </c>
      <c r="AD38" s="40" t="str">
        <f t="shared" si="16"/>
        <v/>
      </c>
      <c r="AE38" s="37" t="str">
        <f t="shared" si="17"/>
        <v/>
      </c>
      <c r="AF38" s="40" t="str">
        <f t="shared" si="18"/>
        <v/>
      </c>
      <c r="AG38" s="37" t="str">
        <f t="shared" si="19"/>
        <v/>
      </c>
      <c r="AH38" s="40" t="str">
        <f t="shared" si="20"/>
        <v/>
      </c>
      <c r="AI38" s="37" t="str">
        <f t="shared" si="21"/>
        <v/>
      </c>
      <c r="AJ38" s="40" t="str">
        <f t="shared" si="22"/>
        <v/>
      </c>
      <c r="AK38" s="33" t="str">
        <f>IF(SEM!AK38="","",SEM!AK38)</f>
        <v/>
      </c>
      <c r="AL38" s="6"/>
      <c r="AM38" s="79" t="str">
        <f t="shared" si="12"/>
        <v/>
      </c>
      <c r="AN38" s="12"/>
      <c r="AO38" s="12"/>
      <c r="AP38" s="14"/>
      <c r="AQ38" s="16"/>
      <c r="AR38" s="15"/>
      <c r="AU38" s="198"/>
      <c r="AV38" s="198"/>
      <c r="AW38" s="198"/>
      <c r="AX38" s="198"/>
    </row>
    <row r="39" spans="2:50" ht="17.25" customHeight="1" x14ac:dyDescent="0.2">
      <c r="B39" s="6"/>
      <c r="C39" s="49" t="str">
        <f>IF(SEM!C39="","",SEM!C39)</f>
        <v/>
      </c>
      <c r="D39" s="220" t="str">
        <f>IF(C39="","",VLOOKUP(SEM!C39,FROTA!$B$5:$C$305,2,0))</f>
        <v/>
      </c>
      <c r="E39" s="24" t="str">
        <f>IF(C39="","",VLOOKUP(C39,FROTA!$B$5:$N$305,7,0))</f>
        <v/>
      </c>
      <c r="F39" s="38" t="str">
        <f t="shared" si="2"/>
        <v/>
      </c>
      <c r="G39" s="71" t="str">
        <f t="shared" si="13"/>
        <v/>
      </c>
      <c r="H39" s="32" t="str">
        <f t="shared" si="24"/>
        <v/>
      </c>
      <c r="I39" s="73" t="str">
        <f t="shared" si="24"/>
        <v/>
      </c>
      <c r="J39" s="73" t="str">
        <f t="shared" si="24"/>
        <v/>
      </c>
      <c r="K39" s="73" t="str">
        <f t="shared" si="23"/>
        <v/>
      </c>
      <c r="L39" s="73" t="str">
        <f t="shared" si="23"/>
        <v/>
      </c>
      <c r="M39" s="73" t="str">
        <f t="shared" si="23"/>
        <v/>
      </c>
      <c r="N39" s="73" t="str">
        <f t="shared" si="23"/>
        <v/>
      </c>
      <c r="O39" s="73" t="str">
        <f t="shared" si="23"/>
        <v/>
      </c>
      <c r="P39" s="73" t="str">
        <f t="shared" si="23"/>
        <v/>
      </c>
      <c r="Q39" s="73" t="str">
        <f t="shared" si="23"/>
        <v/>
      </c>
      <c r="R39" s="73" t="str">
        <f t="shared" si="14"/>
        <v/>
      </c>
      <c r="S39" s="73" t="str">
        <f t="shared" si="14"/>
        <v/>
      </c>
      <c r="T39" s="73" t="str">
        <f t="shared" si="14"/>
        <v/>
      </c>
      <c r="U39" s="73" t="str">
        <f t="shared" si="14"/>
        <v/>
      </c>
      <c r="V39" s="73" t="str">
        <f t="shared" ref="R39:AB62" si="25">IF($C39="","",IF(SUM(V$307*$G39)&gt;$F39,$F39,SUM(V$307*$G39)))</f>
        <v/>
      </c>
      <c r="W39" s="73" t="str">
        <f t="shared" si="25"/>
        <v/>
      </c>
      <c r="X39" s="73" t="str">
        <f t="shared" si="25"/>
        <v/>
      </c>
      <c r="Y39" s="73" t="str">
        <f t="shared" si="25"/>
        <v/>
      </c>
      <c r="Z39" s="73" t="str">
        <f t="shared" si="25"/>
        <v/>
      </c>
      <c r="AA39" s="73" t="str">
        <f t="shared" si="25"/>
        <v/>
      </c>
      <c r="AB39" s="74" t="str">
        <f t="shared" si="25"/>
        <v/>
      </c>
      <c r="AC39" s="35" t="str">
        <f t="shared" si="15"/>
        <v/>
      </c>
      <c r="AD39" s="40" t="str">
        <f t="shared" si="16"/>
        <v/>
      </c>
      <c r="AE39" s="37" t="str">
        <f t="shared" si="17"/>
        <v/>
      </c>
      <c r="AF39" s="40" t="str">
        <f t="shared" si="18"/>
        <v/>
      </c>
      <c r="AG39" s="37" t="str">
        <f t="shared" si="19"/>
        <v/>
      </c>
      <c r="AH39" s="40" t="str">
        <f t="shared" si="20"/>
        <v/>
      </c>
      <c r="AI39" s="37" t="str">
        <f t="shared" si="21"/>
        <v/>
      </c>
      <c r="AJ39" s="40" t="str">
        <f t="shared" si="22"/>
        <v/>
      </c>
      <c r="AK39" s="33" t="str">
        <f>IF(SEM!AK39="","",SEM!AK39)</f>
        <v/>
      </c>
      <c r="AL39" s="6"/>
      <c r="AM39" s="79" t="str">
        <f t="shared" si="12"/>
        <v/>
      </c>
      <c r="AN39" s="12"/>
      <c r="AO39" s="12"/>
      <c r="AP39" s="14"/>
      <c r="AQ39" s="16"/>
      <c r="AR39" s="15"/>
      <c r="AU39" s="198"/>
      <c r="AV39" s="198"/>
      <c r="AW39" s="198"/>
      <c r="AX39" s="198"/>
    </row>
    <row r="40" spans="2:50" ht="17.25" customHeight="1" x14ac:dyDescent="0.2">
      <c r="B40" s="6"/>
      <c r="C40" s="49" t="str">
        <f>IF(SEM!C40="","",SEM!C40)</f>
        <v/>
      </c>
      <c r="D40" s="220" t="str">
        <f>IF(C40="","",VLOOKUP(SEM!C40,FROTA!$B$5:$C$305,2,0))</f>
        <v/>
      </c>
      <c r="E40" s="24" t="str">
        <f>IF(C40="","",VLOOKUP(C40,FROTA!$B$5:$N$305,7,0))</f>
        <v/>
      </c>
      <c r="F40" s="38" t="str">
        <f t="shared" si="2"/>
        <v/>
      </c>
      <c r="G40" s="71" t="str">
        <f t="shared" si="13"/>
        <v/>
      </c>
      <c r="H40" s="32" t="str">
        <f t="shared" si="24"/>
        <v/>
      </c>
      <c r="I40" s="73" t="str">
        <f t="shared" si="24"/>
        <v/>
      </c>
      <c r="J40" s="73" t="str">
        <f t="shared" si="24"/>
        <v/>
      </c>
      <c r="K40" s="73" t="str">
        <f t="shared" si="23"/>
        <v/>
      </c>
      <c r="L40" s="73" t="str">
        <f t="shared" si="23"/>
        <v/>
      </c>
      <c r="M40" s="73" t="str">
        <f t="shared" si="23"/>
        <v/>
      </c>
      <c r="N40" s="73" t="str">
        <f t="shared" si="23"/>
        <v/>
      </c>
      <c r="O40" s="73" t="str">
        <f t="shared" si="23"/>
        <v/>
      </c>
      <c r="P40" s="73" t="str">
        <f t="shared" si="23"/>
        <v/>
      </c>
      <c r="Q40" s="73" t="str">
        <f t="shared" si="23"/>
        <v/>
      </c>
      <c r="R40" s="73" t="str">
        <f t="shared" si="25"/>
        <v/>
      </c>
      <c r="S40" s="73" t="str">
        <f t="shared" si="25"/>
        <v/>
      </c>
      <c r="T40" s="73" t="str">
        <f t="shared" si="25"/>
        <v/>
      </c>
      <c r="U40" s="73" t="str">
        <f t="shared" si="25"/>
        <v/>
      </c>
      <c r="V40" s="73" t="str">
        <f t="shared" si="25"/>
        <v/>
      </c>
      <c r="W40" s="73" t="str">
        <f t="shared" si="25"/>
        <v/>
      </c>
      <c r="X40" s="73" t="str">
        <f t="shared" si="25"/>
        <v/>
      </c>
      <c r="Y40" s="73" t="str">
        <f t="shared" si="25"/>
        <v/>
      </c>
      <c r="Z40" s="73" t="str">
        <f t="shared" si="25"/>
        <v/>
      </c>
      <c r="AA40" s="73" t="str">
        <f t="shared" si="25"/>
        <v/>
      </c>
      <c r="AB40" s="74" t="str">
        <f t="shared" si="25"/>
        <v/>
      </c>
      <c r="AC40" s="35" t="str">
        <f t="shared" si="15"/>
        <v/>
      </c>
      <c r="AD40" s="40" t="str">
        <f t="shared" si="16"/>
        <v/>
      </c>
      <c r="AE40" s="37" t="str">
        <f t="shared" si="17"/>
        <v/>
      </c>
      <c r="AF40" s="40" t="str">
        <f t="shared" si="18"/>
        <v/>
      </c>
      <c r="AG40" s="37" t="str">
        <f t="shared" si="19"/>
        <v/>
      </c>
      <c r="AH40" s="40" t="str">
        <f t="shared" si="20"/>
        <v/>
      </c>
      <c r="AI40" s="37" t="str">
        <f t="shared" si="21"/>
        <v/>
      </c>
      <c r="AJ40" s="40" t="str">
        <f t="shared" si="22"/>
        <v/>
      </c>
      <c r="AK40" s="33" t="str">
        <f>IF(SEM!AK40="","",SEM!AK40)</f>
        <v/>
      </c>
      <c r="AL40" s="6"/>
      <c r="AM40" s="79" t="str">
        <f t="shared" si="12"/>
        <v/>
      </c>
      <c r="AN40" s="12"/>
      <c r="AO40" s="12"/>
      <c r="AP40" s="14"/>
      <c r="AQ40" s="16"/>
      <c r="AR40" s="15"/>
      <c r="AU40" s="198"/>
      <c r="AV40" s="198"/>
      <c r="AW40" s="198"/>
      <c r="AX40" s="198"/>
    </row>
    <row r="41" spans="2:50" ht="17.25" customHeight="1" x14ac:dyDescent="0.2">
      <c r="B41" s="6"/>
      <c r="C41" s="49" t="str">
        <f>IF(SEM!C41="","",SEM!C41)</f>
        <v/>
      </c>
      <c r="D41" s="220" t="str">
        <f>IF(C41="","",VLOOKUP(SEM!C41,FROTA!$B$5:$C$305,2,0))</f>
        <v/>
      </c>
      <c r="E41" s="24" t="str">
        <f>IF(C41="","",VLOOKUP(C41,FROTA!$B$5:$N$305,7,0))</f>
        <v/>
      </c>
      <c r="F41" s="38" t="str">
        <f t="shared" si="2"/>
        <v/>
      </c>
      <c r="G41" s="71" t="str">
        <f t="shared" si="13"/>
        <v/>
      </c>
      <c r="H41" s="32" t="str">
        <f t="shared" si="24"/>
        <v/>
      </c>
      <c r="I41" s="73" t="str">
        <f t="shared" si="24"/>
        <v/>
      </c>
      <c r="J41" s="73" t="str">
        <f t="shared" si="24"/>
        <v/>
      </c>
      <c r="K41" s="73" t="str">
        <f t="shared" si="23"/>
        <v/>
      </c>
      <c r="L41" s="73" t="str">
        <f t="shared" si="23"/>
        <v/>
      </c>
      <c r="M41" s="73" t="str">
        <f t="shared" si="23"/>
        <v/>
      </c>
      <c r="N41" s="73" t="str">
        <f t="shared" si="23"/>
        <v/>
      </c>
      <c r="O41" s="73" t="str">
        <f t="shared" si="23"/>
        <v/>
      </c>
      <c r="P41" s="73" t="str">
        <f t="shared" si="23"/>
        <v/>
      </c>
      <c r="Q41" s="73" t="str">
        <f t="shared" si="23"/>
        <v/>
      </c>
      <c r="R41" s="73" t="str">
        <f t="shared" si="25"/>
        <v/>
      </c>
      <c r="S41" s="73" t="str">
        <f t="shared" si="25"/>
        <v/>
      </c>
      <c r="T41" s="73" t="str">
        <f t="shared" si="25"/>
        <v/>
      </c>
      <c r="U41" s="73" t="str">
        <f t="shared" si="25"/>
        <v/>
      </c>
      <c r="V41" s="73" t="str">
        <f t="shared" si="25"/>
        <v/>
      </c>
      <c r="W41" s="73" t="str">
        <f t="shared" si="25"/>
        <v/>
      </c>
      <c r="X41" s="73" t="str">
        <f t="shared" si="25"/>
        <v/>
      </c>
      <c r="Y41" s="73" t="str">
        <f t="shared" si="25"/>
        <v/>
      </c>
      <c r="Z41" s="73" t="str">
        <f t="shared" si="25"/>
        <v/>
      </c>
      <c r="AA41" s="73" t="str">
        <f t="shared" si="25"/>
        <v/>
      </c>
      <c r="AB41" s="74" t="str">
        <f t="shared" si="25"/>
        <v/>
      </c>
      <c r="AC41" s="35" t="str">
        <f t="shared" si="15"/>
        <v/>
      </c>
      <c r="AD41" s="40" t="str">
        <f t="shared" si="16"/>
        <v/>
      </c>
      <c r="AE41" s="37" t="str">
        <f t="shared" si="17"/>
        <v/>
      </c>
      <c r="AF41" s="40" t="str">
        <f t="shared" si="18"/>
        <v/>
      </c>
      <c r="AG41" s="37" t="str">
        <f t="shared" si="19"/>
        <v/>
      </c>
      <c r="AH41" s="40" t="str">
        <f t="shared" si="20"/>
        <v/>
      </c>
      <c r="AI41" s="37" t="str">
        <f t="shared" si="21"/>
        <v/>
      </c>
      <c r="AJ41" s="40" t="str">
        <f t="shared" si="22"/>
        <v/>
      </c>
      <c r="AK41" s="33" t="str">
        <f>IF(SEM!AK41="","",SEM!AK41)</f>
        <v/>
      </c>
      <c r="AL41" s="6"/>
      <c r="AM41" s="79" t="str">
        <f t="shared" si="12"/>
        <v/>
      </c>
      <c r="AN41" s="12"/>
      <c r="AO41" s="12"/>
      <c r="AP41" s="14"/>
      <c r="AQ41" s="16"/>
      <c r="AR41" s="15"/>
      <c r="AU41" s="198"/>
      <c r="AV41" s="198"/>
      <c r="AW41" s="198"/>
      <c r="AX41" s="198"/>
    </row>
    <row r="42" spans="2:50" ht="17.25" customHeight="1" x14ac:dyDescent="0.2">
      <c r="B42" s="6"/>
      <c r="C42" s="49" t="str">
        <f>IF(SEM!C42="","",SEM!C42)</f>
        <v/>
      </c>
      <c r="D42" s="220" t="str">
        <f>IF(C42="","",VLOOKUP(SEM!C42,FROTA!$B$5:$C$305,2,0))</f>
        <v/>
      </c>
      <c r="E42" s="24" t="str">
        <f>IF(C42="","",VLOOKUP(C42,FROTA!$B$5:$N$305,7,0))</f>
        <v/>
      </c>
      <c r="F42" s="38" t="str">
        <f t="shared" si="2"/>
        <v/>
      </c>
      <c r="G42" s="71" t="str">
        <f t="shared" si="13"/>
        <v/>
      </c>
      <c r="H42" s="32" t="str">
        <f t="shared" si="24"/>
        <v/>
      </c>
      <c r="I42" s="73" t="str">
        <f t="shared" si="24"/>
        <v/>
      </c>
      <c r="J42" s="73" t="str">
        <f t="shared" si="24"/>
        <v/>
      </c>
      <c r="K42" s="73" t="str">
        <f t="shared" si="23"/>
        <v/>
      </c>
      <c r="L42" s="73" t="str">
        <f t="shared" si="23"/>
        <v/>
      </c>
      <c r="M42" s="73" t="str">
        <f t="shared" si="23"/>
        <v/>
      </c>
      <c r="N42" s="73" t="str">
        <f t="shared" si="23"/>
        <v/>
      </c>
      <c r="O42" s="73" t="str">
        <f t="shared" si="23"/>
        <v/>
      </c>
      <c r="P42" s="73" t="str">
        <f t="shared" si="23"/>
        <v/>
      </c>
      <c r="Q42" s="73" t="str">
        <f t="shared" si="23"/>
        <v/>
      </c>
      <c r="R42" s="73" t="str">
        <f t="shared" si="25"/>
        <v/>
      </c>
      <c r="S42" s="73" t="str">
        <f t="shared" si="25"/>
        <v/>
      </c>
      <c r="T42" s="73" t="str">
        <f t="shared" si="25"/>
        <v/>
      </c>
      <c r="U42" s="73" t="str">
        <f t="shared" si="25"/>
        <v/>
      </c>
      <c r="V42" s="73" t="str">
        <f t="shared" si="25"/>
        <v/>
      </c>
      <c r="W42" s="73" t="str">
        <f t="shared" si="25"/>
        <v/>
      </c>
      <c r="X42" s="73" t="str">
        <f t="shared" si="25"/>
        <v/>
      </c>
      <c r="Y42" s="73" t="str">
        <f t="shared" si="25"/>
        <v/>
      </c>
      <c r="Z42" s="73" t="str">
        <f t="shared" si="25"/>
        <v/>
      </c>
      <c r="AA42" s="73" t="str">
        <f t="shared" si="25"/>
        <v/>
      </c>
      <c r="AB42" s="74" t="str">
        <f t="shared" si="25"/>
        <v/>
      </c>
      <c r="AC42" s="35" t="str">
        <f t="shared" si="15"/>
        <v/>
      </c>
      <c r="AD42" s="40" t="str">
        <f t="shared" si="16"/>
        <v/>
      </c>
      <c r="AE42" s="37" t="str">
        <f t="shared" si="17"/>
        <v/>
      </c>
      <c r="AF42" s="40" t="str">
        <f t="shared" si="18"/>
        <v/>
      </c>
      <c r="AG42" s="37" t="str">
        <f t="shared" si="19"/>
        <v/>
      </c>
      <c r="AH42" s="40" t="str">
        <f t="shared" si="20"/>
        <v/>
      </c>
      <c r="AI42" s="37" t="str">
        <f t="shared" si="21"/>
        <v/>
      </c>
      <c r="AJ42" s="40" t="str">
        <f t="shared" si="22"/>
        <v/>
      </c>
      <c r="AK42" s="33" t="str">
        <f>IF(SEM!AK42="","",SEM!AK42)</f>
        <v/>
      </c>
      <c r="AL42" s="6"/>
      <c r="AM42" s="79" t="str">
        <f t="shared" si="12"/>
        <v/>
      </c>
      <c r="AN42" s="12"/>
      <c r="AO42" s="12"/>
      <c r="AP42" s="14"/>
      <c r="AQ42" s="16"/>
      <c r="AR42" s="15"/>
      <c r="AU42" s="198"/>
      <c r="AV42" s="198"/>
      <c r="AW42" s="198"/>
      <c r="AX42" s="198"/>
    </row>
    <row r="43" spans="2:50" ht="17.25" customHeight="1" x14ac:dyDescent="0.2">
      <c r="B43" s="6"/>
      <c r="C43" s="49" t="str">
        <f>IF(SEM!C43="","",SEM!C43)</f>
        <v/>
      </c>
      <c r="D43" s="220" t="str">
        <f>IF(C43="","",VLOOKUP(SEM!C43,FROTA!$B$5:$C$305,2,0))</f>
        <v/>
      </c>
      <c r="E43" s="24" t="str">
        <f>IF(C43="","",VLOOKUP(C43,FROTA!$B$5:$N$305,7,0))</f>
        <v/>
      </c>
      <c r="F43" s="38" t="str">
        <f t="shared" si="2"/>
        <v/>
      </c>
      <c r="G43" s="71" t="str">
        <f t="shared" si="13"/>
        <v/>
      </c>
      <c r="H43" s="32" t="str">
        <f t="shared" si="24"/>
        <v/>
      </c>
      <c r="I43" s="73" t="str">
        <f t="shared" si="24"/>
        <v/>
      </c>
      <c r="J43" s="73" t="str">
        <f t="shared" si="24"/>
        <v/>
      </c>
      <c r="K43" s="73" t="str">
        <f t="shared" si="23"/>
        <v/>
      </c>
      <c r="L43" s="73" t="str">
        <f t="shared" si="23"/>
        <v/>
      </c>
      <c r="M43" s="73" t="str">
        <f t="shared" si="23"/>
        <v/>
      </c>
      <c r="N43" s="73" t="str">
        <f t="shared" si="23"/>
        <v/>
      </c>
      <c r="O43" s="73" t="str">
        <f t="shared" si="23"/>
        <v/>
      </c>
      <c r="P43" s="73" t="str">
        <f t="shared" si="23"/>
        <v/>
      </c>
      <c r="Q43" s="73" t="str">
        <f t="shared" si="23"/>
        <v/>
      </c>
      <c r="R43" s="73" t="str">
        <f t="shared" si="25"/>
        <v/>
      </c>
      <c r="S43" s="73" t="str">
        <f t="shared" si="25"/>
        <v/>
      </c>
      <c r="T43" s="73" t="str">
        <f t="shared" si="25"/>
        <v/>
      </c>
      <c r="U43" s="73" t="str">
        <f t="shared" si="25"/>
        <v/>
      </c>
      <c r="V43" s="73" t="str">
        <f t="shared" si="25"/>
        <v/>
      </c>
      <c r="W43" s="73" t="str">
        <f t="shared" si="25"/>
        <v/>
      </c>
      <c r="X43" s="73" t="str">
        <f t="shared" si="25"/>
        <v/>
      </c>
      <c r="Y43" s="73" t="str">
        <f t="shared" si="25"/>
        <v/>
      </c>
      <c r="Z43" s="73" t="str">
        <f t="shared" si="25"/>
        <v/>
      </c>
      <c r="AA43" s="73" t="str">
        <f t="shared" si="25"/>
        <v/>
      </c>
      <c r="AB43" s="74" t="str">
        <f t="shared" si="25"/>
        <v/>
      </c>
      <c r="AC43" s="35" t="str">
        <f t="shared" si="15"/>
        <v/>
      </c>
      <c r="AD43" s="40" t="str">
        <f t="shared" si="16"/>
        <v/>
      </c>
      <c r="AE43" s="37" t="str">
        <f t="shared" si="17"/>
        <v/>
      </c>
      <c r="AF43" s="40" t="str">
        <f t="shared" si="18"/>
        <v/>
      </c>
      <c r="AG43" s="37" t="str">
        <f t="shared" si="19"/>
        <v/>
      </c>
      <c r="AH43" s="40" t="str">
        <f t="shared" si="20"/>
        <v/>
      </c>
      <c r="AI43" s="37" t="str">
        <f t="shared" si="21"/>
        <v/>
      </c>
      <c r="AJ43" s="40" t="str">
        <f t="shared" si="22"/>
        <v/>
      </c>
      <c r="AK43" s="33" t="str">
        <f>IF(SEM!AK43="","",SEM!AK43)</f>
        <v/>
      </c>
      <c r="AL43" s="6"/>
      <c r="AM43" s="79" t="str">
        <f t="shared" si="12"/>
        <v/>
      </c>
      <c r="AN43" s="12"/>
      <c r="AO43" s="12"/>
      <c r="AP43" s="14"/>
      <c r="AQ43" s="16"/>
      <c r="AR43" s="15"/>
      <c r="AU43" s="198"/>
      <c r="AV43" s="198"/>
      <c r="AW43" s="198"/>
      <c r="AX43" s="198"/>
    </row>
    <row r="44" spans="2:50" ht="17.25" customHeight="1" x14ac:dyDescent="0.2">
      <c r="B44" s="6"/>
      <c r="C44" s="49" t="str">
        <f>IF(SEM!C44="","",SEM!C44)</f>
        <v/>
      </c>
      <c r="D44" s="220" t="str">
        <f>IF(C44="","",VLOOKUP(SEM!C44,FROTA!$B$5:$C$305,2,0))</f>
        <v/>
      </c>
      <c r="E44" s="24" t="str">
        <f>IF(C44="","",VLOOKUP(C44,FROTA!$B$5:$N$305,7,0))</f>
        <v/>
      </c>
      <c r="F44" s="38" t="str">
        <f t="shared" si="2"/>
        <v/>
      </c>
      <c r="G44" s="71" t="str">
        <f t="shared" si="13"/>
        <v/>
      </c>
      <c r="H44" s="32" t="str">
        <f t="shared" si="24"/>
        <v/>
      </c>
      <c r="I44" s="73" t="str">
        <f t="shared" si="24"/>
        <v/>
      </c>
      <c r="J44" s="73" t="str">
        <f t="shared" si="24"/>
        <v/>
      </c>
      <c r="K44" s="73" t="str">
        <f t="shared" si="23"/>
        <v/>
      </c>
      <c r="L44" s="73" t="str">
        <f t="shared" si="23"/>
        <v/>
      </c>
      <c r="M44" s="73" t="str">
        <f t="shared" si="23"/>
        <v/>
      </c>
      <c r="N44" s="73" t="str">
        <f t="shared" si="23"/>
        <v/>
      </c>
      <c r="O44" s="73" t="str">
        <f t="shared" si="23"/>
        <v/>
      </c>
      <c r="P44" s="73" t="str">
        <f t="shared" si="23"/>
        <v/>
      </c>
      <c r="Q44" s="73" t="str">
        <f t="shared" si="23"/>
        <v/>
      </c>
      <c r="R44" s="73" t="str">
        <f t="shared" si="25"/>
        <v/>
      </c>
      <c r="S44" s="73" t="str">
        <f t="shared" si="25"/>
        <v/>
      </c>
      <c r="T44" s="73" t="str">
        <f t="shared" si="25"/>
        <v/>
      </c>
      <c r="U44" s="73" t="str">
        <f t="shared" si="25"/>
        <v/>
      </c>
      <c r="V44" s="73" t="str">
        <f t="shared" si="25"/>
        <v/>
      </c>
      <c r="W44" s="73" t="str">
        <f t="shared" si="25"/>
        <v/>
      </c>
      <c r="X44" s="73" t="str">
        <f t="shared" si="25"/>
        <v/>
      </c>
      <c r="Y44" s="73" t="str">
        <f t="shared" si="25"/>
        <v/>
      </c>
      <c r="Z44" s="73" t="str">
        <f t="shared" si="25"/>
        <v/>
      </c>
      <c r="AA44" s="73" t="str">
        <f t="shared" si="25"/>
        <v/>
      </c>
      <c r="AB44" s="74" t="str">
        <f t="shared" si="25"/>
        <v/>
      </c>
      <c r="AC44" s="35" t="str">
        <f t="shared" si="15"/>
        <v/>
      </c>
      <c r="AD44" s="40" t="str">
        <f t="shared" si="16"/>
        <v/>
      </c>
      <c r="AE44" s="37" t="str">
        <f t="shared" si="17"/>
        <v/>
      </c>
      <c r="AF44" s="40" t="str">
        <f t="shared" si="18"/>
        <v/>
      </c>
      <c r="AG44" s="37" t="str">
        <f t="shared" si="19"/>
        <v/>
      </c>
      <c r="AH44" s="40" t="str">
        <f t="shared" si="20"/>
        <v/>
      </c>
      <c r="AI44" s="37" t="str">
        <f t="shared" si="21"/>
        <v/>
      </c>
      <c r="AJ44" s="40" t="str">
        <f t="shared" si="22"/>
        <v/>
      </c>
      <c r="AK44" s="33" t="str">
        <f>IF(SEM!AK44="","",SEM!AK44)</f>
        <v/>
      </c>
      <c r="AL44" s="6"/>
      <c r="AM44" s="79" t="str">
        <f t="shared" si="12"/>
        <v/>
      </c>
      <c r="AN44" s="12"/>
      <c r="AO44" s="12"/>
      <c r="AP44" s="14"/>
      <c r="AQ44" s="16"/>
      <c r="AR44" s="15"/>
      <c r="AU44" s="198"/>
      <c r="AV44" s="198"/>
      <c r="AW44" s="198"/>
      <c r="AX44" s="198"/>
    </row>
    <row r="45" spans="2:50" ht="17.25" customHeight="1" x14ac:dyDescent="0.2">
      <c r="B45" s="6"/>
      <c r="C45" s="49" t="str">
        <f>IF(SEM!C45="","",SEM!C45)</f>
        <v/>
      </c>
      <c r="D45" s="220" t="str">
        <f>IF(C45="","",VLOOKUP(SEM!C45,FROTA!$B$5:$C$305,2,0))</f>
        <v/>
      </c>
      <c r="E45" s="24" t="str">
        <f>IF(C45="","",VLOOKUP(C45,FROTA!$B$5:$N$305,7,0))</f>
        <v/>
      </c>
      <c r="F45" s="38" t="str">
        <f t="shared" si="2"/>
        <v/>
      </c>
      <c r="G45" s="71" t="str">
        <f t="shared" si="13"/>
        <v/>
      </c>
      <c r="H45" s="32" t="str">
        <f t="shared" si="24"/>
        <v/>
      </c>
      <c r="I45" s="73" t="str">
        <f t="shared" si="24"/>
        <v/>
      </c>
      <c r="J45" s="73" t="str">
        <f t="shared" si="24"/>
        <v/>
      </c>
      <c r="K45" s="73" t="str">
        <f t="shared" si="23"/>
        <v/>
      </c>
      <c r="L45" s="73" t="str">
        <f t="shared" si="23"/>
        <v/>
      </c>
      <c r="M45" s="73" t="str">
        <f t="shared" si="23"/>
        <v/>
      </c>
      <c r="N45" s="73" t="str">
        <f t="shared" si="23"/>
        <v/>
      </c>
      <c r="O45" s="73" t="str">
        <f t="shared" si="23"/>
        <v/>
      </c>
      <c r="P45" s="73" t="str">
        <f t="shared" si="23"/>
        <v/>
      </c>
      <c r="Q45" s="73" t="str">
        <f t="shared" si="23"/>
        <v/>
      </c>
      <c r="R45" s="73" t="str">
        <f t="shared" si="25"/>
        <v/>
      </c>
      <c r="S45" s="73" t="str">
        <f t="shared" si="25"/>
        <v/>
      </c>
      <c r="T45" s="73" t="str">
        <f t="shared" si="25"/>
        <v/>
      </c>
      <c r="U45" s="73" t="str">
        <f t="shared" si="25"/>
        <v/>
      </c>
      <c r="V45" s="73" t="str">
        <f t="shared" si="25"/>
        <v/>
      </c>
      <c r="W45" s="73" t="str">
        <f t="shared" si="25"/>
        <v/>
      </c>
      <c r="X45" s="73" t="str">
        <f t="shared" si="25"/>
        <v/>
      </c>
      <c r="Y45" s="73" t="str">
        <f t="shared" si="25"/>
        <v/>
      </c>
      <c r="Z45" s="73" t="str">
        <f t="shared" si="25"/>
        <v/>
      </c>
      <c r="AA45" s="73" t="str">
        <f t="shared" si="25"/>
        <v/>
      </c>
      <c r="AB45" s="74" t="str">
        <f t="shared" si="25"/>
        <v/>
      </c>
      <c r="AC45" s="35" t="str">
        <f t="shared" si="15"/>
        <v/>
      </c>
      <c r="AD45" s="40" t="str">
        <f t="shared" si="16"/>
        <v/>
      </c>
      <c r="AE45" s="37" t="str">
        <f t="shared" si="17"/>
        <v/>
      </c>
      <c r="AF45" s="40" t="str">
        <f t="shared" si="18"/>
        <v/>
      </c>
      <c r="AG45" s="37" t="str">
        <f t="shared" si="19"/>
        <v/>
      </c>
      <c r="AH45" s="40" t="str">
        <f t="shared" si="20"/>
        <v/>
      </c>
      <c r="AI45" s="37" t="str">
        <f t="shared" si="21"/>
        <v/>
      </c>
      <c r="AJ45" s="40" t="str">
        <f t="shared" si="22"/>
        <v/>
      </c>
      <c r="AK45" s="33" t="str">
        <f>IF(SEM!AK45="","",SEM!AK45)</f>
        <v/>
      </c>
      <c r="AL45" s="6"/>
      <c r="AM45" s="79" t="str">
        <f t="shared" si="12"/>
        <v/>
      </c>
      <c r="AN45" s="12"/>
      <c r="AO45" s="12"/>
      <c r="AP45" s="14"/>
      <c r="AQ45" s="16"/>
      <c r="AR45" s="15"/>
      <c r="AU45" s="198"/>
      <c r="AV45" s="198"/>
      <c r="AW45" s="198"/>
      <c r="AX45" s="198"/>
    </row>
    <row r="46" spans="2:50" ht="17.25" customHeight="1" x14ac:dyDescent="0.2">
      <c r="B46" s="6"/>
      <c r="C46" s="49" t="str">
        <f>IF(SEM!C46="","",SEM!C46)</f>
        <v/>
      </c>
      <c r="D46" s="220" t="str">
        <f>IF(C46="","",VLOOKUP(SEM!C46,FROTA!$B$5:$C$305,2,0))</f>
        <v/>
      </c>
      <c r="E46" s="24" t="str">
        <f>IF(C46="","",VLOOKUP(C46,FROTA!$B$5:$N$305,7,0))</f>
        <v/>
      </c>
      <c r="F46" s="38" t="str">
        <f t="shared" si="2"/>
        <v/>
      </c>
      <c r="G46" s="71" t="str">
        <f t="shared" si="13"/>
        <v/>
      </c>
      <c r="H46" s="32" t="str">
        <f t="shared" si="24"/>
        <v/>
      </c>
      <c r="I46" s="73" t="str">
        <f t="shared" si="24"/>
        <v/>
      </c>
      <c r="J46" s="73" t="str">
        <f t="shared" si="24"/>
        <v/>
      </c>
      <c r="K46" s="73" t="str">
        <f t="shared" si="23"/>
        <v/>
      </c>
      <c r="L46" s="73" t="str">
        <f t="shared" si="23"/>
        <v/>
      </c>
      <c r="M46" s="73" t="str">
        <f t="shared" si="23"/>
        <v/>
      </c>
      <c r="N46" s="73" t="str">
        <f t="shared" si="23"/>
        <v/>
      </c>
      <c r="O46" s="73" t="str">
        <f t="shared" si="23"/>
        <v/>
      </c>
      <c r="P46" s="73" t="str">
        <f t="shared" si="23"/>
        <v/>
      </c>
      <c r="Q46" s="73" t="str">
        <f t="shared" si="23"/>
        <v/>
      </c>
      <c r="R46" s="73" t="str">
        <f t="shared" si="25"/>
        <v/>
      </c>
      <c r="S46" s="73" t="str">
        <f t="shared" si="25"/>
        <v/>
      </c>
      <c r="T46" s="73" t="str">
        <f t="shared" si="25"/>
        <v/>
      </c>
      <c r="U46" s="73" t="str">
        <f t="shared" si="25"/>
        <v/>
      </c>
      <c r="V46" s="73" t="str">
        <f t="shared" si="25"/>
        <v/>
      </c>
      <c r="W46" s="73" t="str">
        <f t="shared" si="25"/>
        <v/>
      </c>
      <c r="X46" s="73" t="str">
        <f t="shared" si="25"/>
        <v/>
      </c>
      <c r="Y46" s="73" t="str">
        <f t="shared" si="25"/>
        <v/>
      </c>
      <c r="Z46" s="73" t="str">
        <f t="shared" si="25"/>
        <v/>
      </c>
      <c r="AA46" s="73" t="str">
        <f t="shared" si="25"/>
        <v/>
      </c>
      <c r="AB46" s="74" t="str">
        <f t="shared" si="25"/>
        <v/>
      </c>
      <c r="AC46" s="35" t="str">
        <f t="shared" si="15"/>
        <v/>
      </c>
      <c r="AD46" s="40" t="str">
        <f t="shared" si="16"/>
        <v/>
      </c>
      <c r="AE46" s="37" t="str">
        <f t="shared" si="17"/>
        <v/>
      </c>
      <c r="AF46" s="40" t="str">
        <f t="shared" si="18"/>
        <v/>
      </c>
      <c r="AG46" s="37" t="str">
        <f t="shared" si="19"/>
        <v/>
      </c>
      <c r="AH46" s="40" t="str">
        <f t="shared" si="20"/>
        <v/>
      </c>
      <c r="AI46" s="37" t="str">
        <f t="shared" si="21"/>
        <v/>
      </c>
      <c r="AJ46" s="40" t="str">
        <f t="shared" si="22"/>
        <v/>
      </c>
      <c r="AK46" s="33" t="str">
        <f>IF(SEM!AK46="","",SEM!AK46)</f>
        <v/>
      </c>
      <c r="AL46" s="6"/>
      <c r="AM46" s="79" t="str">
        <f t="shared" si="12"/>
        <v/>
      </c>
      <c r="AN46" s="12"/>
      <c r="AO46" s="12"/>
      <c r="AP46" s="14"/>
      <c r="AQ46" s="16"/>
      <c r="AR46" s="15"/>
      <c r="AU46" s="198"/>
      <c r="AV46" s="198"/>
      <c r="AW46" s="198"/>
      <c r="AX46" s="198"/>
    </row>
    <row r="47" spans="2:50" ht="17.25" customHeight="1" x14ac:dyDescent="0.2">
      <c r="B47" s="6"/>
      <c r="C47" s="49" t="str">
        <f>IF(SEM!C47="","",SEM!C47)</f>
        <v/>
      </c>
      <c r="D47" s="220" t="str">
        <f>IF(C47="","",VLOOKUP(SEM!C47,FROTA!$B$5:$C$305,2,0))</f>
        <v/>
      </c>
      <c r="E47" s="24" t="str">
        <f>IF(C47="","",VLOOKUP(C47,FROTA!$B$5:$N$305,7,0))</f>
        <v/>
      </c>
      <c r="F47" s="38" t="str">
        <f t="shared" si="2"/>
        <v/>
      </c>
      <c r="G47" s="71" t="str">
        <f t="shared" si="13"/>
        <v/>
      </c>
      <c r="H47" s="32" t="str">
        <f t="shared" si="24"/>
        <v/>
      </c>
      <c r="I47" s="73" t="str">
        <f t="shared" si="24"/>
        <v/>
      </c>
      <c r="J47" s="73" t="str">
        <f t="shared" si="24"/>
        <v/>
      </c>
      <c r="K47" s="73" t="str">
        <f t="shared" si="23"/>
        <v/>
      </c>
      <c r="L47" s="73" t="str">
        <f t="shared" si="23"/>
        <v/>
      </c>
      <c r="M47" s="73" t="str">
        <f t="shared" si="23"/>
        <v/>
      </c>
      <c r="N47" s="73" t="str">
        <f t="shared" si="23"/>
        <v/>
      </c>
      <c r="O47" s="73" t="str">
        <f t="shared" si="23"/>
        <v/>
      </c>
      <c r="P47" s="73" t="str">
        <f t="shared" si="23"/>
        <v/>
      </c>
      <c r="Q47" s="73" t="str">
        <f t="shared" si="23"/>
        <v/>
      </c>
      <c r="R47" s="73" t="str">
        <f t="shared" si="25"/>
        <v/>
      </c>
      <c r="S47" s="73" t="str">
        <f t="shared" si="25"/>
        <v/>
      </c>
      <c r="T47" s="73" t="str">
        <f t="shared" si="25"/>
        <v/>
      </c>
      <c r="U47" s="73" t="str">
        <f t="shared" si="25"/>
        <v/>
      </c>
      <c r="V47" s="73" t="str">
        <f t="shared" si="25"/>
        <v/>
      </c>
      <c r="W47" s="73" t="str">
        <f t="shared" si="25"/>
        <v/>
      </c>
      <c r="X47" s="73" t="str">
        <f t="shared" si="25"/>
        <v/>
      </c>
      <c r="Y47" s="73" t="str">
        <f t="shared" si="25"/>
        <v/>
      </c>
      <c r="Z47" s="73" t="str">
        <f t="shared" si="25"/>
        <v/>
      </c>
      <c r="AA47" s="73" t="str">
        <f t="shared" si="25"/>
        <v/>
      </c>
      <c r="AB47" s="74" t="str">
        <f t="shared" si="25"/>
        <v/>
      </c>
      <c r="AC47" s="35" t="str">
        <f t="shared" si="15"/>
        <v/>
      </c>
      <c r="AD47" s="40" t="str">
        <f t="shared" si="16"/>
        <v/>
      </c>
      <c r="AE47" s="37" t="str">
        <f t="shared" si="17"/>
        <v/>
      </c>
      <c r="AF47" s="40" t="str">
        <f t="shared" si="18"/>
        <v/>
      </c>
      <c r="AG47" s="37" t="str">
        <f t="shared" si="19"/>
        <v/>
      </c>
      <c r="AH47" s="40" t="str">
        <f t="shared" si="20"/>
        <v/>
      </c>
      <c r="AI47" s="37" t="str">
        <f t="shared" si="21"/>
        <v/>
      </c>
      <c r="AJ47" s="40" t="str">
        <f t="shared" si="22"/>
        <v/>
      </c>
      <c r="AK47" s="33" t="str">
        <f>IF(SEM!AK47="","",SEM!AK47)</f>
        <v/>
      </c>
      <c r="AL47" s="6"/>
      <c r="AM47" s="79" t="str">
        <f t="shared" si="12"/>
        <v/>
      </c>
      <c r="AN47" s="12"/>
      <c r="AO47" s="12"/>
      <c r="AP47" s="14"/>
      <c r="AQ47" s="16"/>
      <c r="AR47" s="15"/>
      <c r="AU47" s="198"/>
      <c r="AV47" s="198"/>
      <c r="AW47" s="198"/>
      <c r="AX47" s="198"/>
    </row>
    <row r="48" spans="2:50" ht="17.25" customHeight="1" x14ac:dyDescent="0.2">
      <c r="B48" s="6"/>
      <c r="C48" s="49" t="str">
        <f>IF(SEM!C48="","",SEM!C48)</f>
        <v/>
      </c>
      <c r="D48" s="220" t="str">
        <f>IF(C48="","",VLOOKUP(SEM!C48,FROTA!$B$5:$C$305,2,0))</f>
        <v/>
      </c>
      <c r="E48" s="24" t="str">
        <f>IF(C48="","",VLOOKUP(C48,FROTA!$B$5:$N$305,7,0))</f>
        <v/>
      </c>
      <c r="F48" s="38" t="str">
        <f t="shared" si="2"/>
        <v/>
      </c>
      <c r="G48" s="71" t="str">
        <f t="shared" si="13"/>
        <v/>
      </c>
      <c r="H48" s="32" t="str">
        <f t="shared" si="24"/>
        <v/>
      </c>
      <c r="I48" s="73" t="str">
        <f t="shared" si="24"/>
        <v/>
      </c>
      <c r="J48" s="73" t="str">
        <f t="shared" si="24"/>
        <v/>
      </c>
      <c r="K48" s="73" t="str">
        <f t="shared" si="23"/>
        <v/>
      </c>
      <c r="L48" s="73" t="str">
        <f t="shared" si="23"/>
        <v/>
      </c>
      <c r="M48" s="73" t="str">
        <f t="shared" si="23"/>
        <v/>
      </c>
      <c r="N48" s="73" t="str">
        <f t="shared" si="23"/>
        <v/>
      </c>
      <c r="O48" s="73" t="str">
        <f t="shared" si="23"/>
        <v/>
      </c>
      <c r="P48" s="73" t="str">
        <f t="shared" si="23"/>
        <v/>
      </c>
      <c r="Q48" s="73" t="str">
        <f t="shared" si="23"/>
        <v/>
      </c>
      <c r="R48" s="73" t="str">
        <f t="shared" si="25"/>
        <v/>
      </c>
      <c r="S48" s="73" t="str">
        <f t="shared" si="25"/>
        <v/>
      </c>
      <c r="T48" s="73" t="str">
        <f t="shared" si="25"/>
        <v/>
      </c>
      <c r="U48" s="73" t="str">
        <f t="shared" si="25"/>
        <v/>
      </c>
      <c r="V48" s="73" t="str">
        <f t="shared" si="25"/>
        <v/>
      </c>
      <c r="W48" s="73" t="str">
        <f t="shared" si="25"/>
        <v/>
      </c>
      <c r="X48" s="73" t="str">
        <f t="shared" si="25"/>
        <v/>
      </c>
      <c r="Y48" s="73" t="str">
        <f t="shared" si="25"/>
        <v/>
      </c>
      <c r="Z48" s="73" t="str">
        <f t="shared" si="25"/>
        <v/>
      </c>
      <c r="AA48" s="73" t="str">
        <f t="shared" si="25"/>
        <v/>
      </c>
      <c r="AB48" s="74" t="str">
        <f t="shared" si="25"/>
        <v/>
      </c>
      <c r="AC48" s="35" t="str">
        <f t="shared" si="15"/>
        <v/>
      </c>
      <c r="AD48" s="40" t="str">
        <f t="shared" si="16"/>
        <v/>
      </c>
      <c r="AE48" s="37" t="str">
        <f t="shared" si="17"/>
        <v/>
      </c>
      <c r="AF48" s="40" t="str">
        <f t="shared" si="18"/>
        <v/>
      </c>
      <c r="AG48" s="37" t="str">
        <f t="shared" si="19"/>
        <v/>
      </c>
      <c r="AH48" s="40" t="str">
        <f t="shared" si="20"/>
        <v/>
      </c>
      <c r="AI48" s="37" t="str">
        <f t="shared" si="21"/>
        <v/>
      </c>
      <c r="AJ48" s="40" t="str">
        <f t="shared" si="22"/>
        <v/>
      </c>
      <c r="AK48" s="33" t="str">
        <f>IF(SEM!AK48="","",SEM!AK48)</f>
        <v/>
      </c>
      <c r="AL48" s="6"/>
      <c r="AM48" s="79" t="str">
        <f t="shared" si="12"/>
        <v/>
      </c>
      <c r="AN48" s="12"/>
      <c r="AO48" s="12"/>
      <c r="AP48" s="14"/>
      <c r="AQ48" s="16"/>
      <c r="AR48" s="15"/>
      <c r="AU48" s="198"/>
      <c r="AV48" s="198"/>
      <c r="AW48" s="198"/>
      <c r="AX48" s="198"/>
    </row>
    <row r="49" spans="2:50" ht="17.25" customHeight="1" x14ac:dyDescent="0.2">
      <c r="B49" s="6"/>
      <c r="C49" s="49" t="str">
        <f>IF(SEM!C49="","",SEM!C49)</f>
        <v/>
      </c>
      <c r="D49" s="220" t="str">
        <f>IF(C49="","",VLOOKUP(SEM!C49,FROTA!$B$5:$C$305,2,0))</f>
        <v/>
      </c>
      <c r="E49" s="24" t="str">
        <f>IF(C49="","",VLOOKUP(C49,FROTA!$B$5:$N$305,7,0))</f>
        <v/>
      </c>
      <c r="F49" s="38" t="str">
        <f t="shared" si="2"/>
        <v/>
      </c>
      <c r="G49" s="71" t="str">
        <f t="shared" si="13"/>
        <v/>
      </c>
      <c r="H49" s="32" t="str">
        <f t="shared" si="24"/>
        <v/>
      </c>
      <c r="I49" s="73" t="str">
        <f t="shared" si="24"/>
        <v/>
      </c>
      <c r="J49" s="73" t="str">
        <f t="shared" si="24"/>
        <v/>
      </c>
      <c r="K49" s="73" t="str">
        <f t="shared" si="23"/>
        <v/>
      </c>
      <c r="L49" s="73" t="str">
        <f t="shared" si="23"/>
        <v/>
      </c>
      <c r="M49" s="73" t="str">
        <f t="shared" si="23"/>
        <v/>
      </c>
      <c r="N49" s="73" t="str">
        <f t="shared" si="23"/>
        <v/>
      </c>
      <c r="O49" s="73" t="str">
        <f t="shared" si="23"/>
        <v/>
      </c>
      <c r="P49" s="73" t="str">
        <f t="shared" si="23"/>
        <v/>
      </c>
      <c r="Q49" s="73" t="str">
        <f t="shared" si="23"/>
        <v/>
      </c>
      <c r="R49" s="73" t="str">
        <f t="shared" si="25"/>
        <v/>
      </c>
      <c r="S49" s="73" t="str">
        <f t="shared" si="25"/>
        <v/>
      </c>
      <c r="T49" s="73" t="str">
        <f t="shared" si="25"/>
        <v/>
      </c>
      <c r="U49" s="73" t="str">
        <f t="shared" si="25"/>
        <v/>
      </c>
      <c r="V49" s="73" t="str">
        <f t="shared" si="25"/>
        <v/>
      </c>
      <c r="W49" s="73" t="str">
        <f t="shared" si="25"/>
        <v/>
      </c>
      <c r="X49" s="73" t="str">
        <f t="shared" si="25"/>
        <v/>
      </c>
      <c r="Y49" s="73" t="str">
        <f t="shared" si="25"/>
        <v/>
      </c>
      <c r="Z49" s="73" t="str">
        <f t="shared" si="25"/>
        <v/>
      </c>
      <c r="AA49" s="73" t="str">
        <f t="shared" si="25"/>
        <v/>
      </c>
      <c r="AB49" s="74" t="str">
        <f t="shared" si="25"/>
        <v/>
      </c>
      <c r="AC49" s="35" t="str">
        <f t="shared" si="15"/>
        <v/>
      </c>
      <c r="AD49" s="40" t="str">
        <f t="shared" si="16"/>
        <v/>
      </c>
      <c r="AE49" s="37" t="str">
        <f t="shared" si="17"/>
        <v/>
      </c>
      <c r="AF49" s="40" t="str">
        <f t="shared" si="18"/>
        <v/>
      </c>
      <c r="AG49" s="37" t="str">
        <f t="shared" si="19"/>
        <v/>
      </c>
      <c r="AH49" s="40" t="str">
        <f t="shared" si="20"/>
        <v/>
      </c>
      <c r="AI49" s="37" t="str">
        <f t="shared" si="21"/>
        <v/>
      </c>
      <c r="AJ49" s="40" t="str">
        <f t="shared" si="22"/>
        <v/>
      </c>
      <c r="AK49" s="33" t="str">
        <f>IF(SEM!AK49="","",SEM!AK49)</f>
        <v/>
      </c>
      <c r="AL49" s="6"/>
      <c r="AM49" s="79" t="str">
        <f t="shared" si="12"/>
        <v/>
      </c>
      <c r="AN49" s="12"/>
      <c r="AO49" s="12"/>
      <c r="AP49" s="14"/>
      <c r="AQ49" s="16"/>
      <c r="AR49" s="15"/>
      <c r="AU49" s="198"/>
      <c r="AV49" s="198"/>
      <c r="AW49" s="198"/>
      <c r="AX49" s="198"/>
    </row>
    <row r="50" spans="2:50" ht="17.25" customHeight="1" x14ac:dyDescent="0.2">
      <c r="B50" s="6"/>
      <c r="C50" s="49" t="str">
        <f>IF(SEM!C50="","",SEM!C50)</f>
        <v/>
      </c>
      <c r="D50" s="220" t="str">
        <f>IF(C50="","",VLOOKUP(SEM!C50,FROTA!$B$5:$C$305,2,0))</f>
        <v/>
      </c>
      <c r="E50" s="24" t="str">
        <f>IF(C50="","",VLOOKUP(C50,FROTA!$B$5:$N$305,7,0))</f>
        <v/>
      </c>
      <c r="F50" s="38" t="str">
        <f t="shared" si="2"/>
        <v/>
      </c>
      <c r="G50" s="71" t="str">
        <f t="shared" si="13"/>
        <v/>
      </c>
      <c r="H50" s="32" t="str">
        <f t="shared" si="24"/>
        <v/>
      </c>
      <c r="I50" s="73" t="str">
        <f t="shared" si="24"/>
        <v/>
      </c>
      <c r="J50" s="73" t="str">
        <f t="shared" si="24"/>
        <v/>
      </c>
      <c r="K50" s="73" t="str">
        <f t="shared" si="23"/>
        <v/>
      </c>
      <c r="L50" s="73" t="str">
        <f t="shared" si="23"/>
        <v/>
      </c>
      <c r="M50" s="73" t="str">
        <f t="shared" si="23"/>
        <v/>
      </c>
      <c r="N50" s="73" t="str">
        <f t="shared" si="23"/>
        <v/>
      </c>
      <c r="O50" s="73" t="str">
        <f t="shared" si="23"/>
        <v/>
      </c>
      <c r="P50" s="73" t="str">
        <f t="shared" si="23"/>
        <v/>
      </c>
      <c r="Q50" s="73" t="str">
        <f t="shared" si="23"/>
        <v/>
      </c>
      <c r="R50" s="73" t="str">
        <f t="shared" si="25"/>
        <v/>
      </c>
      <c r="S50" s="73" t="str">
        <f t="shared" si="25"/>
        <v/>
      </c>
      <c r="T50" s="73" t="str">
        <f t="shared" si="25"/>
        <v/>
      </c>
      <c r="U50" s="73" t="str">
        <f t="shared" si="25"/>
        <v/>
      </c>
      <c r="V50" s="73" t="str">
        <f t="shared" si="25"/>
        <v/>
      </c>
      <c r="W50" s="73" t="str">
        <f t="shared" si="25"/>
        <v/>
      </c>
      <c r="X50" s="73" t="str">
        <f t="shared" si="25"/>
        <v/>
      </c>
      <c r="Y50" s="73" t="str">
        <f t="shared" si="25"/>
        <v/>
      </c>
      <c r="Z50" s="73" t="str">
        <f t="shared" si="25"/>
        <v/>
      </c>
      <c r="AA50" s="73" t="str">
        <f t="shared" si="25"/>
        <v/>
      </c>
      <c r="AB50" s="74" t="str">
        <f t="shared" si="25"/>
        <v/>
      </c>
      <c r="AC50" s="35" t="str">
        <f t="shared" si="15"/>
        <v/>
      </c>
      <c r="AD50" s="40" t="str">
        <f t="shared" si="16"/>
        <v/>
      </c>
      <c r="AE50" s="37" t="str">
        <f t="shared" si="17"/>
        <v/>
      </c>
      <c r="AF50" s="40" t="str">
        <f t="shared" si="18"/>
        <v/>
      </c>
      <c r="AG50" s="37" t="str">
        <f t="shared" si="19"/>
        <v/>
      </c>
      <c r="AH50" s="40" t="str">
        <f t="shared" si="20"/>
        <v/>
      </c>
      <c r="AI50" s="37" t="str">
        <f t="shared" si="21"/>
        <v/>
      </c>
      <c r="AJ50" s="40" t="str">
        <f t="shared" si="22"/>
        <v/>
      </c>
      <c r="AK50" s="33" t="str">
        <f>IF(SEM!AK50="","",SEM!AK50)</f>
        <v/>
      </c>
      <c r="AL50" s="6"/>
      <c r="AM50" s="79" t="str">
        <f t="shared" si="12"/>
        <v/>
      </c>
      <c r="AN50" s="12"/>
      <c r="AO50" s="12"/>
      <c r="AP50" s="14"/>
      <c r="AQ50" s="16"/>
      <c r="AR50" s="15"/>
      <c r="AU50" s="198"/>
      <c r="AV50" s="198"/>
      <c r="AW50" s="198"/>
      <c r="AX50" s="198"/>
    </row>
    <row r="51" spans="2:50" ht="17.25" customHeight="1" x14ac:dyDescent="0.2">
      <c r="B51" s="6"/>
      <c r="C51" s="49" t="str">
        <f>IF(SEM!C51="","",SEM!C51)</f>
        <v/>
      </c>
      <c r="D51" s="220" t="str">
        <f>IF(C51="","",VLOOKUP(SEM!C51,FROTA!$B$5:$C$305,2,0))</f>
        <v/>
      </c>
      <c r="E51" s="24" t="str">
        <f>IF(C51="","",VLOOKUP(C51,FROTA!$B$5:$N$305,7,0))</f>
        <v/>
      </c>
      <c r="F51" s="38" t="str">
        <f t="shared" si="2"/>
        <v/>
      </c>
      <c r="G51" s="71" t="str">
        <f t="shared" si="13"/>
        <v/>
      </c>
      <c r="H51" s="32" t="str">
        <f t="shared" si="24"/>
        <v/>
      </c>
      <c r="I51" s="73" t="str">
        <f t="shared" si="24"/>
        <v/>
      </c>
      <c r="J51" s="73" t="str">
        <f t="shared" si="24"/>
        <v/>
      </c>
      <c r="K51" s="73" t="str">
        <f t="shared" si="23"/>
        <v/>
      </c>
      <c r="L51" s="73" t="str">
        <f t="shared" si="23"/>
        <v/>
      </c>
      <c r="M51" s="73" t="str">
        <f t="shared" si="23"/>
        <v/>
      </c>
      <c r="N51" s="73" t="str">
        <f t="shared" si="23"/>
        <v/>
      </c>
      <c r="O51" s="73" t="str">
        <f t="shared" si="23"/>
        <v/>
      </c>
      <c r="P51" s="73" t="str">
        <f t="shared" si="23"/>
        <v/>
      </c>
      <c r="Q51" s="73" t="str">
        <f t="shared" si="23"/>
        <v/>
      </c>
      <c r="R51" s="73" t="str">
        <f t="shared" si="25"/>
        <v/>
      </c>
      <c r="S51" s="73" t="str">
        <f t="shared" si="25"/>
        <v/>
      </c>
      <c r="T51" s="73" t="str">
        <f t="shared" si="25"/>
        <v/>
      </c>
      <c r="U51" s="73" t="str">
        <f t="shared" si="25"/>
        <v/>
      </c>
      <c r="V51" s="73" t="str">
        <f t="shared" si="25"/>
        <v/>
      </c>
      <c r="W51" s="73" t="str">
        <f t="shared" si="25"/>
        <v/>
      </c>
      <c r="X51" s="73" t="str">
        <f t="shared" si="25"/>
        <v/>
      </c>
      <c r="Y51" s="73" t="str">
        <f t="shared" si="25"/>
        <v/>
      </c>
      <c r="Z51" s="73" t="str">
        <f t="shared" si="25"/>
        <v/>
      </c>
      <c r="AA51" s="73" t="str">
        <f t="shared" si="25"/>
        <v/>
      </c>
      <c r="AB51" s="74" t="str">
        <f t="shared" si="25"/>
        <v/>
      </c>
      <c r="AC51" s="35" t="str">
        <f t="shared" si="15"/>
        <v/>
      </c>
      <c r="AD51" s="40" t="str">
        <f t="shared" si="16"/>
        <v/>
      </c>
      <c r="AE51" s="37" t="str">
        <f t="shared" si="17"/>
        <v/>
      </c>
      <c r="AF51" s="40" t="str">
        <f t="shared" si="18"/>
        <v/>
      </c>
      <c r="AG51" s="37" t="str">
        <f t="shared" si="19"/>
        <v/>
      </c>
      <c r="AH51" s="40" t="str">
        <f t="shared" si="20"/>
        <v/>
      </c>
      <c r="AI51" s="37" t="str">
        <f t="shared" si="21"/>
        <v/>
      </c>
      <c r="AJ51" s="40" t="str">
        <f t="shared" si="22"/>
        <v/>
      </c>
      <c r="AK51" s="33" t="str">
        <f>IF(SEM!AK51="","",SEM!AK51)</f>
        <v/>
      </c>
      <c r="AL51" s="6"/>
      <c r="AM51" s="79" t="str">
        <f t="shared" si="12"/>
        <v/>
      </c>
      <c r="AN51" s="12"/>
      <c r="AO51" s="12"/>
      <c r="AP51" s="14"/>
      <c r="AQ51" s="16"/>
      <c r="AR51" s="15"/>
      <c r="AU51" s="198"/>
      <c r="AV51" s="198"/>
      <c r="AW51" s="198"/>
      <c r="AX51" s="198"/>
    </row>
    <row r="52" spans="2:50" ht="17.25" customHeight="1" x14ac:dyDescent="0.2">
      <c r="B52" s="6"/>
      <c r="C52" s="49" t="str">
        <f>IF(SEM!C52="","",SEM!C52)</f>
        <v/>
      </c>
      <c r="D52" s="220" t="str">
        <f>IF(C52="","",VLOOKUP(SEM!C52,FROTA!$B$5:$C$305,2,0))</f>
        <v/>
      </c>
      <c r="E52" s="24" t="str">
        <f>IF(C52="","",VLOOKUP(C52,FROTA!$B$5:$N$305,7,0))</f>
        <v/>
      </c>
      <c r="F52" s="38" t="str">
        <f t="shared" si="2"/>
        <v/>
      </c>
      <c r="G52" s="71" t="str">
        <f t="shared" si="13"/>
        <v/>
      </c>
      <c r="H52" s="32" t="str">
        <f t="shared" si="24"/>
        <v/>
      </c>
      <c r="I52" s="73" t="str">
        <f t="shared" si="24"/>
        <v/>
      </c>
      <c r="J52" s="73" t="str">
        <f t="shared" si="24"/>
        <v/>
      </c>
      <c r="K52" s="73" t="str">
        <f t="shared" si="23"/>
        <v/>
      </c>
      <c r="L52" s="73" t="str">
        <f t="shared" si="23"/>
        <v/>
      </c>
      <c r="M52" s="73" t="str">
        <f t="shared" si="23"/>
        <v/>
      </c>
      <c r="N52" s="73" t="str">
        <f t="shared" si="23"/>
        <v/>
      </c>
      <c r="O52" s="73" t="str">
        <f t="shared" si="23"/>
        <v/>
      </c>
      <c r="P52" s="73" t="str">
        <f t="shared" si="23"/>
        <v/>
      </c>
      <c r="Q52" s="73" t="str">
        <f t="shared" si="23"/>
        <v/>
      </c>
      <c r="R52" s="73" t="str">
        <f t="shared" si="25"/>
        <v/>
      </c>
      <c r="S52" s="73" t="str">
        <f t="shared" si="25"/>
        <v/>
      </c>
      <c r="T52" s="73" t="str">
        <f t="shared" si="25"/>
        <v/>
      </c>
      <c r="U52" s="73" t="str">
        <f t="shared" si="25"/>
        <v/>
      </c>
      <c r="V52" s="73" t="str">
        <f t="shared" si="25"/>
        <v/>
      </c>
      <c r="W52" s="73" t="str">
        <f t="shared" si="25"/>
        <v/>
      </c>
      <c r="X52" s="73" t="str">
        <f t="shared" si="25"/>
        <v/>
      </c>
      <c r="Y52" s="73" t="str">
        <f t="shared" si="25"/>
        <v/>
      </c>
      <c r="Z52" s="73" t="str">
        <f t="shared" si="25"/>
        <v/>
      </c>
      <c r="AA52" s="73" t="str">
        <f t="shared" si="25"/>
        <v/>
      </c>
      <c r="AB52" s="74" t="str">
        <f t="shared" si="25"/>
        <v/>
      </c>
      <c r="AC52" s="35" t="str">
        <f t="shared" si="15"/>
        <v/>
      </c>
      <c r="AD52" s="40" t="str">
        <f t="shared" si="16"/>
        <v/>
      </c>
      <c r="AE52" s="37" t="str">
        <f t="shared" si="17"/>
        <v/>
      </c>
      <c r="AF52" s="40" t="str">
        <f t="shared" si="18"/>
        <v/>
      </c>
      <c r="AG52" s="37" t="str">
        <f t="shared" si="19"/>
        <v/>
      </c>
      <c r="AH52" s="40" t="str">
        <f t="shared" si="20"/>
        <v/>
      </c>
      <c r="AI52" s="37" t="str">
        <f t="shared" si="21"/>
        <v/>
      </c>
      <c r="AJ52" s="40" t="str">
        <f t="shared" si="22"/>
        <v/>
      </c>
      <c r="AK52" s="33" t="str">
        <f>IF(SEM!AK52="","",SEM!AK52)</f>
        <v/>
      </c>
      <c r="AL52" s="6"/>
      <c r="AM52" s="79" t="str">
        <f t="shared" si="12"/>
        <v/>
      </c>
      <c r="AN52" s="12"/>
      <c r="AO52" s="12"/>
      <c r="AP52" s="14"/>
      <c r="AQ52" s="16"/>
      <c r="AR52" s="15"/>
      <c r="AU52" s="198"/>
      <c r="AV52" s="198"/>
      <c r="AW52" s="198"/>
      <c r="AX52" s="198"/>
    </row>
    <row r="53" spans="2:50" ht="17.25" customHeight="1" x14ac:dyDescent="0.2">
      <c r="B53" s="6"/>
      <c r="C53" s="49" t="str">
        <f>IF(SEM!C53="","",SEM!C53)</f>
        <v/>
      </c>
      <c r="D53" s="220" t="str">
        <f>IF(C53="","",VLOOKUP(SEM!C53,FROTA!$B$5:$C$305,2,0))</f>
        <v/>
      </c>
      <c r="E53" s="24" t="str">
        <f>IF(C53="","",VLOOKUP(C53,FROTA!$B$5:$N$305,7,0))</f>
        <v/>
      </c>
      <c r="F53" s="38" t="str">
        <f t="shared" si="2"/>
        <v/>
      </c>
      <c r="G53" s="71" t="str">
        <f t="shared" si="13"/>
        <v/>
      </c>
      <c r="H53" s="32" t="str">
        <f t="shared" si="24"/>
        <v/>
      </c>
      <c r="I53" s="73" t="str">
        <f t="shared" si="24"/>
        <v/>
      </c>
      <c r="J53" s="73" t="str">
        <f t="shared" si="24"/>
        <v/>
      </c>
      <c r="K53" s="73" t="str">
        <f t="shared" si="23"/>
        <v/>
      </c>
      <c r="L53" s="73" t="str">
        <f t="shared" si="23"/>
        <v/>
      </c>
      <c r="M53" s="73" t="str">
        <f t="shared" si="23"/>
        <v/>
      </c>
      <c r="N53" s="73" t="str">
        <f t="shared" si="23"/>
        <v/>
      </c>
      <c r="O53" s="73" t="str">
        <f t="shared" si="23"/>
        <v/>
      </c>
      <c r="P53" s="73" t="str">
        <f t="shared" si="23"/>
        <v/>
      </c>
      <c r="Q53" s="73" t="str">
        <f t="shared" si="23"/>
        <v/>
      </c>
      <c r="R53" s="73" t="str">
        <f t="shared" si="25"/>
        <v/>
      </c>
      <c r="S53" s="73" t="str">
        <f t="shared" si="25"/>
        <v/>
      </c>
      <c r="T53" s="73" t="str">
        <f t="shared" si="25"/>
        <v/>
      </c>
      <c r="U53" s="73" t="str">
        <f t="shared" si="25"/>
        <v/>
      </c>
      <c r="V53" s="73" t="str">
        <f t="shared" si="25"/>
        <v/>
      </c>
      <c r="W53" s="73" t="str">
        <f t="shared" si="25"/>
        <v/>
      </c>
      <c r="X53" s="73" t="str">
        <f t="shared" si="25"/>
        <v/>
      </c>
      <c r="Y53" s="73" t="str">
        <f t="shared" si="25"/>
        <v/>
      </c>
      <c r="Z53" s="73" t="str">
        <f t="shared" si="25"/>
        <v/>
      </c>
      <c r="AA53" s="73" t="str">
        <f t="shared" si="25"/>
        <v/>
      </c>
      <c r="AB53" s="74" t="str">
        <f t="shared" si="25"/>
        <v/>
      </c>
      <c r="AC53" s="35" t="str">
        <f t="shared" si="15"/>
        <v/>
      </c>
      <c r="AD53" s="40" t="str">
        <f t="shared" si="16"/>
        <v/>
      </c>
      <c r="AE53" s="37" t="str">
        <f t="shared" si="17"/>
        <v/>
      </c>
      <c r="AF53" s="40" t="str">
        <f t="shared" si="18"/>
        <v/>
      </c>
      <c r="AG53" s="37" t="str">
        <f t="shared" si="19"/>
        <v/>
      </c>
      <c r="AH53" s="40" t="str">
        <f t="shared" si="20"/>
        <v/>
      </c>
      <c r="AI53" s="37" t="str">
        <f t="shared" si="21"/>
        <v/>
      </c>
      <c r="AJ53" s="40" t="str">
        <f t="shared" si="22"/>
        <v/>
      </c>
      <c r="AK53" s="33" t="str">
        <f>IF(SEM!AK53="","",SEM!AK53)</f>
        <v/>
      </c>
      <c r="AL53" s="6"/>
      <c r="AM53" s="79" t="str">
        <f t="shared" si="12"/>
        <v/>
      </c>
      <c r="AN53" s="12"/>
      <c r="AO53" s="12"/>
      <c r="AP53" s="14"/>
      <c r="AQ53" s="16"/>
      <c r="AR53" s="15"/>
      <c r="AU53" s="198"/>
      <c r="AV53" s="198"/>
      <c r="AW53" s="198"/>
      <c r="AX53" s="198"/>
    </row>
    <row r="54" spans="2:50" ht="17.25" customHeight="1" x14ac:dyDescent="0.2">
      <c r="B54" s="6"/>
      <c r="C54" s="49" t="str">
        <f>IF(SEM!C54="","",SEM!C54)</f>
        <v/>
      </c>
      <c r="D54" s="220" t="str">
        <f>IF(C54="","",VLOOKUP(SEM!C54,FROTA!$B$5:$C$305,2,0))</f>
        <v/>
      </c>
      <c r="E54" s="24" t="str">
        <f>IF(C54="","",VLOOKUP(C54,FROTA!$B$5:$N$305,7,0))</f>
        <v/>
      </c>
      <c r="F54" s="38" t="str">
        <f t="shared" si="2"/>
        <v/>
      </c>
      <c r="G54" s="71" t="str">
        <f t="shared" si="13"/>
        <v/>
      </c>
      <c r="H54" s="32" t="str">
        <f t="shared" si="24"/>
        <v/>
      </c>
      <c r="I54" s="73" t="str">
        <f t="shared" si="24"/>
        <v/>
      </c>
      <c r="J54" s="73" t="str">
        <f t="shared" si="24"/>
        <v/>
      </c>
      <c r="K54" s="73" t="str">
        <f t="shared" si="23"/>
        <v/>
      </c>
      <c r="L54" s="73" t="str">
        <f t="shared" si="23"/>
        <v/>
      </c>
      <c r="M54" s="73" t="str">
        <f t="shared" si="23"/>
        <v/>
      </c>
      <c r="N54" s="73" t="str">
        <f t="shared" si="23"/>
        <v/>
      </c>
      <c r="O54" s="73" t="str">
        <f t="shared" si="23"/>
        <v/>
      </c>
      <c r="P54" s="73" t="str">
        <f t="shared" si="23"/>
        <v/>
      </c>
      <c r="Q54" s="73" t="str">
        <f t="shared" si="23"/>
        <v/>
      </c>
      <c r="R54" s="73" t="str">
        <f t="shared" si="25"/>
        <v/>
      </c>
      <c r="S54" s="73" t="str">
        <f t="shared" si="25"/>
        <v/>
      </c>
      <c r="T54" s="73" t="str">
        <f t="shared" si="25"/>
        <v/>
      </c>
      <c r="U54" s="73" t="str">
        <f t="shared" si="25"/>
        <v/>
      </c>
      <c r="V54" s="73" t="str">
        <f t="shared" si="25"/>
        <v/>
      </c>
      <c r="W54" s="73" t="str">
        <f t="shared" si="25"/>
        <v/>
      </c>
      <c r="X54" s="73" t="str">
        <f t="shared" si="25"/>
        <v/>
      </c>
      <c r="Y54" s="73" t="str">
        <f t="shared" si="25"/>
        <v/>
      </c>
      <c r="Z54" s="73" t="str">
        <f t="shared" si="25"/>
        <v/>
      </c>
      <c r="AA54" s="73" t="str">
        <f t="shared" si="25"/>
        <v/>
      </c>
      <c r="AB54" s="74" t="str">
        <f t="shared" si="25"/>
        <v/>
      </c>
      <c r="AC54" s="35" t="str">
        <f t="shared" si="15"/>
        <v/>
      </c>
      <c r="AD54" s="40" t="str">
        <f t="shared" si="16"/>
        <v/>
      </c>
      <c r="AE54" s="37" t="str">
        <f t="shared" si="17"/>
        <v/>
      </c>
      <c r="AF54" s="40" t="str">
        <f t="shared" si="18"/>
        <v/>
      </c>
      <c r="AG54" s="37" t="str">
        <f t="shared" si="19"/>
        <v/>
      </c>
      <c r="AH54" s="40" t="str">
        <f t="shared" si="20"/>
        <v/>
      </c>
      <c r="AI54" s="37" t="str">
        <f t="shared" si="21"/>
        <v/>
      </c>
      <c r="AJ54" s="40" t="str">
        <f t="shared" si="22"/>
        <v/>
      </c>
      <c r="AK54" s="33" t="str">
        <f>IF(SEM!AK54="","",SEM!AK54)</f>
        <v/>
      </c>
      <c r="AL54" s="6"/>
      <c r="AM54" s="79" t="str">
        <f t="shared" si="12"/>
        <v/>
      </c>
      <c r="AN54" s="12"/>
      <c r="AO54" s="12"/>
      <c r="AP54" s="14"/>
      <c r="AQ54" s="16"/>
      <c r="AR54" s="15"/>
      <c r="AU54" s="198"/>
      <c r="AV54" s="198"/>
      <c r="AW54" s="198"/>
      <c r="AX54" s="198"/>
    </row>
    <row r="55" spans="2:50" ht="17.25" customHeight="1" x14ac:dyDescent="0.2">
      <c r="B55" s="6"/>
      <c r="C55" s="49" t="str">
        <f>IF(SEM!C55="","",SEM!C55)</f>
        <v/>
      </c>
      <c r="D55" s="220" t="str">
        <f>IF(C55="","",VLOOKUP(SEM!C55,FROTA!$B$5:$C$305,2,0))</f>
        <v/>
      </c>
      <c r="E55" s="24" t="str">
        <f>IF(C55="","",VLOOKUP(C55,FROTA!$B$5:$N$305,7,0))</f>
        <v/>
      </c>
      <c r="F55" s="38" t="str">
        <f t="shared" si="2"/>
        <v/>
      </c>
      <c r="G55" s="71" t="str">
        <f t="shared" si="13"/>
        <v/>
      </c>
      <c r="H55" s="32" t="str">
        <f t="shared" si="24"/>
        <v/>
      </c>
      <c r="I55" s="73" t="str">
        <f t="shared" si="24"/>
        <v/>
      </c>
      <c r="J55" s="73" t="str">
        <f t="shared" si="24"/>
        <v/>
      </c>
      <c r="K55" s="73" t="str">
        <f t="shared" si="23"/>
        <v/>
      </c>
      <c r="L55" s="73" t="str">
        <f t="shared" si="23"/>
        <v/>
      </c>
      <c r="M55" s="73" t="str">
        <f t="shared" si="23"/>
        <v/>
      </c>
      <c r="N55" s="73" t="str">
        <f t="shared" si="23"/>
        <v/>
      </c>
      <c r="O55" s="73" t="str">
        <f t="shared" si="23"/>
        <v/>
      </c>
      <c r="P55" s="73" t="str">
        <f t="shared" si="23"/>
        <v/>
      </c>
      <c r="Q55" s="73" t="str">
        <f t="shared" si="23"/>
        <v/>
      </c>
      <c r="R55" s="73" t="str">
        <f t="shared" si="25"/>
        <v/>
      </c>
      <c r="S55" s="73" t="str">
        <f t="shared" si="25"/>
        <v/>
      </c>
      <c r="T55" s="73" t="str">
        <f t="shared" si="25"/>
        <v/>
      </c>
      <c r="U55" s="73" t="str">
        <f t="shared" si="25"/>
        <v/>
      </c>
      <c r="V55" s="73" t="str">
        <f t="shared" si="25"/>
        <v/>
      </c>
      <c r="W55" s="73" t="str">
        <f t="shared" si="25"/>
        <v/>
      </c>
      <c r="X55" s="73" t="str">
        <f t="shared" si="25"/>
        <v/>
      </c>
      <c r="Y55" s="73" t="str">
        <f t="shared" si="25"/>
        <v/>
      </c>
      <c r="Z55" s="73" t="str">
        <f t="shared" si="25"/>
        <v/>
      </c>
      <c r="AA55" s="73" t="str">
        <f t="shared" si="25"/>
        <v/>
      </c>
      <c r="AB55" s="74" t="str">
        <f t="shared" si="25"/>
        <v/>
      </c>
      <c r="AC55" s="35" t="str">
        <f t="shared" si="15"/>
        <v/>
      </c>
      <c r="AD55" s="40" t="str">
        <f t="shared" si="16"/>
        <v/>
      </c>
      <c r="AE55" s="37" t="str">
        <f t="shared" si="17"/>
        <v/>
      </c>
      <c r="AF55" s="40" t="str">
        <f t="shared" si="18"/>
        <v/>
      </c>
      <c r="AG55" s="37" t="str">
        <f t="shared" si="19"/>
        <v/>
      </c>
      <c r="AH55" s="40" t="str">
        <f t="shared" si="20"/>
        <v/>
      </c>
      <c r="AI55" s="37" t="str">
        <f t="shared" si="21"/>
        <v/>
      </c>
      <c r="AJ55" s="40" t="str">
        <f t="shared" si="22"/>
        <v/>
      </c>
      <c r="AK55" s="33" t="str">
        <f>IF(SEM!AK55="","",SEM!AK55)</f>
        <v/>
      </c>
      <c r="AL55" s="6"/>
      <c r="AM55" s="79" t="str">
        <f t="shared" si="12"/>
        <v/>
      </c>
      <c r="AN55" s="12"/>
      <c r="AO55" s="12"/>
      <c r="AP55" s="14"/>
      <c r="AQ55" s="16"/>
      <c r="AR55" s="15"/>
      <c r="AU55" s="198"/>
      <c r="AV55" s="198"/>
      <c r="AW55" s="198"/>
      <c r="AX55" s="198"/>
    </row>
    <row r="56" spans="2:50" ht="17.25" customHeight="1" x14ac:dyDescent="0.2">
      <c r="B56" s="6"/>
      <c r="C56" s="49" t="str">
        <f>IF(SEM!C56="","",SEM!C56)</f>
        <v/>
      </c>
      <c r="D56" s="220" t="str">
        <f>IF(C56="","",VLOOKUP(SEM!C56,FROTA!$B$5:$C$305,2,0))</f>
        <v/>
      </c>
      <c r="E56" s="24" t="str">
        <f>IF(C56="","",VLOOKUP(C56,FROTA!$B$5:$N$305,7,0))</f>
        <v/>
      </c>
      <c r="F56" s="38" t="str">
        <f t="shared" si="2"/>
        <v/>
      </c>
      <c r="G56" s="71" t="str">
        <f t="shared" si="13"/>
        <v/>
      </c>
      <c r="H56" s="32" t="str">
        <f t="shared" si="24"/>
        <v/>
      </c>
      <c r="I56" s="73" t="str">
        <f t="shared" si="24"/>
        <v/>
      </c>
      <c r="J56" s="73" t="str">
        <f t="shared" si="24"/>
        <v/>
      </c>
      <c r="K56" s="73" t="str">
        <f t="shared" si="23"/>
        <v/>
      </c>
      <c r="L56" s="73" t="str">
        <f t="shared" si="23"/>
        <v/>
      </c>
      <c r="M56" s="73" t="str">
        <f t="shared" si="23"/>
        <v/>
      </c>
      <c r="N56" s="73" t="str">
        <f t="shared" si="23"/>
        <v/>
      </c>
      <c r="O56" s="73" t="str">
        <f t="shared" si="23"/>
        <v/>
      </c>
      <c r="P56" s="73" t="str">
        <f t="shared" si="23"/>
        <v/>
      </c>
      <c r="Q56" s="73" t="str">
        <f t="shared" si="23"/>
        <v/>
      </c>
      <c r="R56" s="73" t="str">
        <f t="shared" si="25"/>
        <v/>
      </c>
      <c r="S56" s="73" t="str">
        <f t="shared" si="25"/>
        <v/>
      </c>
      <c r="T56" s="73" t="str">
        <f t="shared" si="25"/>
        <v/>
      </c>
      <c r="U56" s="73" t="str">
        <f t="shared" si="25"/>
        <v/>
      </c>
      <c r="V56" s="73" t="str">
        <f t="shared" si="25"/>
        <v/>
      </c>
      <c r="W56" s="73" t="str">
        <f t="shared" si="25"/>
        <v/>
      </c>
      <c r="X56" s="73" t="str">
        <f t="shared" si="25"/>
        <v/>
      </c>
      <c r="Y56" s="73" t="str">
        <f t="shared" si="25"/>
        <v/>
      </c>
      <c r="Z56" s="73" t="str">
        <f t="shared" si="25"/>
        <v/>
      </c>
      <c r="AA56" s="73" t="str">
        <f t="shared" si="25"/>
        <v/>
      </c>
      <c r="AB56" s="74" t="str">
        <f t="shared" si="25"/>
        <v/>
      </c>
      <c r="AC56" s="35" t="str">
        <f t="shared" si="15"/>
        <v/>
      </c>
      <c r="AD56" s="40" t="str">
        <f t="shared" si="16"/>
        <v/>
      </c>
      <c r="AE56" s="37" t="str">
        <f t="shared" si="17"/>
        <v/>
      </c>
      <c r="AF56" s="40" t="str">
        <f t="shared" si="18"/>
        <v/>
      </c>
      <c r="AG56" s="37" t="str">
        <f t="shared" si="19"/>
        <v/>
      </c>
      <c r="AH56" s="40" t="str">
        <f t="shared" si="20"/>
        <v/>
      </c>
      <c r="AI56" s="37" t="str">
        <f t="shared" si="21"/>
        <v/>
      </c>
      <c r="AJ56" s="40" t="str">
        <f t="shared" si="22"/>
        <v/>
      </c>
      <c r="AK56" s="33" t="str">
        <f>IF(SEM!AK56="","",SEM!AK56)</f>
        <v/>
      </c>
      <c r="AL56" s="6"/>
      <c r="AM56" s="79" t="str">
        <f t="shared" si="12"/>
        <v/>
      </c>
      <c r="AN56" s="12"/>
      <c r="AO56" s="12"/>
      <c r="AP56" s="14"/>
      <c r="AQ56" s="16"/>
      <c r="AR56" s="15"/>
      <c r="AU56" s="198"/>
      <c r="AV56" s="198"/>
      <c r="AW56" s="198"/>
      <c r="AX56" s="198"/>
    </row>
    <row r="57" spans="2:50" ht="17.25" customHeight="1" x14ac:dyDescent="0.2">
      <c r="B57" s="6"/>
      <c r="C57" s="49" t="str">
        <f>IF(SEM!C57="","",SEM!C57)</f>
        <v/>
      </c>
      <c r="D57" s="220" t="str">
        <f>IF(C57="","",VLOOKUP(SEM!C57,FROTA!$B$5:$C$305,2,0))</f>
        <v/>
      </c>
      <c r="E57" s="24" t="str">
        <f>IF(C57="","",VLOOKUP(C57,FROTA!$B$5:$N$305,7,0))</f>
        <v/>
      </c>
      <c r="F57" s="38" t="str">
        <f t="shared" si="2"/>
        <v/>
      </c>
      <c r="G57" s="71" t="str">
        <f t="shared" si="13"/>
        <v/>
      </c>
      <c r="H57" s="32" t="str">
        <f t="shared" si="24"/>
        <v/>
      </c>
      <c r="I57" s="73" t="str">
        <f t="shared" si="24"/>
        <v/>
      </c>
      <c r="J57" s="73" t="str">
        <f t="shared" si="24"/>
        <v/>
      </c>
      <c r="K57" s="73" t="str">
        <f t="shared" si="23"/>
        <v/>
      </c>
      <c r="L57" s="73" t="str">
        <f t="shared" si="23"/>
        <v/>
      </c>
      <c r="M57" s="73" t="str">
        <f t="shared" si="23"/>
        <v/>
      </c>
      <c r="N57" s="73" t="str">
        <f t="shared" si="23"/>
        <v/>
      </c>
      <c r="O57" s="73" t="str">
        <f t="shared" si="23"/>
        <v/>
      </c>
      <c r="P57" s="73" t="str">
        <f t="shared" si="23"/>
        <v/>
      </c>
      <c r="Q57" s="73" t="str">
        <f t="shared" si="23"/>
        <v/>
      </c>
      <c r="R57" s="73" t="str">
        <f t="shared" si="25"/>
        <v/>
      </c>
      <c r="S57" s="73" t="str">
        <f t="shared" si="25"/>
        <v/>
      </c>
      <c r="T57" s="73" t="str">
        <f t="shared" si="25"/>
        <v/>
      </c>
      <c r="U57" s="73" t="str">
        <f t="shared" si="25"/>
        <v/>
      </c>
      <c r="V57" s="73" t="str">
        <f t="shared" si="25"/>
        <v/>
      </c>
      <c r="W57" s="73" t="str">
        <f t="shared" si="25"/>
        <v/>
      </c>
      <c r="X57" s="73" t="str">
        <f t="shared" si="25"/>
        <v/>
      </c>
      <c r="Y57" s="73" t="str">
        <f t="shared" si="25"/>
        <v/>
      </c>
      <c r="Z57" s="73" t="str">
        <f t="shared" si="25"/>
        <v/>
      </c>
      <c r="AA57" s="73" t="str">
        <f t="shared" si="25"/>
        <v/>
      </c>
      <c r="AB57" s="74" t="str">
        <f t="shared" si="25"/>
        <v/>
      </c>
      <c r="AC57" s="35" t="str">
        <f t="shared" si="15"/>
        <v/>
      </c>
      <c r="AD57" s="40" t="str">
        <f t="shared" si="16"/>
        <v/>
      </c>
      <c r="AE57" s="37" t="str">
        <f t="shared" si="17"/>
        <v/>
      </c>
      <c r="AF57" s="40" t="str">
        <f t="shared" si="18"/>
        <v/>
      </c>
      <c r="AG57" s="37" t="str">
        <f t="shared" si="19"/>
        <v/>
      </c>
      <c r="AH57" s="40" t="str">
        <f t="shared" si="20"/>
        <v/>
      </c>
      <c r="AI57" s="37" t="str">
        <f t="shared" si="21"/>
        <v/>
      </c>
      <c r="AJ57" s="40" t="str">
        <f t="shared" si="22"/>
        <v/>
      </c>
      <c r="AK57" s="33" t="str">
        <f>IF(SEM!AK57="","",SEM!AK57)</f>
        <v/>
      </c>
      <c r="AL57" s="6"/>
      <c r="AM57" s="79" t="str">
        <f t="shared" si="12"/>
        <v/>
      </c>
      <c r="AN57" s="12"/>
      <c r="AO57" s="12"/>
      <c r="AP57" s="14"/>
      <c r="AQ57" s="16"/>
      <c r="AR57" s="15"/>
      <c r="AU57" s="198"/>
      <c r="AV57" s="198"/>
      <c r="AW57" s="198"/>
      <c r="AX57" s="198"/>
    </row>
    <row r="58" spans="2:50" ht="17.25" customHeight="1" x14ac:dyDescent="0.2">
      <c r="B58" s="6"/>
      <c r="C58" s="49" t="str">
        <f>IF(SEM!C58="","",SEM!C58)</f>
        <v/>
      </c>
      <c r="D58" s="220" t="str">
        <f>IF(C58="","",VLOOKUP(SEM!C58,FROTA!$B$5:$C$305,2,0))</f>
        <v/>
      </c>
      <c r="E58" s="24" t="str">
        <f>IF(C58="","",VLOOKUP(C58,FROTA!$B$5:$N$305,7,0))</f>
        <v/>
      </c>
      <c r="F58" s="38" t="str">
        <f t="shared" si="2"/>
        <v/>
      </c>
      <c r="G58" s="71" t="str">
        <f t="shared" si="13"/>
        <v/>
      </c>
      <c r="H58" s="32" t="str">
        <f t="shared" si="24"/>
        <v/>
      </c>
      <c r="I58" s="73" t="str">
        <f t="shared" si="24"/>
        <v/>
      </c>
      <c r="J58" s="73" t="str">
        <f t="shared" si="24"/>
        <v/>
      </c>
      <c r="K58" s="73" t="str">
        <f t="shared" si="23"/>
        <v/>
      </c>
      <c r="L58" s="73" t="str">
        <f t="shared" si="23"/>
        <v/>
      </c>
      <c r="M58" s="73" t="str">
        <f t="shared" si="23"/>
        <v/>
      </c>
      <c r="N58" s="73" t="str">
        <f t="shared" ref="K58:Q94" si="26">IF($C58="","",IF(SUM(N$307*$G58)&gt;$F58,$F58,SUM(N$307*$G58)))</f>
        <v/>
      </c>
      <c r="O58" s="73" t="str">
        <f t="shared" si="26"/>
        <v/>
      </c>
      <c r="P58" s="73" t="str">
        <f t="shared" si="26"/>
        <v/>
      </c>
      <c r="Q58" s="73" t="str">
        <f t="shared" si="26"/>
        <v/>
      </c>
      <c r="R58" s="73" t="str">
        <f t="shared" si="25"/>
        <v/>
      </c>
      <c r="S58" s="73" t="str">
        <f t="shared" si="25"/>
        <v/>
      </c>
      <c r="T58" s="73" t="str">
        <f t="shared" si="25"/>
        <v/>
      </c>
      <c r="U58" s="73" t="str">
        <f t="shared" si="25"/>
        <v/>
      </c>
      <c r="V58" s="73" t="str">
        <f t="shared" si="25"/>
        <v/>
      </c>
      <c r="W58" s="73" t="str">
        <f t="shared" si="25"/>
        <v/>
      </c>
      <c r="X58" s="73" t="str">
        <f t="shared" si="25"/>
        <v/>
      </c>
      <c r="Y58" s="73" t="str">
        <f t="shared" si="25"/>
        <v/>
      </c>
      <c r="Z58" s="73" t="str">
        <f t="shared" si="25"/>
        <v/>
      </c>
      <c r="AA58" s="73" t="str">
        <f t="shared" si="25"/>
        <v/>
      </c>
      <c r="AB58" s="74" t="str">
        <f t="shared" si="25"/>
        <v/>
      </c>
      <c r="AC58" s="35" t="str">
        <f t="shared" si="15"/>
        <v/>
      </c>
      <c r="AD58" s="40" t="str">
        <f t="shared" si="16"/>
        <v/>
      </c>
      <c r="AE58" s="37" t="str">
        <f t="shared" si="17"/>
        <v/>
      </c>
      <c r="AF58" s="40" t="str">
        <f t="shared" si="18"/>
        <v/>
      </c>
      <c r="AG58" s="37" t="str">
        <f t="shared" si="19"/>
        <v/>
      </c>
      <c r="AH58" s="40" t="str">
        <f t="shared" si="20"/>
        <v/>
      </c>
      <c r="AI58" s="37" t="str">
        <f t="shared" si="21"/>
        <v/>
      </c>
      <c r="AJ58" s="40" t="str">
        <f t="shared" si="22"/>
        <v/>
      </c>
      <c r="AK58" s="33" t="str">
        <f>IF(SEM!AK58="","",SEM!AK58)</f>
        <v/>
      </c>
      <c r="AL58" s="6"/>
      <c r="AM58" s="79" t="str">
        <f t="shared" si="12"/>
        <v/>
      </c>
      <c r="AN58" s="12"/>
      <c r="AO58" s="12"/>
      <c r="AP58" s="14"/>
      <c r="AQ58" s="16"/>
      <c r="AR58" s="15"/>
      <c r="AU58" s="198"/>
      <c r="AV58" s="198"/>
      <c r="AW58" s="198"/>
      <c r="AX58" s="198"/>
    </row>
    <row r="59" spans="2:50" ht="17.25" customHeight="1" x14ac:dyDescent="0.2">
      <c r="B59" s="6"/>
      <c r="C59" s="49" t="str">
        <f>IF(SEM!C59="","",SEM!C59)</f>
        <v/>
      </c>
      <c r="D59" s="220" t="str">
        <f>IF(C59="","",VLOOKUP(SEM!C59,FROTA!$B$5:$C$305,2,0))</f>
        <v/>
      </c>
      <c r="E59" s="24" t="str">
        <f>IF(C59="","",VLOOKUP(C59,FROTA!$B$5:$N$305,7,0))</f>
        <v/>
      </c>
      <c r="F59" s="38" t="str">
        <f t="shared" si="2"/>
        <v/>
      </c>
      <c r="G59" s="71" t="str">
        <f t="shared" si="13"/>
        <v/>
      </c>
      <c r="H59" s="32" t="str">
        <f t="shared" si="24"/>
        <v/>
      </c>
      <c r="I59" s="73" t="str">
        <f t="shared" si="24"/>
        <v/>
      </c>
      <c r="J59" s="73" t="str">
        <f t="shared" si="24"/>
        <v/>
      </c>
      <c r="K59" s="73" t="str">
        <f t="shared" si="26"/>
        <v/>
      </c>
      <c r="L59" s="73" t="str">
        <f t="shared" si="26"/>
        <v/>
      </c>
      <c r="M59" s="73" t="str">
        <f t="shared" si="26"/>
        <v/>
      </c>
      <c r="N59" s="73" t="str">
        <f t="shared" si="26"/>
        <v/>
      </c>
      <c r="O59" s="73" t="str">
        <f t="shared" si="26"/>
        <v/>
      </c>
      <c r="P59" s="73" t="str">
        <f t="shared" si="26"/>
        <v/>
      </c>
      <c r="Q59" s="73" t="str">
        <f t="shared" si="26"/>
        <v/>
      </c>
      <c r="R59" s="73" t="str">
        <f t="shared" si="25"/>
        <v/>
      </c>
      <c r="S59" s="73" t="str">
        <f t="shared" si="25"/>
        <v/>
      </c>
      <c r="T59" s="73" t="str">
        <f t="shared" si="25"/>
        <v/>
      </c>
      <c r="U59" s="73" t="str">
        <f t="shared" si="25"/>
        <v/>
      </c>
      <c r="V59" s="73" t="str">
        <f t="shared" si="25"/>
        <v/>
      </c>
      <c r="W59" s="73" t="str">
        <f t="shared" si="25"/>
        <v/>
      </c>
      <c r="X59" s="73" t="str">
        <f t="shared" si="25"/>
        <v/>
      </c>
      <c r="Y59" s="73" t="str">
        <f t="shared" si="25"/>
        <v/>
      </c>
      <c r="Z59" s="73" t="str">
        <f t="shared" si="25"/>
        <v/>
      </c>
      <c r="AA59" s="73" t="str">
        <f t="shared" si="25"/>
        <v/>
      </c>
      <c r="AB59" s="74" t="str">
        <f t="shared" si="25"/>
        <v/>
      </c>
      <c r="AC59" s="35" t="str">
        <f t="shared" si="15"/>
        <v/>
      </c>
      <c r="AD59" s="40" t="str">
        <f t="shared" si="16"/>
        <v/>
      </c>
      <c r="AE59" s="37" t="str">
        <f t="shared" si="17"/>
        <v/>
      </c>
      <c r="AF59" s="40" t="str">
        <f t="shared" si="18"/>
        <v/>
      </c>
      <c r="AG59" s="37" t="str">
        <f t="shared" si="19"/>
        <v/>
      </c>
      <c r="AH59" s="40" t="str">
        <f t="shared" si="20"/>
        <v/>
      </c>
      <c r="AI59" s="37" t="str">
        <f t="shared" si="21"/>
        <v/>
      </c>
      <c r="AJ59" s="40" t="str">
        <f t="shared" si="22"/>
        <v/>
      </c>
      <c r="AK59" s="33" t="str">
        <f>IF(SEM!AK59="","",SEM!AK59)</f>
        <v/>
      </c>
      <c r="AL59" s="6"/>
      <c r="AM59" s="79" t="str">
        <f t="shared" si="12"/>
        <v/>
      </c>
      <c r="AN59" s="12"/>
      <c r="AO59" s="12"/>
      <c r="AP59" s="14"/>
      <c r="AQ59" s="16"/>
      <c r="AR59" s="15"/>
      <c r="AU59" s="198"/>
      <c r="AV59" s="198"/>
      <c r="AW59" s="198"/>
      <c r="AX59" s="198"/>
    </row>
    <row r="60" spans="2:50" ht="17.25" customHeight="1" x14ac:dyDescent="0.2">
      <c r="B60" s="6"/>
      <c r="C60" s="49" t="str">
        <f>IF(SEM!C60="","",SEM!C60)</f>
        <v/>
      </c>
      <c r="D60" s="220" t="str">
        <f>IF(C60="","",VLOOKUP(SEM!C60,FROTA!$B$5:$C$305,2,0))</f>
        <v/>
      </c>
      <c r="E60" s="24" t="str">
        <f>IF(C60="","",VLOOKUP(C60,FROTA!$B$5:$N$305,7,0))</f>
        <v/>
      </c>
      <c r="F60" s="38" t="str">
        <f t="shared" si="2"/>
        <v/>
      </c>
      <c r="G60" s="71" t="str">
        <f t="shared" si="13"/>
        <v/>
      </c>
      <c r="H60" s="32" t="str">
        <f t="shared" si="24"/>
        <v/>
      </c>
      <c r="I60" s="73" t="str">
        <f t="shared" si="24"/>
        <v/>
      </c>
      <c r="J60" s="73" t="str">
        <f t="shared" si="24"/>
        <v/>
      </c>
      <c r="K60" s="73" t="str">
        <f t="shared" si="26"/>
        <v/>
      </c>
      <c r="L60" s="73" t="str">
        <f t="shared" si="26"/>
        <v/>
      </c>
      <c r="M60" s="73" t="str">
        <f t="shared" si="26"/>
        <v/>
      </c>
      <c r="N60" s="73" t="str">
        <f t="shared" si="26"/>
        <v/>
      </c>
      <c r="O60" s="73" t="str">
        <f t="shared" si="26"/>
        <v/>
      </c>
      <c r="P60" s="73" t="str">
        <f t="shared" si="26"/>
        <v/>
      </c>
      <c r="Q60" s="73" t="str">
        <f t="shared" si="26"/>
        <v/>
      </c>
      <c r="R60" s="73" t="str">
        <f t="shared" si="25"/>
        <v/>
      </c>
      <c r="S60" s="73" t="str">
        <f t="shared" si="25"/>
        <v/>
      </c>
      <c r="T60" s="73" t="str">
        <f t="shared" si="25"/>
        <v/>
      </c>
      <c r="U60" s="73" t="str">
        <f t="shared" si="25"/>
        <v/>
      </c>
      <c r="V60" s="73" t="str">
        <f t="shared" si="25"/>
        <v/>
      </c>
      <c r="W60" s="73" t="str">
        <f t="shared" si="25"/>
        <v/>
      </c>
      <c r="X60" s="73" t="str">
        <f t="shared" si="25"/>
        <v/>
      </c>
      <c r="Y60" s="73" t="str">
        <f t="shared" si="25"/>
        <v/>
      </c>
      <c r="Z60" s="73" t="str">
        <f t="shared" si="25"/>
        <v/>
      </c>
      <c r="AA60" s="73" t="str">
        <f t="shared" si="25"/>
        <v/>
      </c>
      <c r="AB60" s="74" t="str">
        <f t="shared" si="25"/>
        <v/>
      </c>
      <c r="AC60" s="35" t="str">
        <f t="shared" si="15"/>
        <v/>
      </c>
      <c r="AD60" s="40" t="str">
        <f t="shared" si="16"/>
        <v/>
      </c>
      <c r="AE60" s="37" t="str">
        <f t="shared" si="17"/>
        <v/>
      </c>
      <c r="AF60" s="40" t="str">
        <f t="shared" si="18"/>
        <v/>
      </c>
      <c r="AG60" s="37" t="str">
        <f t="shared" si="19"/>
        <v/>
      </c>
      <c r="AH60" s="40" t="str">
        <f t="shared" si="20"/>
        <v/>
      </c>
      <c r="AI60" s="37" t="str">
        <f t="shared" si="21"/>
        <v/>
      </c>
      <c r="AJ60" s="40" t="str">
        <f t="shared" si="22"/>
        <v/>
      </c>
      <c r="AK60" s="33" t="str">
        <f>IF(SEM!AK60="","",SEM!AK60)</f>
        <v/>
      </c>
      <c r="AL60" s="6"/>
      <c r="AM60" s="79" t="str">
        <f t="shared" si="12"/>
        <v/>
      </c>
      <c r="AN60" s="12"/>
      <c r="AO60" s="12"/>
      <c r="AP60" s="14"/>
      <c r="AQ60" s="16"/>
      <c r="AR60" s="15"/>
      <c r="AU60" s="198"/>
      <c r="AV60" s="198"/>
      <c r="AW60" s="198"/>
      <c r="AX60" s="198"/>
    </row>
    <row r="61" spans="2:50" ht="17.25" customHeight="1" x14ac:dyDescent="0.2">
      <c r="B61" s="6"/>
      <c r="C61" s="49" t="str">
        <f>IF(SEM!C61="","",SEM!C61)</f>
        <v/>
      </c>
      <c r="D61" s="220" t="str">
        <f>IF(C61="","",VLOOKUP(SEM!C61,FROTA!$B$5:$C$305,2,0))</f>
        <v/>
      </c>
      <c r="E61" s="24" t="str">
        <f>IF(C61="","",VLOOKUP(C61,FROTA!$B$5:$N$305,7,0))</f>
        <v/>
      </c>
      <c r="F61" s="38" t="str">
        <f t="shared" si="2"/>
        <v/>
      </c>
      <c r="G61" s="71" t="str">
        <f t="shared" si="13"/>
        <v/>
      </c>
      <c r="H61" s="32" t="str">
        <f t="shared" si="24"/>
        <v/>
      </c>
      <c r="I61" s="73" t="str">
        <f t="shared" si="24"/>
        <v/>
      </c>
      <c r="J61" s="73" t="str">
        <f t="shared" si="24"/>
        <v/>
      </c>
      <c r="K61" s="73" t="str">
        <f t="shared" si="26"/>
        <v/>
      </c>
      <c r="L61" s="73" t="str">
        <f t="shared" si="26"/>
        <v/>
      </c>
      <c r="M61" s="73" t="str">
        <f t="shared" si="26"/>
        <v/>
      </c>
      <c r="N61" s="73" t="str">
        <f t="shared" si="26"/>
        <v/>
      </c>
      <c r="O61" s="73" t="str">
        <f t="shared" si="26"/>
        <v/>
      </c>
      <c r="P61" s="73" t="str">
        <f t="shared" si="26"/>
        <v/>
      </c>
      <c r="Q61" s="73" t="str">
        <f t="shared" si="26"/>
        <v/>
      </c>
      <c r="R61" s="73" t="str">
        <f t="shared" si="25"/>
        <v/>
      </c>
      <c r="S61" s="73" t="str">
        <f t="shared" si="25"/>
        <v/>
      </c>
      <c r="T61" s="73" t="str">
        <f t="shared" si="25"/>
        <v/>
      </c>
      <c r="U61" s="73" t="str">
        <f t="shared" si="25"/>
        <v/>
      </c>
      <c r="V61" s="73" t="str">
        <f t="shared" si="25"/>
        <v/>
      </c>
      <c r="W61" s="73" t="str">
        <f t="shared" si="25"/>
        <v/>
      </c>
      <c r="X61" s="73" t="str">
        <f t="shared" si="25"/>
        <v/>
      </c>
      <c r="Y61" s="73" t="str">
        <f t="shared" si="25"/>
        <v/>
      </c>
      <c r="Z61" s="73" t="str">
        <f t="shared" si="25"/>
        <v/>
      </c>
      <c r="AA61" s="73" t="str">
        <f t="shared" si="25"/>
        <v/>
      </c>
      <c r="AB61" s="74" t="str">
        <f t="shared" si="25"/>
        <v/>
      </c>
      <c r="AC61" s="35" t="str">
        <f t="shared" si="15"/>
        <v/>
      </c>
      <c r="AD61" s="40" t="str">
        <f t="shared" si="16"/>
        <v/>
      </c>
      <c r="AE61" s="37" t="str">
        <f t="shared" si="17"/>
        <v/>
      </c>
      <c r="AF61" s="40" t="str">
        <f t="shared" si="18"/>
        <v/>
      </c>
      <c r="AG61" s="37" t="str">
        <f t="shared" si="19"/>
        <v/>
      </c>
      <c r="AH61" s="40" t="str">
        <f t="shared" si="20"/>
        <v/>
      </c>
      <c r="AI61" s="37" t="str">
        <f t="shared" si="21"/>
        <v/>
      </c>
      <c r="AJ61" s="40" t="str">
        <f t="shared" si="22"/>
        <v/>
      </c>
      <c r="AK61" s="33" t="str">
        <f>IF(SEM!AK61="","",SEM!AK61)</f>
        <v/>
      </c>
      <c r="AL61" s="6"/>
      <c r="AM61" s="79" t="str">
        <f t="shared" si="12"/>
        <v/>
      </c>
      <c r="AN61" s="12"/>
      <c r="AO61" s="12"/>
      <c r="AP61" s="14"/>
      <c r="AQ61" s="16"/>
      <c r="AR61" s="15"/>
      <c r="AU61" s="198"/>
      <c r="AV61" s="198"/>
      <c r="AW61" s="198"/>
      <c r="AX61" s="198"/>
    </row>
    <row r="62" spans="2:50" ht="17.25" customHeight="1" x14ac:dyDescent="0.2">
      <c r="B62" s="6"/>
      <c r="C62" s="49" t="str">
        <f>IF(SEM!C62="","",SEM!C62)</f>
        <v/>
      </c>
      <c r="D62" s="220" t="str">
        <f>IF(C62="","",VLOOKUP(SEM!C62,FROTA!$B$5:$C$305,2,0))</f>
        <v/>
      </c>
      <c r="E62" s="24" t="str">
        <f>IF(C62="","",VLOOKUP(C62,FROTA!$B$5:$N$305,7,0))</f>
        <v/>
      </c>
      <c r="F62" s="38" t="str">
        <f t="shared" si="2"/>
        <v/>
      </c>
      <c r="G62" s="71" t="str">
        <f t="shared" si="13"/>
        <v/>
      </c>
      <c r="H62" s="32" t="str">
        <f t="shared" si="24"/>
        <v/>
      </c>
      <c r="I62" s="73" t="str">
        <f t="shared" si="24"/>
        <v/>
      </c>
      <c r="J62" s="73" t="str">
        <f t="shared" si="24"/>
        <v/>
      </c>
      <c r="K62" s="73" t="str">
        <f t="shared" si="26"/>
        <v/>
      </c>
      <c r="L62" s="73" t="str">
        <f t="shared" si="26"/>
        <v/>
      </c>
      <c r="M62" s="73" t="str">
        <f t="shared" si="26"/>
        <v/>
      </c>
      <c r="N62" s="73" t="str">
        <f t="shared" si="26"/>
        <v/>
      </c>
      <c r="O62" s="73" t="str">
        <f t="shared" si="26"/>
        <v/>
      </c>
      <c r="P62" s="73" t="str">
        <f t="shared" si="26"/>
        <v/>
      </c>
      <c r="Q62" s="73" t="str">
        <f t="shared" si="26"/>
        <v/>
      </c>
      <c r="R62" s="73" t="str">
        <f t="shared" si="25"/>
        <v/>
      </c>
      <c r="S62" s="73" t="str">
        <f t="shared" si="25"/>
        <v/>
      </c>
      <c r="T62" s="73" t="str">
        <f t="shared" si="25"/>
        <v/>
      </c>
      <c r="U62" s="73" t="str">
        <f t="shared" si="25"/>
        <v/>
      </c>
      <c r="V62" s="73" t="str">
        <f t="shared" si="25"/>
        <v/>
      </c>
      <c r="W62" s="73" t="str">
        <f t="shared" si="25"/>
        <v/>
      </c>
      <c r="X62" s="73" t="str">
        <f t="shared" ref="R62:AB85" si="27">IF($C62="","",IF(SUM(X$307*$G62)&gt;$F62,$F62,SUM(X$307*$G62)))</f>
        <v/>
      </c>
      <c r="Y62" s="73" t="str">
        <f t="shared" si="27"/>
        <v/>
      </c>
      <c r="Z62" s="73" t="str">
        <f t="shared" si="27"/>
        <v/>
      </c>
      <c r="AA62" s="73" t="str">
        <f t="shared" si="27"/>
        <v/>
      </c>
      <c r="AB62" s="74" t="str">
        <f t="shared" si="27"/>
        <v/>
      </c>
      <c r="AC62" s="35" t="str">
        <f t="shared" si="15"/>
        <v/>
      </c>
      <c r="AD62" s="40" t="str">
        <f t="shared" si="16"/>
        <v/>
      </c>
      <c r="AE62" s="37" t="str">
        <f t="shared" si="17"/>
        <v/>
      </c>
      <c r="AF62" s="40" t="str">
        <f t="shared" si="18"/>
        <v/>
      </c>
      <c r="AG62" s="37" t="str">
        <f t="shared" si="19"/>
        <v/>
      </c>
      <c r="AH62" s="40" t="str">
        <f t="shared" si="20"/>
        <v/>
      </c>
      <c r="AI62" s="37" t="str">
        <f t="shared" si="21"/>
        <v/>
      </c>
      <c r="AJ62" s="40" t="str">
        <f t="shared" si="22"/>
        <v/>
      </c>
      <c r="AK62" s="33" t="str">
        <f>IF(SEM!AK62="","",SEM!AK62)</f>
        <v/>
      </c>
      <c r="AL62" s="6"/>
      <c r="AM62" s="79" t="str">
        <f t="shared" si="12"/>
        <v/>
      </c>
      <c r="AN62" s="12"/>
      <c r="AO62" s="12"/>
      <c r="AP62" s="14"/>
      <c r="AQ62" s="16"/>
      <c r="AR62" s="15"/>
      <c r="AU62" s="198"/>
      <c r="AV62" s="198"/>
      <c r="AW62" s="198"/>
      <c r="AX62" s="198"/>
    </row>
    <row r="63" spans="2:50" ht="17.25" customHeight="1" x14ac:dyDescent="0.2">
      <c r="B63" s="6"/>
      <c r="C63" s="49" t="str">
        <f>IF(SEM!C63="","",SEM!C63)</f>
        <v/>
      </c>
      <c r="D63" s="220" t="str">
        <f>IF(C63="","",VLOOKUP(SEM!C63,FROTA!$B$5:$C$305,2,0))</f>
        <v/>
      </c>
      <c r="E63" s="24" t="str">
        <f>IF(C63="","",VLOOKUP(C63,FROTA!$B$5:$N$305,7,0))</f>
        <v/>
      </c>
      <c r="F63" s="38" t="str">
        <f t="shared" si="2"/>
        <v/>
      </c>
      <c r="G63" s="71" t="str">
        <f t="shared" si="13"/>
        <v/>
      </c>
      <c r="H63" s="32" t="str">
        <f t="shared" si="24"/>
        <v/>
      </c>
      <c r="I63" s="73" t="str">
        <f t="shared" si="24"/>
        <v/>
      </c>
      <c r="J63" s="73" t="str">
        <f t="shared" si="24"/>
        <v/>
      </c>
      <c r="K63" s="73" t="str">
        <f t="shared" si="26"/>
        <v/>
      </c>
      <c r="L63" s="73" t="str">
        <f t="shared" si="26"/>
        <v/>
      </c>
      <c r="M63" s="73" t="str">
        <f t="shared" si="26"/>
        <v/>
      </c>
      <c r="N63" s="73" t="str">
        <f t="shared" si="26"/>
        <v/>
      </c>
      <c r="O63" s="73" t="str">
        <f t="shared" si="26"/>
        <v/>
      </c>
      <c r="P63" s="73" t="str">
        <f t="shared" si="26"/>
        <v/>
      </c>
      <c r="Q63" s="73" t="str">
        <f t="shared" si="26"/>
        <v/>
      </c>
      <c r="R63" s="73" t="str">
        <f t="shared" si="27"/>
        <v/>
      </c>
      <c r="S63" s="73" t="str">
        <f t="shared" si="27"/>
        <v/>
      </c>
      <c r="T63" s="73" t="str">
        <f t="shared" si="27"/>
        <v/>
      </c>
      <c r="U63" s="73" t="str">
        <f t="shared" si="27"/>
        <v/>
      </c>
      <c r="V63" s="73" t="str">
        <f t="shared" si="27"/>
        <v/>
      </c>
      <c r="W63" s="73" t="str">
        <f t="shared" si="27"/>
        <v/>
      </c>
      <c r="X63" s="73" t="str">
        <f t="shared" si="27"/>
        <v/>
      </c>
      <c r="Y63" s="73" t="str">
        <f t="shared" si="27"/>
        <v/>
      </c>
      <c r="Z63" s="73" t="str">
        <f t="shared" si="27"/>
        <v/>
      </c>
      <c r="AA63" s="73" t="str">
        <f t="shared" si="27"/>
        <v/>
      </c>
      <c r="AB63" s="74" t="str">
        <f t="shared" si="27"/>
        <v/>
      </c>
      <c r="AC63" s="35" t="str">
        <f t="shared" si="15"/>
        <v/>
      </c>
      <c r="AD63" s="40" t="str">
        <f t="shared" si="16"/>
        <v/>
      </c>
      <c r="AE63" s="37" t="str">
        <f t="shared" si="17"/>
        <v/>
      </c>
      <c r="AF63" s="40" t="str">
        <f t="shared" si="18"/>
        <v/>
      </c>
      <c r="AG63" s="37" t="str">
        <f t="shared" si="19"/>
        <v/>
      </c>
      <c r="AH63" s="40" t="str">
        <f t="shared" si="20"/>
        <v/>
      </c>
      <c r="AI63" s="37" t="str">
        <f t="shared" si="21"/>
        <v/>
      </c>
      <c r="AJ63" s="40" t="str">
        <f t="shared" si="22"/>
        <v/>
      </c>
      <c r="AK63" s="33" t="str">
        <f>IF(SEM!AK63="","",SEM!AK63)</f>
        <v/>
      </c>
      <c r="AL63" s="6"/>
      <c r="AM63" s="79" t="str">
        <f t="shared" si="12"/>
        <v/>
      </c>
      <c r="AN63" s="12"/>
      <c r="AO63" s="12"/>
      <c r="AP63" s="14"/>
      <c r="AQ63" s="16"/>
      <c r="AR63" s="15"/>
      <c r="AU63" s="198"/>
      <c r="AV63" s="198"/>
      <c r="AW63" s="198"/>
      <c r="AX63" s="198"/>
    </row>
    <row r="64" spans="2:50" ht="17.25" customHeight="1" x14ac:dyDescent="0.2">
      <c r="B64" s="6"/>
      <c r="C64" s="49" t="str">
        <f>IF(SEM!C64="","",SEM!C64)</f>
        <v/>
      </c>
      <c r="D64" s="220" t="str">
        <f>IF(C64="","",VLOOKUP(SEM!C64,FROTA!$B$5:$C$305,2,0))</f>
        <v/>
      </c>
      <c r="E64" s="24" t="str">
        <f>IF(C64="","",VLOOKUP(C64,FROTA!$B$5:$N$305,7,0))</f>
        <v/>
      </c>
      <c r="F64" s="38" t="str">
        <f t="shared" si="2"/>
        <v/>
      </c>
      <c r="G64" s="71" t="str">
        <f t="shared" si="13"/>
        <v/>
      </c>
      <c r="H64" s="32" t="str">
        <f t="shared" si="24"/>
        <v/>
      </c>
      <c r="I64" s="73" t="str">
        <f t="shared" si="24"/>
        <v/>
      </c>
      <c r="J64" s="73" t="str">
        <f t="shared" si="24"/>
        <v/>
      </c>
      <c r="K64" s="73" t="str">
        <f t="shared" si="26"/>
        <v/>
      </c>
      <c r="L64" s="73" t="str">
        <f t="shared" si="26"/>
        <v/>
      </c>
      <c r="M64" s="73" t="str">
        <f t="shared" si="26"/>
        <v/>
      </c>
      <c r="N64" s="73" t="str">
        <f t="shared" si="26"/>
        <v/>
      </c>
      <c r="O64" s="73" t="str">
        <f t="shared" si="26"/>
        <v/>
      </c>
      <c r="P64" s="73" t="str">
        <f t="shared" si="26"/>
        <v/>
      </c>
      <c r="Q64" s="73" t="str">
        <f t="shared" si="26"/>
        <v/>
      </c>
      <c r="R64" s="73" t="str">
        <f t="shared" si="27"/>
        <v/>
      </c>
      <c r="S64" s="73" t="str">
        <f t="shared" si="27"/>
        <v/>
      </c>
      <c r="T64" s="73" t="str">
        <f t="shared" si="27"/>
        <v/>
      </c>
      <c r="U64" s="73" t="str">
        <f t="shared" si="27"/>
        <v/>
      </c>
      <c r="V64" s="73" t="str">
        <f t="shared" si="27"/>
        <v/>
      </c>
      <c r="W64" s="73" t="str">
        <f t="shared" si="27"/>
        <v/>
      </c>
      <c r="X64" s="73" t="str">
        <f t="shared" si="27"/>
        <v/>
      </c>
      <c r="Y64" s="73" t="str">
        <f t="shared" si="27"/>
        <v/>
      </c>
      <c r="Z64" s="73" t="str">
        <f t="shared" si="27"/>
        <v/>
      </c>
      <c r="AA64" s="73" t="str">
        <f t="shared" si="27"/>
        <v/>
      </c>
      <c r="AB64" s="74" t="str">
        <f t="shared" si="27"/>
        <v/>
      </c>
      <c r="AC64" s="35" t="str">
        <f t="shared" si="15"/>
        <v/>
      </c>
      <c r="AD64" s="40" t="str">
        <f t="shared" si="16"/>
        <v/>
      </c>
      <c r="AE64" s="37" t="str">
        <f t="shared" si="17"/>
        <v/>
      </c>
      <c r="AF64" s="40" t="str">
        <f t="shared" si="18"/>
        <v/>
      </c>
      <c r="AG64" s="37" t="str">
        <f t="shared" si="19"/>
        <v/>
      </c>
      <c r="AH64" s="40" t="str">
        <f t="shared" si="20"/>
        <v/>
      </c>
      <c r="AI64" s="37" t="str">
        <f t="shared" si="21"/>
        <v/>
      </c>
      <c r="AJ64" s="40" t="str">
        <f t="shared" si="22"/>
        <v/>
      </c>
      <c r="AK64" s="33" t="str">
        <f>IF(SEM!AK64="","",SEM!AK64)</f>
        <v/>
      </c>
      <c r="AL64" s="6"/>
      <c r="AM64" s="79" t="str">
        <f t="shared" si="12"/>
        <v/>
      </c>
      <c r="AN64" s="12"/>
      <c r="AO64" s="12"/>
      <c r="AP64" s="14"/>
      <c r="AQ64" s="16"/>
      <c r="AR64" s="15"/>
      <c r="AU64" s="198"/>
      <c r="AV64" s="198"/>
      <c r="AW64" s="198"/>
      <c r="AX64" s="198"/>
    </row>
    <row r="65" spans="2:50" ht="17.25" customHeight="1" x14ac:dyDescent="0.2">
      <c r="B65" s="6"/>
      <c r="C65" s="49" t="str">
        <f>IF(SEM!C65="","",SEM!C65)</f>
        <v/>
      </c>
      <c r="D65" s="220" t="str">
        <f>IF(C65="","",VLOOKUP(SEM!C65,FROTA!$B$5:$C$305,2,0))</f>
        <v/>
      </c>
      <c r="E65" s="24" t="str">
        <f>IF(C65="","",VLOOKUP(C65,FROTA!$B$5:$N$305,7,0))</f>
        <v/>
      </c>
      <c r="F65" s="38" t="str">
        <f t="shared" si="2"/>
        <v/>
      </c>
      <c r="G65" s="71" t="str">
        <f t="shared" si="13"/>
        <v/>
      </c>
      <c r="H65" s="32" t="str">
        <f t="shared" si="24"/>
        <v/>
      </c>
      <c r="I65" s="73" t="str">
        <f t="shared" si="24"/>
        <v/>
      </c>
      <c r="J65" s="73" t="str">
        <f t="shared" si="24"/>
        <v/>
      </c>
      <c r="K65" s="73" t="str">
        <f t="shared" si="26"/>
        <v/>
      </c>
      <c r="L65" s="73" t="str">
        <f t="shared" si="26"/>
        <v/>
      </c>
      <c r="M65" s="73" t="str">
        <f t="shared" si="26"/>
        <v/>
      </c>
      <c r="N65" s="73" t="str">
        <f t="shared" si="26"/>
        <v/>
      </c>
      <c r="O65" s="73" t="str">
        <f t="shared" si="26"/>
        <v/>
      </c>
      <c r="P65" s="73" t="str">
        <f t="shared" si="26"/>
        <v/>
      </c>
      <c r="Q65" s="73" t="str">
        <f t="shared" si="26"/>
        <v/>
      </c>
      <c r="R65" s="73" t="str">
        <f t="shared" si="27"/>
        <v/>
      </c>
      <c r="S65" s="73" t="str">
        <f t="shared" si="27"/>
        <v/>
      </c>
      <c r="T65" s="73" t="str">
        <f t="shared" si="27"/>
        <v/>
      </c>
      <c r="U65" s="73" t="str">
        <f t="shared" si="27"/>
        <v/>
      </c>
      <c r="V65" s="73" t="str">
        <f t="shared" si="27"/>
        <v/>
      </c>
      <c r="W65" s="73" t="str">
        <f t="shared" si="27"/>
        <v/>
      </c>
      <c r="X65" s="73" t="str">
        <f t="shared" si="27"/>
        <v/>
      </c>
      <c r="Y65" s="73" t="str">
        <f t="shared" si="27"/>
        <v/>
      </c>
      <c r="Z65" s="73" t="str">
        <f t="shared" si="27"/>
        <v/>
      </c>
      <c r="AA65" s="73" t="str">
        <f t="shared" si="27"/>
        <v/>
      </c>
      <c r="AB65" s="74" t="str">
        <f t="shared" si="27"/>
        <v/>
      </c>
      <c r="AC65" s="35" t="str">
        <f t="shared" si="15"/>
        <v/>
      </c>
      <c r="AD65" s="40" t="str">
        <f t="shared" si="16"/>
        <v/>
      </c>
      <c r="AE65" s="37" t="str">
        <f t="shared" si="17"/>
        <v/>
      </c>
      <c r="AF65" s="40" t="str">
        <f t="shared" si="18"/>
        <v/>
      </c>
      <c r="AG65" s="37" t="str">
        <f t="shared" si="19"/>
        <v/>
      </c>
      <c r="AH65" s="40" t="str">
        <f t="shared" si="20"/>
        <v/>
      </c>
      <c r="AI65" s="37" t="str">
        <f t="shared" si="21"/>
        <v/>
      </c>
      <c r="AJ65" s="40" t="str">
        <f t="shared" si="22"/>
        <v/>
      </c>
      <c r="AK65" s="33" t="str">
        <f>IF(SEM!AK65="","",SEM!AK65)</f>
        <v/>
      </c>
      <c r="AL65" s="6"/>
      <c r="AM65" s="79" t="str">
        <f t="shared" si="12"/>
        <v/>
      </c>
      <c r="AN65" s="12"/>
      <c r="AO65" s="12"/>
      <c r="AP65" s="14"/>
      <c r="AQ65" s="16"/>
      <c r="AR65" s="15"/>
      <c r="AU65" s="198"/>
      <c r="AV65" s="198"/>
      <c r="AW65" s="198"/>
      <c r="AX65" s="198"/>
    </row>
    <row r="66" spans="2:50" ht="17.25" customHeight="1" x14ac:dyDescent="0.2">
      <c r="B66" s="6"/>
      <c r="C66" s="49" t="str">
        <f>IF(SEM!C66="","",SEM!C66)</f>
        <v/>
      </c>
      <c r="D66" s="220" t="str">
        <f>IF(C66="","",VLOOKUP(SEM!C66,FROTA!$B$5:$C$305,2,0))</f>
        <v/>
      </c>
      <c r="E66" s="24" t="str">
        <f>IF(C66="","",VLOOKUP(C66,FROTA!$B$5:$N$305,7,0))</f>
        <v/>
      </c>
      <c r="F66" s="38" t="str">
        <f t="shared" si="2"/>
        <v/>
      </c>
      <c r="G66" s="71" t="str">
        <f t="shared" si="13"/>
        <v/>
      </c>
      <c r="H66" s="32" t="str">
        <f t="shared" si="24"/>
        <v/>
      </c>
      <c r="I66" s="73" t="str">
        <f t="shared" si="24"/>
        <v/>
      </c>
      <c r="J66" s="73" t="str">
        <f t="shared" si="24"/>
        <v/>
      </c>
      <c r="K66" s="73" t="str">
        <f t="shared" si="26"/>
        <v/>
      </c>
      <c r="L66" s="73" t="str">
        <f t="shared" si="26"/>
        <v/>
      </c>
      <c r="M66" s="73" t="str">
        <f t="shared" si="26"/>
        <v/>
      </c>
      <c r="N66" s="73" t="str">
        <f t="shared" si="26"/>
        <v/>
      </c>
      <c r="O66" s="73" t="str">
        <f t="shared" si="26"/>
        <v/>
      </c>
      <c r="P66" s="73" t="str">
        <f t="shared" si="26"/>
        <v/>
      </c>
      <c r="Q66" s="73" t="str">
        <f t="shared" si="26"/>
        <v/>
      </c>
      <c r="R66" s="73" t="str">
        <f t="shared" si="27"/>
        <v/>
      </c>
      <c r="S66" s="73" t="str">
        <f t="shared" si="27"/>
        <v/>
      </c>
      <c r="T66" s="73" t="str">
        <f t="shared" si="27"/>
        <v/>
      </c>
      <c r="U66" s="73" t="str">
        <f t="shared" si="27"/>
        <v/>
      </c>
      <c r="V66" s="73" t="str">
        <f t="shared" si="27"/>
        <v/>
      </c>
      <c r="W66" s="73" t="str">
        <f t="shared" si="27"/>
        <v/>
      </c>
      <c r="X66" s="73" t="str">
        <f t="shared" si="27"/>
        <v/>
      </c>
      <c r="Y66" s="73" t="str">
        <f t="shared" si="27"/>
        <v/>
      </c>
      <c r="Z66" s="73" t="str">
        <f t="shared" si="27"/>
        <v/>
      </c>
      <c r="AA66" s="73" t="str">
        <f t="shared" si="27"/>
        <v/>
      </c>
      <c r="AB66" s="74" t="str">
        <f t="shared" si="27"/>
        <v/>
      </c>
      <c r="AC66" s="35" t="str">
        <f t="shared" si="15"/>
        <v/>
      </c>
      <c r="AD66" s="40" t="str">
        <f t="shared" si="16"/>
        <v/>
      </c>
      <c r="AE66" s="37" t="str">
        <f t="shared" si="17"/>
        <v/>
      </c>
      <c r="AF66" s="40" t="str">
        <f t="shared" si="18"/>
        <v/>
      </c>
      <c r="AG66" s="37" t="str">
        <f t="shared" si="19"/>
        <v/>
      </c>
      <c r="AH66" s="40" t="str">
        <f t="shared" si="20"/>
        <v/>
      </c>
      <c r="AI66" s="37" t="str">
        <f t="shared" si="21"/>
        <v/>
      </c>
      <c r="AJ66" s="40" t="str">
        <f t="shared" si="22"/>
        <v/>
      </c>
      <c r="AK66" s="33" t="str">
        <f>IF(SEM!AK66="","",SEM!AK66)</f>
        <v/>
      </c>
      <c r="AL66" s="6"/>
      <c r="AM66" s="79" t="str">
        <f t="shared" si="12"/>
        <v/>
      </c>
      <c r="AN66" s="12"/>
      <c r="AO66" s="12"/>
      <c r="AP66" s="14"/>
      <c r="AQ66" s="16"/>
      <c r="AR66" s="15"/>
      <c r="AU66" s="198"/>
      <c r="AV66" s="198"/>
      <c r="AW66" s="198"/>
      <c r="AX66" s="198"/>
    </row>
    <row r="67" spans="2:50" ht="17.25" customHeight="1" x14ac:dyDescent="0.2">
      <c r="B67" s="6"/>
      <c r="C67" s="49" t="str">
        <f>IF(SEM!C67="","",SEM!C67)</f>
        <v/>
      </c>
      <c r="D67" s="220" t="str">
        <f>IF(C67="","",VLOOKUP(SEM!C67,FROTA!$B$5:$C$305,2,0))</f>
        <v/>
      </c>
      <c r="E67" s="24" t="str">
        <f>IF(C67="","",VLOOKUP(C67,FROTA!$B$5:$N$305,7,0))</f>
        <v/>
      </c>
      <c r="F67" s="38" t="str">
        <f t="shared" si="2"/>
        <v/>
      </c>
      <c r="G67" s="71" t="str">
        <f t="shared" si="13"/>
        <v/>
      </c>
      <c r="H67" s="32" t="str">
        <f t="shared" si="24"/>
        <v/>
      </c>
      <c r="I67" s="73" t="str">
        <f t="shared" si="24"/>
        <v/>
      </c>
      <c r="J67" s="73" t="str">
        <f t="shared" si="24"/>
        <v/>
      </c>
      <c r="K67" s="73" t="str">
        <f t="shared" si="26"/>
        <v/>
      </c>
      <c r="L67" s="73" t="str">
        <f t="shared" si="26"/>
        <v/>
      </c>
      <c r="M67" s="73" t="str">
        <f t="shared" si="26"/>
        <v/>
      </c>
      <c r="N67" s="73" t="str">
        <f t="shared" si="26"/>
        <v/>
      </c>
      <c r="O67" s="73" t="str">
        <f t="shared" si="26"/>
        <v/>
      </c>
      <c r="P67" s="73" t="str">
        <f t="shared" si="26"/>
        <v/>
      </c>
      <c r="Q67" s="73" t="str">
        <f t="shared" si="26"/>
        <v/>
      </c>
      <c r="R67" s="73" t="str">
        <f t="shared" si="27"/>
        <v/>
      </c>
      <c r="S67" s="73" t="str">
        <f t="shared" si="27"/>
        <v/>
      </c>
      <c r="T67" s="73" t="str">
        <f t="shared" si="27"/>
        <v/>
      </c>
      <c r="U67" s="73" t="str">
        <f t="shared" si="27"/>
        <v/>
      </c>
      <c r="V67" s="73" t="str">
        <f t="shared" si="27"/>
        <v/>
      </c>
      <c r="W67" s="73" t="str">
        <f t="shared" si="27"/>
        <v/>
      </c>
      <c r="X67" s="73" t="str">
        <f t="shared" si="27"/>
        <v/>
      </c>
      <c r="Y67" s="73" t="str">
        <f t="shared" si="27"/>
        <v/>
      </c>
      <c r="Z67" s="73" t="str">
        <f t="shared" si="27"/>
        <v/>
      </c>
      <c r="AA67" s="73" t="str">
        <f t="shared" si="27"/>
        <v/>
      </c>
      <c r="AB67" s="74" t="str">
        <f t="shared" si="27"/>
        <v/>
      </c>
      <c r="AC67" s="35" t="str">
        <f t="shared" si="15"/>
        <v/>
      </c>
      <c r="AD67" s="40" t="str">
        <f t="shared" si="16"/>
        <v/>
      </c>
      <c r="AE67" s="37" t="str">
        <f t="shared" si="17"/>
        <v/>
      </c>
      <c r="AF67" s="40" t="str">
        <f t="shared" si="18"/>
        <v/>
      </c>
      <c r="AG67" s="37" t="str">
        <f t="shared" si="19"/>
        <v/>
      </c>
      <c r="AH67" s="40" t="str">
        <f t="shared" si="20"/>
        <v/>
      </c>
      <c r="AI67" s="37" t="str">
        <f t="shared" si="21"/>
        <v/>
      </c>
      <c r="AJ67" s="40" t="str">
        <f t="shared" si="22"/>
        <v/>
      </c>
      <c r="AK67" s="33" t="str">
        <f>IF(SEM!AK67="","",SEM!AK67)</f>
        <v/>
      </c>
      <c r="AL67" s="6"/>
      <c r="AM67" s="79" t="str">
        <f t="shared" si="12"/>
        <v/>
      </c>
      <c r="AN67" s="12"/>
      <c r="AO67" s="12"/>
      <c r="AP67" s="14"/>
      <c r="AQ67" s="16"/>
      <c r="AR67" s="15"/>
      <c r="AU67" s="198"/>
      <c r="AV67" s="198"/>
      <c r="AW67" s="198"/>
      <c r="AX67" s="198"/>
    </row>
    <row r="68" spans="2:50" ht="17.25" customHeight="1" x14ac:dyDescent="0.2">
      <c r="B68" s="6"/>
      <c r="C68" s="49" t="str">
        <f>IF(SEM!C68="","",SEM!C68)</f>
        <v/>
      </c>
      <c r="D68" s="220" t="str">
        <f>IF(C68="","",VLOOKUP(SEM!C68,FROTA!$B$5:$C$305,2,0))</f>
        <v/>
      </c>
      <c r="E68" s="24" t="str">
        <f>IF(C68="","",VLOOKUP(C68,FROTA!$B$5:$N$305,7,0))</f>
        <v/>
      </c>
      <c r="F68" s="38" t="str">
        <f t="shared" si="2"/>
        <v/>
      </c>
      <c r="G68" s="71" t="str">
        <f t="shared" si="13"/>
        <v/>
      </c>
      <c r="H68" s="32" t="str">
        <f t="shared" si="24"/>
        <v/>
      </c>
      <c r="I68" s="73" t="str">
        <f t="shared" si="24"/>
        <v/>
      </c>
      <c r="J68" s="73" t="str">
        <f t="shared" si="24"/>
        <v/>
      </c>
      <c r="K68" s="73" t="str">
        <f t="shared" si="26"/>
        <v/>
      </c>
      <c r="L68" s="73" t="str">
        <f t="shared" si="26"/>
        <v/>
      </c>
      <c r="M68" s="73" t="str">
        <f t="shared" si="26"/>
        <v/>
      </c>
      <c r="N68" s="73" t="str">
        <f t="shared" si="26"/>
        <v/>
      </c>
      <c r="O68" s="73" t="str">
        <f t="shared" si="26"/>
        <v/>
      </c>
      <c r="P68" s="73" t="str">
        <f t="shared" si="26"/>
        <v/>
      </c>
      <c r="Q68" s="73" t="str">
        <f t="shared" si="26"/>
        <v/>
      </c>
      <c r="R68" s="73" t="str">
        <f t="shared" si="27"/>
        <v/>
      </c>
      <c r="S68" s="73" t="str">
        <f t="shared" si="27"/>
        <v/>
      </c>
      <c r="T68" s="73" t="str">
        <f t="shared" si="27"/>
        <v/>
      </c>
      <c r="U68" s="73" t="str">
        <f t="shared" si="27"/>
        <v/>
      </c>
      <c r="V68" s="73" t="str">
        <f t="shared" si="27"/>
        <v/>
      </c>
      <c r="W68" s="73" t="str">
        <f t="shared" si="27"/>
        <v/>
      </c>
      <c r="X68" s="73" t="str">
        <f t="shared" si="27"/>
        <v/>
      </c>
      <c r="Y68" s="73" t="str">
        <f t="shared" si="27"/>
        <v/>
      </c>
      <c r="Z68" s="73" t="str">
        <f t="shared" si="27"/>
        <v/>
      </c>
      <c r="AA68" s="73" t="str">
        <f t="shared" si="27"/>
        <v/>
      </c>
      <c r="AB68" s="74" t="str">
        <f t="shared" si="27"/>
        <v/>
      </c>
      <c r="AC68" s="35" t="str">
        <f t="shared" si="15"/>
        <v/>
      </c>
      <c r="AD68" s="40" t="str">
        <f t="shared" si="16"/>
        <v/>
      </c>
      <c r="AE68" s="37" t="str">
        <f t="shared" si="17"/>
        <v/>
      </c>
      <c r="AF68" s="40" t="str">
        <f t="shared" si="18"/>
        <v/>
      </c>
      <c r="AG68" s="37" t="str">
        <f t="shared" si="19"/>
        <v/>
      </c>
      <c r="AH68" s="40" t="str">
        <f t="shared" si="20"/>
        <v/>
      </c>
      <c r="AI68" s="37" t="str">
        <f t="shared" si="21"/>
        <v/>
      </c>
      <c r="AJ68" s="40" t="str">
        <f t="shared" si="22"/>
        <v/>
      </c>
      <c r="AK68" s="33" t="str">
        <f>IF(SEM!AK68="","",SEM!AK68)</f>
        <v/>
      </c>
      <c r="AL68" s="6"/>
      <c r="AM68" s="79" t="str">
        <f t="shared" si="12"/>
        <v/>
      </c>
      <c r="AN68" s="12"/>
      <c r="AO68" s="12"/>
      <c r="AP68" s="14"/>
      <c r="AQ68" s="16"/>
      <c r="AR68" s="15"/>
      <c r="AU68" s="198"/>
      <c r="AV68" s="198"/>
      <c r="AW68" s="198"/>
      <c r="AX68" s="198"/>
    </row>
    <row r="69" spans="2:50" ht="17.25" customHeight="1" x14ac:dyDescent="0.2">
      <c r="B69" s="6"/>
      <c r="C69" s="49" t="str">
        <f>IF(SEM!C69="","",SEM!C69)</f>
        <v/>
      </c>
      <c r="D69" s="220" t="str">
        <f>IF(C69="","",VLOOKUP(SEM!C69,FROTA!$B$5:$C$305,2,0))</f>
        <v/>
      </c>
      <c r="E69" s="24" t="str">
        <f>IF(C69="","",VLOOKUP(C69,FROTA!$B$5:$N$305,7,0))</f>
        <v/>
      </c>
      <c r="F69" s="38" t="str">
        <f t="shared" si="2"/>
        <v/>
      </c>
      <c r="G69" s="71" t="str">
        <f t="shared" si="13"/>
        <v/>
      </c>
      <c r="H69" s="32" t="str">
        <f t="shared" si="24"/>
        <v/>
      </c>
      <c r="I69" s="73" t="str">
        <f t="shared" si="24"/>
        <v/>
      </c>
      <c r="J69" s="73" t="str">
        <f t="shared" si="24"/>
        <v/>
      </c>
      <c r="K69" s="73" t="str">
        <f t="shared" si="26"/>
        <v/>
      </c>
      <c r="L69" s="73" t="str">
        <f t="shared" si="26"/>
        <v/>
      </c>
      <c r="M69" s="73" t="str">
        <f t="shared" si="26"/>
        <v/>
      </c>
      <c r="N69" s="73" t="str">
        <f t="shared" si="26"/>
        <v/>
      </c>
      <c r="O69" s="73" t="str">
        <f t="shared" si="26"/>
        <v/>
      </c>
      <c r="P69" s="73" t="str">
        <f t="shared" si="26"/>
        <v/>
      </c>
      <c r="Q69" s="73" t="str">
        <f t="shared" si="26"/>
        <v/>
      </c>
      <c r="R69" s="73" t="str">
        <f t="shared" si="27"/>
        <v/>
      </c>
      <c r="S69" s="73" t="str">
        <f t="shared" si="27"/>
        <v/>
      </c>
      <c r="T69" s="73" t="str">
        <f t="shared" si="27"/>
        <v/>
      </c>
      <c r="U69" s="73" t="str">
        <f t="shared" si="27"/>
        <v/>
      </c>
      <c r="V69" s="73" t="str">
        <f t="shared" si="27"/>
        <v/>
      </c>
      <c r="W69" s="73" t="str">
        <f t="shared" si="27"/>
        <v/>
      </c>
      <c r="X69" s="73" t="str">
        <f t="shared" si="27"/>
        <v/>
      </c>
      <c r="Y69" s="73" t="str">
        <f t="shared" si="27"/>
        <v/>
      </c>
      <c r="Z69" s="73" t="str">
        <f t="shared" si="27"/>
        <v/>
      </c>
      <c r="AA69" s="73" t="str">
        <f t="shared" si="27"/>
        <v/>
      </c>
      <c r="AB69" s="74" t="str">
        <f t="shared" si="27"/>
        <v/>
      </c>
      <c r="AC69" s="35" t="str">
        <f t="shared" si="15"/>
        <v/>
      </c>
      <c r="AD69" s="40" t="str">
        <f t="shared" si="16"/>
        <v/>
      </c>
      <c r="AE69" s="37" t="str">
        <f t="shared" si="17"/>
        <v/>
      </c>
      <c r="AF69" s="40" t="str">
        <f t="shared" si="18"/>
        <v/>
      </c>
      <c r="AG69" s="37" t="str">
        <f t="shared" si="19"/>
        <v/>
      </c>
      <c r="AH69" s="40" t="str">
        <f t="shared" si="20"/>
        <v/>
      </c>
      <c r="AI69" s="37" t="str">
        <f t="shared" si="21"/>
        <v/>
      </c>
      <c r="AJ69" s="40" t="str">
        <f t="shared" si="22"/>
        <v/>
      </c>
      <c r="AK69" s="33" t="str">
        <f>IF(SEM!AK69="","",SEM!AK69)</f>
        <v/>
      </c>
      <c r="AL69" s="6"/>
      <c r="AM69" s="79" t="str">
        <f t="shared" si="12"/>
        <v/>
      </c>
      <c r="AN69" s="12"/>
      <c r="AO69" s="12"/>
      <c r="AP69" s="14"/>
      <c r="AQ69" s="16"/>
      <c r="AR69" s="15"/>
      <c r="AU69" s="198"/>
      <c r="AV69" s="198"/>
      <c r="AW69" s="198"/>
      <c r="AX69" s="198"/>
    </row>
    <row r="70" spans="2:50" ht="17.25" customHeight="1" x14ac:dyDescent="0.2">
      <c r="B70" s="6"/>
      <c r="C70" s="49" t="str">
        <f>IF(SEM!C70="","",SEM!C70)</f>
        <v/>
      </c>
      <c r="D70" s="220" t="str">
        <f>IF(C70="","",VLOOKUP(SEM!C70,FROTA!$B$5:$C$305,2,0))</f>
        <v/>
      </c>
      <c r="E70" s="24" t="str">
        <f>IF(C70="","",VLOOKUP(C70,FROTA!$B$5:$N$305,7,0))</f>
        <v/>
      </c>
      <c r="F70" s="38" t="str">
        <f t="shared" si="2"/>
        <v/>
      </c>
      <c r="G70" s="71" t="str">
        <f t="shared" si="13"/>
        <v/>
      </c>
      <c r="H70" s="32" t="str">
        <f t="shared" si="24"/>
        <v/>
      </c>
      <c r="I70" s="73" t="str">
        <f t="shared" si="24"/>
        <v/>
      </c>
      <c r="J70" s="73" t="str">
        <f t="shared" si="24"/>
        <v/>
      </c>
      <c r="K70" s="73" t="str">
        <f t="shared" si="26"/>
        <v/>
      </c>
      <c r="L70" s="73" t="str">
        <f t="shared" si="26"/>
        <v/>
      </c>
      <c r="M70" s="73" t="str">
        <f t="shared" si="26"/>
        <v/>
      </c>
      <c r="N70" s="73" t="str">
        <f t="shared" si="26"/>
        <v/>
      </c>
      <c r="O70" s="73" t="str">
        <f t="shared" si="26"/>
        <v/>
      </c>
      <c r="P70" s="73" t="str">
        <f t="shared" si="26"/>
        <v/>
      </c>
      <c r="Q70" s="73" t="str">
        <f t="shared" si="26"/>
        <v/>
      </c>
      <c r="R70" s="73" t="str">
        <f t="shared" si="27"/>
        <v/>
      </c>
      <c r="S70" s="73" t="str">
        <f t="shared" si="27"/>
        <v/>
      </c>
      <c r="T70" s="73" t="str">
        <f t="shared" si="27"/>
        <v/>
      </c>
      <c r="U70" s="73" t="str">
        <f t="shared" si="27"/>
        <v/>
      </c>
      <c r="V70" s="73" t="str">
        <f t="shared" si="27"/>
        <v/>
      </c>
      <c r="W70" s="73" t="str">
        <f t="shared" si="27"/>
        <v/>
      </c>
      <c r="X70" s="73" t="str">
        <f t="shared" si="27"/>
        <v/>
      </c>
      <c r="Y70" s="73" t="str">
        <f t="shared" si="27"/>
        <v/>
      </c>
      <c r="Z70" s="73" t="str">
        <f t="shared" si="27"/>
        <v/>
      </c>
      <c r="AA70" s="73" t="str">
        <f t="shared" si="27"/>
        <v/>
      </c>
      <c r="AB70" s="74" t="str">
        <f t="shared" si="27"/>
        <v/>
      </c>
      <c r="AC70" s="35" t="str">
        <f t="shared" si="15"/>
        <v/>
      </c>
      <c r="AD70" s="40" t="str">
        <f t="shared" si="16"/>
        <v/>
      </c>
      <c r="AE70" s="37" t="str">
        <f t="shared" si="17"/>
        <v/>
      </c>
      <c r="AF70" s="40" t="str">
        <f t="shared" si="18"/>
        <v/>
      </c>
      <c r="AG70" s="37" t="str">
        <f t="shared" si="19"/>
        <v/>
      </c>
      <c r="AH70" s="40" t="str">
        <f t="shared" si="20"/>
        <v/>
      </c>
      <c r="AI70" s="37" t="str">
        <f t="shared" si="21"/>
        <v/>
      </c>
      <c r="AJ70" s="40" t="str">
        <f t="shared" si="22"/>
        <v/>
      </c>
      <c r="AK70" s="33" t="str">
        <f>IF(SEM!AK70="","",SEM!AK70)</f>
        <v/>
      </c>
      <c r="AL70" s="6"/>
      <c r="AM70" s="79" t="str">
        <f t="shared" si="12"/>
        <v/>
      </c>
      <c r="AN70" s="12"/>
      <c r="AO70" s="12"/>
      <c r="AP70" s="14"/>
      <c r="AQ70" s="16"/>
      <c r="AR70" s="15"/>
      <c r="AU70" s="198"/>
      <c r="AV70" s="198"/>
      <c r="AW70" s="198"/>
      <c r="AX70" s="198"/>
    </row>
    <row r="71" spans="2:50" ht="17.25" customHeight="1" x14ac:dyDescent="0.2">
      <c r="B71" s="6"/>
      <c r="C71" s="49" t="str">
        <f>IF(SEM!C71="","",SEM!C71)</f>
        <v/>
      </c>
      <c r="D71" s="220" t="str">
        <f>IF(C71="","",VLOOKUP(SEM!C71,FROTA!$B$5:$C$305,2,0))</f>
        <v/>
      </c>
      <c r="E71" s="24" t="str">
        <f>IF(C71="","",VLOOKUP(C71,FROTA!$B$5:$N$305,7,0))</f>
        <v/>
      </c>
      <c r="F71" s="38" t="str">
        <f t="shared" ref="F71:F134" si="28">IF(E71="","",VLOOKUP(E71,$AP$5:$AQ$18,2,0))</f>
        <v/>
      </c>
      <c r="G71" s="71" t="str">
        <f t="shared" si="13"/>
        <v/>
      </c>
      <c r="H71" s="32" t="str">
        <f t="shared" si="24"/>
        <v/>
      </c>
      <c r="I71" s="73" t="str">
        <f t="shared" si="24"/>
        <v/>
      </c>
      <c r="J71" s="73" t="str">
        <f t="shared" si="24"/>
        <v/>
      </c>
      <c r="K71" s="73" t="str">
        <f t="shared" si="26"/>
        <v/>
      </c>
      <c r="L71" s="73" t="str">
        <f t="shared" si="26"/>
        <v/>
      </c>
      <c r="M71" s="73" t="str">
        <f t="shared" si="26"/>
        <v/>
      </c>
      <c r="N71" s="73" t="str">
        <f t="shared" si="26"/>
        <v/>
      </c>
      <c r="O71" s="73" t="str">
        <f t="shared" si="26"/>
        <v/>
      </c>
      <c r="P71" s="73" t="str">
        <f t="shared" si="26"/>
        <v/>
      </c>
      <c r="Q71" s="73" t="str">
        <f t="shared" si="26"/>
        <v/>
      </c>
      <c r="R71" s="73" t="str">
        <f t="shared" si="27"/>
        <v/>
      </c>
      <c r="S71" s="73" t="str">
        <f t="shared" si="27"/>
        <v/>
      </c>
      <c r="T71" s="73" t="str">
        <f t="shared" si="27"/>
        <v/>
      </c>
      <c r="U71" s="73" t="str">
        <f t="shared" si="27"/>
        <v/>
      </c>
      <c r="V71" s="73" t="str">
        <f t="shared" si="27"/>
        <v/>
      </c>
      <c r="W71" s="73" t="str">
        <f t="shared" si="27"/>
        <v/>
      </c>
      <c r="X71" s="73" t="str">
        <f t="shared" si="27"/>
        <v/>
      </c>
      <c r="Y71" s="73" t="str">
        <f t="shared" si="27"/>
        <v/>
      </c>
      <c r="Z71" s="73" t="str">
        <f t="shared" si="27"/>
        <v/>
      </c>
      <c r="AA71" s="73" t="str">
        <f t="shared" si="27"/>
        <v/>
      </c>
      <c r="AB71" s="74" t="str">
        <f t="shared" si="27"/>
        <v/>
      </c>
      <c r="AC71" s="35" t="str">
        <f t="shared" ref="AC71:AC134" si="29">IF(C71="","",SUM(H71:AB71)*AK71)</f>
        <v/>
      </c>
      <c r="AD71" s="40" t="str">
        <f t="shared" ref="AD71:AD134" si="30">IF(C71="","",SUM(H71:AB71))</f>
        <v/>
      </c>
      <c r="AE71" s="37" t="str">
        <f t="shared" ref="AE71:AE134" si="31">IF(C71="","",SUM(H71:R71)*AK71)</f>
        <v/>
      </c>
      <c r="AF71" s="40" t="str">
        <f t="shared" ref="AF71:AF134" si="32">IF(C71="","",SUM(H71:Q71))</f>
        <v/>
      </c>
      <c r="AG71" s="37" t="str">
        <f t="shared" ref="AG71:AG134" si="33">IF(C71="","",SUM(R71:AB71)*AK71)</f>
        <v/>
      </c>
      <c r="AH71" s="40" t="str">
        <f t="shared" ref="AH71:AH134" si="34">IF(C71="","",SUM(R71:AB71))</f>
        <v/>
      </c>
      <c r="AI71" s="37" t="str">
        <f t="shared" ref="AI71:AI134" si="35">IF(C71="","",SUM(J71:M71,T71:W71)*AK71)</f>
        <v/>
      </c>
      <c r="AJ71" s="40" t="str">
        <f t="shared" ref="AJ71:AJ134" si="36">IF(C71="","",SUM(J71:M71,T71:W71))</f>
        <v/>
      </c>
      <c r="AK71" s="33" t="str">
        <f>IF(SEM!AK71="","",SEM!AK71)</f>
        <v/>
      </c>
      <c r="AL71" s="6"/>
      <c r="AM71" s="79" t="str">
        <f t="shared" ref="AM71:AM134" si="37">IF(C71="","",SUM(H71:AB71))</f>
        <v/>
      </c>
      <c r="AN71" s="12"/>
      <c r="AO71" s="12"/>
      <c r="AP71" s="14"/>
      <c r="AQ71" s="16"/>
      <c r="AR71" s="15"/>
      <c r="AU71" s="198"/>
      <c r="AV71" s="198"/>
      <c r="AW71" s="198"/>
      <c r="AX71" s="198"/>
    </row>
    <row r="72" spans="2:50" ht="17.25" customHeight="1" x14ac:dyDescent="0.2">
      <c r="B72" s="6"/>
      <c r="C72" s="49" t="str">
        <f>IF(SEM!C72="","",SEM!C72)</f>
        <v/>
      </c>
      <c r="D72" s="220" t="str">
        <f>IF(C72="","",VLOOKUP(SEM!C72,FROTA!$B$5:$C$305,2,0))</f>
        <v/>
      </c>
      <c r="E72" s="24" t="str">
        <f>IF(C72="","",VLOOKUP(C72,FROTA!$B$5:$N$305,7,0))</f>
        <v/>
      </c>
      <c r="F72" s="38" t="str">
        <f t="shared" si="28"/>
        <v/>
      </c>
      <c r="G72" s="71" t="str">
        <f t="shared" si="13"/>
        <v/>
      </c>
      <c r="H72" s="32" t="str">
        <f t="shared" si="24"/>
        <v/>
      </c>
      <c r="I72" s="73" t="str">
        <f t="shared" si="24"/>
        <v/>
      </c>
      <c r="J72" s="73" t="str">
        <f t="shared" si="24"/>
        <v/>
      </c>
      <c r="K72" s="73" t="str">
        <f t="shared" si="26"/>
        <v/>
      </c>
      <c r="L72" s="73" t="str">
        <f t="shared" si="26"/>
        <v/>
      </c>
      <c r="M72" s="73" t="str">
        <f t="shared" si="26"/>
        <v/>
      </c>
      <c r="N72" s="73" t="str">
        <f t="shared" si="26"/>
        <v/>
      </c>
      <c r="O72" s="73" t="str">
        <f t="shared" si="26"/>
        <v/>
      </c>
      <c r="P72" s="73" t="str">
        <f t="shared" si="26"/>
        <v/>
      </c>
      <c r="Q72" s="73" t="str">
        <f t="shared" si="26"/>
        <v/>
      </c>
      <c r="R72" s="73" t="str">
        <f t="shared" si="27"/>
        <v/>
      </c>
      <c r="S72" s="73" t="str">
        <f t="shared" si="27"/>
        <v/>
      </c>
      <c r="T72" s="73" t="str">
        <f t="shared" si="27"/>
        <v/>
      </c>
      <c r="U72" s="73" t="str">
        <f t="shared" si="27"/>
        <v/>
      </c>
      <c r="V72" s="73" t="str">
        <f t="shared" si="27"/>
        <v/>
      </c>
      <c r="W72" s="73" t="str">
        <f t="shared" si="27"/>
        <v/>
      </c>
      <c r="X72" s="73" t="str">
        <f t="shared" si="27"/>
        <v/>
      </c>
      <c r="Y72" s="73" t="str">
        <f t="shared" si="27"/>
        <v/>
      </c>
      <c r="Z72" s="73" t="str">
        <f t="shared" si="27"/>
        <v/>
      </c>
      <c r="AA72" s="73" t="str">
        <f t="shared" si="27"/>
        <v/>
      </c>
      <c r="AB72" s="74" t="str">
        <f t="shared" si="27"/>
        <v/>
      </c>
      <c r="AC72" s="35" t="str">
        <f t="shared" si="29"/>
        <v/>
      </c>
      <c r="AD72" s="40" t="str">
        <f t="shared" si="30"/>
        <v/>
      </c>
      <c r="AE72" s="37" t="str">
        <f t="shared" si="31"/>
        <v/>
      </c>
      <c r="AF72" s="40" t="str">
        <f t="shared" si="32"/>
        <v/>
      </c>
      <c r="AG72" s="37" t="str">
        <f t="shared" si="33"/>
        <v/>
      </c>
      <c r="AH72" s="40" t="str">
        <f t="shared" si="34"/>
        <v/>
      </c>
      <c r="AI72" s="37" t="str">
        <f t="shared" si="35"/>
        <v/>
      </c>
      <c r="AJ72" s="40" t="str">
        <f t="shared" si="36"/>
        <v/>
      </c>
      <c r="AK72" s="33" t="str">
        <f>IF(SEM!AK72="","",SEM!AK72)</f>
        <v/>
      </c>
      <c r="AL72" s="6"/>
      <c r="AM72" s="79" t="str">
        <f t="shared" si="37"/>
        <v/>
      </c>
      <c r="AN72" s="12"/>
      <c r="AO72" s="12"/>
      <c r="AP72" s="14"/>
      <c r="AQ72" s="16"/>
      <c r="AR72" s="15"/>
      <c r="AU72" s="198"/>
      <c r="AV72" s="198"/>
      <c r="AW72" s="198"/>
      <c r="AX72" s="198"/>
    </row>
    <row r="73" spans="2:50" ht="17.25" customHeight="1" x14ac:dyDescent="0.2">
      <c r="B73" s="6"/>
      <c r="C73" s="49" t="str">
        <f>IF(SEM!C73="","",SEM!C73)</f>
        <v/>
      </c>
      <c r="D73" s="220" t="str">
        <f>IF(C73="","",VLOOKUP(SEM!C73,FROTA!$B$5:$C$305,2,0))</f>
        <v/>
      </c>
      <c r="E73" s="24" t="str">
        <f>IF(C73="","",VLOOKUP(C73,FROTA!$B$5:$N$305,7,0))</f>
        <v/>
      </c>
      <c r="F73" s="38" t="str">
        <f t="shared" si="28"/>
        <v/>
      </c>
      <c r="G73" s="71" t="str">
        <f t="shared" ref="G73:G136" si="38">IF(C73="","",F73/$F$307)</f>
        <v/>
      </c>
      <c r="H73" s="32" t="str">
        <f t="shared" si="24"/>
        <v/>
      </c>
      <c r="I73" s="73" t="str">
        <f t="shared" si="24"/>
        <v/>
      </c>
      <c r="J73" s="73" t="str">
        <f t="shared" si="24"/>
        <v/>
      </c>
      <c r="K73" s="73" t="str">
        <f t="shared" si="26"/>
        <v/>
      </c>
      <c r="L73" s="73" t="str">
        <f t="shared" si="26"/>
        <v/>
      </c>
      <c r="M73" s="73" t="str">
        <f t="shared" si="26"/>
        <v/>
      </c>
      <c r="N73" s="73" t="str">
        <f t="shared" si="26"/>
        <v/>
      </c>
      <c r="O73" s="73" t="str">
        <f t="shared" si="26"/>
        <v/>
      </c>
      <c r="P73" s="73" t="str">
        <f t="shared" si="26"/>
        <v/>
      </c>
      <c r="Q73" s="73" t="str">
        <f t="shared" si="26"/>
        <v/>
      </c>
      <c r="R73" s="73" t="str">
        <f t="shared" si="27"/>
        <v/>
      </c>
      <c r="S73" s="73" t="str">
        <f t="shared" si="27"/>
        <v/>
      </c>
      <c r="T73" s="73" t="str">
        <f t="shared" si="27"/>
        <v/>
      </c>
      <c r="U73" s="73" t="str">
        <f t="shared" si="27"/>
        <v/>
      </c>
      <c r="V73" s="73" t="str">
        <f t="shared" si="27"/>
        <v/>
      </c>
      <c r="W73" s="73" t="str">
        <f t="shared" si="27"/>
        <v/>
      </c>
      <c r="X73" s="73" t="str">
        <f t="shared" si="27"/>
        <v/>
      </c>
      <c r="Y73" s="73" t="str">
        <f t="shared" si="27"/>
        <v/>
      </c>
      <c r="Z73" s="73" t="str">
        <f t="shared" si="27"/>
        <v/>
      </c>
      <c r="AA73" s="73" t="str">
        <f t="shared" si="27"/>
        <v/>
      </c>
      <c r="AB73" s="74" t="str">
        <f t="shared" si="27"/>
        <v/>
      </c>
      <c r="AC73" s="35" t="str">
        <f t="shared" si="29"/>
        <v/>
      </c>
      <c r="AD73" s="40" t="str">
        <f t="shared" si="30"/>
        <v/>
      </c>
      <c r="AE73" s="37" t="str">
        <f t="shared" si="31"/>
        <v/>
      </c>
      <c r="AF73" s="40" t="str">
        <f t="shared" si="32"/>
        <v/>
      </c>
      <c r="AG73" s="37" t="str">
        <f t="shared" si="33"/>
        <v/>
      </c>
      <c r="AH73" s="40" t="str">
        <f t="shared" si="34"/>
        <v/>
      </c>
      <c r="AI73" s="37" t="str">
        <f t="shared" si="35"/>
        <v/>
      </c>
      <c r="AJ73" s="40" t="str">
        <f t="shared" si="36"/>
        <v/>
      </c>
      <c r="AK73" s="33" t="str">
        <f>IF(SEM!AK73="","",SEM!AK73)</f>
        <v/>
      </c>
      <c r="AL73" s="6"/>
      <c r="AM73" s="79" t="str">
        <f t="shared" si="37"/>
        <v/>
      </c>
      <c r="AN73" s="12"/>
      <c r="AO73" s="12"/>
      <c r="AP73" s="14"/>
      <c r="AQ73" s="16"/>
      <c r="AR73" s="15"/>
      <c r="AU73" s="198"/>
      <c r="AV73" s="198"/>
      <c r="AW73" s="198"/>
      <c r="AX73" s="198"/>
    </row>
    <row r="74" spans="2:50" ht="17.25" customHeight="1" x14ac:dyDescent="0.2">
      <c r="B74" s="6"/>
      <c r="C74" s="49" t="str">
        <f>IF(SEM!C74="","",SEM!C74)</f>
        <v/>
      </c>
      <c r="D74" s="220" t="str">
        <f>IF(C74="","",VLOOKUP(SEM!C74,FROTA!$B$5:$C$305,2,0))</f>
        <v/>
      </c>
      <c r="E74" s="24" t="str">
        <f>IF(C74="","",VLOOKUP(C74,FROTA!$B$5:$N$305,7,0))</f>
        <v/>
      </c>
      <c r="F74" s="38" t="str">
        <f t="shared" si="28"/>
        <v/>
      </c>
      <c r="G74" s="71" t="str">
        <f t="shared" si="38"/>
        <v/>
      </c>
      <c r="H74" s="32" t="str">
        <f t="shared" si="24"/>
        <v/>
      </c>
      <c r="I74" s="73" t="str">
        <f t="shared" si="24"/>
        <v/>
      </c>
      <c r="J74" s="73" t="str">
        <f t="shared" si="24"/>
        <v/>
      </c>
      <c r="K74" s="73" t="str">
        <f t="shared" si="26"/>
        <v/>
      </c>
      <c r="L74" s="73" t="str">
        <f t="shared" si="26"/>
        <v/>
      </c>
      <c r="M74" s="73" t="str">
        <f t="shared" si="26"/>
        <v/>
      </c>
      <c r="N74" s="73" t="str">
        <f t="shared" si="26"/>
        <v/>
      </c>
      <c r="O74" s="73" t="str">
        <f t="shared" si="26"/>
        <v/>
      </c>
      <c r="P74" s="73" t="str">
        <f t="shared" si="26"/>
        <v/>
      </c>
      <c r="Q74" s="73" t="str">
        <f t="shared" si="26"/>
        <v/>
      </c>
      <c r="R74" s="73" t="str">
        <f t="shared" si="27"/>
        <v/>
      </c>
      <c r="S74" s="73" t="str">
        <f t="shared" si="27"/>
        <v/>
      </c>
      <c r="T74" s="73" t="str">
        <f t="shared" si="27"/>
        <v/>
      </c>
      <c r="U74" s="73" t="str">
        <f t="shared" si="27"/>
        <v/>
      </c>
      <c r="V74" s="73" t="str">
        <f t="shared" si="27"/>
        <v/>
      </c>
      <c r="W74" s="73" t="str">
        <f t="shared" si="27"/>
        <v/>
      </c>
      <c r="X74" s="73" t="str">
        <f t="shared" si="27"/>
        <v/>
      </c>
      <c r="Y74" s="73" t="str">
        <f t="shared" si="27"/>
        <v/>
      </c>
      <c r="Z74" s="73" t="str">
        <f t="shared" si="27"/>
        <v/>
      </c>
      <c r="AA74" s="73" t="str">
        <f t="shared" si="27"/>
        <v/>
      </c>
      <c r="AB74" s="74" t="str">
        <f t="shared" si="27"/>
        <v/>
      </c>
      <c r="AC74" s="35" t="str">
        <f t="shared" si="29"/>
        <v/>
      </c>
      <c r="AD74" s="40" t="str">
        <f t="shared" si="30"/>
        <v/>
      </c>
      <c r="AE74" s="37" t="str">
        <f t="shared" si="31"/>
        <v/>
      </c>
      <c r="AF74" s="40" t="str">
        <f t="shared" si="32"/>
        <v/>
      </c>
      <c r="AG74" s="37" t="str">
        <f t="shared" si="33"/>
        <v/>
      </c>
      <c r="AH74" s="40" t="str">
        <f t="shared" si="34"/>
        <v/>
      </c>
      <c r="AI74" s="37" t="str">
        <f t="shared" si="35"/>
        <v/>
      </c>
      <c r="AJ74" s="40" t="str">
        <f t="shared" si="36"/>
        <v/>
      </c>
      <c r="AK74" s="33" t="str">
        <f>IF(SEM!AK74="","",SEM!AK74)</f>
        <v/>
      </c>
      <c r="AL74" s="6"/>
      <c r="AM74" s="79" t="str">
        <f t="shared" si="37"/>
        <v/>
      </c>
      <c r="AN74" s="12"/>
      <c r="AO74" s="12"/>
      <c r="AP74" s="14"/>
      <c r="AQ74" s="16"/>
      <c r="AR74" s="15"/>
      <c r="AU74" s="198"/>
      <c r="AV74" s="198"/>
      <c r="AW74" s="198"/>
      <c r="AX74" s="198"/>
    </row>
    <row r="75" spans="2:50" ht="17.25" customHeight="1" x14ac:dyDescent="0.2">
      <c r="B75" s="6"/>
      <c r="C75" s="49" t="str">
        <f>IF(SEM!C75="","",SEM!C75)</f>
        <v/>
      </c>
      <c r="D75" s="220" t="str">
        <f>IF(C75="","",VLOOKUP(SEM!C75,FROTA!$B$5:$C$305,2,0))</f>
        <v/>
      </c>
      <c r="E75" s="24" t="str">
        <f>IF(C75="","",VLOOKUP(C75,FROTA!$B$5:$N$305,7,0))</f>
        <v/>
      </c>
      <c r="F75" s="38" t="str">
        <f t="shared" si="28"/>
        <v/>
      </c>
      <c r="G75" s="71" t="str">
        <f t="shared" si="38"/>
        <v/>
      </c>
      <c r="H75" s="32" t="str">
        <f t="shared" si="24"/>
        <v/>
      </c>
      <c r="I75" s="73" t="str">
        <f t="shared" si="24"/>
        <v/>
      </c>
      <c r="J75" s="73" t="str">
        <f t="shared" si="24"/>
        <v/>
      </c>
      <c r="K75" s="73" t="str">
        <f t="shared" si="26"/>
        <v/>
      </c>
      <c r="L75" s="73" t="str">
        <f t="shared" si="26"/>
        <v/>
      </c>
      <c r="M75" s="73" t="str">
        <f t="shared" si="26"/>
        <v/>
      </c>
      <c r="N75" s="73" t="str">
        <f t="shared" si="26"/>
        <v/>
      </c>
      <c r="O75" s="73" t="str">
        <f t="shared" si="26"/>
        <v/>
      </c>
      <c r="P75" s="73" t="str">
        <f t="shared" si="26"/>
        <v/>
      </c>
      <c r="Q75" s="73" t="str">
        <f t="shared" si="26"/>
        <v/>
      </c>
      <c r="R75" s="73" t="str">
        <f t="shared" si="27"/>
        <v/>
      </c>
      <c r="S75" s="73" t="str">
        <f t="shared" si="27"/>
        <v/>
      </c>
      <c r="T75" s="73" t="str">
        <f t="shared" si="27"/>
        <v/>
      </c>
      <c r="U75" s="73" t="str">
        <f t="shared" si="27"/>
        <v/>
      </c>
      <c r="V75" s="73" t="str">
        <f t="shared" si="27"/>
        <v/>
      </c>
      <c r="W75" s="73" t="str">
        <f t="shared" si="27"/>
        <v/>
      </c>
      <c r="X75" s="73" t="str">
        <f t="shared" si="27"/>
        <v/>
      </c>
      <c r="Y75" s="73" t="str">
        <f t="shared" si="27"/>
        <v/>
      </c>
      <c r="Z75" s="73" t="str">
        <f t="shared" si="27"/>
        <v/>
      </c>
      <c r="AA75" s="73" t="str">
        <f t="shared" si="27"/>
        <v/>
      </c>
      <c r="AB75" s="74" t="str">
        <f t="shared" si="27"/>
        <v/>
      </c>
      <c r="AC75" s="35" t="str">
        <f t="shared" si="29"/>
        <v/>
      </c>
      <c r="AD75" s="40" t="str">
        <f t="shared" si="30"/>
        <v/>
      </c>
      <c r="AE75" s="37" t="str">
        <f t="shared" si="31"/>
        <v/>
      </c>
      <c r="AF75" s="40" t="str">
        <f t="shared" si="32"/>
        <v/>
      </c>
      <c r="AG75" s="37" t="str">
        <f t="shared" si="33"/>
        <v/>
      </c>
      <c r="AH75" s="40" t="str">
        <f t="shared" si="34"/>
        <v/>
      </c>
      <c r="AI75" s="37" t="str">
        <f t="shared" si="35"/>
        <v/>
      </c>
      <c r="AJ75" s="40" t="str">
        <f t="shared" si="36"/>
        <v/>
      </c>
      <c r="AK75" s="33" t="str">
        <f>IF(SEM!AK75="","",SEM!AK75)</f>
        <v/>
      </c>
      <c r="AL75" s="6"/>
      <c r="AM75" s="79" t="str">
        <f t="shared" si="37"/>
        <v/>
      </c>
      <c r="AN75" s="12"/>
      <c r="AO75" s="12"/>
      <c r="AP75" s="14"/>
      <c r="AQ75" s="16"/>
      <c r="AR75" s="15"/>
      <c r="AU75" s="198"/>
      <c r="AV75" s="198"/>
      <c r="AW75" s="198"/>
      <c r="AX75" s="198"/>
    </row>
    <row r="76" spans="2:50" ht="17.25" customHeight="1" x14ac:dyDescent="0.2">
      <c r="B76" s="6"/>
      <c r="C76" s="49" t="str">
        <f>IF(SEM!C76="","",SEM!C76)</f>
        <v/>
      </c>
      <c r="D76" s="220" t="str">
        <f>IF(C76="","",VLOOKUP(SEM!C76,FROTA!$B$5:$C$305,2,0))</f>
        <v/>
      </c>
      <c r="E76" s="24" t="str">
        <f>IF(C76="","",VLOOKUP(C76,FROTA!$B$5:$N$305,7,0))</f>
        <v/>
      </c>
      <c r="F76" s="38" t="str">
        <f t="shared" si="28"/>
        <v/>
      </c>
      <c r="G76" s="71" t="str">
        <f t="shared" si="38"/>
        <v/>
      </c>
      <c r="H76" s="32" t="str">
        <f t="shared" si="24"/>
        <v/>
      </c>
      <c r="I76" s="73" t="str">
        <f t="shared" si="24"/>
        <v/>
      </c>
      <c r="J76" s="73" t="str">
        <f t="shared" si="24"/>
        <v/>
      </c>
      <c r="K76" s="73" t="str">
        <f t="shared" si="26"/>
        <v/>
      </c>
      <c r="L76" s="73" t="str">
        <f t="shared" si="26"/>
        <v/>
      </c>
      <c r="M76" s="73" t="str">
        <f t="shared" si="26"/>
        <v/>
      </c>
      <c r="N76" s="73" t="str">
        <f t="shared" si="26"/>
        <v/>
      </c>
      <c r="O76" s="73" t="str">
        <f t="shared" si="26"/>
        <v/>
      </c>
      <c r="P76" s="73" t="str">
        <f t="shared" si="26"/>
        <v/>
      </c>
      <c r="Q76" s="73" t="str">
        <f t="shared" si="26"/>
        <v/>
      </c>
      <c r="R76" s="73" t="str">
        <f t="shared" si="27"/>
        <v/>
      </c>
      <c r="S76" s="73" t="str">
        <f t="shared" si="27"/>
        <v/>
      </c>
      <c r="T76" s="73" t="str">
        <f t="shared" si="27"/>
        <v/>
      </c>
      <c r="U76" s="73" t="str">
        <f t="shared" si="27"/>
        <v/>
      </c>
      <c r="V76" s="73" t="str">
        <f t="shared" si="27"/>
        <v/>
      </c>
      <c r="W76" s="73" t="str">
        <f t="shared" si="27"/>
        <v/>
      </c>
      <c r="X76" s="73" t="str">
        <f t="shared" si="27"/>
        <v/>
      </c>
      <c r="Y76" s="73" t="str">
        <f t="shared" si="27"/>
        <v/>
      </c>
      <c r="Z76" s="73" t="str">
        <f t="shared" si="27"/>
        <v/>
      </c>
      <c r="AA76" s="73" t="str">
        <f t="shared" si="27"/>
        <v/>
      </c>
      <c r="AB76" s="74" t="str">
        <f t="shared" si="27"/>
        <v/>
      </c>
      <c r="AC76" s="35" t="str">
        <f t="shared" si="29"/>
        <v/>
      </c>
      <c r="AD76" s="40" t="str">
        <f t="shared" si="30"/>
        <v/>
      </c>
      <c r="AE76" s="37" t="str">
        <f t="shared" si="31"/>
        <v/>
      </c>
      <c r="AF76" s="40" t="str">
        <f t="shared" si="32"/>
        <v/>
      </c>
      <c r="AG76" s="37" t="str">
        <f t="shared" si="33"/>
        <v/>
      </c>
      <c r="AH76" s="40" t="str">
        <f t="shared" si="34"/>
        <v/>
      </c>
      <c r="AI76" s="37" t="str">
        <f t="shared" si="35"/>
        <v/>
      </c>
      <c r="AJ76" s="40" t="str">
        <f t="shared" si="36"/>
        <v/>
      </c>
      <c r="AK76" s="33" t="str">
        <f>IF(SEM!AK76="","",SEM!AK76)</f>
        <v/>
      </c>
      <c r="AL76" s="6"/>
      <c r="AM76" s="79" t="str">
        <f t="shared" si="37"/>
        <v/>
      </c>
      <c r="AN76" s="12"/>
      <c r="AO76" s="12"/>
      <c r="AP76" s="14"/>
      <c r="AQ76" s="16"/>
      <c r="AR76" s="15"/>
      <c r="AU76" s="198"/>
      <c r="AV76" s="198"/>
      <c r="AW76" s="198"/>
      <c r="AX76" s="198"/>
    </row>
    <row r="77" spans="2:50" ht="17.25" customHeight="1" x14ac:dyDescent="0.2">
      <c r="B77" s="6"/>
      <c r="C77" s="49" t="str">
        <f>IF(SEM!C77="","",SEM!C77)</f>
        <v/>
      </c>
      <c r="D77" s="220" t="str">
        <f>IF(C77="","",VLOOKUP(SEM!C77,FROTA!$B$5:$C$305,2,0))</f>
        <v/>
      </c>
      <c r="E77" s="24" t="str">
        <f>IF(C77="","",VLOOKUP(C77,FROTA!$B$5:$N$305,7,0))</f>
        <v/>
      </c>
      <c r="F77" s="38" t="str">
        <f t="shared" si="28"/>
        <v/>
      </c>
      <c r="G77" s="71" t="str">
        <f t="shared" si="38"/>
        <v/>
      </c>
      <c r="H77" s="32" t="str">
        <f t="shared" si="24"/>
        <v/>
      </c>
      <c r="I77" s="73" t="str">
        <f t="shared" si="24"/>
        <v/>
      </c>
      <c r="J77" s="73" t="str">
        <f t="shared" si="24"/>
        <v/>
      </c>
      <c r="K77" s="73" t="str">
        <f t="shared" si="26"/>
        <v/>
      </c>
      <c r="L77" s="73" t="str">
        <f t="shared" si="26"/>
        <v/>
      </c>
      <c r="M77" s="73" t="str">
        <f t="shared" si="26"/>
        <v/>
      </c>
      <c r="N77" s="73" t="str">
        <f t="shared" si="26"/>
        <v/>
      </c>
      <c r="O77" s="73" t="str">
        <f t="shared" si="26"/>
        <v/>
      </c>
      <c r="P77" s="73" t="str">
        <f t="shared" si="26"/>
        <v/>
      </c>
      <c r="Q77" s="73" t="str">
        <f t="shared" si="26"/>
        <v/>
      </c>
      <c r="R77" s="73" t="str">
        <f t="shared" si="27"/>
        <v/>
      </c>
      <c r="S77" s="73" t="str">
        <f t="shared" si="27"/>
        <v/>
      </c>
      <c r="T77" s="73" t="str">
        <f t="shared" si="27"/>
        <v/>
      </c>
      <c r="U77" s="73" t="str">
        <f t="shared" si="27"/>
        <v/>
      </c>
      <c r="V77" s="73" t="str">
        <f t="shared" si="27"/>
        <v/>
      </c>
      <c r="W77" s="73" t="str">
        <f t="shared" si="27"/>
        <v/>
      </c>
      <c r="X77" s="73" t="str">
        <f t="shared" si="27"/>
        <v/>
      </c>
      <c r="Y77" s="73" t="str">
        <f t="shared" si="27"/>
        <v/>
      </c>
      <c r="Z77" s="73" t="str">
        <f t="shared" si="27"/>
        <v/>
      </c>
      <c r="AA77" s="73" t="str">
        <f t="shared" si="27"/>
        <v/>
      </c>
      <c r="AB77" s="74" t="str">
        <f t="shared" si="27"/>
        <v/>
      </c>
      <c r="AC77" s="35" t="str">
        <f t="shared" si="29"/>
        <v/>
      </c>
      <c r="AD77" s="40" t="str">
        <f t="shared" si="30"/>
        <v/>
      </c>
      <c r="AE77" s="37" t="str">
        <f t="shared" si="31"/>
        <v/>
      </c>
      <c r="AF77" s="40" t="str">
        <f t="shared" si="32"/>
        <v/>
      </c>
      <c r="AG77" s="37" t="str">
        <f t="shared" si="33"/>
        <v/>
      </c>
      <c r="AH77" s="40" t="str">
        <f t="shared" si="34"/>
        <v/>
      </c>
      <c r="AI77" s="37" t="str">
        <f t="shared" si="35"/>
        <v/>
      </c>
      <c r="AJ77" s="40" t="str">
        <f t="shared" si="36"/>
        <v/>
      </c>
      <c r="AK77" s="33" t="str">
        <f>IF(SEM!AK77="","",SEM!AK77)</f>
        <v/>
      </c>
      <c r="AL77" s="6"/>
      <c r="AM77" s="79" t="str">
        <f t="shared" si="37"/>
        <v/>
      </c>
      <c r="AN77" s="12"/>
      <c r="AO77" s="12"/>
      <c r="AP77" s="14"/>
      <c r="AQ77" s="16"/>
      <c r="AR77" s="15"/>
      <c r="AU77" s="198"/>
      <c r="AV77" s="198"/>
      <c r="AW77" s="198"/>
      <c r="AX77" s="198"/>
    </row>
    <row r="78" spans="2:50" ht="17.25" customHeight="1" x14ac:dyDescent="0.2">
      <c r="B78" s="6"/>
      <c r="C78" s="49" t="str">
        <f>IF(SEM!C78="","",SEM!C78)</f>
        <v/>
      </c>
      <c r="D78" s="220" t="str">
        <f>IF(C78="","",VLOOKUP(SEM!C78,FROTA!$B$5:$C$305,2,0))</f>
        <v/>
      </c>
      <c r="E78" s="24" t="str">
        <f>IF(C78="","",VLOOKUP(C78,FROTA!$B$5:$N$305,7,0))</f>
        <v/>
      </c>
      <c r="F78" s="38" t="str">
        <f t="shared" si="28"/>
        <v/>
      </c>
      <c r="G78" s="71" t="str">
        <f t="shared" si="38"/>
        <v/>
      </c>
      <c r="H78" s="32" t="str">
        <f t="shared" si="24"/>
        <v/>
      </c>
      <c r="I78" s="73" t="str">
        <f t="shared" si="24"/>
        <v/>
      </c>
      <c r="J78" s="73" t="str">
        <f t="shared" si="24"/>
        <v/>
      </c>
      <c r="K78" s="73" t="str">
        <f t="shared" si="26"/>
        <v/>
      </c>
      <c r="L78" s="73" t="str">
        <f t="shared" si="26"/>
        <v/>
      </c>
      <c r="M78" s="73" t="str">
        <f t="shared" si="26"/>
        <v/>
      </c>
      <c r="N78" s="73" t="str">
        <f t="shared" si="26"/>
        <v/>
      </c>
      <c r="O78" s="73" t="str">
        <f t="shared" si="26"/>
        <v/>
      </c>
      <c r="P78" s="73" t="str">
        <f t="shared" si="26"/>
        <v/>
      </c>
      <c r="Q78" s="73" t="str">
        <f t="shared" si="26"/>
        <v/>
      </c>
      <c r="R78" s="73" t="str">
        <f t="shared" si="27"/>
        <v/>
      </c>
      <c r="S78" s="73" t="str">
        <f t="shared" si="27"/>
        <v/>
      </c>
      <c r="T78" s="73" t="str">
        <f t="shared" si="27"/>
        <v/>
      </c>
      <c r="U78" s="73" t="str">
        <f t="shared" si="27"/>
        <v/>
      </c>
      <c r="V78" s="73" t="str">
        <f t="shared" si="27"/>
        <v/>
      </c>
      <c r="W78" s="73" t="str">
        <f t="shared" si="27"/>
        <v/>
      </c>
      <c r="X78" s="73" t="str">
        <f t="shared" si="27"/>
        <v/>
      </c>
      <c r="Y78" s="73" t="str">
        <f t="shared" si="27"/>
        <v/>
      </c>
      <c r="Z78" s="73" t="str">
        <f t="shared" si="27"/>
        <v/>
      </c>
      <c r="AA78" s="73" t="str">
        <f t="shared" si="27"/>
        <v/>
      </c>
      <c r="AB78" s="74" t="str">
        <f t="shared" si="27"/>
        <v/>
      </c>
      <c r="AC78" s="35" t="str">
        <f t="shared" si="29"/>
        <v/>
      </c>
      <c r="AD78" s="40" t="str">
        <f t="shared" si="30"/>
        <v/>
      </c>
      <c r="AE78" s="37" t="str">
        <f t="shared" si="31"/>
        <v/>
      </c>
      <c r="AF78" s="40" t="str">
        <f t="shared" si="32"/>
        <v/>
      </c>
      <c r="AG78" s="37" t="str">
        <f t="shared" si="33"/>
        <v/>
      </c>
      <c r="AH78" s="40" t="str">
        <f t="shared" si="34"/>
        <v/>
      </c>
      <c r="AI78" s="37" t="str">
        <f t="shared" si="35"/>
        <v/>
      </c>
      <c r="AJ78" s="40" t="str">
        <f t="shared" si="36"/>
        <v/>
      </c>
      <c r="AK78" s="33" t="str">
        <f>IF(SEM!AK78="","",SEM!AK78)</f>
        <v/>
      </c>
      <c r="AL78" s="6"/>
      <c r="AM78" s="79" t="str">
        <f t="shared" si="37"/>
        <v/>
      </c>
      <c r="AN78" s="12"/>
      <c r="AO78" s="12"/>
      <c r="AP78" s="14"/>
      <c r="AQ78" s="16"/>
      <c r="AR78" s="15"/>
      <c r="AU78" s="198"/>
      <c r="AV78" s="198"/>
      <c r="AW78" s="198"/>
      <c r="AX78" s="198"/>
    </row>
    <row r="79" spans="2:50" ht="17.25" customHeight="1" x14ac:dyDescent="0.2">
      <c r="B79" s="6"/>
      <c r="C79" s="49" t="str">
        <f>IF(SEM!C79="","",SEM!C79)</f>
        <v/>
      </c>
      <c r="D79" s="220" t="str">
        <f>IF(C79="","",VLOOKUP(SEM!C79,FROTA!$B$5:$C$305,2,0))</f>
        <v/>
      </c>
      <c r="E79" s="24" t="str">
        <f>IF(C79="","",VLOOKUP(C79,FROTA!$B$5:$N$305,7,0))</f>
        <v/>
      </c>
      <c r="F79" s="38" t="str">
        <f t="shared" si="28"/>
        <v/>
      </c>
      <c r="G79" s="71" t="str">
        <f t="shared" si="38"/>
        <v/>
      </c>
      <c r="H79" s="32" t="str">
        <f t="shared" si="24"/>
        <v/>
      </c>
      <c r="I79" s="73" t="str">
        <f t="shared" si="24"/>
        <v/>
      </c>
      <c r="J79" s="73" t="str">
        <f t="shared" si="24"/>
        <v/>
      </c>
      <c r="K79" s="73" t="str">
        <f t="shared" si="26"/>
        <v/>
      </c>
      <c r="L79" s="73" t="str">
        <f t="shared" si="26"/>
        <v/>
      </c>
      <c r="M79" s="73" t="str">
        <f t="shared" si="26"/>
        <v/>
      </c>
      <c r="N79" s="73" t="str">
        <f t="shared" si="26"/>
        <v/>
      </c>
      <c r="O79" s="73" t="str">
        <f t="shared" si="26"/>
        <v/>
      </c>
      <c r="P79" s="73" t="str">
        <f t="shared" si="26"/>
        <v/>
      </c>
      <c r="Q79" s="73" t="str">
        <f t="shared" si="26"/>
        <v/>
      </c>
      <c r="R79" s="73" t="str">
        <f t="shared" si="27"/>
        <v/>
      </c>
      <c r="S79" s="73" t="str">
        <f t="shared" si="27"/>
        <v/>
      </c>
      <c r="T79" s="73" t="str">
        <f t="shared" si="27"/>
        <v/>
      </c>
      <c r="U79" s="73" t="str">
        <f t="shared" si="27"/>
        <v/>
      </c>
      <c r="V79" s="73" t="str">
        <f t="shared" si="27"/>
        <v/>
      </c>
      <c r="W79" s="73" t="str">
        <f t="shared" si="27"/>
        <v/>
      </c>
      <c r="X79" s="73" t="str">
        <f t="shared" si="27"/>
        <v/>
      </c>
      <c r="Y79" s="73" t="str">
        <f t="shared" si="27"/>
        <v/>
      </c>
      <c r="Z79" s="73" t="str">
        <f t="shared" si="27"/>
        <v/>
      </c>
      <c r="AA79" s="73" t="str">
        <f t="shared" si="27"/>
        <v/>
      </c>
      <c r="AB79" s="74" t="str">
        <f t="shared" si="27"/>
        <v/>
      </c>
      <c r="AC79" s="35" t="str">
        <f t="shared" si="29"/>
        <v/>
      </c>
      <c r="AD79" s="40" t="str">
        <f t="shared" si="30"/>
        <v/>
      </c>
      <c r="AE79" s="37" t="str">
        <f t="shared" si="31"/>
        <v/>
      </c>
      <c r="AF79" s="40" t="str">
        <f t="shared" si="32"/>
        <v/>
      </c>
      <c r="AG79" s="37" t="str">
        <f t="shared" si="33"/>
        <v/>
      </c>
      <c r="AH79" s="40" t="str">
        <f t="shared" si="34"/>
        <v/>
      </c>
      <c r="AI79" s="37" t="str">
        <f t="shared" si="35"/>
        <v/>
      </c>
      <c r="AJ79" s="40" t="str">
        <f t="shared" si="36"/>
        <v/>
      </c>
      <c r="AK79" s="33" t="str">
        <f>IF(SEM!AK79="","",SEM!AK79)</f>
        <v/>
      </c>
      <c r="AL79" s="6"/>
      <c r="AM79" s="79" t="str">
        <f t="shared" si="37"/>
        <v/>
      </c>
      <c r="AN79" s="12"/>
      <c r="AO79" s="12"/>
      <c r="AP79" s="14"/>
      <c r="AQ79" s="16"/>
      <c r="AR79" s="15"/>
      <c r="AU79" s="198"/>
      <c r="AV79" s="198"/>
      <c r="AW79" s="198"/>
      <c r="AX79" s="198"/>
    </row>
    <row r="80" spans="2:50" ht="17.25" customHeight="1" x14ac:dyDescent="0.2">
      <c r="B80" s="6"/>
      <c r="C80" s="49" t="str">
        <f>IF(SEM!C80="","",SEM!C80)</f>
        <v/>
      </c>
      <c r="D80" s="220" t="str">
        <f>IF(C80="","",VLOOKUP(SEM!C80,FROTA!$B$5:$C$305,2,0))</f>
        <v/>
      </c>
      <c r="E80" s="24" t="str">
        <f>IF(C80="","",VLOOKUP(C80,FROTA!$B$5:$N$305,7,0))</f>
        <v/>
      </c>
      <c r="F80" s="38" t="str">
        <f t="shared" si="28"/>
        <v/>
      </c>
      <c r="G80" s="71" t="str">
        <f t="shared" si="38"/>
        <v/>
      </c>
      <c r="H80" s="32" t="str">
        <f t="shared" si="24"/>
        <v/>
      </c>
      <c r="I80" s="73" t="str">
        <f t="shared" si="24"/>
        <v/>
      </c>
      <c r="J80" s="73" t="str">
        <f t="shared" si="24"/>
        <v/>
      </c>
      <c r="K80" s="73" t="str">
        <f t="shared" si="26"/>
        <v/>
      </c>
      <c r="L80" s="73" t="str">
        <f t="shared" si="26"/>
        <v/>
      </c>
      <c r="M80" s="73" t="str">
        <f t="shared" si="26"/>
        <v/>
      </c>
      <c r="N80" s="73" t="str">
        <f t="shared" si="26"/>
        <v/>
      </c>
      <c r="O80" s="73" t="str">
        <f t="shared" si="26"/>
        <v/>
      </c>
      <c r="P80" s="73" t="str">
        <f t="shared" si="26"/>
        <v/>
      </c>
      <c r="Q80" s="73" t="str">
        <f t="shared" si="26"/>
        <v/>
      </c>
      <c r="R80" s="73" t="str">
        <f t="shared" si="27"/>
        <v/>
      </c>
      <c r="S80" s="73" t="str">
        <f t="shared" si="27"/>
        <v/>
      </c>
      <c r="T80" s="73" t="str">
        <f t="shared" si="27"/>
        <v/>
      </c>
      <c r="U80" s="73" t="str">
        <f t="shared" si="27"/>
        <v/>
      </c>
      <c r="V80" s="73" t="str">
        <f t="shared" si="27"/>
        <v/>
      </c>
      <c r="W80" s="73" t="str">
        <f t="shared" si="27"/>
        <v/>
      </c>
      <c r="X80" s="73" t="str">
        <f t="shared" si="27"/>
        <v/>
      </c>
      <c r="Y80" s="73" t="str">
        <f t="shared" si="27"/>
        <v/>
      </c>
      <c r="Z80" s="73" t="str">
        <f t="shared" si="27"/>
        <v/>
      </c>
      <c r="AA80" s="73" t="str">
        <f t="shared" si="27"/>
        <v/>
      </c>
      <c r="AB80" s="74" t="str">
        <f t="shared" si="27"/>
        <v/>
      </c>
      <c r="AC80" s="35" t="str">
        <f t="shared" si="29"/>
        <v/>
      </c>
      <c r="AD80" s="40" t="str">
        <f t="shared" si="30"/>
        <v/>
      </c>
      <c r="AE80" s="37" t="str">
        <f t="shared" si="31"/>
        <v/>
      </c>
      <c r="AF80" s="40" t="str">
        <f t="shared" si="32"/>
        <v/>
      </c>
      <c r="AG80" s="37" t="str">
        <f t="shared" si="33"/>
        <v/>
      </c>
      <c r="AH80" s="40" t="str">
        <f t="shared" si="34"/>
        <v/>
      </c>
      <c r="AI80" s="37" t="str">
        <f t="shared" si="35"/>
        <v/>
      </c>
      <c r="AJ80" s="40" t="str">
        <f t="shared" si="36"/>
        <v/>
      </c>
      <c r="AK80" s="33" t="str">
        <f>IF(SEM!AK80="","",SEM!AK80)</f>
        <v/>
      </c>
      <c r="AL80" s="6"/>
      <c r="AM80" s="79" t="str">
        <f t="shared" si="37"/>
        <v/>
      </c>
      <c r="AN80" s="12"/>
      <c r="AO80" s="12"/>
      <c r="AP80" s="14"/>
      <c r="AQ80" s="16"/>
      <c r="AR80" s="15"/>
      <c r="AU80" s="198"/>
      <c r="AV80" s="198"/>
      <c r="AW80" s="198"/>
      <c r="AX80" s="198"/>
    </row>
    <row r="81" spans="2:50" ht="17.25" customHeight="1" x14ac:dyDescent="0.2">
      <c r="B81" s="6"/>
      <c r="C81" s="49" t="str">
        <f>IF(SEM!C81="","",SEM!C81)</f>
        <v/>
      </c>
      <c r="D81" s="220" t="str">
        <f>IF(C81="","",VLOOKUP(SEM!C81,FROTA!$B$5:$C$305,2,0))</f>
        <v/>
      </c>
      <c r="E81" s="24" t="str">
        <f>IF(C81="","",VLOOKUP(C81,FROTA!$B$5:$N$305,7,0))</f>
        <v/>
      </c>
      <c r="F81" s="38" t="str">
        <f t="shared" si="28"/>
        <v/>
      </c>
      <c r="G81" s="71" t="str">
        <f t="shared" si="38"/>
        <v/>
      </c>
      <c r="H81" s="32" t="str">
        <f t="shared" si="24"/>
        <v/>
      </c>
      <c r="I81" s="73" t="str">
        <f t="shared" si="24"/>
        <v/>
      </c>
      <c r="J81" s="73" t="str">
        <f t="shared" si="24"/>
        <v/>
      </c>
      <c r="K81" s="73" t="str">
        <f t="shared" si="26"/>
        <v/>
      </c>
      <c r="L81" s="73" t="str">
        <f t="shared" si="26"/>
        <v/>
      </c>
      <c r="M81" s="73" t="str">
        <f t="shared" si="26"/>
        <v/>
      </c>
      <c r="N81" s="73" t="str">
        <f t="shared" si="26"/>
        <v/>
      </c>
      <c r="O81" s="73" t="str">
        <f t="shared" si="26"/>
        <v/>
      </c>
      <c r="P81" s="73" t="str">
        <f t="shared" si="26"/>
        <v/>
      </c>
      <c r="Q81" s="73" t="str">
        <f t="shared" si="26"/>
        <v/>
      </c>
      <c r="R81" s="73" t="str">
        <f t="shared" si="27"/>
        <v/>
      </c>
      <c r="S81" s="73" t="str">
        <f t="shared" si="27"/>
        <v/>
      </c>
      <c r="T81" s="73" t="str">
        <f t="shared" si="27"/>
        <v/>
      </c>
      <c r="U81" s="73" t="str">
        <f t="shared" si="27"/>
        <v/>
      </c>
      <c r="V81" s="73" t="str">
        <f t="shared" si="27"/>
        <v/>
      </c>
      <c r="W81" s="73" t="str">
        <f t="shared" si="27"/>
        <v/>
      </c>
      <c r="X81" s="73" t="str">
        <f t="shared" si="27"/>
        <v/>
      </c>
      <c r="Y81" s="73" t="str">
        <f t="shared" si="27"/>
        <v/>
      </c>
      <c r="Z81" s="73" t="str">
        <f t="shared" si="27"/>
        <v/>
      </c>
      <c r="AA81" s="73" t="str">
        <f t="shared" si="27"/>
        <v/>
      </c>
      <c r="AB81" s="74" t="str">
        <f t="shared" si="27"/>
        <v/>
      </c>
      <c r="AC81" s="35" t="str">
        <f t="shared" si="29"/>
        <v/>
      </c>
      <c r="AD81" s="40" t="str">
        <f t="shared" si="30"/>
        <v/>
      </c>
      <c r="AE81" s="37" t="str">
        <f t="shared" si="31"/>
        <v/>
      </c>
      <c r="AF81" s="40" t="str">
        <f t="shared" si="32"/>
        <v/>
      </c>
      <c r="AG81" s="37" t="str">
        <f t="shared" si="33"/>
        <v/>
      </c>
      <c r="AH81" s="40" t="str">
        <f t="shared" si="34"/>
        <v/>
      </c>
      <c r="AI81" s="37" t="str">
        <f t="shared" si="35"/>
        <v/>
      </c>
      <c r="AJ81" s="40" t="str">
        <f t="shared" si="36"/>
        <v/>
      </c>
      <c r="AK81" s="33" t="str">
        <f>IF(SEM!AK81="","",SEM!AK81)</f>
        <v/>
      </c>
      <c r="AL81" s="6"/>
      <c r="AM81" s="79" t="str">
        <f t="shared" si="37"/>
        <v/>
      </c>
      <c r="AN81" s="12"/>
      <c r="AO81" s="12"/>
      <c r="AP81" s="14"/>
      <c r="AQ81" s="16"/>
      <c r="AR81" s="15"/>
      <c r="AU81" s="198"/>
      <c r="AV81" s="198"/>
      <c r="AW81" s="198"/>
      <c r="AX81" s="198"/>
    </row>
    <row r="82" spans="2:50" ht="17.25" customHeight="1" x14ac:dyDescent="0.2">
      <c r="B82" s="6"/>
      <c r="C82" s="49" t="str">
        <f>IF(SEM!C82="","",SEM!C82)</f>
        <v/>
      </c>
      <c r="D82" s="220" t="str">
        <f>IF(C82="","",VLOOKUP(SEM!C82,FROTA!$B$5:$C$305,2,0))</f>
        <v/>
      </c>
      <c r="E82" s="24" t="str">
        <f>IF(C82="","",VLOOKUP(C82,FROTA!$B$5:$N$305,7,0))</f>
        <v/>
      </c>
      <c r="F82" s="38" t="str">
        <f t="shared" si="28"/>
        <v/>
      </c>
      <c r="G82" s="71" t="str">
        <f t="shared" si="38"/>
        <v/>
      </c>
      <c r="H82" s="32" t="str">
        <f t="shared" si="24"/>
        <v/>
      </c>
      <c r="I82" s="73" t="str">
        <f t="shared" si="24"/>
        <v/>
      </c>
      <c r="J82" s="73" t="str">
        <f t="shared" si="24"/>
        <v/>
      </c>
      <c r="K82" s="73" t="str">
        <f t="shared" si="26"/>
        <v/>
      </c>
      <c r="L82" s="73" t="str">
        <f t="shared" si="26"/>
        <v/>
      </c>
      <c r="M82" s="73" t="str">
        <f t="shared" si="26"/>
        <v/>
      </c>
      <c r="N82" s="73" t="str">
        <f t="shared" si="26"/>
        <v/>
      </c>
      <c r="O82" s="73" t="str">
        <f t="shared" si="26"/>
        <v/>
      </c>
      <c r="P82" s="73" t="str">
        <f t="shared" si="26"/>
        <v/>
      </c>
      <c r="Q82" s="73" t="str">
        <f t="shared" si="26"/>
        <v/>
      </c>
      <c r="R82" s="73" t="str">
        <f t="shared" si="27"/>
        <v/>
      </c>
      <c r="S82" s="73" t="str">
        <f t="shared" si="27"/>
        <v/>
      </c>
      <c r="T82" s="73" t="str">
        <f t="shared" si="27"/>
        <v/>
      </c>
      <c r="U82" s="73" t="str">
        <f t="shared" si="27"/>
        <v/>
      </c>
      <c r="V82" s="73" t="str">
        <f t="shared" si="27"/>
        <v/>
      </c>
      <c r="W82" s="73" t="str">
        <f t="shared" si="27"/>
        <v/>
      </c>
      <c r="X82" s="73" t="str">
        <f t="shared" si="27"/>
        <v/>
      </c>
      <c r="Y82" s="73" t="str">
        <f t="shared" si="27"/>
        <v/>
      </c>
      <c r="Z82" s="73" t="str">
        <f t="shared" si="27"/>
        <v/>
      </c>
      <c r="AA82" s="73" t="str">
        <f t="shared" si="27"/>
        <v/>
      </c>
      <c r="AB82" s="74" t="str">
        <f t="shared" si="27"/>
        <v/>
      </c>
      <c r="AC82" s="35" t="str">
        <f t="shared" si="29"/>
        <v/>
      </c>
      <c r="AD82" s="40" t="str">
        <f t="shared" si="30"/>
        <v/>
      </c>
      <c r="AE82" s="37" t="str">
        <f t="shared" si="31"/>
        <v/>
      </c>
      <c r="AF82" s="40" t="str">
        <f t="shared" si="32"/>
        <v/>
      </c>
      <c r="AG82" s="37" t="str">
        <f t="shared" si="33"/>
        <v/>
      </c>
      <c r="AH82" s="40" t="str">
        <f t="shared" si="34"/>
        <v/>
      </c>
      <c r="AI82" s="37" t="str">
        <f t="shared" si="35"/>
        <v/>
      </c>
      <c r="AJ82" s="40" t="str">
        <f t="shared" si="36"/>
        <v/>
      </c>
      <c r="AK82" s="33" t="str">
        <f>IF(SEM!AK82="","",SEM!AK82)</f>
        <v/>
      </c>
      <c r="AL82" s="6"/>
      <c r="AM82" s="79" t="str">
        <f t="shared" si="37"/>
        <v/>
      </c>
      <c r="AN82" s="12"/>
      <c r="AO82" s="12"/>
      <c r="AP82" s="14"/>
      <c r="AQ82" s="16"/>
      <c r="AR82" s="15"/>
      <c r="AU82" s="198"/>
      <c r="AV82" s="198"/>
      <c r="AW82" s="198"/>
      <c r="AX82" s="198"/>
    </row>
    <row r="83" spans="2:50" ht="17.25" customHeight="1" x14ac:dyDescent="0.2">
      <c r="B83" s="6"/>
      <c r="C83" s="49" t="str">
        <f>IF(SEM!C83="","",SEM!C83)</f>
        <v/>
      </c>
      <c r="D83" s="220" t="str">
        <f>IF(C83="","",VLOOKUP(SEM!C83,FROTA!$B$5:$C$305,2,0))</f>
        <v/>
      </c>
      <c r="E83" s="24" t="str">
        <f>IF(C83="","",VLOOKUP(C83,FROTA!$B$5:$N$305,7,0))</f>
        <v/>
      </c>
      <c r="F83" s="38" t="str">
        <f t="shared" si="28"/>
        <v/>
      </c>
      <c r="G83" s="71" t="str">
        <f t="shared" si="38"/>
        <v/>
      </c>
      <c r="H83" s="32" t="str">
        <f t="shared" si="24"/>
        <v/>
      </c>
      <c r="I83" s="73" t="str">
        <f t="shared" si="24"/>
        <v/>
      </c>
      <c r="J83" s="73" t="str">
        <f t="shared" si="24"/>
        <v/>
      </c>
      <c r="K83" s="73" t="str">
        <f t="shared" si="26"/>
        <v/>
      </c>
      <c r="L83" s="73" t="str">
        <f t="shared" si="26"/>
        <v/>
      </c>
      <c r="M83" s="73" t="str">
        <f t="shared" si="26"/>
        <v/>
      </c>
      <c r="N83" s="73" t="str">
        <f t="shared" si="26"/>
        <v/>
      </c>
      <c r="O83" s="73" t="str">
        <f t="shared" si="26"/>
        <v/>
      </c>
      <c r="P83" s="73" t="str">
        <f t="shared" si="26"/>
        <v/>
      </c>
      <c r="Q83" s="73" t="str">
        <f t="shared" si="26"/>
        <v/>
      </c>
      <c r="R83" s="73" t="str">
        <f t="shared" si="27"/>
        <v/>
      </c>
      <c r="S83" s="73" t="str">
        <f t="shared" si="27"/>
        <v/>
      </c>
      <c r="T83" s="73" t="str">
        <f t="shared" si="27"/>
        <v/>
      </c>
      <c r="U83" s="73" t="str">
        <f t="shared" si="27"/>
        <v/>
      </c>
      <c r="V83" s="73" t="str">
        <f t="shared" si="27"/>
        <v/>
      </c>
      <c r="W83" s="73" t="str">
        <f t="shared" si="27"/>
        <v/>
      </c>
      <c r="X83" s="73" t="str">
        <f t="shared" si="27"/>
        <v/>
      </c>
      <c r="Y83" s="73" t="str">
        <f t="shared" si="27"/>
        <v/>
      </c>
      <c r="Z83" s="73" t="str">
        <f t="shared" si="27"/>
        <v/>
      </c>
      <c r="AA83" s="73" t="str">
        <f t="shared" si="27"/>
        <v/>
      </c>
      <c r="AB83" s="74" t="str">
        <f t="shared" si="27"/>
        <v/>
      </c>
      <c r="AC83" s="35" t="str">
        <f t="shared" si="29"/>
        <v/>
      </c>
      <c r="AD83" s="40" t="str">
        <f t="shared" si="30"/>
        <v/>
      </c>
      <c r="AE83" s="37" t="str">
        <f t="shared" si="31"/>
        <v/>
      </c>
      <c r="AF83" s="40" t="str">
        <f t="shared" si="32"/>
        <v/>
      </c>
      <c r="AG83" s="37" t="str">
        <f t="shared" si="33"/>
        <v/>
      </c>
      <c r="AH83" s="40" t="str">
        <f t="shared" si="34"/>
        <v/>
      </c>
      <c r="AI83" s="37" t="str">
        <f t="shared" si="35"/>
        <v/>
      </c>
      <c r="AJ83" s="40" t="str">
        <f t="shared" si="36"/>
        <v/>
      </c>
      <c r="AK83" s="33" t="str">
        <f>IF(SEM!AK83="","",SEM!AK83)</f>
        <v/>
      </c>
      <c r="AL83" s="6"/>
      <c r="AM83" s="79" t="str">
        <f t="shared" si="37"/>
        <v/>
      </c>
      <c r="AN83" s="12"/>
      <c r="AO83" s="12"/>
      <c r="AP83" s="14"/>
      <c r="AQ83" s="16"/>
      <c r="AR83" s="15"/>
      <c r="AU83" s="198"/>
      <c r="AV83" s="198"/>
      <c r="AW83" s="198"/>
      <c r="AX83" s="198"/>
    </row>
    <row r="84" spans="2:50" ht="17.25" customHeight="1" x14ac:dyDescent="0.2">
      <c r="B84" s="6"/>
      <c r="C84" s="49" t="str">
        <f>IF(SEM!C84="","",SEM!C84)</f>
        <v/>
      </c>
      <c r="D84" s="220" t="str">
        <f>IF(C84="","",VLOOKUP(SEM!C84,FROTA!$B$5:$C$305,2,0))</f>
        <v/>
      </c>
      <c r="E84" s="24" t="str">
        <f>IF(C84="","",VLOOKUP(C84,FROTA!$B$5:$N$305,7,0))</f>
        <v/>
      </c>
      <c r="F84" s="38" t="str">
        <f t="shared" si="28"/>
        <v/>
      </c>
      <c r="G84" s="71" t="str">
        <f t="shared" si="38"/>
        <v/>
      </c>
      <c r="H84" s="32" t="str">
        <f t="shared" si="24"/>
        <v/>
      </c>
      <c r="I84" s="73" t="str">
        <f t="shared" si="24"/>
        <v/>
      </c>
      <c r="J84" s="73" t="str">
        <f t="shared" si="24"/>
        <v/>
      </c>
      <c r="K84" s="73" t="str">
        <f t="shared" si="26"/>
        <v/>
      </c>
      <c r="L84" s="73" t="str">
        <f t="shared" si="26"/>
        <v/>
      </c>
      <c r="M84" s="73" t="str">
        <f t="shared" si="26"/>
        <v/>
      </c>
      <c r="N84" s="73" t="str">
        <f t="shared" si="26"/>
        <v/>
      </c>
      <c r="O84" s="73" t="str">
        <f t="shared" si="26"/>
        <v/>
      </c>
      <c r="P84" s="73" t="str">
        <f t="shared" si="26"/>
        <v/>
      </c>
      <c r="Q84" s="73" t="str">
        <f t="shared" si="26"/>
        <v/>
      </c>
      <c r="R84" s="73" t="str">
        <f t="shared" si="27"/>
        <v/>
      </c>
      <c r="S84" s="73" t="str">
        <f t="shared" si="27"/>
        <v/>
      </c>
      <c r="T84" s="73" t="str">
        <f t="shared" si="27"/>
        <v/>
      </c>
      <c r="U84" s="73" t="str">
        <f t="shared" si="27"/>
        <v/>
      </c>
      <c r="V84" s="73" t="str">
        <f t="shared" si="27"/>
        <v/>
      </c>
      <c r="W84" s="73" t="str">
        <f t="shared" si="27"/>
        <v/>
      </c>
      <c r="X84" s="73" t="str">
        <f t="shared" si="27"/>
        <v/>
      </c>
      <c r="Y84" s="73" t="str">
        <f t="shared" si="27"/>
        <v/>
      </c>
      <c r="Z84" s="73" t="str">
        <f t="shared" si="27"/>
        <v/>
      </c>
      <c r="AA84" s="73" t="str">
        <f t="shared" si="27"/>
        <v/>
      </c>
      <c r="AB84" s="74" t="str">
        <f t="shared" si="27"/>
        <v/>
      </c>
      <c r="AC84" s="35" t="str">
        <f t="shared" si="29"/>
        <v/>
      </c>
      <c r="AD84" s="40" t="str">
        <f t="shared" si="30"/>
        <v/>
      </c>
      <c r="AE84" s="37" t="str">
        <f t="shared" si="31"/>
        <v/>
      </c>
      <c r="AF84" s="40" t="str">
        <f t="shared" si="32"/>
        <v/>
      </c>
      <c r="AG84" s="37" t="str">
        <f t="shared" si="33"/>
        <v/>
      </c>
      <c r="AH84" s="40" t="str">
        <f t="shared" si="34"/>
        <v/>
      </c>
      <c r="AI84" s="37" t="str">
        <f t="shared" si="35"/>
        <v/>
      </c>
      <c r="AJ84" s="40" t="str">
        <f t="shared" si="36"/>
        <v/>
      </c>
      <c r="AK84" s="33" t="str">
        <f>IF(SEM!AK84="","",SEM!AK84)</f>
        <v/>
      </c>
      <c r="AL84" s="6"/>
      <c r="AM84" s="79" t="str">
        <f t="shared" si="37"/>
        <v/>
      </c>
      <c r="AN84" s="12"/>
      <c r="AO84" s="12"/>
      <c r="AP84" s="14"/>
      <c r="AQ84" s="16"/>
      <c r="AR84" s="15"/>
      <c r="AU84" s="198"/>
      <c r="AV84" s="198"/>
      <c r="AW84" s="198"/>
      <c r="AX84" s="198"/>
    </row>
    <row r="85" spans="2:50" ht="17.25" customHeight="1" x14ac:dyDescent="0.2">
      <c r="B85" s="6"/>
      <c r="C85" s="49" t="str">
        <f>IF(SEM!C85="","",SEM!C85)</f>
        <v/>
      </c>
      <c r="D85" s="220" t="str">
        <f>IF(C85="","",VLOOKUP(SEM!C85,FROTA!$B$5:$C$305,2,0))</f>
        <v/>
      </c>
      <c r="E85" s="24" t="str">
        <f>IF(C85="","",VLOOKUP(C85,FROTA!$B$5:$N$305,7,0))</f>
        <v/>
      </c>
      <c r="F85" s="38" t="str">
        <f t="shared" si="28"/>
        <v/>
      </c>
      <c r="G85" s="71" t="str">
        <f t="shared" si="38"/>
        <v/>
      </c>
      <c r="H85" s="32" t="str">
        <f t="shared" si="24"/>
        <v/>
      </c>
      <c r="I85" s="73" t="str">
        <f t="shared" si="24"/>
        <v/>
      </c>
      <c r="J85" s="73" t="str">
        <f t="shared" si="24"/>
        <v/>
      </c>
      <c r="K85" s="73" t="str">
        <f t="shared" si="26"/>
        <v/>
      </c>
      <c r="L85" s="73" t="str">
        <f t="shared" si="26"/>
        <v/>
      </c>
      <c r="M85" s="73" t="str">
        <f t="shared" si="26"/>
        <v/>
      </c>
      <c r="N85" s="73" t="str">
        <f t="shared" si="26"/>
        <v/>
      </c>
      <c r="O85" s="73" t="str">
        <f t="shared" si="26"/>
        <v/>
      </c>
      <c r="P85" s="73" t="str">
        <f t="shared" si="26"/>
        <v/>
      </c>
      <c r="Q85" s="73" t="str">
        <f t="shared" si="26"/>
        <v/>
      </c>
      <c r="R85" s="73" t="str">
        <f t="shared" si="27"/>
        <v/>
      </c>
      <c r="S85" s="73" t="str">
        <f t="shared" si="27"/>
        <v/>
      </c>
      <c r="T85" s="73" t="str">
        <f t="shared" si="27"/>
        <v/>
      </c>
      <c r="U85" s="73" t="str">
        <f t="shared" si="27"/>
        <v/>
      </c>
      <c r="V85" s="73" t="str">
        <f t="shared" si="27"/>
        <v/>
      </c>
      <c r="W85" s="73" t="str">
        <f t="shared" si="27"/>
        <v/>
      </c>
      <c r="X85" s="73" t="str">
        <f t="shared" si="27"/>
        <v/>
      </c>
      <c r="Y85" s="73" t="str">
        <f t="shared" si="27"/>
        <v/>
      </c>
      <c r="Z85" s="73" t="str">
        <f t="shared" ref="R85:AB108" si="39">IF($C85="","",IF(SUM(Z$307*$G85)&gt;$F85,$F85,SUM(Z$307*$G85)))</f>
        <v/>
      </c>
      <c r="AA85" s="73" t="str">
        <f t="shared" si="39"/>
        <v/>
      </c>
      <c r="AB85" s="74" t="str">
        <f t="shared" si="39"/>
        <v/>
      </c>
      <c r="AC85" s="35" t="str">
        <f t="shared" si="29"/>
        <v/>
      </c>
      <c r="AD85" s="40" t="str">
        <f t="shared" si="30"/>
        <v/>
      </c>
      <c r="AE85" s="37" t="str">
        <f t="shared" si="31"/>
        <v/>
      </c>
      <c r="AF85" s="40" t="str">
        <f t="shared" si="32"/>
        <v/>
      </c>
      <c r="AG85" s="37" t="str">
        <f t="shared" si="33"/>
        <v/>
      </c>
      <c r="AH85" s="40" t="str">
        <f t="shared" si="34"/>
        <v/>
      </c>
      <c r="AI85" s="37" t="str">
        <f t="shared" si="35"/>
        <v/>
      </c>
      <c r="AJ85" s="40" t="str">
        <f t="shared" si="36"/>
        <v/>
      </c>
      <c r="AK85" s="33" t="str">
        <f>IF(SEM!AK85="","",SEM!AK85)</f>
        <v/>
      </c>
      <c r="AL85" s="6"/>
      <c r="AM85" s="79" t="str">
        <f t="shared" si="37"/>
        <v/>
      </c>
      <c r="AN85" s="12"/>
      <c r="AO85" s="12"/>
      <c r="AP85" s="14"/>
      <c r="AQ85" s="16"/>
      <c r="AR85" s="15"/>
      <c r="AU85" s="198"/>
      <c r="AV85" s="198"/>
      <c r="AW85" s="198"/>
      <c r="AX85" s="198"/>
    </row>
    <row r="86" spans="2:50" ht="17.25" customHeight="1" x14ac:dyDescent="0.2">
      <c r="B86" s="6"/>
      <c r="C86" s="49" t="str">
        <f>IF(SEM!C86="","",SEM!C86)</f>
        <v/>
      </c>
      <c r="D86" s="220" t="str">
        <f>IF(C86="","",VLOOKUP(SEM!C86,FROTA!$B$5:$C$305,2,0))</f>
        <v/>
      </c>
      <c r="E86" s="24" t="str">
        <f>IF(C86="","",VLOOKUP(C86,FROTA!$B$5:$N$305,7,0))</f>
        <v/>
      </c>
      <c r="F86" s="38" t="str">
        <f t="shared" si="28"/>
        <v/>
      </c>
      <c r="G86" s="71" t="str">
        <f t="shared" si="38"/>
        <v/>
      </c>
      <c r="H86" s="32" t="str">
        <f t="shared" si="24"/>
        <v/>
      </c>
      <c r="I86" s="73" t="str">
        <f t="shared" si="24"/>
        <v/>
      </c>
      <c r="J86" s="73" t="str">
        <f t="shared" si="24"/>
        <v/>
      </c>
      <c r="K86" s="73" t="str">
        <f t="shared" si="26"/>
        <v/>
      </c>
      <c r="L86" s="73" t="str">
        <f t="shared" si="26"/>
        <v/>
      </c>
      <c r="M86" s="73" t="str">
        <f t="shared" si="26"/>
        <v/>
      </c>
      <c r="N86" s="73" t="str">
        <f t="shared" si="26"/>
        <v/>
      </c>
      <c r="O86" s="73" t="str">
        <f t="shared" si="26"/>
        <v/>
      </c>
      <c r="P86" s="73" t="str">
        <f t="shared" si="26"/>
        <v/>
      </c>
      <c r="Q86" s="73" t="str">
        <f t="shared" si="26"/>
        <v/>
      </c>
      <c r="R86" s="73" t="str">
        <f t="shared" si="39"/>
        <v/>
      </c>
      <c r="S86" s="73" t="str">
        <f t="shared" si="39"/>
        <v/>
      </c>
      <c r="T86" s="73" t="str">
        <f t="shared" si="39"/>
        <v/>
      </c>
      <c r="U86" s="73" t="str">
        <f t="shared" si="39"/>
        <v/>
      </c>
      <c r="V86" s="73" t="str">
        <f t="shared" si="39"/>
        <v/>
      </c>
      <c r="W86" s="73" t="str">
        <f t="shared" si="39"/>
        <v/>
      </c>
      <c r="X86" s="73" t="str">
        <f t="shared" si="39"/>
        <v/>
      </c>
      <c r="Y86" s="73" t="str">
        <f t="shared" si="39"/>
        <v/>
      </c>
      <c r="Z86" s="73" t="str">
        <f t="shared" si="39"/>
        <v/>
      </c>
      <c r="AA86" s="73" t="str">
        <f t="shared" si="39"/>
        <v/>
      </c>
      <c r="AB86" s="74" t="str">
        <f t="shared" si="39"/>
        <v/>
      </c>
      <c r="AC86" s="35" t="str">
        <f t="shared" si="29"/>
        <v/>
      </c>
      <c r="AD86" s="40" t="str">
        <f t="shared" si="30"/>
        <v/>
      </c>
      <c r="AE86" s="37" t="str">
        <f t="shared" si="31"/>
        <v/>
      </c>
      <c r="AF86" s="40" t="str">
        <f t="shared" si="32"/>
        <v/>
      </c>
      <c r="AG86" s="37" t="str">
        <f t="shared" si="33"/>
        <v/>
      </c>
      <c r="AH86" s="40" t="str">
        <f t="shared" si="34"/>
        <v/>
      </c>
      <c r="AI86" s="37" t="str">
        <f t="shared" si="35"/>
        <v/>
      </c>
      <c r="AJ86" s="40" t="str">
        <f t="shared" si="36"/>
        <v/>
      </c>
      <c r="AK86" s="33" t="str">
        <f>IF(SEM!AK86="","",SEM!AK86)</f>
        <v/>
      </c>
      <c r="AL86" s="6"/>
      <c r="AM86" s="79" t="str">
        <f t="shared" si="37"/>
        <v/>
      </c>
      <c r="AN86" s="12"/>
      <c r="AO86" s="12"/>
      <c r="AP86" s="14"/>
      <c r="AQ86" s="16"/>
      <c r="AR86" s="15"/>
      <c r="AU86" s="198"/>
      <c r="AV86" s="198"/>
      <c r="AW86" s="198"/>
      <c r="AX86" s="198"/>
    </row>
    <row r="87" spans="2:50" ht="17.25" customHeight="1" x14ac:dyDescent="0.2">
      <c r="B87" s="6"/>
      <c r="C87" s="49" t="str">
        <f>IF(SEM!C87="","",SEM!C87)</f>
        <v/>
      </c>
      <c r="D87" s="220" t="str">
        <f>IF(C87="","",VLOOKUP(SEM!C87,FROTA!$B$5:$C$305,2,0))</f>
        <v/>
      </c>
      <c r="E87" s="24" t="str">
        <f>IF(C87="","",VLOOKUP(C87,FROTA!$B$5:$N$305,7,0))</f>
        <v/>
      </c>
      <c r="F87" s="38" t="str">
        <f t="shared" si="28"/>
        <v/>
      </c>
      <c r="G87" s="71" t="str">
        <f t="shared" si="38"/>
        <v/>
      </c>
      <c r="H87" s="32" t="str">
        <f t="shared" ref="H87:J150" si="40">IF($C87="","",IF(SUM(H$307*$G87)&gt;$F87,$F87,SUM(H$307*$G87)))</f>
        <v/>
      </c>
      <c r="I87" s="73" t="str">
        <f t="shared" si="40"/>
        <v/>
      </c>
      <c r="J87" s="73" t="str">
        <f t="shared" si="40"/>
        <v/>
      </c>
      <c r="K87" s="73" t="str">
        <f t="shared" si="26"/>
        <v/>
      </c>
      <c r="L87" s="73" t="str">
        <f t="shared" si="26"/>
        <v/>
      </c>
      <c r="M87" s="73" t="str">
        <f t="shared" si="26"/>
        <v/>
      </c>
      <c r="N87" s="73" t="str">
        <f t="shared" si="26"/>
        <v/>
      </c>
      <c r="O87" s="73" t="str">
        <f t="shared" si="26"/>
        <v/>
      </c>
      <c r="P87" s="73" t="str">
        <f t="shared" si="26"/>
        <v/>
      </c>
      <c r="Q87" s="73" t="str">
        <f t="shared" si="26"/>
        <v/>
      </c>
      <c r="R87" s="73" t="str">
        <f t="shared" si="39"/>
        <v/>
      </c>
      <c r="S87" s="73" t="str">
        <f t="shared" si="39"/>
        <v/>
      </c>
      <c r="T87" s="73" t="str">
        <f t="shared" si="39"/>
        <v/>
      </c>
      <c r="U87" s="73" t="str">
        <f t="shared" si="39"/>
        <v/>
      </c>
      <c r="V87" s="73" t="str">
        <f t="shared" si="39"/>
        <v/>
      </c>
      <c r="W87" s="73" t="str">
        <f t="shared" si="39"/>
        <v/>
      </c>
      <c r="X87" s="73" t="str">
        <f t="shared" si="39"/>
        <v/>
      </c>
      <c r="Y87" s="73" t="str">
        <f t="shared" si="39"/>
        <v/>
      </c>
      <c r="Z87" s="73" t="str">
        <f t="shared" si="39"/>
        <v/>
      </c>
      <c r="AA87" s="73" t="str">
        <f t="shared" si="39"/>
        <v/>
      </c>
      <c r="AB87" s="74" t="str">
        <f t="shared" si="39"/>
        <v/>
      </c>
      <c r="AC87" s="35" t="str">
        <f t="shared" si="29"/>
        <v/>
      </c>
      <c r="AD87" s="40" t="str">
        <f t="shared" si="30"/>
        <v/>
      </c>
      <c r="AE87" s="37" t="str">
        <f t="shared" si="31"/>
        <v/>
      </c>
      <c r="AF87" s="40" t="str">
        <f t="shared" si="32"/>
        <v/>
      </c>
      <c r="AG87" s="37" t="str">
        <f t="shared" si="33"/>
        <v/>
      </c>
      <c r="AH87" s="40" t="str">
        <f t="shared" si="34"/>
        <v/>
      </c>
      <c r="AI87" s="37" t="str">
        <f t="shared" si="35"/>
        <v/>
      </c>
      <c r="AJ87" s="40" t="str">
        <f t="shared" si="36"/>
        <v/>
      </c>
      <c r="AK87" s="33" t="str">
        <f>IF(SEM!AK87="","",SEM!AK87)</f>
        <v/>
      </c>
      <c r="AL87" s="6"/>
      <c r="AM87" s="79" t="str">
        <f t="shared" si="37"/>
        <v/>
      </c>
      <c r="AN87" s="12"/>
      <c r="AO87" s="12"/>
      <c r="AP87" s="14"/>
      <c r="AQ87" s="16"/>
      <c r="AR87" s="15"/>
      <c r="AU87" s="198"/>
      <c r="AV87" s="198"/>
      <c r="AW87" s="198"/>
      <c r="AX87" s="198"/>
    </row>
    <row r="88" spans="2:50" ht="17.25" customHeight="1" x14ac:dyDescent="0.2">
      <c r="B88" s="6"/>
      <c r="C88" s="49" t="str">
        <f>IF(SEM!C88="","",SEM!C88)</f>
        <v/>
      </c>
      <c r="D88" s="220" t="str">
        <f>IF(C88="","",VLOOKUP(SEM!C88,FROTA!$B$5:$C$305,2,0))</f>
        <v/>
      </c>
      <c r="E88" s="24" t="str">
        <f>IF(C88="","",VLOOKUP(C88,FROTA!$B$5:$N$305,7,0))</f>
        <v/>
      </c>
      <c r="F88" s="38" t="str">
        <f t="shared" si="28"/>
        <v/>
      </c>
      <c r="G88" s="71" t="str">
        <f t="shared" si="38"/>
        <v/>
      </c>
      <c r="H88" s="32" t="str">
        <f t="shared" si="40"/>
        <v/>
      </c>
      <c r="I88" s="73" t="str">
        <f t="shared" si="40"/>
        <v/>
      </c>
      <c r="J88" s="73" t="str">
        <f t="shared" si="40"/>
        <v/>
      </c>
      <c r="K88" s="73" t="str">
        <f t="shared" si="26"/>
        <v/>
      </c>
      <c r="L88" s="73" t="str">
        <f t="shared" si="26"/>
        <v/>
      </c>
      <c r="M88" s="73" t="str">
        <f t="shared" si="26"/>
        <v/>
      </c>
      <c r="N88" s="73" t="str">
        <f t="shared" si="26"/>
        <v/>
      </c>
      <c r="O88" s="73" t="str">
        <f t="shared" si="26"/>
        <v/>
      </c>
      <c r="P88" s="73" t="str">
        <f t="shared" si="26"/>
        <v/>
      </c>
      <c r="Q88" s="73" t="str">
        <f t="shared" si="26"/>
        <v/>
      </c>
      <c r="R88" s="73" t="str">
        <f t="shared" si="39"/>
        <v/>
      </c>
      <c r="S88" s="73" t="str">
        <f t="shared" si="39"/>
        <v/>
      </c>
      <c r="T88" s="73" t="str">
        <f t="shared" si="39"/>
        <v/>
      </c>
      <c r="U88" s="73" t="str">
        <f t="shared" si="39"/>
        <v/>
      </c>
      <c r="V88" s="73" t="str">
        <f t="shared" si="39"/>
        <v/>
      </c>
      <c r="W88" s="73" t="str">
        <f t="shared" si="39"/>
        <v/>
      </c>
      <c r="X88" s="73" t="str">
        <f t="shared" si="39"/>
        <v/>
      </c>
      <c r="Y88" s="73" t="str">
        <f t="shared" si="39"/>
        <v/>
      </c>
      <c r="Z88" s="73" t="str">
        <f t="shared" si="39"/>
        <v/>
      </c>
      <c r="AA88" s="73" t="str">
        <f t="shared" si="39"/>
        <v/>
      </c>
      <c r="AB88" s="74" t="str">
        <f t="shared" si="39"/>
        <v/>
      </c>
      <c r="AC88" s="35" t="str">
        <f t="shared" si="29"/>
        <v/>
      </c>
      <c r="AD88" s="40" t="str">
        <f t="shared" si="30"/>
        <v/>
      </c>
      <c r="AE88" s="37" t="str">
        <f t="shared" si="31"/>
        <v/>
      </c>
      <c r="AF88" s="40" t="str">
        <f t="shared" si="32"/>
        <v/>
      </c>
      <c r="AG88" s="37" t="str">
        <f t="shared" si="33"/>
        <v/>
      </c>
      <c r="AH88" s="40" t="str">
        <f t="shared" si="34"/>
        <v/>
      </c>
      <c r="AI88" s="37" t="str">
        <f t="shared" si="35"/>
        <v/>
      </c>
      <c r="AJ88" s="40" t="str">
        <f t="shared" si="36"/>
        <v/>
      </c>
      <c r="AK88" s="33" t="str">
        <f>IF(SEM!AK88="","",SEM!AK88)</f>
        <v/>
      </c>
      <c r="AL88" s="6"/>
      <c r="AM88" s="79" t="str">
        <f t="shared" si="37"/>
        <v/>
      </c>
      <c r="AN88" s="12"/>
      <c r="AO88" s="12"/>
      <c r="AP88" s="14"/>
      <c r="AQ88" s="16"/>
      <c r="AR88" s="15"/>
      <c r="AU88" s="198"/>
      <c r="AV88" s="198"/>
      <c r="AW88" s="198"/>
      <c r="AX88" s="198"/>
    </row>
    <row r="89" spans="2:50" ht="17.25" customHeight="1" x14ac:dyDescent="0.2">
      <c r="B89" s="6"/>
      <c r="C89" s="49" t="str">
        <f>IF(SEM!C89="","",SEM!C89)</f>
        <v/>
      </c>
      <c r="D89" s="220" t="str">
        <f>IF(C89="","",VLOOKUP(SEM!C89,FROTA!$B$5:$C$305,2,0))</f>
        <v/>
      </c>
      <c r="E89" s="24" t="str">
        <f>IF(C89="","",VLOOKUP(C89,FROTA!$B$5:$N$305,7,0))</f>
        <v/>
      </c>
      <c r="F89" s="38" t="str">
        <f t="shared" si="28"/>
        <v/>
      </c>
      <c r="G89" s="71" t="str">
        <f t="shared" si="38"/>
        <v/>
      </c>
      <c r="H89" s="32" t="str">
        <f t="shared" si="40"/>
        <v/>
      </c>
      <c r="I89" s="73" t="str">
        <f t="shared" si="40"/>
        <v/>
      </c>
      <c r="J89" s="73" t="str">
        <f t="shared" si="40"/>
        <v/>
      </c>
      <c r="K89" s="73" t="str">
        <f t="shared" si="26"/>
        <v/>
      </c>
      <c r="L89" s="73" t="str">
        <f t="shared" si="26"/>
        <v/>
      </c>
      <c r="M89" s="73" t="str">
        <f t="shared" si="26"/>
        <v/>
      </c>
      <c r="N89" s="73" t="str">
        <f t="shared" si="26"/>
        <v/>
      </c>
      <c r="O89" s="73" t="str">
        <f t="shared" si="26"/>
        <v/>
      </c>
      <c r="P89" s="73" t="str">
        <f t="shared" si="26"/>
        <v/>
      </c>
      <c r="Q89" s="73" t="str">
        <f t="shared" si="26"/>
        <v/>
      </c>
      <c r="R89" s="73" t="str">
        <f t="shared" si="39"/>
        <v/>
      </c>
      <c r="S89" s="73" t="str">
        <f t="shared" si="39"/>
        <v/>
      </c>
      <c r="T89" s="73" t="str">
        <f t="shared" si="39"/>
        <v/>
      </c>
      <c r="U89" s="73" t="str">
        <f t="shared" si="39"/>
        <v/>
      </c>
      <c r="V89" s="73" t="str">
        <f t="shared" si="39"/>
        <v/>
      </c>
      <c r="W89" s="73" t="str">
        <f t="shared" si="39"/>
        <v/>
      </c>
      <c r="X89" s="73" t="str">
        <f t="shared" si="39"/>
        <v/>
      </c>
      <c r="Y89" s="73" t="str">
        <f t="shared" si="39"/>
        <v/>
      </c>
      <c r="Z89" s="73" t="str">
        <f t="shared" si="39"/>
        <v/>
      </c>
      <c r="AA89" s="73" t="str">
        <f t="shared" si="39"/>
        <v/>
      </c>
      <c r="AB89" s="74" t="str">
        <f t="shared" si="39"/>
        <v/>
      </c>
      <c r="AC89" s="35" t="str">
        <f t="shared" si="29"/>
        <v/>
      </c>
      <c r="AD89" s="40" t="str">
        <f t="shared" si="30"/>
        <v/>
      </c>
      <c r="AE89" s="37" t="str">
        <f t="shared" si="31"/>
        <v/>
      </c>
      <c r="AF89" s="40" t="str">
        <f t="shared" si="32"/>
        <v/>
      </c>
      <c r="AG89" s="37" t="str">
        <f t="shared" si="33"/>
        <v/>
      </c>
      <c r="AH89" s="40" t="str">
        <f t="shared" si="34"/>
        <v/>
      </c>
      <c r="AI89" s="37" t="str">
        <f t="shared" si="35"/>
        <v/>
      </c>
      <c r="AJ89" s="40" t="str">
        <f t="shared" si="36"/>
        <v/>
      </c>
      <c r="AK89" s="33" t="str">
        <f>IF(SEM!AK89="","",SEM!AK89)</f>
        <v/>
      </c>
      <c r="AL89" s="6"/>
      <c r="AM89" s="79" t="str">
        <f t="shared" si="37"/>
        <v/>
      </c>
      <c r="AN89" s="12"/>
      <c r="AO89" s="12"/>
      <c r="AP89" s="14"/>
      <c r="AQ89" s="16"/>
      <c r="AR89" s="15"/>
      <c r="AU89" s="198"/>
      <c r="AV89" s="198"/>
      <c r="AW89" s="198"/>
      <c r="AX89" s="198"/>
    </row>
    <row r="90" spans="2:50" ht="17.25" customHeight="1" x14ac:dyDescent="0.2">
      <c r="B90" s="6"/>
      <c r="C90" s="49" t="str">
        <f>IF(SEM!C90="","",SEM!C90)</f>
        <v/>
      </c>
      <c r="D90" s="220" t="str">
        <f>IF(C90="","",VLOOKUP(SEM!C90,FROTA!$B$5:$C$305,2,0))</f>
        <v/>
      </c>
      <c r="E90" s="24" t="str">
        <f>IF(C90="","",VLOOKUP(C90,FROTA!$B$5:$N$305,7,0))</f>
        <v/>
      </c>
      <c r="F90" s="38" t="str">
        <f t="shared" si="28"/>
        <v/>
      </c>
      <c r="G90" s="71" t="str">
        <f t="shared" si="38"/>
        <v/>
      </c>
      <c r="H90" s="32" t="str">
        <f t="shared" si="40"/>
        <v/>
      </c>
      <c r="I90" s="73" t="str">
        <f t="shared" si="40"/>
        <v/>
      </c>
      <c r="J90" s="73" t="str">
        <f t="shared" si="40"/>
        <v/>
      </c>
      <c r="K90" s="73" t="str">
        <f t="shared" si="26"/>
        <v/>
      </c>
      <c r="L90" s="73" t="str">
        <f t="shared" si="26"/>
        <v/>
      </c>
      <c r="M90" s="73" t="str">
        <f t="shared" si="26"/>
        <v/>
      </c>
      <c r="N90" s="73" t="str">
        <f t="shared" si="26"/>
        <v/>
      </c>
      <c r="O90" s="73" t="str">
        <f t="shared" si="26"/>
        <v/>
      </c>
      <c r="P90" s="73" t="str">
        <f t="shared" si="26"/>
        <v/>
      </c>
      <c r="Q90" s="73" t="str">
        <f t="shared" si="26"/>
        <v/>
      </c>
      <c r="R90" s="73" t="str">
        <f t="shared" si="39"/>
        <v/>
      </c>
      <c r="S90" s="73" t="str">
        <f t="shared" si="39"/>
        <v/>
      </c>
      <c r="T90" s="73" t="str">
        <f t="shared" si="39"/>
        <v/>
      </c>
      <c r="U90" s="73" t="str">
        <f t="shared" si="39"/>
        <v/>
      </c>
      <c r="V90" s="73" t="str">
        <f t="shared" si="39"/>
        <v/>
      </c>
      <c r="W90" s="73" t="str">
        <f t="shared" si="39"/>
        <v/>
      </c>
      <c r="X90" s="73" t="str">
        <f t="shared" si="39"/>
        <v/>
      </c>
      <c r="Y90" s="73" t="str">
        <f t="shared" si="39"/>
        <v/>
      </c>
      <c r="Z90" s="73" t="str">
        <f t="shared" si="39"/>
        <v/>
      </c>
      <c r="AA90" s="73" t="str">
        <f t="shared" si="39"/>
        <v/>
      </c>
      <c r="AB90" s="74" t="str">
        <f t="shared" si="39"/>
        <v/>
      </c>
      <c r="AC90" s="35" t="str">
        <f t="shared" si="29"/>
        <v/>
      </c>
      <c r="AD90" s="40" t="str">
        <f t="shared" si="30"/>
        <v/>
      </c>
      <c r="AE90" s="37" t="str">
        <f t="shared" si="31"/>
        <v/>
      </c>
      <c r="AF90" s="40" t="str">
        <f t="shared" si="32"/>
        <v/>
      </c>
      <c r="AG90" s="37" t="str">
        <f t="shared" si="33"/>
        <v/>
      </c>
      <c r="AH90" s="40" t="str">
        <f t="shared" si="34"/>
        <v/>
      </c>
      <c r="AI90" s="37" t="str">
        <f t="shared" si="35"/>
        <v/>
      </c>
      <c r="AJ90" s="40" t="str">
        <f t="shared" si="36"/>
        <v/>
      </c>
      <c r="AK90" s="33" t="str">
        <f>IF(SEM!AK90="","",SEM!AK90)</f>
        <v/>
      </c>
      <c r="AL90" s="6"/>
      <c r="AM90" s="79" t="str">
        <f t="shared" si="37"/>
        <v/>
      </c>
      <c r="AN90" s="12"/>
      <c r="AO90" s="12"/>
      <c r="AP90" s="14"/>
      <c r="AQ90" s="16"/>
      <c r="AR90" s="15"/>
      <c r="AU90" s="198"/>
      <c r="AV90" s="198"/>
      <c r="AW90" s="198"/>
      <c r="AX90" s="198"/>
    </row>
    <row r="91" spans="2:50" ht="17.25" customHeight="1" x14ac:dyDescent="0.2">
      <c r="B91" s="6"/>
      <c r="C91" s="49" t="str">
        <f>IF(SEM!C91="","",SEM!C91)</f>
        <v/>
      </c>
      <c r="D91" s="220" t="str">
        <f>IF(C91="","",VLOOKUP(SEM!C91,FROTA!$B$5:$C$305,2,0))</f>
        <v/>
      </c>
      <c r="E91" s="24" t="str">
        <f>IF(C91="","",VLOOKUP(C91,FROTA!$B$5:$N$305,7,0))</f>
        <v/>
      </c>
      <c r="F91" s="38" t="str">
        <f t="shared" si="28"/>
        <v/>
      </c>
      <c r="G91" s="71" t="str">
        <f t="shared" si="38"/>
        <v/>
      </c>
      <c r="H91" s="32" t="str">
        <f t="shared" si="40"/>
        <v/>
      </c>
      <c r="I91" s="73" t="str">
        <f t="shared" si="40"/>
        <v/>
      </c>
      <c r="J91" s="73" t="str">
        <f t="shared" si="40"/>
        <v/>
      </c>
      <c r="K91" s="73" t="str">
        <f t="shared" si="26"/>
        <v/>
      </c>
      <c r="L91" s="73" t="str">
        <f t="shared" si="26"/>
        <v/>
      </c>
      <c r="M91" s="73" t="str">
        <f t="shared" si="26"/>
        <v/>
      </c>
      <c r="N91" s="73" t="str">
        <f t="shared" si="26"/>
        <v/>
      </c>
      <c r="O91" s="73" t="str">
        <f t="shared" si="26"/>
        <v/>
      </c>
      <c r="P91" s="73" t="str">
        <f t="shared" si="26"/>
        <v/>
      </c>
      <c r="Q91" s="73" t="str">
        <f t="shared" si="26"/>
        <v/>
      </c>
      <c r="R91" s="73" t="str">
        <f t="shared" si="39"/>
        <v/>
      </c>
      <c r="S91" s="73" t="str">
        <f t="shared" si="39"/>
        <v/>
      </c>
      <c r="T91" s="73" t="str">
        <f t="shared" si="39"/>
        <v/>
      </c>
      <c r="U91" s="73" t="str">
        <f t="shared" si="39"/>
        <v/>
      </c>
      <c r="V91" s="73" t="str">
        <f t="shared" si="39"/>
        <v/>
      </c>
      <c r="W91" s="73" t="str">
        <f t="shared" si="39"/>
        <v/>
      </c>
      <c r="X91" s="73" t="str">
        <f t="shared" si="39"/>
        <v/>
      </c>
      <c r="Y91" s="73" t="str">
        <f t="shared" si="39"/>
        <v/>
      </c>
      <c r="Z91" s="73" t="str">
        <f t="shared" si="39"/>
        <v/>
      </c>
      <c r="AA91" s="73" t="str">
        <f t="shared" si="39"/>
        <v/>
      </c>
      <c r="AB91" s="74" t="str">
        <f t="shared" si="39"/>
        <v/>
      </c>
      <c r="AC91" s="35" t="str">
        <f t="shared" si="29"/>
        <v/>
      </c>
      <c r="AD91" s="40" t="str">
        <f t="shared" si="30"/>
        <v/>
      </c>
      <c r="AE91" s="37" t="str">
        <f t="shared" si="31"/>
        <v/>
      </c>
      <c r="AF91" s="40" t="str">
        <f t="shared" si="32"/>
        <v/>
      </c>
      <c r="AG91" s="37" t="str">
        <f t="shared" si="33"/>
        <v/>
      </c>
      <c r="AH91" s="40" t="str">
        <f t="shared" si="34"/>
        <v/>
      </c>
      <c r="AI91" s="37" t="str">
        <f t="shared" si="35"/>
        <v/>
      </c>
      <c r="AJ91" s="40" t="str">
        <f t="shared" si="36"/>
        <v/>
      </c>
      <c r="AK91" s="33" t="str">
        <f>IF(SEM!AK91="","",SEM!AK91)</f>
        <v/>
      </c>
      <c r="AL91" s="6"/>
      <c r="AM91" s="79" t="str">
        <f t="shared" si="37"/>
        <v/>
      </c>
      <c r="AN91" s="12"/>
      <c r="AO91" s="12"/>
      <c r="AP91" s="14"/>
      <c r="AQ91" s="16"/>
      <c r="AR91" s="15"/>
      <c r="AU91" s="198"/>
      <c r="AV91" s="198"/>
      <c r="AW91" s="198"/>
      <c r="AX91" s="198"/>
    </row>
    <row r="92" spans="2:50" ht="17.25" customHeight="1" x14ac:dyDescent="0.2">
      <c r="B92" s="6"/>
      <c r="C92" s="49" t="str">
        <f>IF(SEM!C92="","",SEM!C92)</f>
        <v/>
      </c>
      <c r="D92" s="220" t="str">
        <f>IF(C92="","",VLOOKUP(SEM!C92,FROTA!$B$5:$C$305,2,0))</f>
        <v/>
      </c>
      <c r="E92" s="24" t="str">
        <f>IF(C92="","",VLOOKUP(C92,FROTA!$B$5:$N$305,7,0))</f>
        <v/>
      </c>
      <c r="F92" s="38" t="str">
        <f t="shared" si="28"/>
        <v/>
      </c>
      <c r="G92" s="71" t="str">
        <f t="shared" si="38"/>
        <v/>
      </c>
      <c r="H92" s="32" t="str">
        <f t="shared" si="40"/>
        <v/>
      </c>
      <c r="I92" s="73" t="str">
        <f t="shared" si="40"/>
        <v/>
      </c>
      <c r="J92" s="73" t="str">
        <f t="shared" si="40"/>
        <v/>
      </c>
      <c r="K92" s="73" t="str">
        <f t="shared" si="26"/>
        <v/>
      </c>
      <c r="L92" s="73" t="str">
        <f t="shared" si="26"/>
        <v/>
      </c>
      <c r="M92" s="73" t="str">
        <f t="shared" si="26"/>
        <v/>
      </c>
      <c r="N92" s="73" t="str">
        <f t="shared" si="26"/>
        <v/>
      </c>
      <c r="O92" s="73" t="str">
        <f t="shared" si="26"/>
        <v/>
      </c>
      <c r="P92" s="73" t="str">
        <f t="shared" si="26"/>
        <v/>
      </c>
      <c r="Q92" s="73" t="str">
        <f t="shared" si="26"/>
        <v/>
      </c>
      <c r="R92" s="73" t="str">
        <f t="shared" si="39"/>
        <v/>
      </c>
      <c r="S92" s="73" t="str">
        <f t="shared" si="39"/>
        <v/>
      </c>
      <c r="T92" s="73" t="str">
        <f t="shared" si="39"/>
        <v/>
      </c>
      <c r="U92" s="73" t="str">
        <f t="shared" si="39"/>
        <v/>
      </c>
      <c r="V92" s="73" t="str">
        <f t="shared" si="39"/>
        <v/>
      </c>
      <c r="W92" s="73" t="str">
        <f t="shared" si="39"/>
        <v/>
      </c>
      <c r="X92" s="73" t="str">
        <f t="shared" si="39"/>
        <v/>
      </c>
      <c r="Y92" s="73" t="str">
        <f t="shared" si="39"/>
        <v/>
      </c>
      <c r="Z92" s="73" t="str">
        <f t="shared" si="39"/>
        <v/>
      </c>
      <c r="AA92" s="73" t="str">
        <f t="shared" si="39"/>
        <v/>
      </c>
      <c r="AB92" s="74" t="str">
        <f t="shared" si="39"/>
        <v/>
      </c>
      <c r="AC92" s="35" t="str">
        <f t="shared" si="29"/>
        <v/>
      </c>
      <c r="AD92" s="40" t="str">
        <f t="shared" si="30"/>
        <v/>
      </c>
      <c r="AE92" s="37" t="str">
        <f t="shared" si="31"/>
        <v/>
      </c>
      <c r="AF92" s="40" t="str">
        <f t="shared" si="32"/>
        <v/>
      </c>
      <c r="AG92" s="37" t="str">
        <f t="shared" si="33"/>
        <v/>
      </c>
      <c r="AH92" s="40" t="str">
        <f t="shared" si="34"/>
        <v/>
      </c>
      <c r="AI92" s="37" t="str">
        <f t="shared" si="35"/>
        <v/>
      </c>
      <c r="AJ92" s="40" t="str">
        <f t="shared" si="36"/>
        <v/>
      </c>
      <c r="AK92" s="33" t="str">
        <f>IF(SEM!AK92="","",SEM!AK92)</f>
        <v/>
      </c>
      <c r="AL92" s="6"/>
      <c r="AM92" s="79" t="str">
        <f t="shared" si="37"/>
        <v/>
      </c>
      <c r="AN92" s="12"/>
      <c r="AO92" s="12"/>
      <c r="AP92" s="14"/>
      <c r="AQ92" s="16"/>
      <c r="AR92" s="15"/>
      <c r="AU92" s="198"/>
      <c r="AV92" s="198"/>
      <c r="AW92" s="198"/>
      <c r="AX92" s="198"/>
    </row>
    <row r="93" spans="2:50" ht="17.25" customHeight="1" x14ac:dyDescent="0.2">
      <c r="B93" s="6"/>
      <c r="C93" s="49" t="str">
        <f>IF(SEM!C93="","",SEM!C93)</f>
        <v/>
      </c>
      <c r="D93" s="220" t="str">
        <f>IF(C93="","",VLOOKUP(SEM!C93,FROTA!$B$5:$C$305,2,0))</f>
        <v/>
      </c>
      <c r="E93" s="24" t="str">
        <f>IF(C93="","",VLOOKUP(C93,FROTA!$B$5:$N$305,7,0))</f>
        <v/>
      </c>
      <c r="F93" s="38" t="str">
        <f t="shared" si="28"/>
        <v/>
      </c>
      <c r="G93" s="71" t="str">
        <f t="shared" si="38"/>
        <v/>
      </c>
      <c r="H93" s="32" t="str">
        <f t="shared" si="40"/>
        <v/>
      </c>
      <c r="I93" s="73" t="str">
        <f t="shared" si="40"/>
        <v/>
      </c>
      <c r="J93" s="73" t="str">
        <f t="shared" si="40"/>
        <v/>
      </c>
      <c r="K93" s="73" t="str">
        <f t="shared" si="26"/>
        <v/>
      </c>
      <c r="L93" s="73" t="str">
        <f t="shared" si="26"/>
        <v/>
      </c>
      <c r="M93" s="73" t="str">
        <f t="shared" si="26"/>
        <v/>
      </c>
      <c r="N93" s="73" t="str">
        <f t="shared" si="26"/>
        <v/>
      </c>
      <c r="O93" s="73" t="str">
        <f t="shared" si="26"/>
        <v/>
      </c>
      <c r="P93" s="73" t="str">
        <f t="shared" si="26"/>
        <v/>
      </c>
      <c r="Q93" s="73" t="str">
        <f t="shared" si="26"/>
        <v/>
      </c>
      <c r="R93" s="73" t="str">
        <f t="shared" si="39"/>
        <v/>
      </c>
      <c r="S93" s="73" t="str">
        <f t="shared" si="39"/>
        <v/>
      </c>
      <c r="T93" s="73" t="str">
        <f t="shared" si="39"/>
        <v/>
      </c>
      <c r="U93" s="73" t="str">
        <f t="shared" si="39"/>
        <v/>
      </c>
      <c r="V93" s="73" t="str">
        <f t="shared" si="39"/>
        <v/>
      </c>
      <c r="W93" s="73" t="str">
        <f t="shared" si="39"/>
        <v/>
      </c>
      <c r="X93" s="73" t="str">
        <f t="shared" si="39"/>
        <v/>
      </c>
      <c r="Y93" s="73" t="str">
        <f t="shared" si="39"/>
        <v/>
      </c>
      <c r="Z93" s="73" t="str">
        <f t="shared" si="39"/>
        <v/>
      </c>
      <c r="AA93" s="73" t="str">
        <f t="shared" si="39"/>
        <v/>
      </c>
      <c r="AB93" s="74" t="str">
        <f t="shared" si="39"/>
        <v/>
      </c>
      <c r="AC93" s="35" t="str">
        <f t="shared" si="29"/>
        <v/>
      </c>
      <c r="AD93" s="40" t="str">
        <f t="shared" si="30"/>
        <v/>
      </c>
      <c r="AE93" s="37" t="str">
        <f t="shared" si="31"/>
        <v/>
      </c>
      <c r="AF93" s="40" t="str">
        <f t="shared" si="32"/>
        <v/>
      </c>
      <c r="AG93" s="37" t="str">
        <f t="shared" si="33"/>
        <v/>
      </c>
      <c r="AH93" s="40" t="str">
        <f t="shared" si="34"/>
        <v/>
      </c>
      <c r="AI93" s="37" t="str">
        <f t="shared" si="35"/>
        <v/>
      </c>
      <c r="AJ93" s="40" t="str">
        <f t="shared" si="36"/>
        <v/>
      </c>
      <c r="AK93" s="33" t="str">
        <f>IF(SEM!AK93="","",SEM!AK93)</f>
        <v/>
      </c>
      <c r="AL93" s="6"/>
      <c r="AM93" s="79" t="str">
        <f t="shared" si="37"/>
        <v/>
      </c>
      <c r="AN93" s="12"/>
      <c r="AO93" s="12"/>
      <c r="AP93" s="14"/>
      <c r="AQ93" s="16"/>
      <c r="AR93" s="15"/>
      <c r="AU93" s="198"/>
      <c r="AV93" s="198"/>
      <c r="AW93" s="198"/>
      <c r="AX93" s="198"/>
    </row>
    <row r="94" spans="2:50" ht="17.25" customHeight="1" x14ac:dyDescent="0.2">
      <c r="B94" s="6"/>
      <c r="C94" s="49" t="str">
        <f>IF(SEM!C94="","",SEM!C94)</f>
        <v/>
      </c>
      <c r="D94" s="220" t="str">
        <f>IF(C94="","",VLOOKUP(SEM!C94,FROTA!$B$5:$C$305,2,0))</f>
        <v/>
      </c>
      <c r="E94" s="24" t="str">
        <f>IF(C94="","",VLOOKUP(C94,FROTA!$B$5:$N$305,7,0))</f>
        <v/>
      </c>
      <c r="F94" s="38" t="str">
        <f t="shared" si="28"/>
        <v/>
      </c>
      <c r="G94" s="71" t="str">
        <f t="shared" si="38"/>
        <v/>
      </c>
      <c r="H94" s="32" t="str">
        <f t="shared" si="40"/>
        <v/>
      </c>
      <c r="I94" s="73" t="str">
        <f t="shared" si="40"/>
        <v/>
      </c>
      <c r="J94" s="73" t="str">
        <f t="shared" si="40"/>
        <v/>
      </c>
      <c r="K94" s="73" t="str">
        <f t="shared" si="26"/>
        <v/>
      </c>
      <c r="L94" s="73" t="str">
        <f t="shared" si="26"/>
        <v/>
      </c>
      <c r="M94" s="73" t="str">
        <f t="shared" si="26"/>
        <v/>
      </c>
      <c r="N94" s="73" t="str">
        <f t="shared" si="26"/>
        <v/>
      </c>
      <c r="O94" s="73" t="str">
        <f t="shared" si="26"/>
        <v/>
      </c>
      <c r="P94" s="73" t="str">
        <f t="shared" si="26"/>
        <v/>
      </c>
      <c r="Q94" s="73" t="str">
        <f t="shared" ref="K94:Q131" si="41">IF($C94="","",IF(SUM(Q$307*$G94)&gt;$F94,$F94,SUM(Q$307*$G94)))</f>
        <v/>
      </c>
      <c r="R94" s="73" t="str">
        <f t="shared" si="39"/>
        <v/>
      </c>
      <c r="S94" s="73" t="str">
        <f t="shared" si="39"/>
        <v/>
      </c>
      <c r="T94" s="73" t="str">
        <f t="shared" si="39"/>
        <v/>
      </c>
      <c r="U94" s="73" t="str">
        <f t="shared" si="39"/>
        <v/>
      </c>
      <c r="V94" s="73" t="str">
        <f t="shared" si="39"/>
        <v/>
      </c>
      <c r="W94" s="73" t="str">
        <f t="shared" si="39"/>
        <v/>
      </c>
      <c r="X94" s="73" t="str">
        <f t="shared" si="39"/>
        <v/>
      </c>
      <c r="Y94" s="73" t="str">
        <f t="shared" si="39"/>
        <v/>
      </c>
      <c r="Z94" s="73" t="str">
        <f t="shared" si="39"/>
        <v/>
      </c>
      <c r="AA94" s="73" t="str">
        <f t="shared" si="39"/>
        <v/>
      </c>
      <c r="AB94" s="74" t="str">
        <f t="shared" si="39"/>
        <v/>
      </c>
      <c r="AC94" s="35" t="str">
        <f t="shared" si="29"/>
        <v/>
      </c>
      <c r="AD94" s="40" t="str">
        <f t="shared" si="30"/>
        <v/>
      </c>
      <c r="AE94" s="37" t="str">
        <f t="shared" si="31"/>
        <v/>
      </c>
      <c r="AF94" s="40" t="str">
        <f t="shared" si="32"/>
        <v/>
      </c>
      <c r="AG94" s="37" t="str">
        <f t="shared" si="33"/>
        <v/>
      </c>
      <c r="AH94" s="40" t="str">
        <f t="shared" si="34"/>
        <v/>
      </c>
      <c r="AI94" s="37" t="str">
        <f t="shared" si="35"/>
        <v/>
      </c>
      <c r="AJ94" s="40" t="str">
        <f t="shared" si="36"/>
        <v/>
      </c>
      <c r="AK94" s="33" t="str">
        <f>IF(SEM!AK94="","",SEM!AK94)</f>
        <v/>
      </c>
      <c r="AL94" s="6"/>
      <c r="AM94" s="79" t="str">
        <f t="shared" si="37"/>
        <v/>
      </c>
      <c r="AN94" s="12"/>
      <c r="AO94" s="12"/>
      <c r="AP94" s="14"/>
      <c r="AQ94" s="16"/>
      <c r="AR94" s="15"/>
      <c r="AU94" s="198"/>
      <c r="AV94" s="198"/>
      <c r="AW94" s="198"/>
      <c r="AX94" s="198"/>
    </row>
    <row r="95" spans="2:50" ht="17.25" customHeight="1" x14ac:dyDescent="0.2">
      <c r="B95" s="6"/>
      <c r="C95" s="49" t="str">
        <f>IF(SEM!C95="","",SEM!C95)</f>
        <v/>
      </c>
      <c r="D95" s="220" t="str">
        <f>IF(C95="","",VLOOKUP(SEM!C95,FROTA!$B$5:$C$305,2,0))</f>
        <v/>
      </c>
      <c r="E95" s="24" t="str">
        <f>IF(C95="","",VLOOKUP(C95,FROTA!$B$5:$N$305,7,0))</f>
        <v/>
      </c>
      <c r="F95" s="38" t="str">
        <f t="shared" si="28"/>
        <v/>
      </c>
      <c r="G95" s="71" t="str">
        <f t="shared" si="38"/>
        <v/>
      </c>
      <c r="H95" s="32" t="str">
        <f t="shared" si="40"/>
        <v/>
      </c>
      <c r="I95" s="73" t="str">
        <f t="shared" si="40"/>
        <v/>
      </c>
      <c r="J95" s="73" t="str">
        <f t="shared" si="40"/>
        <v/>
      </c>
      <c r="K95" s="73" t="str">
        <f t="shared" si="41"/>
        <v/>
      </c>
      <c r="L95" s="73" t="str">
        <f t="shared" si="41"/>
        <v/>
      </c>
      <c r="M95" s="73" t="str">
        <f t="shared" si="41"/>
        <v/>
      </c>
      <c r="N95" s="73" t="str">
        <f t="shared" si="41"/>
        <v/>
      </c>
      <c r="O95" s="73" t="str">
        <f t="shared" si="41"/>
        <v/>
      </c>
      <c r="P95" s="73" t="str">
        <f t="shared" si="41"/>
        <v/>
      </c>
      <c r="Q95" s="73" t="str">
        <f t="shared" si="41"/>
        <v/>
      </c>
      <c r="R95" s="73" t="str">
        <f t="shared" si="39"/>
        <v/>
      </c>
      <c r="S95" s="73" t="str">
        <f t="shared" si="39"/>
        <v/>
      </c>
      <c r="T95" s="73" t="str">
        <f t="shared" si="39"/>
        <v/>
      </c>
      <c r="U95" s="73" t="str">
        <f t="shared" si="39"/>
        <v/>
      </c>
      <c r="V95" s="73" t="str">
        <f t="shared" si="39"/>
        <v/>
      </c>
      <c r="W95" s="73" t="str">
        <f t="shared" si="39"/>
        <v/>
      </c>
      <c r="X95" s="73" t="str">
        <f t="shared" si="39"/>
        <v/>
      </c>
      <c r="Y95" s="73" t="str">
        <f t="shared" si="39"/>
        <v/>
      </c>
      <c r="Z95" s="73" t="str">
        <f t="shared" si="39"/>
        <v/>
      </c>
      <c r="AA95" s="73" t="str">
        <f t="shared" si="39"/>
        <v/>
      </c>
      <c r="AB95" s="74" t="str">
        <f t="shared" si="39"/>
        <v/>
      </c>
      <c r="AC95" s="35" t="str">
        <f t="shared" si="29"/>
        <v/>
      </c>
      <c r="AD95" s="40" t="str">
        <f t="shared" si="30"/>
        <v/>
      </c>
      <c r="AE95" s="37" t="str">
        <f t="shared" si="31"/>
        <v/>
      </c>
      <c r="AF95" s="40" t="str">
        <f t="shared" si="32"/>
        <v/>
      </c>
      <c r="AG95" s="37" t="str">
        <f t="shared" si="33"/>
        <v/>
      </c>
      <c r="AH95" s="40" t="str">
        <f t="shared" si="34"/>
        <v/>
      </c>
      <c r="AI95" s="37" t="str">
        <f t="shared" si="35"/>
        <v/>
      </c>
      <c r="AJ95" s="40" t="str">
        <f t="shared" si="36"/>
        <v/>
      </c>
      <c r="AK95" s="33" t="str">
        <f>IF(SEM!AK95="","",SEM!AK95)</f>
        <v/>
      </c>
      <c r="AL95" s="6"/>
      <c r="AM95" s="79" t="str">
        <f t="shared" si="37"/>
        <v/>
      </c>
      <c r="AN95" s="12"/>
      <c r="AO95" s="12"/>
      <c r="AP95" s="14"/>
      <c r="AQ95" s="16"/>
      <c r="AR95" s="15"/>
      <c r="AU95" s="198"/>
      <c r="AV95" s="198"/>
      <c r="AW95" s="198"/>
      <c r="AX95" s="198"/>
    </row>
    <row r="96" spans="2:50" ht="17.25" customHeight="1" x14ac:dyDescent="0.2">
      <c r="B96" s="6"/>
      <c r="C96" s="49" t="str">
        <f>IF(SEM!C96="","",SEM!C96)</f>
        <v/>
      </c>
      <c r="D96" s="220" t="str">
        <f>IF(C96="","",VLOOKUP(SEM!C96,FROTA!$B$5:$C$305,2,0))</f>
        <v/>
      </c>
      <c r="E96" s="24" t="str">
        <f>IF(C96="","",VLOOKUP(C96,FROTA!$B$5:$N$305,7,0))</f>
        <v/>
      </c>
      <c r="F96" s="38" t="str">
        <f t="shared" si="28"/>
        <v/>
      </c>
      <c r="G96" s="71" t="str">
        <f t="shared" si="38"/>
        <v/>
      </c>
      <c r="H96" s="32" t="str">
        <f t="shared" si="40"/>
        <v/>
      </c>
      <c r="I96" s="73" t="str">
        <f t="shared" si="40"/>
        <v/>
      </c>
      <c r="J96" s="73" t="str">
        <f t="shared" si="40"/>
        <v/>
      </c>
      <c r="K96" s="73" t="str">
        <f t="shared" si="41"/>
        <v/>
      </c>
      <c r="L96" s="73" t="str">
        <f t="shared" si="41"/>
        <v/>
      </c>
      <c r="M96" s="73" t="str">
        <f t="shared" si="41"/>
        <v/>
      </c>
      <c r="N96" s="73" t="str">
        <f t="shared" si="41"/>
        <v/>
      </c>
      <c r="O96" s="73" t="str">
        <f t="shared" si="41"/>
        <v/>
      </c>
      <c r="P96" s="73" t="str">
        <f t="shared" si="41"/>
        <v/>
      </c>
      <c r="Q96" s="73" t="str">
        <f t="shared" si="41"/>
        <v/>
      </c>
      <c r="R96" s="73" t="str">
        <f t="shared" si="39"/>
        <v/>
      </c>
      <c r="S96" s="73" t="str">
        <f t="shared" si="39"/>
        <v/>
      </c>
      <c r="T96" s="73" t="str">
        <f t="shared" si="39"/>
        <v/>
      </c>
      <c r="U96" s="73" t="str">
        <f t="shared" si="39"/>
        <v/>
      </c>
      <c r="V96" s="73" t="str">
        <f t="shared" si="39"/>
        <v/>
      </c>
      <c r="W96" s="73" t="str">
        <f t="shared" si="39"/>
        <v/>
      </c>
      <c r="X96" s="73" t="str">
        <f t="shared" si="39"/>
        <v/>
      </c>
      <c r="Y96" s="73" t="str">
        <f t="shared" si="39"/>
        <v/>
      </c>
      <c r="Z96" s="73" t="str">
        <f t="shared" si="39"/>
        <v/>
      </c>
      <c r="AA96" s="73" t="str">
        <f t="shared" si="39"/>
        <v/>
      </c>
      <c r="AB96" s="74" t="str">
        <f t="shared" si="39"/>
        <v/>
      </c>
      <c r="AC96" s="35" t="str">
        <f t="shared" si="29"/>
        <v/>
      </c>
      <c r="AD96" s="40" t="str">
        <f t="shared" si="30"/>
        <v/>
      </c>
      <c r="AE96" s="37" t="str">
        <f t="shared" si="31"/>
        <v/>
      </c>
      <c r="AF96" s="40" t="str">
        <f t="shared" si="32"/>
        <v/>
      </c>
      <c r="AG96" s="37" t="str">
        <f t="shared" si="33"/>
        <v/>
      </c>
      <c r="AH96" s="40" t="str">
        <f t="shared" si="34"/>
        <v/>
      </c>
      <c r="AI96" s="37" t="str">
        <f t="shared" si="35"/>
        <v/>
      </c>
      <c r="AJ96" s="40" t="str">
        <f t="shared" si="36"/>
        <v/>
      </c>
      <c r="AK96" s="33" t="str">
        <f>IF(SEM!AK96="","",SEM!AK96)</f>
        <v/>
      </c>
      <c r="AL96" s="6"/>
      <c r="AM96" s="79" t="str">
        <f t="shared" si="37"/>
        <v/>
      </c>
      <c r="AN96" s="12"/>
      <c r="AO96" s="12"/>
      <c r="AP96" s="14"/>
      <c r="AQ96" s="16"/>
      <c r="AR96" s="15"/>
      <c r="AU96" s="198"/>
      <c r="AV96" s="198"/>
      <c r="AW96" s="198"/>
      <c r="AX96" s="198"/>
    </row>
    <row r="97" spans="2:50" ht="17.25" customHeight="1" x14ac:dyDescent="0.2">
      <c r="B97" s="6"/>
      <c r="C97" s="49" t="str">
        <f>IF(SEM!C97="","",SEM!C97)</f>
        <v/>
      </c>
      <c r="D97" s="220" t="str">
        <f>IF(C97="","",VLOOKUP(SEM!C97,FROTA!$B$5:$C$305,2,0))</f>
        <v/>
      </c>
      <c r="E97" s="24" t="str">
        <f>IF(C97="","",VLOOKUP(C97,FROTA!$B$5:$N$305,7,0))</f>
        <v/>
      </c>
      <c r="F97" s="38" t="str">
        <f t="shared" si="28"/>
        <v/>
      </c>
      <c r="G97" s="71" t="str">
        <f t="shared" si="38"/>
        <v/>
      </c>
      <c r="H97" s="32" t="str">
        <f t="shared" si="40"/>
        <v/>
      </c>
      <c r="I97" s="73" t="str">
        <f t="shared" si="40"/>
        <v/>
      </c>
      <c r="J97" s="73" t="str">
        <f t="shared" si="40"/>
        <v/>
      </c>
      <c r="K97" s="73" t="str">
        <f t="shared" si="41"/>
        <v/>
      </c>
      <c r="L97" s="73" t="str">
        <f t="shared" si="41"/>
        <v/>
      </c>
      <c r="M97" s="73" t="str">
        <f t="shared" si="41"/>
        <v/>
      </c>
      <c r="N97" s="73" t="str">
        <f t="shared" si="41"/>
        <v/>
      </c>
      <c r="O97" s="73" t="str">
        <f t="shared" si="41"/>
        <v/>
      </c>
      <c r="P97" s="73" t="str">
        <f t="shared" si="41"/>
        <v/>
      </c>
      <c r="Q97" s="73" t="str">
        <f t="shared" si="41"/>
        <v/>
      </c>
      <c r="R97" s="73" t="str">
        <f t="shared" si="39"/>
        <v/>
      </c>
      <c r="S97" s="73" t="str">
        <f t="shared" si="39"/>
        <v/>
      </c>
      <c r="T97" s="73" t="str">
        <f t="shared" si="39"/>
        <v/>
      </c>
      <c r="U97" s="73" t="str">
        <f t="shared" si="39"/>
        <v/>
      </c>
      <c r="V97" s="73" t="str">
        <f t="shared" si="39"/>
        <v/>
      </c>
      <c r="W97" s="73" t="str">
        <f t="shared" si="39"/>
        <v/>
      </c>
      <c r="X97" s="73" t="str">
        <f t="shared" si="39"/>
        <v/>
      </c>
      <c r="Y97" s="73" t="str">
        <f t="shared" si="39"/>
        <v/>
      </c>
      <c r="Z97" s="73" t="str">
        <f t="shared" si="39"/>
        <v/>
      </c>
      <c r="AA97" s="73" t="str">
        <f t="shared" si="39"/>
        <v/>
      </c>
      <c r="AB97" s="74" t="str">
        <f t="shared" si="39"/>
        <v/>
      </c>
      <c r="AC97" s="35" t="str">
        <f t="shared" si="29"/>
        <v/>
      </c>
      <c r="AD97" s="40" t="str">
        <f t="shared" si="30"/>
        <v/>
      </c>
      <c r="AE97" s="37" t="str">
        <f t="shared" si="31"/>
        <v/>
      </c>
      <c r="AF97" s="40" t="str">
        <f t="shared" si="32"/>
        <v/>
      </c>
      <c r="AG97" s="37" t="str">
        <f t="shared" si="33"/>
        <v/>
      </c>
      <c r="AH97" s="40" t="str">
        <f t="shared" si="34"/>
        <v/>
      </c>
      <c r="AI97" s="37" t="str">
        <f t="shared" si="35"/>
        <v/>
      </c>
      <c r="AJ97" s="40" t="str">
        <f t="shared" si="36"/>
        <v/>
      </c>
      <c r="AK97" s="33" t="str">
        <f>IF(SEM!AK97="","",SEM!AK97)</f>
        <v/>
      </c>
      <c r="AL97" s="6"/>
      <c r="AM97" s="79" t="str">
        <f t="shared" si="37"/>
        <v/>
      </c>
      <c r="AN97" s="12"/>
      <c r="AO97" s="12"/>
      <c r="AP97" s="14"/>
      <c r="AQ97" s="16"/>
      <c r="AR97" s="15"/>
      <c r="AU97" s="198"/>
      <c r="AV97" s="198"/>
      <c r="AW97" s="198"/>
      <c r="AX97" s="198"/>
    </row>
    <row r="98" spans="2:50" ht="17.25" customHeight="1" x14ac:dyDescent="0.2">
      <c r="B98" s="6"/>
      <c r="C98" s="49" t="str">
        <f>IF(SEM!C98="","",SEM!C98)</f>
        <v/>
      </c>
      <c r="D98" s="220" t="str">
        <f>IF(C98="","",VLOOKUP(SEM!C98,FROTA!$B$5:$C$305,2,0))</f>
        <v/>
      </c>
      <c r="E98" s="24" t="str">
        <f>IF(C98="","",VLOOKUP(C98,FROTA!$B$5:$N$305,7,0))</f>
        <v/>
      </c>
      <c r="F98" s="38" t="str">
        <f t="shared" si="28"/>
        <v/>
      </c>
      <c r="G98" s="71" t="str">
        <f t="shared" si="38"/>
        <v/>
      </c>
      <c r="H98" s="32" t="str">
        <f t="shared" si="40"/>
        <v/>
      </c>
      <c r="I98" s="73" t="str">
        <f t="shared" si="40"/>
        <v/>
      </c>
      <c r="J98" s="73" t="str">
        <f t="shared" si="40"/>
        <v/>
      </c>
      <c r="K98" s="73" t="str">
        <f t="shared" si="41"/>
        <v/>
      </c>
      <c r="L98" s="73" t="str">
        <f t="shared" si="41"/>
        <v/>
      </c>
      <c r="M98" s="73" t="str">
        <f t="shared" si="41"/>
        <v/>
      </c>
      <c r="N98" s="73" t="str">
        <f t="shared" si="41"/>
        <v/>
      </c>
      <c r="O98" s="73" t="str">
        <f t="shared" si="41"/>
        <v/>
      </c>
      <c r="P98" s="73" t="str">
        <f t="shared" si="41"/>
        <v/>
      </c>
      <c r="Q98" s="73" t="str">
        <f t="shared" si="41"/>
        <v/>
      </c>
      <c r="R98" s="73" t="str">
        <f t="shared" si="39"/>
        <v/>
      </c>
      <c r="S98" s="73" t="str">
        <f t="shared" si="39"/>
        <v/>
      </c>
      <c r="T98" s="73" t="str">
        <f t="shared" si="39"/>
        <v/>
      </c>
      <c r="U98" s="73" t="str">
        <f t="shared" si="39"/>
        <v/>
      </c>
      <c r="V98" s="73" t="str">
        <f t="shared" si="39"/>
        <v/>
      </c>
      <c r="W98" s="73" t="str">
        <f t="shared" si="39"/>
        <v/>
      </c>
      <c r="X98" s="73" t="str">
        <f t="shared" si="39"/>
        <v/>
      </c>
      <c r="Y98" s="73" t="str">
        <f t="shared" si="39"/>
        <v/>
      </c>
      <c r="Z98" s="73" t="str">
        <f t="shared" si="39"/>
        <v/>
      </c>
      <c r="AA98" s="73" t="str">
        <f t="shared" si="39"/>
        <v/>
      </c>
      <c r="AB98" s="74" t="str">
        <f t="shared" si="39"/>
        <v/>
      </c>
      <c r="AC98" s="35" t="str">
        <f t="shared" si="29"/>
        <v/>
      </c>
      <c r="AD98" s="40" t="str">
        <f t="shared" si="30"/>
        <v/>
      </c>
      <c r="AE98" s="37" t="str">
        <f t="shared" si="31"/>
        <v/>
      </c>
      <c r="AF98" s="40" t="str">
        <f t="shared" si="32"/>
        <v/>
      </c>
      <c r="AG98" s="37" t="str">
        <f t="shared" si="33"/>
        <v/>
      </c>
      <c r="AH98" s="40" t="str">
        <f t="shared" si="34"/>
        <v/>
      </c>
      <c r="AI98" s="37" t="str">
        <f t="shared" si="35"/>
        <v/>
      </c>
      <c r="AJ98" s="40" t="str">
        <f t="shared" si="36"/>
        <v/>
      </c>
      <c r="AK98" s="33" t="str">
        <f>IF(SEM!AK98="","",SEM!AK98)</f>
        <v/>
      </c>
      <c r="AL98" s="6"/>
      <c r="AM98" s="79" t="str">
        <f t="shared" si="37"/>
        <v/>
      </c>
      <c r="AN98" s="12"/>
      <c r="AO98" s="12"/>
      <c r="AP98" s="14"/>
      <c r="AQ98" s="16"/>
      <c r="AR98" s="15"/>
      <c r="AU98" s="198"/>
      <c r="AV98" s="198"/>
      <c r="AW98" s="198"/>
      <c r="AX98" s="198"/>
    </row>
    <row r="99" spans="2:50" ht="17.25" customHeight="1" x14ac:dyDescent="0.2">
      <c r="B99" s="6"/>
      <c r="C99" s="49" t="str">
        <f>IF(SEM!C99="","",SEM!C99)</f>
        <v/>
      </c>
      <c r="D99" s="220" t="str">
        <f>IF(C99="","",VLOOKUP(SEM!C99,FROTA!$B$5:$C$305,2,0))</f>
        <v/>
      </c>
      <c r="E99" s="24" t="str">
        <f>IF(C99="","",VLOOKUP(C99,FROTA!$B$5:$N$305,7,0))</f>
        <v/>
      </c>
      <c r="F99" s="38" t="str">
        <f t="shared" si="28"/>
        <v/>
      </c>
      <c r="G99" s="71" t="str">
        <f t="shared" si="38"/>
        <v/>
      </c>
      <c r="H99" s="32" t="str">
        <f t="shared" si="40"/>
        <v/>
      </c>
      <c r="I99" s="73" t="str">
        <f t="shared" si="40"/>
        <v/>
      </c>
      <c r="J99" s="73" t="str">
        <f t="shared" si="40"/>
        <v/>
      </c>
      <c r="K99" s="73" t="str">
        <f t="shared" si="41"/>
        <v/>
      </c>
      <c r="L99" s="73" t="str">
        <f t="shared" si="41"/>
        <v/>
      </c>
      <c r="M99" s="73" t="str">
        <f t="shared" si="41"/>
        <v/>
      </c>
      <c r="N99" s="73" t="str">
        <f t="shared" si="41"/>
        <v/>
      </c>
      <c r="O99" s="73" t="str">
        <f t="shared" si="41"/>
        <v/>
      </c>
      <c r="P99" s="73" t="str">
        <f t="shared" si="41"/>
        <v/>
      </c>
      <c r="Q99" s="73" t="str">
        <f t="shared" si="41"/>
        <v/>
      </c>
      <c r="R99" s="73" t="str">
        <f t="shared" si="39"/>
        <v/>
      </c>
      <c r="S99" s="73" t="str">
        <f t="shared" si="39"/>
        <v/>
      </c>
      <c r="T99" s="73" t="str">
        <f t="shared" si="39"/>
        <v/>
      </c>
      <c r="U99" s="73" t="str">
        <f t="shared" si="39"/>
        <v/>
      </c>
      <c r="V99" s="73" t="str">
        <f t="shared" si="39"/>
        <v/>
      </c>
      <c r="W99" s="73" t="str">
        <f t="shared" si="39"/>
        <v/>
      </c>
      <c r="X99" s="73" t="str">
        <f t="shared" si="39"/>
        <v/>
      </c>
      <c r="Y99" s="73" t="str">
        <f t="shared" si="39"/>
        <v/>
      </c>
      <c r="Z99" s="73" t="str">
        <f t="shared" si="39"/>
        <v/>
      </c>
      <c r="AA99" s="73" t="str">
        <f t="shared" si="39"/>
        <v/>
      </c>
      <c r="AB99" s="74" t="str">
        <f t="shared" si="39"/>
        <v/>
      </c>
      <c r="AC99" s="35" t="str">
        <f t="shared" si="29"/>
        <v/>
      </c>
      <c r="AD99" s="40" t="str">
        <f t="shared" si="30"/>
        <v/>
      </c>
      <c r="AE99" s="37" t="str">
        <f t="shared" si="31"/>
        <v/>
      </c>
      <c r="AF99" s="40" t="str">
        <f t="shared" si="32"/>
        <v/>
      </c>
      <c r="AG99" s="37" t="str">
        <f t="shared" si="33"/>
        <v/>
      </c>
      <c r="AH99" s="40" t="str">
        <f t="shared" si="34"/>
        <v/>
      </c>
      <c r="AI99" s="37" t="str">
        <f t="shared" si="35"/>
        <v/>
      </c>
      <c r="AJ99" s="40" t="str">
        <f t="shared" si="36"/>
        <v/>
      </c>
      <c r="AK99" s="33" t="str">
        <f>IF(SEM!AK99="","",SEM!AK99)</f>
        <v/>
      </c>
      <c r="AL99" s="6"/>
      <c r="AM99" s="79" t="str">
        <f t="shared" si="37"/>
        <v/>
      </c>
      <c r="AN99" s="12"/>
      <c r="AO99" s="12"/>
      <c r="AP99" s="14"/>
      <c r="AQ99" s="16"/>
      <c r="AR99" s="15"/>
      <c r="AU99" s="198"/>
      <c r="AV99" s="198"/>
      <c r="AW99" s="198"/>
      <c r="AX99" s="198"/>
    </row>
    <row r="100" spans="2:50" ht="17.25" customHeight="1" x14ac:dyDescent="0.2">
      <c r="B100" s="6"/>
      <c r="C100" s="49" t="str">
        <f>IF(SEM!C100="","",SEM!C100)</f>
        <v/>
      </c>
      <c r="D100" s="220" t="str">
        <f>IF(C100="","",VLOOKUP(SEM!C100,FROTA!$B$5:$C$305,2,0))</f>
        <v/>
      </c>
      <c r="E100" s="24" t="str">
        <f>IF(C100="","",VLOOKUP(C100,FROTA!$B$5:$N$305,7,0))</f>
        <v/>
      </c>
      <c r="F100" s="38" t="str">
        <f t="shared" si="28"/>
        <v/>
      </c>
      <c r="G100" s="71" t="str">
        <f t="shared" si="38"/>
        <v/>
      </c>
      <c r="H100" s="32" t="str">
        <f t="shared" si="40"/>
        <v/>
      </c>
      <c r="I100" s="73" t="str">
        <f t="shared" si="40"/>
        <v/>
      </c>
      <c r="J100" s="73" t="str">
        <f t="shared" si="40"/>
        <v/>
      </c>
      <c r="K100" s="73" t="str">
        <f t="shared" si="41"/>
        <v/>
      </c>
      <c r="L100" s="73" t="str">
        <f t="shared" si="41"/>
        <v/>
      </c>
      <c r="M100" s="73" t="str">
        <f t="shared" si="41"/>
        <v/>
      </c>
      <c r="N100" s="73" t="str">
        <f t="shared" si="41"/>
        <v/>
      </c>
      <c r="O100" s="73" t="str">
        <f t="shared" si="41"/>
        <v/>
      </c>
      <c r="P100" s="73" t="str">
        <f t="shared" si="41"/>
        <v/>
      </c>
      <c r="Q100" s="73" t="str">
        <f t="shared" si="41"/>
        <v/>
      </c>
      <c r="R100" s="73" t="str">
        <f t="shared" si="39"/>
        <v/>
      </c>
      <c r="S100" s="73" t="str">
        <f t="shared" si="39"/>
        <v/>
      </c>
      <c r="T100" s="73" t="str">
        <f t="shared" si="39"/>
        <v/>
      </c>
      <c r="U100" s="73" t="str">
        <f t="shared" si="39"/>
        <v/>
      </c>
      <c r="V100" s="73" t="str">
        <f t="shared" si="39"/>
        <v/>
      </c>
      <c r="W100" s="73" t="str">
        <f t="shared" si="39"/>
        <v/>
      </c>
      <c r="X100" s="73" t="str">
        <f t="shared" si="39"/>
        <v/>
      </c>
      <c r="Y100" s="73" t="str">
        <f t="shared" si="39"/>
        <v/>
      </c>
      <c r="Z100" s="73" t="str">
        <f t="shared" si="39"/>
        <v/>
      </c>
      <c r="AA100" s="73" t="str">
        <f t="shared" si="39"/>
        <v/>
      </c>
      <c r="AB100" s="74" t="str">
        <f t="shared" si="39"/>
        <v/>
      </c>
      <c r="AC100" s="35" t="str">
        <f t="shared" si="29"/>
        <v/>
      </c>
      <c r="AD100" s="40" t="str">
        <f t="shared" si="30"/>
        <v/>
      </c>
      <c r="AE100" s="37" t="str">
        <f t="shared" si="31"/>
        <v/>
      </c>
      <c r="AF100" s="40" t="str">
        <f t="shared" si="32"/>
        <v/>
      </c>
      <c r="AG100" s="37" t="str">
        <f t="shared" si="33"/>
        <v/>
      </c>
      <c r="AH100" s="40" t="str">
        <f t="shared" si="34"/>
        <v/>
      </c>
      <c r="AI100" s="37" t="str">
        <f t="shared" si="35"/>
        <v/>
      </c>
      <c r="AJ100" s="40" t="str">
        <f t="shared" si="36"/>
        <v/>
      </c>
      <c r="AK100" s="33" t="str">
        <f>IF(SEM!AK100="","",SEM!AK100)</f>
        <v/>
      </c>
      <c r="AL100" s="6"/>
      <c r="AM100" s="79" t="str">
        <f t="shared" si="37"/>
        <v/>
      </c>
      <c r="AN100" s="12"/>
      <c r="AO100" s="12"/>
      <c r="AP100" s="14"/>
      <c r="AQ100" s="16"/>
      <c r="AR100" s="15"/>
      <c r="AU100" s="198"/>
      <c r="AV100" s="198"/>
      <c r="AW100" s="198"/>
      <c r="AX100" s="198"/>
    </row>
    <row r="101" spans="2:50" ht="17.25" customHeight="1" x14ac:dyDescent="0.2">
      <c r="B101" s="6"/>
      <c r="C101" s="49" t="str">
        <f>IF(SEM!C101="","",SEM!C101)</f>
        <v/>
      </c>
      <c r="D101" s="220" t="str">
        <f>IF(C101="","",VLOOKUP(SEM!C101,FROTA!$B$5:$C$305,2,0))</f>
        <v/>
      </c>
      <c r="E101" s="24" t="str">
        <f>IF(C101="","",VLOOKUP(C101,FROTA!$B$5:$N$305,7,0))</f>
        <v/>
      </c>
      <c r="F101" s="38" t="str">
        <f t="shared" si="28"/>
        <v/>
      </c>
      <c r="G101" s="71" t="str">
        <f t="shared" si="38"/>
        <v/>
      </c>
      <c r="H101" s="32" t="str">
        <f t="shared" si="40"/>
        <v/>
      </c>
      <c r="I101" s="73" t="str">
        <f t="shared" si="40"/>
        <v/>
      </c>
      <c r="J101" s="73" t="str">
        <f t="shared" si="40"/>
        <v/>
      </c>
      <c r="K101" s="73" t="str">
        <f t="shared" si="41"/>
        <v/>
      </c>
      <c r="L101" s="73" t="str">
        <f t="shared" si="41"/>
        <v/>
      </c>
      <c r="M101" s="73" t="str">
        <f t="shared" si="41"/>
        <v/>
      </c>
      <c r="N101" s="73" t="str">
        <f t="shared" si="41"/>
        <v/>
      </c>
      <c r="O101" s="73" t="str">
        <f t="shared" si="41"/>
        <v/>
      </c>
      <c r="P101" s="73" t="str">
        <f t="shared" si="41"/>
        <v/>
      </c>
      <c r="Q101" s="73" t="str">
        <f t="shared" si="41"/>
        <v/>
      </c>
      <c r="R101" s="73" t="str">
        <f t="shared" si="39"/>
        <v/>
      </c>
      <c r="S101" s="73" t="str">
        <f t="shared" si="39"/>
        <v/>
      </c>
      <c r="T101" s="73" t="str">
        <f t="shared" si="39"/>
        <v/>
      </c>
      <c r="U101" s="73" t="str">
        <f t="shared" si="39"/>
        <v/>
      </c>
      <c r="V101" s="73" t="str">
        <f t="shared" si="39"/>
        <v/>
      </c>
      <c r="W101" s="73" t="str">
        <f t="shared" si="39"/>
        <v/>
      </c>
      <c r="X101" s="73" t="str">
        <f t="shared" si="39"/>
        <v/>
      </c>
      <c r="Y101" s="73" t="str">
        <f t="shared" si="39"/>
        <v/>
      </c>
      <c r="Z101" s="73" t="str">
        <f t="shared" si="39"/>
        <v/>
      </c>
      <c r="AA101" s="73" t="str">
        <f t="shared" si="39"/>
        <v/>
      </c>
      <c r="AB101" s="74" t="str">
        <f t="shared" si="39"/>
        <v/>
      </c>
      <c r="AC101" s="35" t="str">
        <f t="shared" si="29"/>
        <v/>
      </c>
      <c r="AD101" s="40" t="str">
        <f t="shared" si="30"/>
        <v/>
      </c>
      <c r="AE101" s="37" t="str">
        <f t="shared" si="31"/>
        <v/>
      </c>
      <c r="AF101" s="40" t="str">
        <f t="shared" si="32"/>
        <v/>
      </c>
      <c r="AG101" s="37" t="str">
        <f t="shared" si="33"/>
        <v/>
      </c>
      <c r="AH101" s="40" t="str">
        <f t="shared" si="34"/>
        <v/>
      </c>
      <c r="AI101" s="37" t="str">
        <f t="shared" si="35"/>
        <v/>
      </c>
      <c r="AJ101" s="40" t="str">
        <f t="shared" si="36"/>
        <v/>
      </c>
      <c r="AK101" s="33" t="str">
        <f>IF(SEM!AK101="","",SEM!AK101)</f>
        <v/>
      </c>
      <c r="AL101" s="6"/>
      <c r="AM101" s="79" t="str">
        <f t="shared" si="37"/>
        <v/>
      </c>
      <c r="AN101" s="12"/>
      <c r="AO101" s="12"/>
      <c r="AP101" s="14"/>
      <c r="AQ101" s="16"/>
      <c r="AR101" s="15"/>
      <c r="AU101" s="198"/>
      <c r="AV101" s="198"/>
      <c r="AW101" s="198"/>
      <c r="AX101" s="198"/>
    </row>
    <row r="102" spans="2:50" ht="17.25" customHeight="1" x14ac:dyDescent="0.2">
      <c r="B102" s="6"/>
      <c r="C102" s="49" t="str">
        <f>IF(SEM!C102="","",SEM!C102)</f>
        <v/>
      </c>
      <c r="D102" s="220" t="str">
        <f>IF(C102="","",VLOOKUP(SEM!C102,FROTA!$B$5:$C$305,2,0))</f>
        <v/>
      </c>
      <c r="E102" s="24" t="str">
        <f>IF(C102="","",VLOOKUP(C102,FROTA!$B$5:$N$305,7,0))</f>
        <v/>
      </c>
      <c r="F102" s="38" t="str">
        <f t="shared" si="28"/>
        <v/>
      </c>
      <c r="G102" s="71" t="str">
        <f t="shared" si="38"/>
        <v/>
      </c>
      <c r="H102" s="32" t="str">
        <f t="shared" si="40"/>
        <v/>
      </c>
      <c r="I102" s="73" t="str">
        <f t="shared" si="40"/>
        <v/>
      </c>
      <c r="J102" s="73" t="str">
        <f t="shared" si="40"/>
        <v/>
      </c>
      <c r="K102" s="73" t="str">
        <f t="shared" si="41"/>
        <v/>
      </c>
      <c r="L102" s="73" t="str">
        <f t="shared" si="41"/>
        <v/>
      </c>
      <c r="M102" s="73" t="str">
        <f t="shared" si="41"/>
        <v/>
      </c>
      <c r="N102" s="73" t="str">
        <f t="shared" si="41"/>
        <v/>
      </c>
      <c r="O102" s="73" t="str">
        <f t="shared" si="41"/>
        <v/>
      </c>
      <c r="P102" s="73" t="str">
        <f t="shared" si="41"/>
        <v/>
      </c>
      <c r="Q102" s="73" t="str">
        <f t="shared" si="41"/>
        <v/>
      </c>
      <c r="R102" s="73" t="str">
        <f t="shared" si="39"/>
        <v/>
      </c>
      <c r="S102" s="73" t="str">
        <f t="shared" si="39"/>
        <v/>
      </c>
      <c r="T102" s="73" t="str">
        <f t="shared" si="39"/>
        <v/>
      </c>
      <c r="U102" s="73" t="str">
        <f t="shared" si="39"/>
        <v/>
      </c>
      <c r="V102" s="73" t="str">
        <f t="shared" si="39"/>
        <v/>
      </c>
      <c r="W102" s="73" t="str">
        <f t="shared" si="39"/>
        <v/>
      </c>
      <c r="X102" s="73" t="str">
        <f t="shared" si="39"/>
        <v/>
      </c>
      <c r="Y102" s="73" t="str">
        <f t="shared" si="39"/>
        <v/>
      </c>
      <c r="Z102" s="73" t="str">
        <f t="shared" si="39"/>
        <v/>
      </c>
      <c r="AA102" s="73" t="str">
        <f t="shared" si="39"/>
        <v/>
      </c>
      <c r="AB102" s="74" t="str">
        <f t="shared" si="39"/>
        <v/>
      </c>
      <c r="AC102" s="35" t="str">
        <f t="shared" si="29"/>
        <v/>
      </c>
      <c r="AD102" s="40" t="str">
        <f t="shared" si="30"/>
        <v/>
      </c>
      <c r="AE102" s="37" t="str">
        <f t="shared" si="31"/>
        <v/>
      </c>
      <c r="AF102" s="40" t="str">
        <f t="shared" si="32"/>
        <v/>
      </c>
      <c r="AG102" s="37" t="str">
        <f t="shared" si="33"/>
        <v/>
      </c>
      <c r="AH102" s="40" t="str">
        <f t="shared" si="34"/>
        <v/>
      </c>
      <c r="AI102" s="37" t="str">
        <f t="shared" si="35"/>
        <v/>
      </c>
      <c r="AJ102" s="40" t="str">
        <f t="shared" si="36"/>
        <v/>
      </c>
      <c r="AK102" s="33" t="str">
        <f>IF(SEM!AK102="","",SEM!AK102)</f>
        <v/>
      </c>
      <c r="AL102" s="6"/>
      <c r="AM102" s="79" t="str">
        <f t="shared" si="37"/>
        <v/>
      </c>
      <c r="AN102" s="12"/>
      <c r="AO102" s="12"/>
      <c r="AP102" s="14"/>
      <c r="AQ102" s="16"/>
      <c r="AR102" s="15"/>
      <c r="AU102" s="198"/>
      <c r="AV102" s="198"/>
      <c r="AW102" s="198"/>
      <c r="AX102" s="198"/>
    </row>
    <row r="103" spans="2:50" ht="17.25" customHeight="1" x14ac:dyDescent="0.2">
      <c r="B103" s="6"/>
      <c r="C103" s="49" t="str">
        <f>IF(SEM!C103="","",SEM!C103)</f>
        <v/>
      </c>
      <c r="D103" s="220" t="str">
        <f>IF(C103="","",VLOOKUP(SEM!C103,FROTA!$B$5:$C$305,2,0))</f>
        <v/>
      </c>
      <c r="E103" s="24" t="str">
        <f>IF(C103="","",VLOOKUP(C103,FROTA!$B$5:$N$305,7,0))</f>
        <v/>
      </c>
      <c r="F103" s="38" t="str">
        <f t="shared" si="28"/>
        <v/>
      </c>
      <c r="G103" s="71" t="str">
        <f t="shared" si="38"/>
        <v/>
      </c>
      <c r="H103" s="32" t="str">
        <f t="shared" si="40"/>
        <v/>
      </c>
      <c r="I103" s="73" t="str">
        <f t="shared" si="40"/>
        <v/>
      </c>
      <c r="J103" s="73" t="str">
        <f t="shared" si="40"/>
        <v/>
      </c>
      <c r="K103" s="73" t="str">
        <f t="shared" si="41"/>
        <v/>
      </c>
      <c r="L103" s="73" t="str">
        <f t="shared" si="41"/>
        <v/>
      </c>
      <c r="M103" s="73" t="str">
        <f t="shared" si="41"/>
        <v/>
      </c>
      <c r="N103" s="73" t="str">
        <f t="shared" si="41"/>
        <v/>
      </c>
      <c r="O103" s="73" t="str">
        <f t="shared" si="41"/>
        <v/>
      </c>
      <c r="P103" s="73" t="str">
        <f t="shared" si="41"/>
        <v/>
      </c>
      <c r="Q103" s="73" t="str">
        <f t="shared" si="41"/>
        <v/>
      </c>
      <c r="R103" s="73" t="str">
        <f t="shared" si="39"/>
        <v/>
      </c>
      <c r="S103" s="73" t="str">
        <f t="shared" si="39"/>
        <v/>
      </c>
      <c r="T103" s="73" t="str">
        <f t="shared" si="39"/>
        <v/>
      </c>
      <c r="U103" s="73" t="str">
        <f t="shared" si="39"/>
        <v/>
      </c>
      <c r="V103" s="73" t="str">
        <f t="shared" si="39"/>
        <v/>
      </c>
      <c r="W103" s="73" t="str">
        <f t="shared" si="39"/>
        <v/>
      </c>
      <c r="X103" s="73" t="str">
        <f t="shared" si="39"/>
        <v/>
      </c>
      <c r="Y103" s="73" t="str">
        <f t="shared" si="39"/>
        <v/>
      </c>
      <c r="Z103" s="73" t="str">
        <f t="shared" si="39"/>
        <v/>
      </c>
      <c r="AA103" s="73" t="str">
        <f t="shared" si="39"/>
        <v/>
      </c>
      <c r="AB103" s="74" t="str">
        <f t="shared" si="39"/>
        <v/>
      </c>
      <c r="AC103" s="35" t="str">
        <f t="shared" si="29"/>
        <v/>
      </c>
      <c r="AD103" s="40" t="str">
        <f t="shared" si="30"/>
        <v/>
      </c>
      <c r="AE103" s="37" t="str">
        <f t="shared" si="31"/>
        <v/>
      </c>
      <c r="AF103" s="40" t="str">
        <f t="shared" si="32"/>
        <v/>
      </c>
      <c r="AG103" s="37" t="str">
        <f t="shared" si="33"/>
        <v/>
      </c>
      <c r="AH103" s="40" t="str">
        <f t="shared" si="34"/>
        <v/>
      </c>
      <c r="AI103" s="37" t="str">
        <f t="shared" si="35"/>
        <v/>
      </c>
      <c r="AJ103" s="40" t="str">
        <f t="shared" si="36"/>
        <v/>
      </c>
      <c r="AK103" s="33" t="str">
        <f>IF(SEM!AK103="","",SEM!AK103)</f>
        <v/>
      </c>
      <c r="AL103" s="6"/>
      <c r="AM103" s="79" t="str">
        <f t="shared" si="37"/>
        <v/>
      </c>
      <c r="AN103" s="12"/>
      <c r="AO103" s="12"/>
      <c r="AP103" s="14"/>
      <c r="AQ103" s="16"/>
      <c r="AR103" s="15"/>
      <c r="AU103" s="198"/>
      <c r="AV103" s="198"/>
      <c r="AW103" s="198"/>
      <c r="AX103" s="198"/>
    </row>
    <row r="104" spans="2:50" ht="17.25" customHeight="1" x14ac:dyDescent="0.2">
      <c r="B104" s="6"/>
      <c r="C104" s="49" t="str">
        <f>IF(SEM!C104="","",SEM!C104)</f>
        <v/>
      </c>
      <c r="D104" s="220" t="str">
        <f>IF(C104="","",VLOOKUP(SEM!C104,FROTA!$B$5:$C$305,2,0))</f>
        <v/>
      </c>
      <c r="E104" s="24" t="str">
        <f>IF(C104="","",VLOOKUP(C104,FROTA!$B$5:$N$305,7,0))</f>
        <v/>
      </c>
      <c r="F104" s="38" t="str">
        <f t="shared" si="28"/>
        <v/>
      </c>
      <c r="G104" s="71" t="str">
        <f t="shared" si="38"/>
        <v/>
      </c>
      <c r="H104" s="32" t="str">
        <f t="shared" si="40"/>
        <v/>
      </c>
      <c r="I104" s="73" t="str">
        <f t="shared" si="40"/>
        <v/>
      </c>
      <c r="J104" s="73" t="str">
        <f t="shared" si="40"/>
        <v/>
      </c>
      <c r="K104" s="73" t="str">
        <f t="shared" si="41"/>
        <v/>
      </c>
      <c r="L104" s="73" t="str">
        <f t="shared" si="41"/>
        <v/>
      </c>
      <c r="M104" s="73" t="str">
        <f t="shared" si="41"/>
        <v/>
      </c>
      <c r="N104" s="73" t="str">
        <f t="shared" si="41"/>
        <v/>
      </c>
      <c r="O104" s="73" t="str">
        <f t="shared" si="41"/>
        <v/>
      </c>
      <c r="P104" s="73" t="str">
        <f t="shared" si="41"/>
        <v/>
      </c>
      <c r="Q104" s="73" t="str">
        <f t="shared" si="41"/>
        <v/>
      </c>
      <c r="R104" s="73" t="str">
        <f t="shared" si="39"/>
        <v/>
      </c>
      <c r="S104" s="73" t="str">
        <f t="shared" si="39"/>
        <v/>
      </c>
      <c r="T104" s="73" t="str">
        <f t="shared" si="39"/>
        <v/>
      </c>
      <c r="U104" s="73" t="str">
        <f t="shared" si="39"/>
        <v/>
      </c>
      <c r="V104" s="73" t="str">
        <f t="shared" si="39"/>
        <v/>
      </c>
      <c r="W104" s="73" t="str">
        <f t="shared" si="39"/>
        <v/>
      </c>
      <c r="X104" s="73" t="str">
        <f t="shared" si="39"/>
        <v/>
      </c>
      <c r="Y104" s="73" t="str">
        <f t="shared" si="39"/>
        <v/>
      </c>
      <c r="Z104" s="73" t="str">
        <f t="shared" si="39"/>
        <v/>
      </c>
      <c r="AA104" s="73" t="str">
        <f t="shared" si="39"/>
        <v/>
      </c>
      <c r="AB104" s="74" t="str">
        <f t="shared" si="39"/>
        <v/>
      </c>
      <c r="AC104" s="35" t="str">
        <f t="shared" si="29"/>
        <v/>
      </c>
      <c r="AD104" s="40" t="str">
        <f t="shared" si="30"/>
        <v/>
      </c>
      <c r="AE104" s="37" t="str">
        <f t="shared" si="31"/>
        <v/>
      </c>
      <c r="AF104" s="40" t="str">
        <f t="shared" si="32"/>
        <v/>
      </c>
      <c r="AG104" s="37" t="str">
        <f t="shared" si="33"/>
        <v/>
      </c>
      <c r="AH104" s="40" t="str">
        <f t="shared" si="34"/>
        <v/>
      </c>
      <c r="AI104" s="37" t="str">
        <f t="shared" si="35"/>
        <v/>
      </c>
      <c r="AJ104" s="40" t="str">
        <f t="shared" si="36"/>
        <v/>
      </c>
      <c r="AK104" s="33" t="str">
        <f>IF(SEM!AK104="","",SEM!AK104)</f>
        <v/>
      </c>
      <c r="AL104" s="6"/>
      <c r="AM104" s="79" t="str">
        <f t="shared" si="37"/>
        <v/>
      </c>
      <c r="AN104" s="12"/>
      <c r="AO104" s="12"/>
      <c r="AP104" s="14"/>
      <c r="AQ104" s="16"/>
      <c r="AR104" s="15"/>
      <c r="AU104" s="198"/>
      <c r="AV104" s="198"/>
      <c r="AW104" s="198"/>
      <c r="AX104" s="198"/>
    </row>
    <row r="105" spans="2:50" ht="17.25" customHeight="1" x14ac:dyDescent="0.2">
      <c r="B105" s="6"/>
      <c r="C105" s="49" t="str">
        <f>IF(SEM!C105="","",SEM!C105)</f>
        <v/>
      </c>
      <c r="D105" s="220" t="str">
        <f>IF(C105="","",VLOOKUP(SEM!C105,FROTA!$B$5:$C$305,2,0))</f>
        <v/>
      </c>
      <c r="E105" s="24" t="str">
        <f>IF(C105="","",VLOOKUP(C105,FROTA!$B$5:$N$305,7,0))</f>
        <v/>
      </c>
      <c r="F105" s="38" t="str">
        <f t="shared" si="28"/>
        <v/>
      </c>
      <c r="G105" s="71" t="str">
        <f t="shared" si="38"/>
        <v/>
      </c>
      <c r="H105" s="32" t="str">
        <f t="shared" si="40"/>
        <v/>
      </c>
      <c r="I105" s="73" t="str">
        <f t="shared" si="40"/>
        <v/>
      </c>
      <c r="J105" s="73" t="str">
        <f t="shared" si="40"/>
        <v/>
      </c>
      <c r="K105" s="73" t="str">
        <f t="shared" si="41"/>
        <v/>
      </c>
      <c r="L105" s="73" t="str">
        <f t="shared" si="41"/>
        <v/>
      </c>
      <c r="M105" s="73" t="str">
        <f t="shared" si="41"/>
        <v/>
      </c>
      <c r="N105" s="73" t="str">
        <f t="shared" si="41"/>
        <v/>
      </c>
      <c r="O105" s="73" t="str">
        <f t="shared" si="41"/>
        <v/>
      </c>
      <c r="P105" s="73" t="str">
        <f t="shared" si="41"/>
        <v/>
      </c>
      <c r="Q105" s="73" t="str">
        <f t="shared" si="41"/>
        <v/>
      </c>
      <c r="R105" s="73" t="str">
        <f t="shared" si="39"/>
        <v/>
      </c>
      <c r="S105" s="73" t="str">
        <f t="shared" si="39"/>
        <v/>
      </c>
      <c r="T105" s="73" t="str">
        <f t="shared" si="39"/>
        <v/>
      </c>
      <c r="U105" s="73" t="str">
        <f t="shared" si="39"/>
        <v/>
      </c>
      <c r="V105" s="73" t="str">
        <f t="shared" si="39"/>
        <v/>
      </c>
      <c r="W105" s="73" t="str">
        <f t="shared" si="39"/>
        <v/>
      </c>
      <c r="X105" s="73" t="str">
        <f t="shared" si="39"/>
        <v/>
      </c>
      <c r="Y105" s="73" t="str">
        <f t="shared" si="39"/>
        <v/>
      </c>
      <c r="Z105" s="73" t="str">
        <f t="shared" si="39"/>
        <v/>
      </c>
      <c r="AA105" s="73" t="str">
        <f t="shared" si="39"/>
        <v/>
      </c>
      <c r="AB105" s="74" t="str">
        <f t="shared" si="39"/>
        <v/>
      </c>
      <c r="AC105" s="35" t="str">
        <f t="shared" si="29"/>
        <v/>
      </c>
      <c r="AD105" s="40" t="str">
        <f t="shared" si="30"/>
        <v/>
      </c>
      <c r="AE105" s="37" t="str">
        <f t="shared" si="31"/>
        <v/>
      </c>
      <c r="AF105" s="40" t="str">
        <f t="shared" si="32"/>
        <v/>
      </c>
      <c r="AG105" s="37" t="str">
        <f t="shared" si="33"/>
        <v/>
      </c>
      <c r="AH105" s="40" t="str">
        <f t="shared" si="34"/>
        <v/>
      </c>
      <c r="AI105" s="37" t="str">
        <f t="shared" si="35"/>
        <v/>
      </c>
      <c r="AJ105" s="40" t="str">
        <f t="shared" si="36"/>
        <v/>
      </c>
      <c r="AK105" s="33" t="str">
        <f>IF(SEM!AK105="","",SEM!AK105)</f>
        <v/>
      </c>
      <c r="AL105" s="6"/>
      <c r="AM105" s="79" t="str">
        <f t="shared" si="37"/>
        <v/>
      </c>
      <c r="AN105" s="12"/>
      <c r="AO105" s="12"/>
      <c r="AP105" s="14"/>
      <c r="AQ105" s="16"/>
      <c r="AR105" s="15"/>
      <c r="AU105" s="198"/>
      <c r="AV105" s="198"/>
      <c r="AW105" s="198"/>
      <c r="AX105" s="198"/>
    </row>
    <row r="106" spans="2:50" ht="17.25" customHeight="1" x14ac:dyDescent="0.2">
      <c r="B106" s="6"/>
      <c r="C106" s="49" t="str">
        <f>IF(SEM!C106="","",SEM!C106)</f>
        <v/>
      </c>
      <c r="D106" s="220" t="str">
        <f>IF(C106="","",VLOOKUP(SEM!C106,FROTA!$B$5:$C$305,2,0))</f>
        <v/>
      </c>
      <c r="E106" s="24" t="str">
        <f>IF(C106="","",VLOOKUP(C106,FROTA!$B$5:$N$305,7,0))</f>
        <v/>
      </c>
      <c r="F106" s="38" t="str">
        <f t="shared" si="28"/>
        <v/>
      </c>
      <c r="G106" s="71" t="str">
        <f t="shared" si="38"/>
        <v/>
      </c>
      <c r="H106" s="32" t="str">
        <f t="shared" si="40"/>
        <v/>
      </c>
      <c r="I106" s="73" t="str">
        <f t="shared" si="40"/>
        <v/>
      </c>
      <c r="J106" s="73" t="str">
        <f t="shared" si="40"/>
        <v/>
      </c>
      <c r="K106" s="73" t="str">
        <f t="shared" si="41"/>
        <v/>
      </c>
      <c r="L106" s="73" t="str">
        <f t="shared" si="41"/>
        <v/>
      </c>
      <c r="M106" s="73" t="str">
        <f t="shared" si="41"/>
        <v/>
      </c>
      <c r="N106" s="73" t="str">
        <f t="shared" si="41"/>
        <v/>
      </c>
      <c r="O106" s="73" t="str">
        <f t="shared" si="41"/>
        <v/>
      </c>
      <c r="P106" s="73" t="str">
        <f t="shared" si="41"/>
        <v/>
      </c>
      <c r="Q106" s="73" t="str">
        <f t="shared" si="41"/>
        <v/>
      </c>
      <c r="R106" s="73" t="str">
        <f t="shared" si="39"/>
        <v/>
      </c>
      <c r="S106" s="73" t="str">
        <f t="shared" si="39"/>
        <v/>
      </c>
      <c r="T106" s="73" t="str">
        <f t="shared" si="39"/>
        <v/>
      </c>
      <c r="U106" s="73" t="str">
        <f t="shared" si="39"/>
        <v/>
      </c>
      <c r="V106" s="73" t="str">
        <f t="shared" si="39"/>
        <v/>
      </c>
      <c r="W106" s="73" t="str">
        <f t="shared" si="39"/>
        <v/>
      </c>
      <c r="X106" s="73" t="str">
        <f t="shared" si="39"/>
        <v/>
      </c>
      <c r="Y106" s="73" t="str">
        <f t="shared" si="39"/>
        <v/>
      </c>
      <c r="Z106" s="73" t="str">
        <f t="shared" si="39"/>
        <v/>
      </c>
      <c r="AA106" s="73" t="str">
        <f t="shared" si="39"/>
        <v/>
      </c>
      <c r="AB106" s="74" t="str">
        <f t="shared" si="39"/>
        <v/>
      </c>
      <c r="AC106" s="35" t="str">
        <f t="shared" si="29"/>
        <v/>
      </c>
      <c r="AD106" s="40" t="str">
        <f t="shared" si="30"/>
        <v/>
      </c>
      <c r="AE106" s="37" t="str">
        <f t="shared" si="31"/>
        <v/>
      </c>
      <c r="AF106" s="40" t="str">
        <f t="shared" si="32"/>
        <v/>
      </c>
      <c r="AG106" s="37" t="str">
        <f t="shared" si="33"/>
        <v/>
      </c>
      <c r="AH106" s="40" t="str">
        <f t="shared" si="34"/>
        <v/>
      </c>
      <c r="AI106" s="37" t="str">
        <f t="shared" si="35"/>
        <v/>
      </c>
      <c r="AJ106" s="40" t="str">
        <f t="shared" si="36"/>
        <v/>
      </c>
      <c r="AK106" s="33" t="str">
        <f>IF(SEM!AK106="","",SEM!AK106)</f>
        <v/>
      </c>
      <c r="AL106" s="6"/>
      <c r="AM106" s="79" t="str">
        <f t="shared" si="37"/>
        <v/>
      </c>
      <c r="AN106" s="12"/>
      <c r="AO106" s="12"/>
      <c r="AP106" s="14"/>
      <c r="AQ106" s="16"/>
      <c r="AR106" s="15"/>
      <c r="AU106" s="198"/>
      <c r="AV106" s="198"/>
      <c r="AW106" s="198"/>
      <c r="AX106" s="198"/>
    </row>
    <row r="107" spans="2:50" ht="17.25" customHeight="1" x14ac:dyDescent="0.2">
      <c r="B107" s="6"/>
      <c r="C107" s="49" t="str">
        <f>IF(SEM!C107="","",SEM!C107)</f>
        <v/>
      </c>
      <c r="D107" s="220" t="str">
        <f>IF(C107="","",VLOOKUP(SEM!C107,FROTA!$B$5:$C$305,2,0))</f>
        <v/>
      </c>
      <c r="E107" s="24" t="str">
        <f>IF(C107="","",VLOOKUP(C107,FROTA!$B$5:$N$305,7,0))</f>
        <v/>
      </c>
      <c r="F107" s="38" t="str">
        <f t="shared" si="28"/>
        <v/>
      </c>
      <c r="G107" s="71" t="str">
        <f t="shared" si="38"/>
        <v/>
      </c>
      <c r="H107" s="32" t="str">
        <f t="shared" si="40"/>
        <v/>
      </c>
      <c r="I107" s="73" t="str">
        <f t="shared" si="40"/>
        <v/>
      </c>
      <c r="J107" s="73" t="str">
        <f t="shared" si="40"/>
        <v/>
      </c>
      <c r="K107" s="73" t="str">
        <f t="shared" si="41"/>
        <v/>
      </c>
      <c r="L107" s="73" t="str">
        <f t="shared" si="41"/>
        <v/>
      </c>
      <c r="M107" s="73" t="str">
        <f t="shared" si="41"/>
        <v/>
      </c>
      <c r="N107" s="73" t="str">
        <f t="shared" si="41"/>
        <v/>
      </c>
      <c r="O107" s="73" t="str">
        <f t="shared" si="41"/>
        <v/>
      </c>
      <c r="P107" s="73" t="str">
        <f t="shared" si="41"/>
        <v/>
      </c>
      <c r="Q107" s="73" t="str">
        <f t="shared" si="41"/>
        <v/>
      </c>
      <c r="R107" s="73" t="str">
        <f t="shared" si="39"/>
        <v/>
      </c>
      <c r="S107" s="73" t="str">
        <f t="shared" si="39"/>
        <v/>
      </c>
      <c r="T107" s="73" t="str">
        <f t="shared" si="39"/>
        <v/>
      </c>
      <c r="U107" s="73" t="str">
        <f t="shared" si="39"/>
        <v/>
      </c>
      <c r="V107" s="73" t="str">
        <f t="shared" si="39"/>
        <v/>
      </c>
      <c r="W107" s="73" t="str">
        <f t="shared" si="39"/>
        <v/>
      </c>
      <c r="X107" s="73" t="str">
        <f t="shared" si="39"/>
        <v/>
      </c>
      <c r="Y107" s="73" t="str">
        <f t="shared" si="39"/>
        <v/>
      </c>
      <c r="Z107" s="73" t="str">
        <f t="shared" si="39"/>
        <v/>
      </c>
      <c r="AA107" s="73" t="str">
        <f t="shared" si="39"/>
        <v/>
      </c>
      <c r="AB107" s="74" t="str">
        <f t="shared" si="39"/>
        <v/>
      </c>
      <c r="AC107" s="35" t="str">
        <f t="shared" si="29"/>
        <v/>
      </c>
      <c r="AD107" s="40" t="str">
        <f t="shared" si="30"/>
        <v/>
      </c>
      <c r="AE107" s="37" t="str">
        <f t="shared" si="31"/>
        <v/>
      </c>
      <c r="AF107" s="40" t="str">
        <f t="shared" si="32"/>
        <v/>
      </c>
      <c r="AG107" s="37" t="str">
        <f t="shared" si="33"/>
        <v/>
      </c>
      <c r="AH107" s="40" t="str">
        <f t="shared" si="34"/>
        <v/>
      </c>
      <c r="AI107" s="37" t="str">
        <f t="shared" si="35"/>
        <v/>
      </c>
      <c r="AJ107" s="40" t="str">
        <f t="shared" si="36"/>
        <v/>
      </c>
      <c r="AK107" s="33" t="str">
        <f>IF(SEM!AK107="","",SEM!AK107)</f>
        <v/>
      </c>
      <c r="AL107" s="6"/>
      <c r="AM107" s="79" t="str">
        <f t="shared" si="37"/>
        <v/>
      </c>
      <c r="AN107" s="12"/>
      <c r="AO107" s="12"/>
      <c r="AP107" s="14"/>
      <c r="AQ107" s="16"/>
      <c r="AR107" s="15"/>
      <c r="AU107" s="198"/>
      <c r="AV107" s="198"/>
      <c r="AW107" s="198"/>
      <c r="AX107" s="198"/>
    </row>
    <row r="108" spans="2:50" ht="17.25" customHeight="1" x14ac:dyDescent="0.2">
      <c r="B108" s="6"/>
      <c r="C108" s="49" t="str">
        <f>IF(SEM!C108="","",SEM!C108)</f>
        <v/>
      </c>
      <c r="D108" s="220" t="str">
        <f>IF(C108="","",VLOOKUP(SEM!C108,FROTA!$B$5:$C$305,2,0))</f>
        <v/>
      </c>
      <c r="E108" s="24" t="str">
        <f>IF(C108="","",VLOOKUP(C108,FROTA!$B$5:$N$305,7,0))</f>
        <v/>
      </c>
      <c r="F108" s="38" t="str">
        <f t="shared" si="28"/>
        <v/>
      </c>
      <c r="G108" s="71" t="str">
        <f t="shared" si="38"/>
        <v/>
      </c>
      <c r="H108" s="32" t="str">
        <f t="shared" si="40"/>
        <v/>
      </c>
      <c r="I108" s="73" t="str">
        <f t="shared" si="40"/>
        <v/>
      </c>
      <c r="J108" s="73" t="str">
        <f t="shared" si="40"/>
        <v/>
      </c>
      <c r="K108" s="73" t="str">
        <f t="shared" si="41"/>
        <v/>
      </c>
      <c r="L108" s="73" t="str">
        <f t="shared" si="41"/>
        <v/>
      </c>
      <c r="M108" s="73" t="str">
        <f t="shared" si="41"/>
        <v/>
      </c>
      <c r="N108" s="73" t="str">
        <f t="shared" si="41"/>
        <v/>
      </c>
      <c r="O108" s="73" t="str">
        <f t="shared" si="41"/>
        <v/>
      </c>
      <c r="P108" s="73" t="str">
        <f t="shared" si="41"/>
        <v/>
      </c>
      <c r="Q108" s="73" t="str">
        <f t="shared" si="41"/>
        <v/>
      </c>
      <c r="R108" s="73" t="str">
        <f t="shared" si="39"/>
        <v/>
      </c>
      <c r="S108" s="73" t="str">
        <f t="shared" si="39"/>
        <v/>
      </c>
      <c r="T108" s="73" t="str">
        <f t="shared" si="39"/>
        <v/>
      </c>
      <c r="U108" s="73" t="str">
        <f t="shared" si="39"/>
        <v/>
      </c>
      <c r="V108" s="73" t="str">
        <f t="shared" si="39"/>
        <v/>
      </c>
      <c r="W108" s="73" t="str">
        <f t="shared" si="39"/>
        <v/>
      </c>
      <c r="X108" s="73" t="str">
        <f t="shared" si="39"/>
        <v/>
      </c>
      <c r="Y108" s="73" t="str">
        <f t="shared" si="39"/>
        <v/>
      </c>
      <c r="Z108" s="73" t="str">
        <f t="shared" si="39"/>
        <v/>
      </c>
      <c r="AA108" s="73" t="str">
        <f t="shared" si="39"/>
        <v/>
      </c>
      <c r="AB108" s="74" t="str">
        <f t="shared" ref="R108:AB132" si="42">IF($C108="","",IF(SUM(AB$307*$G108)&gt;$F108,$F108,SUM(AB$307*$G108)))</f>
        <v/>
      </c>
      <c r="AC108" s="35" t="str">
        <f t="shared" si="29"/>
        <v/>
      </c>
      <c r="AD108" s="40" t="str">
        <f t="shared" si="30"/>
        <v/>
      </c>
      <c r="AE108" s="37" t="str">
        <f t="shared" si="31"/>
        <v/>
      </c>
      <c r="AF108" s="40" t="str">
        <f t="shared" si="32"/>
        <v/>
      </c>
      <c r="AG108" s="37" t="str">
        <f t="shared" si="33"/>
        <v/>
      </c>
      <c r="AH108" s="40" t="str">
        <f t="shared" si="34"/>
        <v/>
      </c>
      <c r="AI108" s="37" t="str">
        <f t="shared" si="35"/>
        <v/>
      </c>
      <c r="AJ108" s="40" t="str">
        <f t="shared" si="36"/>
        <v/>
      </c>
      <c r="AK108" s="33" t="str">
        <f>IF(SEM!AK108="","",SEM!AK108)</f>
        <v/>
      </c>
      <c r="AL108" s="6"/>
      <c r="AM108" s="79" t="str">
        <f t="shared" si="37"/>
        <v/>
      </c>
      <c r="AN108" s="12"/>
      <c r="AO108" s="12"/>
      <c r="AP108" s="14"/>
      <c r="AQ108" s="16"/>
      <c r="AR108" s="15"/>
      <c r="AU108" s="198"/>
      <c r="AV108" s="198"/>
      <c r="AW108" s="198"/>
      <c r="AX108" s="198"/>
    </row>
    <row r="109" spans="2:50" ht="17.25" customHeight="1" x14ac:dyDescent="0.2">
      <c r="B109" s="6"/>
      <c r="C109" s="49" t="str">
        <f>IF(SEM!C109="","",SEM!C109)</f>
        <v/>
      </c>
      <c r="D109" s="220" t="str">
        <f>IF(C109="","",VLOOKUP(SEM!C109,FROTA!$B$5:$C$305,2,0))</f>
        <v/>
      </c>
      <c r="E109" s="24" t="str">
        <f>IF(C109="","",VLOOKUP(C109,FROTA!$B$5:$N$305,7,0))</f>
        <v/>
      </c>
      <c r="F109" s="38" t="str">
        <f t="shared" si="28"/>
        <v/>
      </c>
      <c r="G109" s="71" t="str">
        <f t="shared" si="38"/>
        <v/>
      </c>
      <c r="H109" s="32" t="str">
        <f t="shared" si="40"/>
        <v/>
      </c>
      <c r="I109" s="73" t="str">
        <f t="shared" si="40"/>
        <v/>
      </c>
      <c r="J109" s="73" t="str">
        <f t="shared" si="40"/>
        <v/>
      </c>
      <c r="K109" s="73" t="str">
        <f t="shared" si="41"/>
        <v/>
      </c>
      <c r="L109" s="73" t="str">
        <f t="shared" si="41"/>
        <v/>
      </c>
      <c r="M109" s="73" t="str">
        <f t="shared" si="41"/>
        <v/>
      </c>
      <c r="N109" s="73" t="str">
        <f t="shared" si="41"/>
        <v/>
      </c>
      <c r="O109" s="73" t="str">
        <f t="shared" si="41"/>
        <v/>
      </c>
      <c r="P109" s="73" t="str">
        <f t="shared" si="41"/>
        <v/>
      </c>
      <c r="Q109" s="73" t="str">
        <f t="shared" si="41"/>
        <v/>
      </c>
      <c r="R109" s="73" t="str">
        <f t="shared" si="42"/>
        <v/>
      </c>
      <c r="S109" s="73" t="str">
        <f t="shared" si="42"/>
        <v/>
      </c>
      <c r="T109" s="73" t="str">
        <f t="shared" si="42"/>
        <v/>
      </c>
      <c r="U109" s="73" t="str">
        <f t="shared" si="42"/>
        <v/>
      </c>
      <c r="V109" s="73" t="str">
        <f t="shared" si="42"/>
        <v/>
      </c>
      <c r="W109" s="73" t="str">
        <f t="shared" si="42"/>
        <v/>
      </c>
      <c r="X109" s="73" t="str">
        <f t="shared" si="42"/>
        <v/>
      </c>
      <c r="Y109" s="73" t="str">
        <f t="shared" si="42"/>
        <v/>
      </c>
      <c r="Z109" s="73" t="str">
        <f t="shared" si="42"/>
        <v/>
      </c>
      <c r="AA109" s="73" t="str">
        <f t="shared" si="42"/>
        <v/>
      </c>
      <c r="AB109" s="74" t="str">
        <f t="shared" si="42"/>
        <v/>
      </c>
      <c r="AC109" s="35" t="str">
        <f t="shared" si="29"/>
        <v/>
      </c>
      <c r="AD109" s="40" t="str">
        <f t="shared" si="30"/>
        <v/>
      </c>
      <c r="AE109" s="37" t="str">
        <f t="shared" si="31"/>
        <v/>
      </c>
      <c r="AF109" s="40" t="str">
        <f t="shared" si="32"/>
        <v/>
      </c>
      <c r="AG109" s="37" t="str">
        <f t="shared" si="33"/>
        <v/>
      </c>
      <c r="AH109" s="40" t="str">
        <f t="shared" si="34"/>
        <v/>
      </c>
      <c r="AI109" s="37" t="str">
        <f t="shared" si="35"/>
        <v/>
      </c>
      <c r="AJ109" s="40" t="str">
        <f t="shared" si="36"/>
        <v/>
      </c>
      <c r="AK109" s="33" t="str">
        <f>IF(SEM!AK109="","",SEM!AK109)</f>
        <v/>
      </c>
      <c r="AL109" s="6"/>
      <c r="AM109" s="79" t="str">
        <f t="shared" si="37"/>
        <v/>
      </c>
      <c r="AN109" s="12"/>
      <c r="AO109" s="12"/>
      <c r="AP109" s="14"/>
      <c r="AQ109" s="16"/>
      <c r="AR109" s="15"/>
      <c r="AU109" s="198"/>
      <c r="AV109" s="198"/>
      <c r="AW109" s="198"/>
      <c r="AX109" s="198"/>
    </row>
    <row r="110" spans="2:50" ht="17.25" customHeight="1" x14ac:dyDescent="0.2">
      <c r="B110" s="6"/>
      <c r="C110" s="49" t="str">
        <f>IF(SEM!C110="","",SEM!C110)</f>
        <v/>
      </c>
      <c r="D110" s="220" t="str">
        <f>IF(C110="","",VLOOKUP(SEM!C110,FROTA!$B$5:$C$305,2,0))</f>
        <v/>
      </c>
      <c r="E110" s="24" t="str">
        <f>IF(C110="","",VLOOKUP(C110,FROTA!$B$5:$N$305,7,0))</f>
        <v/>
      </c>
      <c r="F110" s="38" t="str">
        <f t="shared" si="28"/>
        <v/>
      </c>
      <c r="G110" s="71" t="str">
        <f t="shared" si="38"/>
        <v/>
      </c>
      <c r="H110" s="32" t="str">
        <f t="shared" si="40"/>
        <v/>
      </c>
      <c r="I110" s="73" t="str">
        <f t="shared" si="40"/>
        <v/>
      </c>
      <c r="J110" s="73" t="str">
        <f t="shared" si="40"/>
        <v/>
      </c>
      <c r="K110" s="73" t="str">
        <f t="shared" si="41"/>
        <v/>
      </c>
      <c r="L110" s="73" t="str">
        <f t="shared" si="41"/>
        <v/>
      </c>
      <c r="M110" s="73" t="str">
        <f t="shared" si="41"/>
        <v/>
      </c>
      <c r="N110" s="73" t="str">
        <f t="shared" si="41"/>
        <v/>
      </c>
      <c r="O110" s="73" t="str">
        <f t="shared" si="41"/>
        <v/>
      </c>
      <c r="P110" s="73" t="str">
        <f t="shared" si="41"/>
        <v/>
      </c>
      <c r="Q110" s="73" t="str">
        <f t="shared" si="41"/>
        <v/>
      </c>
      <c r="R110" s="73" t="str">
        <f t="shared" si="42"/>
        <v/>
      </c>
      <c r="S110" s="73" t="str">
        <f t="shared" si="42"/>
        <v/>
      </c>
      <c r="T110" s="73" t="str">
        <f t="shared" si="42"/>
        <v/>
      </c>
      <c r="U110" s="73" t="str">
        <f t="shared" si="42"/>
        <v/>
      </c>
      <c r="V110" s="73" t="str">
        <f t="shared" si="42"/>
        <v/>
      </c>
      <c r="W110" s="73" t="str">
        <f t="shared" si="42"/>
        <v/>
      </c>
      <c r="X110" s="73" t="str">
        <f t="shared" si="42"/>
        <v/>
      </c>
      <c r="Y110" s="73" t="str">
        <f t="shared" si="42"/>
        <v/>
      </c>
      <c r="Z110" s="73" t="str">
        <f t="shared" si="42"/>
        <v/>
      </c>
      <c r="AA110" s="73" t="str">
        <f t="shared" si="42"/>
        <v/>
      </c>
      <c r="AB110" s="74" t="str">
        <f t="shared" si="42"/>
        <v/>
      </c>
      <c r="AC110" s="35" t="str">
        <f t="shared" si="29"/>
        <v/>
      </c>
      <c r="AD110" s="40" t="str">
        <f t="shared" si="30"/>
        <v/>
      </c>
      <c r="AE110" s="37" t="str">
        <f t="shared" si="31"/>
        <v/>
      </c>
      <c r="AF110" s="40" t="str">
        <f t="shared" si="32"/>
        <v/>
      </c>
      <c r="AG110" s="37" t="str">
        <f t="shared" si="33"/>
        <v/>
      </c>
      <c r="AH110" s="40" t="str">
        <f t="shared" si="34"/>
        <v/>
      </c>
      <c r="AI110" s="37" t="str">
        <f t="shared" si="35"/>
        <v/>
      </c>
      <c r="AJ110" s="40" t="str">
        <f t="shared" si="36"/>
        <v/>
      </c>
      <c r="AK110" s="33" t="str">
        <f>IF(SEM!AK110="","",SEM!AK110)</f>
        <v/>
      </c>
      <c r="AL110" s="6"/>
      <c r="AM110" s="79" t="str">
        <f t="shared" si="37"/>
        <v/>
      </c>
      <c r="AN110" s="12"/>
      <c r="AO110" s="12"/>
      <c r="AP110" s="14"/>
      <c r="AQ110" s="16"/>
      <c r="AR110" s="15"/>
      <c r="AU110" s="198"/>
      <c r="AV110" s="198"/>
      <c r="AW110" s="198"/>
      <c r="AX110" s="198"/>
    </row>
    <row r="111" spans="2:50" ht="17.25" customHeight="1" x14ac:dyDescent="0.2">
      <c r="B111" s="6"/>
      <c r="C111" s="49" t="str">
        <f>IF(SEM!C111="","",SEM!C111)</f>
        <v/>
      </c>
      <c r="D111" s="220" t="str">
        <f>IF(C111="","",VLOOKUP(SEM!C111,FROTA!$B$5:$C$305,2,0))</f>
        <v/>
      </c>
      <c r="E111" s="24" t="str">
        <f>IF(C111="","",VLOOKUP(C111,FROTA!$B$5:$N$305,7,0))</f>
        <v/>
      </c>
      <c r="F111" s="38" t="str">
        <f t="shared" si="28"/>
        <v/>
      </c>
      <c r="G111" s="71" t="str">
        <f t="shared" si="38"/>
        <v/>
      </c>
      <c r="H111" s="32" t="str">
        <f t="shared" si="40"/>
        <v/>
      </c>
      <c r="I111" s="73" t="str">
        <f t="shared" si="40"/>
        <v/>
      </c>
      <c r="J111" s="73" t="str">
        <f t="shared" si="40"/>
        <v/>
      </c>
      <c r="K111" s="73" t="str">
        <f t="shared" si="41"/>
        <v/>
      </c>
      <c r="L111" s="73" t="str">
        <f t="shared" si="41"/>
        <v/>
      </c>
      <c r="M111" s="73" t="str">
        <f t="shared" si="41"/>
        <v/>
      </c>
      <c r="N111" s="73" t="str">
        <f t="shared" si="41"/>
        <v/>
      </c>
      <c r="O111" s="73" t="str">
        <f t="shared" si="41"/>
        <v/>
      </c>
      <c r="P111" s="73" t="str">
        <f t="shared" si="41"/>
        <v/>
      </c>
      <c r="Q111" s="73" t="str">
        <f t="shared" si="41"/>
        <v/>
      </c>
      <c r="R111" s="73" t="str">
        <f t="shared" si="42"/>
        <v/>
      </c>
      <c r="S111" s="73" t="str">
        <f t="shared" si="42"/>
        <v/>
      </c>
      <c r="T111" s="73" t="str">
        <f t="shared" si="42"/>
        <v/>
      </c>
      <c r="U111" s="73" t="str">
        <f t="shared" si="42"/>
        <v/>
      </c>
      <c r="V111" s="73" t="str">
        <f t="shared" si="42"/>
        <v/>
      </c>
      <c r="W111" s="73" t="str">
        <f t="shared" si="42"/>
        <v/>
      </c>
      <c r="X111" s="73" t="str">
        <f t="shared" si="42"/>
        <v/>
      </c>
      <c r="Y111" s="73" t="str">
        <f t="shared" si="42"/>
        <v/>
      </c>
      <c r="Z111" s="73" t="str">
        <f t="shared" si="42"/>
        <v/>
      </c>
      <c r="AA111" s="73" t="str">
        <f t="shared" si="42"/>
        <v/>
      </c>
      <c r="AB111" s="74" t="str">
        <f t="shared" si="42"/>
        <v/>
      </c>
      <c r="AC111" s="35" t="str">
        <f t="shared" si="29"/>
        <v/>
      </c>
      <c r="AD111" s="40" t="str">
        <f t="shared" si="30"/>
        <v/>
      </c>
      <c r="AE111" s="37" t="str">
        <f t="shared" si="31"/>
        <v/>
      </c>
      <c r="AF111" s="40" t="str">
        <f t="shared" si="32"/>
        <v/>
      </c>
      <c r="AG111" s="37" t="str">
        <f t="shared" si="33"/>
        <v/>
      </c>
      <c r="AH111" s="40" t="str">
        <f t="shared" si="34"/>
        <v/>
      </c>
      <c r="AI111" s="37" t="str">
        <f t="shared" si="35"/>
        <v/>
      </c>
      <c r="AJ111" s="40" t="str">
        <f t="shared" si="36"/>
        <v/>
      </c>
      <c r="AK111" s="33" t="str">
        <f>IF(SEM!AK111="","",SEM!AK111)</f>
        <v/>
      </c>
      <c r="AL111" s="6"/>
      <c r="AM111" s="79" t="str">
        <f t="shared" si="37"/>
        <v/>
      </c>
      <c r="AN111" s="12"/>
      <c r="AO111" s="12"/>
      <c r="AP111" s="14"/>
      <c r="AQ111" s="16"/>
      <c r="AR111" s="15"/>
      <c r="AU111" s="198"/>
      <c r="AV111" s="198"/>
      <c r="AW111" s="198"/>
      <c r="AX111" s="198"/>
    </row>
    <row r="112" spans="2:50" ht="17.25" customHeight="1" x14ac:dyDescent="0.2">
      <c r="B112" s="6"/>
      <c r="C112" s="49" t="str">
        <f>IF(SEM!C112="","",SEM!C112)</f>
        <v/>
      </c>
      <c r="D112" s="220" t="str">
        <f>IF(C112="","",VLOOKUP(SEM!C112,FROTA!$B$5:$C$305,2,0))</f>
        <v/>
      </c>
      <c r="E112" s="24" t="str">
        <f>IF(C112="","",VLOOKUP(C112,FROTA!$B$5:$N$305,7,0))</f>
        <v/>
      </c>
      <c r="F112" s="38" t="str">
        <f t="shared" si="28"/>
        <v/>
      </c>
      <c r="G112" s="71" t="str">
        <f t="shared" si="38"/>
        <v/>
      </c>
      <c r="H112" s="32" t="str">
        <f t="shared" si="40"/>
        <v/>
      </c>
      <c r="I112" s="73" t="str">
        <f t="shared" si="40"/>
        <v/>
      </c>
      <c r="J112" s="73" t="str">
        <f t="shared" si="40"/>
        <v/>
      </c>
      <c r="K112" s="73" t="str">
        <f t="shared" si="41"/>
        <v/>
      </c>
      <c r="L112" s="73" t="str">
        <f t="shared" si="41"/>
        <v/>
      </c>
      <c r="M112" s="73" t="str">
        <f t="shared" si="41"/>
        <v/>
      </c>
      <c r="N112" s="73" t="str">
        <f t="shared" si="41"/>
        <v/>
      </c>
      <c r="O112" s="73" t="str">
        <f t="shared" si="41"/>
        <v/>
      </c>
      <c r="P112" s="73" t="str">
        <f t="shared" si="41"/>
        <v/>
      </c>
      <c r="Q112" s="73" t="str">
        <f t="shared" si="41"/>
        <v/>
      </c>
      <c r="R112" s="73" t="str">
        <f t="shared" si="42"/>
        <v/>
      </c>
      <c r="S112" s="73" t="str">
        <f t="shared" si="42"/>
        <v/>
      </c>
      <c r="T112" s="73" t="str">
        <f t="shared" si="42"/>
        <v/>
      </c>
      <c r="U112" s="73" t="str">
        <f t="shared" si="42"/>
        <v/>
      </c>
      <c r="V112" s="73" t="str">
        <f t="shared" si="42"/>
        <v/>
      </c>
      <c r="W112" s="73" t="str">
        <f t="shared" si="42"/>
        <v/>
      </c>
      <c r="X112" s="73" t="str">
        <f t="shared" si="42"/>
        <v/>
      </c>
      <c r="Y112" s="73" t="str">
        <f t="shared" si="42"/>
        <v/>
      </c>
      <c r="Z112" s="73" t="str">
        <f t="shared" si="42"/>
        <v/>
      </c>
      <c r="AA112" s="73" t="str">
        <f t="shared" si="42"/>
        <v/>
      </c>
      <c r="AB112" s="74" t="str">
        <f t="shared" si="42"/>
        <v/>
      </c>
      <c r="AC112" s="35" t="str">
        <f t="shared" si="29"/>
        <v/>
      </c>
      <c r="AD112" s="40" t="str">
        <f t="shared" si="30"/>
        <v/>
      </c>
      <c r="AE112" s="37" t="str">
        <f t="shared" si="31"/>
        <v/>
      </c>
      <c r="AF112" s="40" t="str">
        <f t="shared" si="32"/>
        <v/>
      </c>
      <c r="AG112" s="37" t="str">
        <f t="shared" si="33"/>
        <v/>
      </c>
      <c r="AH112" s="40" t="str">
        <f t="shared" si="34"/>
        <v/>
      </c>
      <c r="AI112" s="37" t="str">
        <f t="shared" si="35"/>
        <v/>
      </c>
      <c r="AJ112" s="40" t="str">
        <f t="shared" si="36"/>
        <v/>
      </c>
      <c r="AK112" s="33" t="str">
        <f>IF(SEM!AK112="","",SEM!AK112)</f>
        <v/>
      </c>
      <c r="AL112" s="6"/>
      <c r="AM112" s="79" t="str">
        <f t="shared" si="37"/>
        <v/>
      </c>
      <c r="AN112" s="12"/>
      <c r="AO112" s="12"/>
      <c r="AP112" s="14"/>
      <c r="AQ112" s="16"/>
      <c r="AR112" s="15"/>
      <c r="AU112" s="198"/>
      <c r="AV112" s="198"/>
      <c r="AW112" s="198"/>
      <c r="AX112" s="198"/>
    </row>
    <row r="113" spans="2:50" ht="17.25" customHeight="1" x14ac:dyDescent="0.2">
      <c r="B113" s="6"/>
      <c r="C113" s="49" t="str">
        <f>IF(SEM!C113="","",SEM!C113)</f>
        <v/>
      </c>
      <c r="D113" s="220" t="str">
        <f>IF(C113="","",VLOOKUP(SEM!C113,FROTA!$B$5:$C$305,2,0))</f>
        <v/>
      </c>
      <c r="E113" s="24" t="str">
        <f>IF(C113="","",VLOOKUP(C113,FROTA!$B$5:$N$305,7,0))</f>
        <v/>
      </c>
      <c r="F113" s="38" t="str">
        <f t="shared" si="28"/>
        <v/>
      </c>
      <c r="G113" s="71" t="str">
        <f t="shared" si="38"/>
        <v/>
      </c>
      <c r="H113" s="32" t="str">
        <f t="shared" si="40"/>
        <v/>
      </c>
      <c r="I113" s="73" t="str">
        <f t="shared" si="40"/>
        <v/>
      </c>
      <c r="J113" s="73" t="str">
        <f t="shared" si="40"/>
        <v/>
      </c>
      <c r="K113" s="73" t="str">
        <f t="shared" si="41"/>
        <v/>
      </c>
      <c r="L113" s="73" t="str">
        <f t="shared" si="41"/>
        <v/>
      </c>
      <c r="M113" s="73" t="str">
        <f t="shared" si="41"/>
        <v/>
      </c>
      <c r="N113" s="73" t="str">
        <f t="shared" si="41"/>
        <v/>
      </c>
      <c r="O113" s="73" t="str">
        <f t="shared" si="41"/>
        <v/>
      </c>
      <c r="P113" s="73" t="str">
        <f t="shared" si="41"/>
        <v/>
      </c>
      <c r="Q113" s="73" t="str">
        <f t="shared" si="41"/>
        <v/>
      </c>
      <c r="R113" s="73" t="str">
        <f t="shared" si="42"/>
        <v/>
      </c>
      <c r="S113" s="73" t="str">
        <f t="shared" si="42"/>
        <v/>
      </c>
      <c r="T113" s="73" t="str">
        <f t="shared" si="42"/>
        <v/>
      </c>
      <c r="U113" s="73" t="str">
        <f t="shared" si="42"/>
        <v/>
      </c>
      <c r="V113" s="73" t="str">
        <f t="shared" si="42"/>
        <v/>
      </c>
      <c r="W113" s="73" t="str">
        <f t="shared" si="42"/>
        <v/>
      </c>
      <c r="X113" s="73" t="str">
        <f t="shared" si="42"/>
        <v/>
      </c>
      <c r="Y113" s="73" t="str">
        <f t="shared" si="42"/>
        <v/>
      </c>
      <c r="Z113" s="73" t="str">
        <f t="shared" si="42"/>
        <v/>
      </c>
      <c r="AA113" s="73" t="str">
        <f t="shared" si="42"/>
        <v/>
      </c>
      <c r="AB113" s="74" t="str">
        <f t="shared" si="42"/>
        <v/>
      </c>
      <c r="AC113" s="35" t="str">
        <f t="shared" si="29"/>
        <v/>
      </c>
      <c r="AD113" s="40" t="str">
        <f t="shared" si="30"/>
        <v/>
      </c>
      <c r="AE113" s="37" t="str">
        <f t="shared" si="31"/>
        <v/>
      </c>
      <c r="AF113" s="40" t="str">
        <f t="shared" si="32"/>
        <v/>
      </c>
      <c r="AG113" s="37" t="str">
        <f t="shared" si="33"/>
        <v/>
      </c>
      <c r="AH113" s="40" t="str">
        <f t="shared" si="34"/>
        <v/>
      </c>
      <c r="AI113" s="37" t="str">
        <f t="shared" si="35"/>
        <v/>
      </c>
      <c r="AJ113" s="40" t="str">
        <f t="shared" si="36"/>
        <v/>
      </c>
      <c r="AK113" s="33" t="str">
        <f>IF(SEM!AK113="","",SEM!AK113)</f>
        <v/>
      </c>
      <c r="AL113" s="6"/>
      <c r="AM113" s="79" t="str">
        <f t="shared" si="37"/>
        <v/>
      </c>
      <c r="AN113" s="12"/>
      <c r="AO113" s="12"/>
      <c r="AP113" s="14"/>
      <c r="AQ113" s="16"/>
      <c r="AR113" s="15"/>
      <c r="AU113" s="198"/>
      <c r="AV113" s="198"/>
      <c r="AW113" s="198"/>
      <c r="AX113" s="198"/>
    </row>
    <row r="114" spans="2:50" ht="17.25" customHeight="1" x14ac:dyDescent="0.2">
      <c r="B114" s="6"/>
      <c r="C114" s="49" t="str">
        <f>IF(SEM!C114="","",SEM!C114)</f>
        <v/>
      </c>
      <c r="D114" s="220" t="str">
        <f>IF(C114="","",VLOOKUP(SEM!C114,FROTA!$B$5:$C$305,2,0))</f>
        <v/>
      </c>
      <c r="E114" s="24" t="str">
        <f>IF(C114="","",VLOOKUP(C114,FROTA!$B$5:$N$305,7,0))</f>
        <v/>
      </c>
      <c r="F114" s="38" t="str">
        <f t="shared" si="28"/>
        <v/>
      </c>
      <c r="G114" s="71" t="str">
        <f t="shared" si="38"/>
        <v/>
      </c>
      <c r="H114" s="32" t="str">
        <f t="shared" si="40"/>
        <v/>
      </c>
      <c r="I114" s="73" t="str">
        <f t="shared" si="40"/>
        <v/>
      </c>
      <c r="J114" s="73" t="str">
        <f t="shared" si="40"/>
        <v/>
      </c>
      <c r="K114" s="73" t="str">
        <f t="shared" si="41"/>
        <v/>
      </c>
      <c r="L114" s="73" t="str">
        <f t="shared" si="41"/>
        <v/>
      </c>
      <c r="M114" s="73" t="str">
        <f t="shared" si="41"/>
        <v/>
      </c>
      <c r="N114" s="73" t="str">
        <f t="shared" si="41"/>
        <v/>
      </c>
      <c r="O114" s="73" t="str">
        <f t="shared" si="41"/>
        <v/>
      </c>
      <c r="P114" s="73" t="str">
        <f t="shared" si="41"/>
        <v/>
      </c>
      <c r="Q114" s="73" t="str">
        <f t="shared" si="41"/>
        <v/>
      </c>
      <c r="R114" s="73" t="str">
        <f t="shared" si="42"/>
        <v/>
      </c>
      <c r="S114" s="73" t="str">
        <f t="shared" si="42"/>
        <v/>
      </c>
      <c r="T114" s="73" t="str">
        <f t="shared" si="42"/>
        <v/>
      </c>
      <c r="U114" s="73" t="str">
        <f t="shared" si="42"/>
        <v/>
      </c>
      <c r="V114" s="73" t="str">
        <f t="shared" si="42"/>
        <v/>
      </c>
      <c r="W114" s="73" t="str">
        <f t="shared" si="42"/>
        <v/>
      </c>
      <c r="X114" s="73" t="str">
        <f t="shared" si="42"/>
        <v/>
      </c>
      <c r="Y114" s="73" t="str">
        <f t="shared" si="42"/>
        <v/>
      </c>
      <c r="Z114" s="73" t="str">
        <f t="shared" si="42"/>
        <v/>
      </c>
      <c r="AA114" s="73" t="str">
        <f t="shared" si="42"/>
        <v/>
      </c>
      <c r="AB114" s="74" t="str">
        <f t="shared" si="42"/>
        <v/>
      </c>
      <c r="AC114" s="35" t="str">
        <f t="shared" si="29"/>
        <v/>
      </c>
      <c r="AD114" s="40" t="str">
        <f t="shared" si="30"/>
        <v/>
      </c>
      <c r="AE114" s="37" t="str">
        <f t="shared" si="31"/>
        <v/>
      </c>
      <c r="AF114" s="40" t="str">
        <f t="shared" si="32"/>
        <v/>
      </c>
      <c r="AG114" s="37" t="str">
        <f t="shared" si="33"/>
        <v/>
      </c>
      <c r="AH114" s="40" t="str">
        <f t="shared" si="34"/>
        <v/>
      </c>
      <c r="AI114" s="37" t="str">
        <f t="shared" si="35"/>
        <v/>
      </c>
      <c r="AJ114" s="40" t="str">
        <f t="shared" si="36"/>
        <v/>
      </c>
      <c r="AK114" s="33" t="str">
        <f>IF(SEM!AK114="","",SEM!AK114)</f>
        <v/>
      </c>
      <c r="AL114" s="6"/>
      <c r="AM114" s="79" t="str">
        <f t="shared" si="37"/>
        <v/>
      </c>
      <c r="AN114" s="12"/>
      <c r="AO114" s="12"/>
      <c r="AP114" s="14"/>
      <c r="AQ114" s="16"/>
      <c r="AR114" s="15"/>
      <c r="AU114" s="198"/>
      <c r="AV114" s="198"/>
      <c r="AW114" s="198"/>
      <c r="AX114" s="198"/>
    </row>
    <row r="115" spans="2:50" ht="17.25" customHeight="1" x14ac:dyDescent="0.2">
      <c r="B115" s="6"/>
      <c r="C115" s="49" t="str">
        <f>IF(SEM!C115="","",SEM!C115)</f>
        <v/>
      </c>
      <c r="D115" s="220" t="str">
        <f>IF(C115="","",VLOOKUP(SEM!C115,FROTA!$B$5:$C$305,2,0))</f>
        <v/>
      </c>
      <c r="E115" s="24" t="str">
        <f>IF(C115="","",VLOOKUP(C115,FROTA!$B$5:$N$305,7,0))</f>
        <v/>
      </c>
      <c r="F115" s="38" t="str">
        <f t="shared" si="28"/>
        <v/>
      </c>
      <c r="G115" s="71" t="str">
        <f t="shared" si="38"/>
        <v/>
      </c>
      <c r="H115" s="32" t="str">
        <f t="shared" si="40"/>
        <v/>
      </c>
      <c r="I115" s="73" t="str">
        <f t="shared" si="40"/>
        <v/>
      </c>
      <c r="J115" s="73" t="str">
        <f t="shared" si="40"/>
        <v/>
      </c>
      <c r="K115" s="73" t="str">
        <f t="shared" si="41"/>
        <v/>
      </c>
      <c r="L115" s="73" t="str">
        <f t="shared" si="41"/>
        <v/>
      </c>
      <c r="M115" s="73" t="str">
        <f t="shared" si="41"/>
        <v/>
      </c>
      <c r="N115" s="73" t="str">
        <f t="shared" si="41"/>
        <v/>
      </c>
      <c r="O115" s="73" t="str">
        <f t="shared" si="41"/>
        <v/>
      </c>
      <c r="P115" s="73" t="str">
        <f t="shared" si="41"/>
        <v/>
      </c>
      <c r="Q115" s="73" t="str">
        <f t="shared" si="41"/>
        <v/>
      </c>
      <c r="R115" s="73" t="str">
        <f t="shared" si="42"/>
        <v/>
      </c>
      <c r="S115" s="73" t="str">
        <f t="shared" si="42"/>
        <v/>
      </c>
      <c r="T115" s="73" t="str">
        <f t="shared" si="42"/>
        <v/>
      </c>
      <c r="U115" s="73" t="str">
        <f t="shared" si="42"/>
        <v/>
      </c>
      <c r="V115" s="73" t="str">
        <f t="shared" si="42"/>
        <v/>
      </c>
      <c r="W115" s="73" t="str">
        <f t="shared" si="42"/>
        <v/>
      </c>
      <c r="X115" s="73" t="str">
        <f t="shared" si="42"/>
        <v/>
      </c>
      <c r="Y115" s="73" t="str">
        <f t="shared" si="42"/>
        <v/>
      </c>
      <c r="Z115" s="73" t="str">
        <f t="shared" si="42"/>
        <v/>
      </c>
      <c r="AA115" s="73" t="str">
        <f t="shared" si="42"/>
        <v/>
      </c>
      <c r="AB115" s="74" t="str">
        <f t="shared" si="42"/>
        <v/>
      </c>
      <c r="AC115" s="35" t="str">
        <f t="shared" si="29"/>
        <v/>
      </c>
      <c r="AD115" s="40" t="str">
        <f t="shared" si="30"/>
        <v/>
      </c>
      <c r="AE115" s="37" t="str">
        <f t="shared" si="31"/>
        <v/>
      </c>
      <c r="AF115" s="40" t="str">
        <f t="shared" si="32"/>
        <v/>
      </c>
      <c r="AG115" s="37" t="str">
        <f t="shared" si="33"/>
        <v/>
      </c>
      <c r="AH115" s="40" t="str">
        <f t="shared" si="34"/>
        <v/>
      </c>
      <c r="AI115" s="37" t="str">
        <f t="shared" si="35"/>
        <v/>
      </c>
      <c r="AJ115" s="40" t="str">
        <f t="shared" si="36"/>
        <v/>
      </c>
      <c r="AK115" s="33" t="str">
        <f>IF(SEM!AK115="","",SEM!AK115)</f>
        <v/>
      </c>
      <c r="AL115" s="6"/>
      <c r="AM115" s="79" t="str">
        <f t="shared" si="37"/>
        <v/>
      </c>
      <c r="AN115" s="12"/>
      <c r="AO115" s="12"/>
      <c r="AP115" s="14"/>
      <c r="AQ115" s="16"/>
      <c r="AR115" s="15"/>
      <c r="AU115" s="198"/>
      <c r="AV115" s="198"/>
      <c r="AW115" s="198"/>
      <c r="AX115" s="198"/>
    </row>
    <row r="116" spans="2:50" ht="17.25" customHeight="1" x14ac:dyDescent="0.2">
      <c r="B116" s="6"/>
      <c r="C116" s="49" t="str">
        <f>IF(SEM!C116="","",SEM!C116)</f>
        <v/>
      </c>
      <c r="D116" s="220" t="str">
        <f>IF(C116="","",VLOOKUP(SEM!C116,FROTA!$B$5:$C$305,2,0))</f>
        <v/>
      </c>
      <c r="E116" s="24" t="str">
        <f>IF(C116="","",VLOOKUP(C116,FROTA!$B$5:$N$305,7,0))</f>
        <v/>
      </c>
      <c r="F116" s="38" t="str">
        <f t="shared" si="28"/>
        <v/>
      </c>
      <c r="G116" s="71" t="str">
        <f t="shared" si="38"/>
        <v/>
      </c>
      <c r="H116" s="32" t="str">
        <f t="shared" si="40"/>
        <v/>
      </c>
      <c r="I116" s="73" t="str">
        <f t="shared" si="40"/>
        <v/>
      </c>
      <c r="J116" s="73" t="str">
        <f t="shared" si="40"/>
        <v/>
      </c>
      <c r="K116" s="73" t="str">
        <f t="shared" si="41"/>
        <v/>
      </c>
      <c r="L116" s="73" t="str">
        <f t="shared" si="41"/>
        <v/>
      </c>
      <c r="M116" s="73" t="str">
        <f t="shared" si="41"/>
        <v/>
      </c>
      <c r="N116" s="73" t="str">
        <f t="shared" si="41"/>
        <v/>
      </c>
      <c r="O116" s="73" t="str">
        <f t="shared" si="41"/>
        <v/>
      </c>
      <c r="P116" s="73" t="str">
        <f t="shared" si="41"/>
        <v/>
      </c>
      <c r="Q116" s="73" t="str">
        <f t="shared" si="41"/>
        <v/>
      </c>
      <c r="R116" s="73" t="str">
        <f t="shared" si="42"/>
        <v/>
      </c>
      <c r="S116" s="73" t="str">
        <f t="shared" si="42"/>
        <v/>
      </c>
      <c r="T116" s="73" t="str">
        <f t="shared" si="42"/>
        <v/>
      </c>
      <c r="U116" s="73" t="str">
        <f t="shared" si="42"/>
        <v/>
      </c>
      <c r="V116" s="73" t="str">
        <f t="shared" si="42"/>
        <v/>
      </c>
      <c r="W116" s="73" t="str">
        <f t="shared" si="42"/>
        <v/>
      </c>
      <c r="X116" s="73" t="str">
        <f t="shared" si="42"/>
        <v/>
      </c>
      <c r="Y116" s="73" t="str">
        <f t="shared" si="42"/>
        <v/>
      </c>
      <c r="Z116" s="73" t="str">
        <f t="shared" si="42"/>
        <v/>
      </c>
      <c r="AA116" s="73" t="str">
        <f t="shared" si="42"/>
        <v/>
      </c>
      <c r="AB116" s="74" t="str">
        <f t="shared" si="42"/>
        <v/>
      </c>
      <c r="AC116" s="35" t="str">
        <f t="shared" si="29"/>
        <v/>
      </c>
      <c r="AD116" s="40" t="str">
        <f t="shared" si="30"/>
        <v/>
      </c>
      <c r="AE116" s="37" t="str">
        <f t="shared" si="31"/>
        <v/>
      </c>
      <c r="AF116" s="40" t="str">
        <f t="shared" si="32"/>
        <v/>
      </c>
      <c r="AG116" s="37" t="str">
        <f t="shared" si="33"/>
        <v/>
      </c>
      <c r="AH116" s="40" t="str">
        <f t="shared" si="34"/>
        <v/>
      </c>
      <c r="AI116" s="37" t="str">
        <f t="shared" si="35"/>
        <v/>
      </c>
      <c r="AJ116" s="40" t="str">
        <f t="shared" si="36"/>
        <v/>
      </c>
      <c r="AK116" s="33" t="str">
        <f>IF(SEM!AK116="","",SEM!AK116)</f>
        <v/>
      </c>
      <c r="AL116" s="6"/>
      <c r="AM116" s="79" t="str">
        <f t="shared" si="37"/>
        <v/>
      </c>
      <c r="AN116" s="12"/>
      <c r="AO116" s="12"/>
      <c r="AP116" s="14"/>
      <c r="AQ116" s="16"/>
      <c r="AR116" s="15"/>
      <c r="AU116" s="198"/>
      <c r="AV116" s="198"/>
      <c r="AW116" s="198"/>
      <c r="AX116" s="198"/>
    </row>
    <row r="117" spans="2:50" ht="17.25" customHeight="1" x14ac:dyDescent="0.2">
      <c r="B117" s="6"/>
      <c r="C117" s="49" t="str">
        <f>IF(SEM!C117="","",SEM!C117)</f>
        <v/>
      </c>
      <c r="D117" s="220" t="str">
        <f>IF(C117="","",VLOOKUP(SEM!C117,FROTA!$B$5:$C$305,2,0))</f>
        <v/>
      </c>
      <c r="E117" s="24" t="str">
        <f>IF(C117="","",VLOOKUP(C117,FROTA!$B$5:$N$305,7,0))</f>
        <v/>
      </c>
      <c r="F117" s="38" t="str">
        <f t="shared" si="28"/>
        <v/>
      </c>
      <c r="G117" s="71" t="str">
        <f t="shared" si="38"/>
        <v/>
      </c>
      <c r="H117" s="32" t="str">
        <f t="shared" si="40"/>
        <v/>
      </c>
      <c r="I117" s="73" t="str">
        <f t="shared" si="40"/>
        <v/>
      </c>
      <c r="J117" s="73" t="str">
        <f t="shared" si="40"/>
        <v/>
      </c>
      <c r="K117" s="73" t="str">
        <f t="shared" si="41"/>
        <v/>
      </c>
      <c r="L117" s="73" t="str">
        <f t="shared" si="41"/>
        <v/>
      </c>
      <c r="M117" s="73" t="str">
        <f t="shared" si="41"/>
        <v/>
      </c>
      <c r="N117" s="73" t="str">
        <f t="shared" si="41"/>
        <v/>
      </c>
      <c r="O117" s="73" t="str">
        <f t="shared" si="41"/>
        <v/>
      </c>
      <c r="P117" s="73" t="str">
        <f t="shared" si="41"/>
        <v/>
      </c>
      <c r="Q117" s="73" t="str">
        <f t="shared" si="41"/>
        <v/>
      </c>
      <c r="R117" s="73" t="str">
        <f t="shared" si="42"/>
        <v/>
      </c>
      <c r="S117" s="73" t="str">
        <f t="shared" si="42"/>
        <v/>
      </c>
      <c r="T117" s="73" t="str">
        <f t="shared" si="42"/>
        <v/>
      </c>
      <c r="U117" s="73" t="str">
        <f t="shared" si="42"/>
        <v/>
      </c>
      <c r="V117" s="73" t="str">
        <f t="shared" si="42"/>
        <v/>
      </c>
      <c r="W117" s="73" t="str">
        <f t="shared" si="42"/>
        <v/>
      </c>
      <c r="X117" s="73" t="str">
        <f t="shared" si="42"/>
        <v/>
      </c>
      <c r="Y117" s="73" t="str">
        <f t="shared" si="42"/>
        <v/>
      </c>
      <c r="Z117" s="73" t="str">
        <f t="shared" si="42"/>
        <v/>
      </c>
      <c r="AA117" s="73" t="str">
        <f t="shared" si="42"/>
        <v/>
      </c>
      <c r="AB117" s="74" t="str">
        <f t="shared" si="42"/>
        <v/>
      </c>
      <c r="AC117" s="35" t="str">
        <f t="shared" si="29"/>
        <v/>
      </c>
      <c r="AD117" s="40" t="str">
        <f t="shared" si="30"/>
        <v/>
      </c>
      <c r="AE117" s="37" t="str">
        <f t="shared" si="31"/>
        <v/>
      </c>
      <c r="AF117" s="40" t="str">
        <f t="shared" si="32"/>
        <v/>
      </c>
      <c r="AG117" s="37" t="str">
        <f t="shared" si="33"/>
        <v/>
      </c>
      <c r="AH117" s="40" t="str">
        <f t="shared" si="34"/>
        <v/>
      </c>
      <c r="AI117" s="37" t="str">
        <f t="shared" si="35"/>
        <v/>
      </c>
      <c r="AJ117" s="40" t="str">
        <f t="shared" si="36"/>
        <v/>
      </c>
      <c r="AK117" s="33" t="str">
        <f>IF(SEM!AK117="","",SEM!AK117)</f>
        <v/>
      </c>
      <c r="AL117" s="6"/>
      <c r="AM117" s="79" t="str">
        <f t="shared" si="37"/>
        <v/>
      </c>
      <c r="AN117" s="12"/>
      <c r="AO117" s="12"/>
      <c r="AP117" s="14"/>
      <c r="AQ117" s="16"/>
      <c r="AR117" s="15"/>
      <c r="AU117" s="198"/>
      <c r="AV117" s="198"/>
      <c r="AW117" s="198"/>
      <c r="AX117" s="198"/>
    </row>
    <row r="118" spans="2:50" ht="17.25" customHeight="1" x14ac:dyDescent="0.2">
      <c r="B118" s="6"/>
      <c r="C118" s="49" t="str">
        <f>IF(SEM!C118="","",SEM!C118)</f>
        <v/>
      </c>
      <c r="D118" s="220" t="str">
        <f>IF(C118="","",VLOOKUP(SEM!C118,FROTA!$B$5:$C$305,2,0))</f>
        <v/>
      </c>
      <c r="E118" s="24" t="str">
        <f>IF(C118="","",VLOOKUP(C118,FROTA!$B$5:$N$305,7,0))</f>
        <v/>
      </c>
      <c r="F118" s="38" t="str">
        <f t="shared" si="28"/>
        <v/>
      </c>
      <c r="G118" s="71" t="str">
        <f t="shared" si="38"/>
        <v/>
      </c>
      <c r="H118" s="32" t="str">
        <f t="shared" si="40"/>
        <v/>
      </c>
      <c r="I118" s="73" t="str">
        <f t="shared" si="40"/>
        <v/>
      </c>
      <c r="J118" s="73" t="str">
        <f t="shared" si="40"/>
        <v/>
      </c>
      <c r="K118" s="73" t="str">
        <f t="shared" si="41"/>
        <v/>
      </c>
      <c r="L118" s="73" t="str">
        <f t="shared" si="41"/>
        <v/>
      </c>
      <c r="M118" s="73" t="str">
        <f t="shared" si="41"/>
        <v/>
      </c>
      <c r="N118" s="73" t="str">
        <f t="shared" si="41"/>
        <v/>
      </c>
      <c r="O118" s="73" t="str">
        <f t="shared" si="41"/>
        <v/>
      </c>
      <c r="P118" s="73" t="str">
        <f t="shared" si="41"/>
        <v/>
      </c>
      <c r="Q118" s="73" t="str">
        <f t="shared" si="41"/>
        <v/>
      </c>
      <c r="R118" s="73" t="str">
        <f t="shared" si="42"/>
        <v/>
      </c>
      <c r="S118" s="73" t="str">
        <f t="shared" si="42"/>
        <v/>
      </c>
      <c r="T118" s="73" t="str">
        <f t="shared" si="42"/>
        <v/>
      </c>
      <c r="U118" s="73" t="str">
        <f t="shared" si="42"/>
        <v/>
      </c>
      <c r="V118" s="73" t="str">
        <f t="shared" si="42"/>
        <v/>
      </c>
      <c r="W118" s="73" t="str">
        <f t="shared" si="42"/>
        <v/>
      </c>
      <c r="X118" s="73" t="str">
        <f t="shared" si="42"/>
        <v/>
      </c>
      <c r="Y118" s="73" t="str">
        <f t="shared" si="42"/>
        <v/>
      </c>
      <c r="Z118" s="73" t="str">
        <f t="shared" si="42"/>
        <v/>
      </c>
      <c r="AA118" s="73" t="str">
        <f t="shared" si="42"/>
        <v/>
      </c>
      <c r="AB118" s="74" t="str">
        <f t="shared" si="42"/>
        <v/>
      </c>
      <c r="AC118" s="35" t="str">
        <f t="shared" si="29"/>
        <v/>
      </c>
      <c r="AD118" s="40" t="str">
        <f t="shared" si="30"/>
        <v/>
      </c>
      <c r="AE118" s="37" t="str">
        <f t="shared" si="31"/>
        <v/>
      </c>
      <c r="AF118" s="40" t="str">
        <f t="shared" si="32"/>
        <v/>
      </c>
      <c r="AG118" s="37" t="str">
        <f t="shared" si="33"/>
        <v/>
      </c>
      <c r="AH118" s="40" t="str">
        <f t="shared" si="34"/>
        <v/>
      </c>
      <c r="AI118" s="37" t="str">
        <f t="shared" si="35"/>
        <v/>
      </c>
      <c r="AJ118" s="40" t="str">
        <f t="shared" si="36"/>
        <v/>
      </c>
      <c r="AK118" s="33" t="str">
        <f>IF(SEM!AK118="","",SEM!AK118)</f>
        <v/>
      </c>
      <c r="AL118" s="6"/>
      <c r="AM118" s="79" t="str">
        <f t="shared" si="37"/>
        <v/>
      </c>
      <c r="AN118" s="12"/>
      <c r="AO118" s="12"/>
      <c r="AP118" s="14"/>
      <c r="AQ118" s="16"/>
      <c r="AR118" s="15"/>
      <c r="AU118" s="198"/>
      <c r="AV118" s="198"/>
      <c r="AW118" s="198"/>
      <c r="AX118" s="198"/>
    </row>
    <row r="119" spans="2:50" ht="17.25" customHeight="1" x14ac:dyDescent="0.2">
      <c r="B119" s="6"/>
      <c r="C119" s="49" t="str">
        <f>IF(SEM!C119="","",SEM!C119)</f>
        <v/>
      </c>
      <c r="D119" s="220" t="str">
        <f>IF(C119="","",VLOOKUP(SEM!C119,FROTA!$B$5:$C$305,2,0))</f>
        <v/>
      </c>
      <c r="E119" s="24" t="str">
        <f>IF(C119="","",VLOOKUP(C119,FROTA!$B$5:$N$305,7,0))</f>
        <v/>
      </c>
      <c r="F119" s="38" t="str">
        <f t="shared" si="28"/>
        <v/>
      </c>
      <c r="G119" s="71" t="str">
        <f t="shared" si="38"/>
        <v/>
      </c>
      <c r="H119" s="32" t="str">
        <f t="shared" si="40"/>
        <v/>
      </c>
      <c r="I119" s="73" t="str">
        <f t="shared" si="40"/>
        <v/>
      </c>
      <c r="J119" s="73" t="str">
        <f t="shared" si="40"/>
        <v/>
      </c>
      <c r="K119" s="73" t="str">
        <f t="shared" si="41"/>
        <v/>
      </c>
      <c r="L119" s="73" t="str">
        <f t="shared" si="41"/>
        <v/>
      </c>
      <c r="M119" s="73" t="str">
        <f t="shared" si="41"/>
        <v/>
      </c>
      <c r="N119" s="73" t="str">
        <f t="shared" si="41"/>
        <v/>
      </c>
      <c r="O119" s="73" t="str">
        <f t="shared" si="41"/>
        <v/>
      </c>
      <c r="P119" s="73" t="str">
        <f t="shared" si="41"/>
        <v/>
      </c>
      <c r="Q119" s="73" t="str">
        <f t="shared" si="41"/>
        <v/>
      </c>
      <c r="R119" s="73" t="str">
        <f t="shared" si="42"/>
        <v/>
      </c>
      <c r="S119" s="73" t="str">
        <f t="shared" si="42"/>
        <v/>
      </c>
      <c r="T119" s="73" t="str">
        <f t="shared" si="42"/>
        <v/>
      </c>
      <c r="U119" s="73" t="str">
        <f t="shared" si="42"/>
        <v/>
      </c>
      <c r="V119" s="73" t="str">
        <f t="shared" si="42"/>
        <v/>
      </c>
      <c r="W119" s="73" t="str">
        <f t="shared" si="42"/>
        <v/>
      </c>
      <c r="X119" s="73" t="str">
        <f t="shared" si="42"/>
        <v/>
      </c>
      <c r="Y119" s="73" t="str">
        <f t="shared" si="42"/>
        <v/>
      </c>
      <c r="Z119" s="73" t="str">
        <f t="shared" si="42"/>
        <v/>
      </c>
      <c r="AA119" s="73" t="str">
        <f t="shared" si="42"/>
        <v/>
      </c>
      <c r="AB119" s="74" t="str">
        <f t="shared" si="42"/>
        <v/>
      </c>
      <c r="AC119" s="35" t="str">
        <f t="shared" si="29"/>
        <v/>
      </c>
      <c r="AD119" s="40" t="str">
        <f t="shared" si="30"/>
        <v/>
      </c>
      <c r="AE119" s="37" t="str">
        <f t="shared" si="31"/>
        <v/>
      </c>
      <c r="AF119" s="40" t="str">
        <f t="shared" si="32"/>
        <v/>
      </c>
      <c r="AG119" s="37" t="str">
        <f t="shared" si="33"/>
        <v/>
      </c>
      <c r="AH119" s="40" t="str">
        <f t="shared" si="34"/>
        <v/>
      </c>
      <c r="AI119" s="37" t="str">
        <f t="shared" si="35"/>
        <v/>
      </c>
      <c r="AJ119" s="40" t="str">
        <f t="shared" si="36"/>
        <v/>
      </c>
      <c r="AK119" s="33" t="str">
        <f>IF(SEM!AK119="","",SEM!AK119)</f>
        <v/>
      </c>
      <c r="AL119" s="6"/>
      <c r="AM119" s="79" t="str">
        <f t="shared" si="37"/>
        <v/>
      </c>
      <c r="AN119" s="12"/>
      <c r="AO119" s="12"/>
      <c r="AP119" s="14"/>
      <c r="AQ119" s="16"/>
      <c r="AR119" s="15"/>
      <c r="AU119" s="198"/>
      <c r="AV119" s="198"/>
      <c r="AW119" s="198"/>
      <c r="AX119" s="198"/>
    </row>
    <row r="120" spans="2:50" ht="17.25" customHeight="1" x14ac:dyDescent="0.2">
      <c r="B120" s="6"/>
      <c r="C120" s="49" t="str">
        <f>IF(SEM!C120="","",SEM!C120)</f>
        <v/>
      </c>
      <c r="D120" s="220" t="str">
        <f>IF(C120="","",VLOOKUP(SEM!C120,FROTA!$B$5:$C$305,2,0))</f>
        <v/>
      </c>
      <c r="E120" s="24" t="str">
        <f>IF(C120="","",VLOOKUP(C120,FROTA!$B$5:$N$305,7,0))</f>
        <v/>
      </c>
      <c r="F120" s="38" t="str">
        <f t="shared" si="28"/>
        <v/>
      </c>
      <c r="G120" s="71" t="str">
        <f t="shared" si="38"/>
        <v/>
      </c>
      <c r="H120" s="32" t="str">
        <f t="shared" si="40"/>
        <v/>
      </c>
      <c r="I120" s="73" t="str">
        <f t="shared" si="40"/>
        <v/>
      </c>
      <c r="J120" s="73" t="str">
        <f t="shared" si="40"/>
        <v/>
      </c>
      <c r="K120" s="73" t="str">
        <f t="shared" si="41"/>
        <v/>
      </c>
      <c r="L120" s="73" t="str">
        <f t="shared" si="41"/>
        <v/>
      </c>
      <c r="M120" s="73" t="str">
        <f t="shared" si="41"/>
        <v/>
      </c>
      <c r="N120" s="73" t="str">
        <f t="shared" si="41"/>
        <v/>
      </c>
      <c r="O120" s="73" t="str">
        <f t="shared" si="41"/>
        <v/>
      </c>
      <c r="P120" s="73" t="str">
        <f t="shared" si="41"/>
        <v/>
      </c>
      <c r="Q120" s="73" t="str">
        <f t="shared" si="41"/>
        <v/>
      </c>
      <c r="R120" s="73" t="str">
        <f t="shared" si="42"/>
        <v/>
      </c>
      <c r="S120" s="73" t="str">
        <f t="shared" si="42"/>
        <v/>
      </c>
      <c r="T120" s="73" t="str">
        <f t="shared" si="42"/>
        <v/>
      </c>
      <c r="U120" s="73" t="str">
        <f t="shared" si="42"/>
        <v/>
      </c>
      <c r="V120" s="73" t="str">
        <f t="shared" si="42"/>
        <v/>
      </c>
      <c r="W120" s="73" t="str">
        <f t="shared" si="42"/>
        <v/>
      </c>
      <c r="X120" s="73" t="str">
        <f t="shared" si="42"/>
        <v/>
      </c>
      <c r="Y120" s="73" t="str">
        <f t="shared" si="42"/>
        <v/>
      </c>
      <c r="Z120" s="73" t="str">
        <f t="shared" si="42"/>
        <v/>
      </c>
      <c r="AA120" s="73" t="str">
        <f t="shared" si="42"/>
        <v/>
      </c>
      <c r="AB120" s="74" t="str">
        <f t="shared" si="42"/>
        <v/>
      </c>
      <c r="AC120" s="35" t="str">
        <f t="shared" si="29"/>
        <v/>
      </c>
      <c r="AD120" s="40" t="str">
        <f t="shared" si="30"/>
        <v/>
      </c>
      <c r="AE120" s="37" t="str">
        <f t="shared" si="31"/>
        <v/>
      </c>
      <c r="AF120" s="40" t="str">
        <f t="shared" si="32"/>
        <v/>
      </c>
      <c r="AG120" s="37" t="str">
        <f t="shared" si="33"/>
        <v/>
      </c>
      <c r="AH120" s="40" t="str">
        <f t="shared" si="34"/>
        <v/>
      </c>
      <c r="AI120" s="37" t="str">
        <f t="shared" si="35"/>
        <v/>
      </c>
      <c r="AJ120" s="40" t="str">
        <f t="shared" si="36"/>
        <v/>
      </c>
      <c r="AK120" s="33" t="str">
        <f>IF(SEM!AK120="","",SEM!AK120)</f>
        <v/>
      </c>
      <c r="AL120" s="6"/>
      <c r="AM120" s="79" t="str">
        <f t="shared" si="37"/>
        <v/>
      </c>
      <c r="AN120" s="12"/>
      <c r="AO120" s="12"/>
      <c r="AP120" s="14"/>
      <c r="AQ120" s="16"/>
      <c r="AR120" s="15"/>
      <c r="AU120" s="198"/>
      <c r="AV120" s="198"/>
      <c r="AW120" s="198"/>
      <c r="AX120" s="198"/>
    </row>
    <row r="121" spans="2:50" ht="17.25" customHeight="1" x14ac:dyDescent="0.2">
      <c r="B121" s="6"/>
      <c r="C121" s="49" t="str">
        <f>IF(SEM!C121="","",SEM!C121)</f>
        <v/>
      </c>
      <c r="D121" s="220" t="str">
        <f>IF(C121="","",VLOOKUP(SEM!C121,FROTA!$B$5:$C$305,2,0))</f>
        <v/>
      </c>
      <c r="E121" s="24" t="str">
        <f>IF(C121="","",VLOOKUP(C121,FROTA!$B$5:$N$305,7,0))</f>
        <v/>
      </c>
      <c r="F121" s="38" t="str">
        <f t="shared" si="28"/>
        <v/>
      </c>
      <c r="G121" s="71" t="str">
        <f t="shared" si="38"/>
        <v/>
      </c>
      <c r="H121" s="32" t="str">
        <f t="shared" si="40"/>
        <v/>
      </c>
      <c r="I121" s="73" t="str">
        <f t="shared" si="40"/>
        <v/>
      </c>
      <c r="J121" s="73" t="str">
        <f t="shared" si="40"/>
        <v/>
      </c>
      <c r="K121" s="73" t="str">
        <f t="shared" si="41"/>
        <v/>
      </c>
      <c r="L121" s="73" t="str">
        <f t="shared" si="41"/>
        <v/>
      </c>
      <c r="M121" s="73" t="str">
        <f t="shared" si="41"/>
        <v/>
      </c>
      <c r="N121" s="73" t="str">
        <f t="shared" si="41"/>
        <v/>
      </c>
      <c r="O121" s="73" t="str">
        <f t="shared" si="41"/>
        <v/>
      </c>
      <c r="P121" s="73" t="str">
        <f t="shared" si="41"/>
        <v/>
      </c>
      <c r="Q121" s="73" t="str">
        <f t="shared" si="41"/>
        <v/>
      </c>
      <c r="R121" s="73" t="str">
        <f t="shared" si="42"/>
        <v/>
      </c>
      <c r="S121" s="73" t="str">
        <f t="shared" si="42"/>
        <v/>
      </c>
      <c r="T121" s="73" t="str">
        <f t="shared" si="42"/>
        <v/>
      </c>
      <c r="U121" s="73" t="str">
        <f t="shared" si="42"/>
        <v/>
      </c>
      <c r="V121" s="73" t="str">
        <f t="shared" si="42"/>
        <v/>
      </c>
      <c r="W121" s="73" t="str">
        <f t="shared" si="42"/>
        <v/>
      </c>
      <c r="X121" s="73" t="str">
        <f t="shared" si="42"/>
        <v/>
      </c>
      <c r="Y121" s="73" t="str">
        <f t="shared" si="42"/>
        <v/>
      </c>
      <c r="Z121" s="73" t="str">
        <f t="shared" si="42"/>
        <v/>
      </c>
      <c r="AA121" s="73" t="str">
        <f t="shared" si="42"/>
        <v/>
      </c>
      <c r="AB121" s="74" t="str">
        <f t="shared" si="42"/>
        <v/>
      </c>
      <c r="AC121" s="35" t="str">
        <f t="shared" si="29"/>
        <v/>
      </c>
      <c r="AD121" s="40" t="str">
        <f t="shared" si="30"/>
        <v/>
      </c>
      <c r="AE121" s="37" t="str">
        <f t="shared" si="31"/>
        <v/>
      </c>
      <c r="AF121" s="40" t="str">
        <f t="shared" si="32"/>
        <v/>
      </c>
      <c r="AG121" s="37" t="str">
        <f t="shared" si="33"/>
        <v/>
      </c>
      <c r="AH121" s="40" t="str">
        <f t="shared" si="34"/>
        <v/>
      </c>
      <c r="AI121" s="37" t="str">
        <f t="shared" si="35"/>
        <v/>
      </c>
      <c r="AJ121" s="40" t="str">
        <f t="shared" si="36"/>
        <v/>
      </c>
      <c r="AK121" s="33" t="str">
        <f>IF(SEM!AK121="","",SEM!AK121)</f>
        <v/>
      </c>
      <c r="AL121" s="6"/>
      <c r="AM121" s="79" t="str">
        <f t="shared" si="37"/>
        <v/>
      </c>
      <c r="AN121" s="12"/>
      <c r="AO121" s="12"/>
      <c r="AP121" s="14"/>
      <c r="AQ121" s="16"/>
      <c r="AR121" s="15"/>
      <c r="AU121" s="198"/>
      <c r="AV121" s="198"/>
      <c r="AW121" s="198"/>
      <c r="AX121" s="198"/>
    </row>
    <row r="122" spans="2:50" ht="17.25" customHeight="1" x14ac:dyDescent="0.2">
      <c r="B122" s="6"/>
      <c r="C122" s="49" t="str">
        <f>IF(SEM!C122="","",SEM!C122)</f>
        <v/>
      </c>
      <c r="D122" s="220" t="str">
        <f>IF(C122="","",VLOOKUP(SEM!C122,FROTA!$B$5:$C$305,2,0))</f>
        <v/>
      </c>
      <c r="E122" s="24" t="str">
        <f>IF(C122="","",VLOOKUP(C122,FROTA!$B$5:$N$305,7,0))</f>
        <v/>
      </c>
      <c r="F122" s="38" t="str">
        <f t="shared" si="28"/>
        <v/>
      </c>
      <c r="G122" s="71" t="str">
        <f t="shared" si="38"/>
        <v/>
      </c>
      <c r="H122" s="32" t="str">
        <f t="shared" si="40"/>
        <v/>
      </c>
      <c r="I122" s="73" t="str">
        <f t="shared" si="40"/>
        <v/>
      </c>
      <c r="J122" s="73" t="str">
        <f t="shared" si="40"/>
        <v/>
      </c>
      <c r="K122" s="73" t="str">
        <f t="shared" si="41"/>
        <v/>
      </c>
      <c r="L122" s="73" t="str">
        <f t="shared" si="41"/>
        <v/>
      </c>
      <c r="M122" s="73" t="str">
        <f t="shared" si="41"/>
        <v/>
      </c>
      <c r="N122" s="73" t="str">
        <f t="shared" si="41"/>
        <v/>
      </c>
      <c r="O122" s="73" t="str">
        <f t="shared" si="41"/>
        <v/>
      </c>
      <c r="P122" s="73" t="str">
        <f t="shared" si="41"/>
        <v/>
      </c>
      <c r="Q122" s="73" t="str">
        <f t="shared" si="41"/>
        <v/>
      </c>
      <c r="R122" s="73" t="str">
        <f t="shared" si="42"/>
        <v/>
      </c>
      <c r="S122" s="73" t="str">
        <f t="shared" si="42"/>
        <v/>
      </c>
      <c r="T122" s="73" t="str">
        <f t="shared" si="42"/>
        <v/>
      </c>
      <c r="U122" s="73" t="str">
        <f t="shared" si="42"/>
        <v/>
      </c>
      <c r="V122" s="73" t="str">
        <f t="shared" si="42"/>
        <v/>
      </c>
      <c r="W122" s="73" t="str">
        <f t="shared" si="42"/>
        <v/>
      </c>
      <c r="X122" s="73" t="str">
        <f t="shared" si="42"/>
        <v/>
      </c>
      <c r="Y122" s="73" t="str">
        <f t="shared" si="42"/>
        <v/>
      </c>
      <c r="Z122" s="73" t="str">
        <f t="shared" si="42"/>
        <v/>
      </c>
      <c r="AA122" s="73" t="str">
        <f t="shared" si="42"/>
        <v/>
      </c>
      <c r="AB122" s="74" t="str">
        <f t="shared" si="42"/>
        <v/>
      </c>
      <c r="AC122" s="35" t="str">
        <f t="shared" si="29"/>
        <v/>
      </c>
      <c r="AD122" s="40" t="str">
        <f t="shared" si="30"/>
        <v/>
      </c>
      <c r="AE122" s="37" t="str">
        <f t="shared" si="31"/>
        <v/>
      </c>
      <c r="AF122" s="40" t="str">
        <f t="shared" si="32"/>
        <v/>
      </c>
      <c r="AG122" s="37" t="str">
        <f t="shared" si="33"/>
        <v/>
      </c>
      <c r="AH122" s="40" t="str">
        <f t="shared" si="34"/>
        <v/>
      </c>
      <c r="AI122" s="37" t="str">
        <f t="shared" si="35"/>
        <v/>
      </c>
      <c r="AJ122" s="40" t="str">
        <f t="shared" si="36"/>
        <v/>
      </c>
      <c r="AK122" s="33" t="str">
        <f>IF(SEM!AK122="","",SEM!AK122)</f>
        <v/>
      </c>
      <c r="AL122" s="6"/>
      <c r="AM122" s="79" t="str">
        <f t="shared" si="37"/>
        <v/>
      </c>
      <c r="AN122" s="12"/>
      <c r="AO122" s="12"/>
      <c r="AP122" s="14"/>
      <c r="AQ122" s="16"/>
      <c r="AR122" s="15"/>
      <c r="AU122" s="198"/>
      <c r="AV122" s="198"/>
      <c r="AW122" s="198"/>
      <c r="AX122" s="198"/>
    </row>
    <row r="123" spans="2:50" ht="17.25" customHeight="1" x14ac:dyDescent="0.2">
      <c r="B123" s="6"/>
      <c r="C123" s="49" t="str">
        <f>IF(SEM!C123="","",SEM!C123)</f>
        <v/>
      </c>
      <c r="D123" s="220" t="str">
        <f>IF(C123="","",VLOOKUP(SEM!C123,FROTA!$B$5:$C$305,2,0))</f>
        <v/>
      </c>
      <c r="E123" s="24" t="str">
        <f>IF(C123="","",VLOOKUP(C123,FROTA!$B$5:$N$305,7,0))</f>
        <v/>
      </c>
      <c r="F123" s="38" t="str">
        <f t="shared" si="28"/>
        <v/>
      </c>
      <c r="G123" s="71" t="str">
        <f t="shared" si="38"/>
        <v/>
      </c>
      <c r="H123" s="32" t="str">
        <f t="shared" si="40"/>
        <v/>
      </c>
      <c r="I123" s="73" t="str">
        <f t="shared" si="40"/>
        <v/>
      </c>
      <c r="J123" s="73" t="str">
        <f t="shared" si="40"/>
        <v/>
      </c>
      <c r="K123" s="73" t="str">
        <f t="shared" si="41"/>
        <v/>
      </c>
      <c r="L123" s="73" t="str">
        <f t="shared" si="41"/>
        <v/>
      </c>
      <c r="M123" s="73" t="str">
        <f t="shared" si="41"/>
        <v/>
      </c>
      <c r="N123" s="73" t="str">
        <f t="shared" si="41"/>
        <v/>
      </c>
      <c r="O123" s="73" t="str">
        <f t="shared" si="41"/>
        <v/>
      </c>
      <c r="P123" s="73" t="str">
        <f t="shared" si="41"/>
        <v/>
      </c>
      <c r="Q123" s="73" t="str">
        <f t="shared" si="41"/>
        <v/>
      </c>
      <c r="R123" s="73" t="str">
        <f t="shared" si="42"/>
        <v/>
      </c>
      <c r="S123" s="73" t="str">
        <f t="shared" si="42"/>
        <v/>
      </c>
      <c r="T123" s="73" t="str">
        <f t="shared" si="42"/>
        <v/>
      </c>
      <c r="U123" s="73" t="str">
        <f t="shared" si="42"/>
        <v/>
      </c>
      <c r="V123" s="73" t="str">
        <f t="shared" si="42"/>
        <v/>
      </c>
      <c r="W123" s="73" t="str">
        <f t="shared" si="42"/>
        <v/>
      </c>
      <c r="X123" s="73" t="str">
        <f t="shared" si="42"/>
        <v/>
      </c>
      <c r="Y123" s="73" t="str">
        <f t="shared" si="42"/>
        <v/>
      </c>
      <c r="Z123" s="73" t="str">
        <f t="shared" si="42"/>
        <v/>
      </c>
      <c r="AA123" s="73" t="str">
        <f t="shared" si="42"/>
        <v/>
      </c>
      <c r="AB123" s="74" t="str">
        <f t="shared" si="42"/>
        <v/>
      </c>
      <c r="AC123" s="35" t="str">
        <f t="shared" si="29"/>
        <v/>
      </c>
      <c r="AD123" s="40" t="str">
        <f t="shared" si="30"/>
        <v/>
      </c>
      <c r="AE123" s="37" t="str">
        <f t="shared" si="31"/>
        <v/>
      </c>
      <c r="AF123" s="40" t="str">
        <f t="shared" si="32"/>
        <v/>
      </c>
      <c r="AG123" s="37" t="str">
        <f t="shared" si="33"/>
        <v/>
      </c>
      <c r="AH123" s="40" t="str">
        <f t="shared" si="34"/>
        <v/>
      </c>
      <c r="AI123" s="37" t="str">
        <f t="shared" si="35"/>
        <v/>
      </c>
      <c r="AJ123" s="40" t="str">
        <f t="shared" si="36"/>
        <v/>
      </c>
      <c r="AK123" s="33" t="str">
        <f>IF(SEM!AK123="","",SEM!AK123)</f>
        <v/>
      </c>
      <c r="AL123" s="6"/>
      <c r="AM123" s="79" t="str">
        <f t="shared" si="37"/>
        <v/>
      </c>
      <c r="AN123" s="12"/>
      <c r="AO123" s="12"/>
      <c r="AP123" s="14"/>
      <c r="AQ123" s="16"/>
      <c r="AR123" s="15"/>
      <c r="AU123" s="198"/>
      <c r="AV123" s="198"/>
      <c r="AW123" s="198"/>
      <c r="AX123" s="198"/>
    </row>
    <row r="124" spans="2:50" ht="17.25" customHeight="1" x14ac:dyDescent="0.2">
      <c r="B124" s="6"/>
      <c r="C124" s="49" t="str">
        <f>IF(SEM!C124="","",SEM!C124)</f>
        <v/>
      </c>
      <c r="D124" s="220" t="str">
        <f>IF(C124="","",VLOOKUP(SEM!C124,FROTA!$B$5:$C$305,2,0))</f>
        <v/>
      </c>
      <c r="E124" s="24" t="str">
        <f>IF(C124="","",VLOOKUP(C124,FROTA!$B$5:$N$305,7,0))</f>
        <v/>
      </c>
      <c r="F124" s="38" t="str">
        <f t="shared" si="28"/>
        <v/>
      </c>
      <c r="G124" s="71" t="str">
        <f t="shared" si="38"/>
        <v/>
      </c>
      <c r="H124" s="32" t="str">
        <f t="shared" si="40"/>
        <v/>
      </c>
      <c r="I124" s="73" t="str">
        <f t="shared" si="40"/>
        <v/>
      </c>
      <c r="J124" s="73" t="str">
        <f t="shared" si="40"/>
        <v/>
      </c>
      <c r="K124" s="73" t="str">
        <f t="shared" si="41"/>
        <v/>
      </c>
      <c r="L124" s="73" t="str">
        <f t="shared" si="41"/>
        <v/>
      </c>
      <c r="M124" s="73" t="str">
        <f t="shared" si="41"/>
        <v/>
      </c>
      <c r="N124" s="73" t="str">
        <f t="shared" si="41"/>
        <v/>
      </c>
      <c r="O124" s="73" t="str">
        <f t="shared" si="41"/>
        <v/>
      </c>
      <c r="P124" s="73" t="str">
        <f t="shared" si="41"/>
        <v/>
      </c>
      <c r="Q124" s="73" t="str">
        <f t="shared" si="41"/>
        <v/>
      </c>
      <c r="R124" s="73" t="str">
        <f t="shared" si="42"/>
        <v/>
      </c>
      <c r="S124" s="73" t="str">
        <f t="shared" si="42"/>
        <v/>
      </c>
      <c r="T124" s="73" t="str">
        <f t="shared" si="42"/>
        <v/>
      </c>
      <c r="U124" s="73" t="str">
        <f t="shared" si="42"/>
        <v/>
      </c>
      <c r="V124" s="73" t="str">
        <f t="shared" si="42"/>
        <v/>
      </c>
      <c r="W124" s="73" t="str">
        <f t="shared" si="42"/>
        <v/>
      </c>
      <c r="X124" s="73" t="str">
        <f t="shared" si="42"/>
        <v/>
      </c>
      <c r="Y124" s="73" t="str">
        <f t="shared" si="42"/>
        <v/>
      </c>
      <c r="Z124" s="73" t="str">
        <f t="shared" si="42"/>
        <v/>
      </c>
      <c r="AA124" s="73" t="str">
        <f t="shared" si="42"/>
        <v/>
      </c>
      <c r="AB124" s="74" t="str">
        <f t="shared" si="42"/>
        <v/>
      </c>
      <c r="AC124" s="35" t="str">
        <f t="shared" si="29"/>
        <v/>
      </c>
      <c r="AD124" s="40" t="str">
        <f t="shared" si="30"/>
        <v/>
      </c>
      <c r="AE124" s="37" t="str">
        <f t="shared" si="31"/>
        <v/>
      </c>
      <c r="AF124" s="40" t="str">
        <f t="shared" si="32"/>
        <v/>
      </c>
      <c r="AG124" s="37" t="str">
        <f t="shared" si="33"/>
        <v/>
      </c>
      <c r="AH124" s="40" t="str">
        <f t="shared" si="34"/>
        <v/>
      </c>
      <c r="AI124" s="37" t="str">
        <f t="shared" si="35"/>
        <v/>
      </c>
      <c r="AJ124" s="40" t="str">
        <f t="shared" si="36"/>
        <v/>
      </c>
      <c r="AK124" s="33" t="str">
        <f>IF(SEM!AK124="","",SEM!AK124)</f>
        <v/>
      </c>
      <c r="AL124" s="6"/>
      <c r="AM124" s="79" t="str">
        <f t="shared" si="37"/>
        <v/>
      </c>
      <c r="AN124" s="12"/>
      <c r="AO124" s="12"/>
      <c r="AP124" s="14"/>
      <c r="AQ124" s="16"/>
      <c r="AR124" s="15"/>
      <c r="AU124" s="198"/>
      <c r="AV124" s="198"/>
      <c r="AW124" s="198"/>
      <c r="AX124" s="198"/>
    </row>
    <row r="125" spans="2:50" ht="17.25" customHeight="1" x14ac:dyDescent="0.2">
      <c r="B125" s="6"/>
      <c r="C125" s="49" t="str">
        <f>IF(SEM!C125="","",SEM!C125)</f>
        <v/>
      </c>
      <c r="D125" s="220" t="str">
        <f>IF(C125="","",VLOOKUP(SEM!C125,FROTA!$B$5:$C$305,2,0))</f>
        <v/>
      </c>
      <c r="E125" s="24" t="str">
        <f>IF(C125="","",VLOOKUP(C125,FROTA!$B$5:$N$305,7,0))</f>
        <v/>
      </c>
      <c r="F125" s="38" t="str">
        <f t="shared" si="28"/>
        <v/>
      </c>
      <c r="G125" s="71" t="str">
        <f t="shared" si="38"/>
        <v/>
      </c>
      <c r="H125" s="32" t="str">
        <f t="shared" si="40"/>
        <v/>
      </c>
      <c r="I125" s="73" t="str">
        <f t="shared" si="40"/>
        <v/>
      </c>
      <c r="J125" s="73" t="str">
        <f t="shared" si="40"/>
        <v/>
      </c>
      <c r="K125" s="73" t="str">
        <f t="shared" si="41"/>
        <v/>
      </c>
      <c r="L125" s="73" t="str">
        <f t="shared" si="41"/>
        <v/>
      </c>
      <c r="M125" s="73" t="str">
        <f t="shared" si="41"/>
        <v/>
      </c>
      <c r="N125" s="73" t="str">
        <f t="shared" si="41"/>
        <v/>
      </c>
      <c r="O125" s="73" t="str">
        <f t="shared" si="41"/>
        <v/>
      </c>
      <c r="P125" s="73" t="str">
        <f t="shared" si="41"/>
        <v/>
      </c>
      <c r="Q125" s="73" t="str">
        <f t="shared" si="41"/>
        <v/>
      </c>
      <c r="R125" s="73" t="str">
        <f t="shared" si="42"/>
        <v/>
      </c>
      <c r="S125" s="73" t="str">
        <f t="shared" si="42"/>
        <v/>
      </c>
      <c r="T125" s="73" t="str">
        <f t="shared" si="42"/>
        <v/>
      </c>
      <c r="U125" s="73" t="str">
        <f t="shared" si="42"/>
        <v/>
      </c>
      <c r="V125" s="73" t="str">
        <f t="shared" si="42"/>
        <v/>
      </c>
      <c r="W125" s="73" t="str">
        <f t="shared" si="42"/>
        <v/>
      </c>
      <c r="X125" s="73" t="str">
        <f t="shared" si="42"/>
        <v/>
      </c>
      <c r="Y125" s="73" t="str">
        <f t="shared" si="42"/>
        <v/>
      </c>
      <c r="Z125" s="73" t="str">
        <f t="shared" si="42"/>
        <v/>
      </c>
      <c r="AA125" s="73" t="str">
        <f t="shared" si="42"/>
        <v/>
      </c>
      <c r="AB125" s="74" t="str">
        <f t="shared" si="42"/>
        <v/>
      </c>
      <c r="AC125" s="35" t="str">
        <f t="shared" si="29"/>
        <v/>
      </c>
      <c r="AD125" s="40" t="str">
        <f t="shared" si="30"/>
        <v/>
      </c>
      <c r="AE125" s="37" t="str">
        <f t="shared" si="31"/>
        <v/>
      </c>
      <c r="AF125" s="40" t="str">
        <f t="shared" si="32"/>
        <v/>
      </c>
      <c r="AG125" s="37" t="str">
        <f t="shared" si="33"/>
        <v/>
      </c>
      <c r="AH125" s="40" t="str">
        <f t="shared" si="34"/>
        <v/>
      </c>
      <c r="AI125" s="37" t="str">
        <f t="shared" si="35"/>
        <v/>
      </c>
      <c r="AJ125" s="40" t="str">
        <f t="shared" si="36"/>
        <v/>
      </c>
      <c r="AK125" s="33" t="str">
        <f>IF(SEM!AK125="","",SEM!AK125)</f>
        <v/>
      </c>
      <c r="AL125" s="6"/>
      <c r="AM125" s="79" t="str">
        <f t="shared" si="37"/>
        <v/>
      </c>
      <c r="AN125" s="12"/>
      <c r="AO125" s="12"/>
      <c r="AP125" s="14"/>
      <c r="AQ125" s="16"/>
      <c r="AR125" s="15"/>
      <c r="AU125" s="198"/>
      <c r="AV125" s="198"/>
      <c r="AW125" s="198"/>
      <c r="AX125" s="198"/>
    </row>
    <row r="126" spans="2:50" ht="17.25" customHeight="1" x14ac:dyDescent="0.2">
      <c r="B126" s="6"/>
      <c r="C126" s="49" t="str">
        <f>IF(SEM!C126="","",SEM!C126)</f>
        <v/>
      </c>
      <c r="D126" s="220" t="str">
        <f>IF(C126="","",VLOOKUP(SEM!C126,FROTA!$B$5:$C$305,2,0))</f>
        <v/>
      </c>
      <c r="E126" s="24" t="str">
        <f>IF(C126="","",VLOOKUP(C126,FROTA!$B$5:$N$305,7,0))</f>
        <v/>
      </c>
      <c r="F126" s="38" t="str">
        <f t="shared" si="28"/>
        <v/>
      </c>
      <c r="G126" s="71" t="str">
        <f t="shared" si="38"/>
        <v/>
      </c>
      <c r="H126" s="32" t="str">
        <f t="shared" si="40"/>
        <v/>
      </c>
      <c r="I126" s="73" t="str">
        <f t="shared" si="40"/>
        <v/>
      </c>
      <c r="J126" s="73" t="str">
        <f t="shared" si="40"/>
        <v/>
      </c>
      <c r="K126" s="73" t="str">
        <f t="shared" si="41"/>
        <v/>
      </c>
      <c r="L126" s="73" t="str">
        <f t="shared" si="41"/>
        <v/>
      </c>
      <c r="M126" s="73" t="str">
        <f t="shared" si="41"/>
        <v/>
      </c>
      <c r="N126" s="73" t="str">
        <f t="shared" si="41"/>
        <v/>
      </c>
      <c r="O126" s="73" t="str">
        <f t="shared" si="41"/>
        <v/>
      </c>
      <c r="P126" s="73" t="str">
        <f t="shared" si="41"/>
        <v/>
      </c>
      <c r="Q126" s="73" t="str">
        <f t="shared" si="41"/>
        <v/>
      </c>
      <c r="R126" s="73" t="str">
        <f t="shared" si="42"/>
        <v/>
      </c>
      <c r="S126" s="73" t="str">
        <f t="shared" si="42"/>
        <v/>
      </c>
      <c r="T126" s="73" t="str">
        <f t="shared" si="42"/>
        <v/>
      </c>
      <c r="U126" s="73" t="str">
        <f t="shared" si="42"/>
        <v/>
      </c>
      <c r="V126" s="73" t="str">
        <f t="shared" si="42"/>
        <v/>
      </c>
      <c r="W126" s="73" t="str">
        <f t="shared" si="42"/>
        <v/>
      </c>
      <c r="X126" s="73" t="str">
        <f t="shared" si="42"/>
        <v/>
      </c>
      <c r="Y126" s="73" t="str">
        <f t="shared" si="42"/>
        <v/>
      </c>
      <c r="Z126" s="73" t="str">
        <f t="shared" si="42"/>
        <v/>
      </c>
      <c r="AA126" s="73" t="str">
        <f t="shared" si="42"/>
        <v/>
      </c>
      <c r="AB126" s="74" t="str">
        <f t="shared" si="42"/>
        <v/>
      </c>
      <c r="AC126" s="35" t="str">
        <f t="shared" si="29"/>
        <v/>
      </c>
      <c r="AD126" s="40" t="str">
        <f t="shared" si="30"/>
        <v/>
      </c>
      <c r="AE126" s="37" t="str">
        <f t="shared" si="31"/>
        <v/>
      </c>
      <c r="AF126" s="40" t="str">
        <f t="shared" si="32"/>
        <v/>
      </c>
      <c r="AG126" s="37" t="str">
        <f t="shared" si="33"/>
        <v/>
      </c>
      <c r="AH126" s="40" t="str">
        <f t="shared" si="34"/>
        <v/>
      </c>
      <c r="AI126" s="37" t="str">
        <f t="shared" si="35"/>
        <v/>
      </c>
      <c r="AJ126" s="40" t="str">
        <f t="shared" si="36"/>
        <v/>
      </c>
      <c r="AK126" s="33" t="str">
        <f>IF(SEM!AK126="","",SEM!AK126)</f>
        <v/>
      </c>
      <c r="AL126" s="6"/>
      <c r="AM126" s="79" t="str">
        <f t="shared" si="37"/>
        <v/>
      </c>
      <c r="AN126" s="12"/>
      <c r="AO126" s="12"/>
      <c r="AP126" s="14"/>
      <c r="AQ126" s="16"/>
      <c r="AR126" s="15"/>
      <c r="AU126" s="198"/>
      <c r="AV126" s="198"/>
      <c r="AW126" s="198"/>
      <c r="AX126" s="198"/>
    </row>
    <row r="127" spans="2:50" ht="17.25" customHeight="1" x14ac:dyDescent="0.2">
      <c r="B127" s="6"/>
      <c r="C127" s="49" t="str">
        <f>IF(SEM!C127="","",SEM!C127)</f>
        <v/>
      </c>
      <c r="D127" s="220" t="str">
        <f>IF(C127="","",VLOOKUP(SEM!C127,FROTA!$B$5:$C$305,2,0))</f>
        <v/>
      </c>
      <c r="E127" s="24" t="str">
        <f>IF(C127="","",VLOOKUP(C127,FROTA!$B$5:$N$305,7,0))</f>
        <v/>
      </c>
      <c r="F127" s="38" t="str">
        <f t="shared" si="28"/>
        <v/>
      </c>
      <c r="G127" s="71" t="str">
        <f t="shared" si="38"/>
        <v/>
      </c>
      <c r="H127" s="32" t="str">
        <f t="shared" si="40"/>
        <v/>
      </c>
      <c r="I127" s="73" t="str">
        <f t="shared" si="40"/>
        <v/>
      </c>
      <c r="J127" s="73" t="str">
        <f t="shared" si="40"/>
        <v/>
      </c>
      <c r="K127" s="73" t="str">
        <f t="shared" si="41"/>
        <v/>
      </c>
      <c r="L127" s="73" t="str">
        <f t="shared" si="41"/>
        <v/>
      </c>
      <c r="M127" s="73" t="str">
        <f t="shared" si="41"/>
        <v/>
      </c>
      <c r="N127" s="73" t="str">
        <f t="shared" si="41"/>
        <v/>
      </c>
      <c r="O127" s="73" t="str">
        <f t="shared" si="41"/>
        <v/>
      </c>
      <c r="P127" s="73" t="str">
        <f t="shared" si="41"/>
        <v/>
      </c>
      <c r="Q127" s="73" t="str">
        <f t="shared" si="41"/>
        <v/>
      </c>
      <c r="R127" s="73" t="str">
        <f t="shared" si="42"/>
        <v/>
      </c>
      <c r="S127" s="73" t="str">
        <f t="shared" si="42"/>
        <v/>
      </c>
      <c r="T127" s="73" t="str">
        <f t="shared" si="42"/>
        <v/>
      </c>
      <c r="U127" s="73" t="str">
        <f t="shared" si="42"/>
        <v/>
      </c>
      <c r="V127" s="73" t="str">
        <f t="shared" si="42"/>
        <v/>
      </c>
      <c r="W127" s="73" t="str">
        <f t="shared" si="42"/>
        <v/>
      </c>
      <c r="X127" s="73" t="str">
        <f t="shared" si="42"/>
        <v/>
      </c>
      <c r="Y127" s="73" t="str">
        <f t="shared" si="42"/>
        <v/>
      </c>
      <c r="Z127" s="73" t="str">
        <f t="shared" si="42"/>
        <v/>
      </c>
      <c r="AA127" s="73" t="str">
        <f t="shared" si="42"/>
        <v/>
      </c>
      <c r="AB127" s="74" t="str">
        <f t="shared" si="42"/>
        <v/>
      </c>
      <c r="AC127" s="35" t="str">
        <f t="shared" si="29"/>
        <v/>
      </c>
      <c r="AD127" s="40" t="str">
        <f t="shared" si="30"/>
        <v/>
      </c>
      <c r="AE127" s="37" t="str">
        <f t="shared" si="31"/>
        <v/>
      </c>
      <c r="AF127" s="40" t="str">
        <f t="shared" si="32"/>
        <v/>
      </c>
      <c r="AG127" s="37" t="str">
        <f t="shared" si="33"/>
        <v/>
      </c>
      <c r="AH127" s="40" t="str">
        <f t="shared" si="34"/>
        <v/>
      </c>
      <c r="AI127" s="37" t="str">
        <f t="shared" si="35"/>
        <v/>
      </c>
      <c r="AJ127" s="40" t="str">
        <f t="shared" si="36"/>
        <v/>
      </c>
      <c r="AK127" s="33" t="str">
        <f>IF(SEM!AK127="","",SEM!AK127)</f>
        <v/>
      </c>
      <c r="AL127" s="6"/>
      <c r="AM127" s="79" t="str">
        <f t="shared" si="37"/>
        <v/>
      </c>
      <c r="AN127" s="12"/>
      <c r="AO127" s="12"/>
      <c r="AP127" s="14"/>
      <c r="AQ127" s="16"/>
      <c r="AR127" s="15"/>
      <c r="AU127" s="198"/>
      <c r="AV127" s="198"/>
      <c r="AW127" s="198"/>
      <c r="AX127" s="198"/>
    </row>
    <row r="128" spans="2:50" ht="17.25" customHeight="1" x14ac:dyDescent="0.2">
      <c r="B128" s="6"/>
      <c r="C128" s="49" t="str">
        <f>IF(SEM!C128="","",SEM!C128)</f>
        <v/>
      </c>
      <c r="D128" s="220" t="str">
        <f>IF(C128="","",VLOOKUP(SEM!C128,FROTA!$B$5:$C$305,2,0))</f>
        <v/>
      </c>
      <c r="E128" s="24" t="str">
        <f>IF(C128="","",VLOOKUP(C128,FROTA!$B$5:$N$305,7,0))</f>
        <v/>
      </c>
      <c r="F128" s="38" t="str">
        <f t="shared" si="28"/>
        <v/>
      </c>
      <c r="G128" s="71" t="str">
        <f t="shared" si="38"/>
        <v/>
      </c>
      <c r="H128" s="32" t="str">
        <f t="shared" si="40"/>
        <v/>
      </c>
      <c r="I128" s="73" t="str">
        <f t="shared" si="40"/>
        <v/>
      </c>
      <c r="J128" s="73" t="str">
        <f t="shared" si="40"/>
        <v/>
      </c>
      <c r="K128" s="73" t="str">
        <f t="shared" si="41"/>
        <v/>
      </c>
      <c r="L128" s="73" t="str">
        <f t="shared" si="41"/>
        <v/>
      </c>
      <c r="M128" s="73" t="str">
        <f t="shared" si="41"/>
        <v/>
      </c>
      <c r="N128" s="73" t="str">
        <f t="shared" si="41"/>
        <v/>
      </c>
      <c r="O128" s="73" t="str">
        <f t="shared" si="41"/>
        <v/>
      </c>
      <c r="P128" s="73" t="str">
        <f t="shared" si="41"/>
        <v/>
      </c>
      <c r="Q128" s="73" t="str">
        <f t="shared" si="41"/>
        <v/>
      </c>
      <c r="R128" s="73" t="str">
        <f t="shared" si="42"/>
        <v/>
      </c>
      <c r="S128" s="73" t="str">
        <f t="shared" si="42"/>
        <v/>
      </c>
      <c r="T128" s="73" t="str">
        <f t="shared" si="42"/>
        <v/>
      </c>
      <c r="U128" s="73" t="str">
        <f t="shared" si="42"/>
        <v/>
      </c>
      <c r="V128" s="73" t="str">
        <f t="shared" si="42"/>
        <v/>
      </c>
      <c r="W128" s="73" t="str">
        <f t="shared" si="42"/>
        <v/>
      </c>
      <c r="X128" s="73" t="str">
        <f t="shared" si="42"/>
        <v/>
      </c>
      <c r="Y128" s="73" t="str">
        <f t="shared" si="42"/>
        <v/>
      </c>
      <c r="Z128" s="73" t="str">
        <f t="shared" si="42"/>
        <v/>
      </c>
      <c r="AA128" s="73" t="str">
        <f t="shared" si="42"/>
        <v/>
      </c>
      <c r="AB128" s="74" t="str">
        <f t="shared" si="42"/>
        <v/>
      </c>
      <c r="AC128" s="35" t="str">
        <f t="shared" si="29"/>
        <v/>
      </c>
      <c r="AD128" s="40" t="str">
        <f t="shared" si="30"/>
        <v/>
      </c>
      <c r="AE128" s="37" t="str">
        <f t="shared" si="31"/>
        <v/>
      </c>
      <c r="AF128" s="40" t="str">
        <f t="shared" si="32"/>
        <v/>
      </c>
      <c r="AG128" s="37" t="str">
        <f t="shared" si="33"/>
        <v/>
      </c>
      <c r="AH128" s="40" t="str">
        <f t="shared" si="34"/>
        <v/>
      </c>
      <c r="AI128" s="37" t="str">
        <f t="shared" si="35"/>
        <v/>
      </c>
      <c r="AJ128" s="40" t="str">
        <f t="shared" si="36"/>
        <v/>
      </c>
      <c r="AK128" s="33" t="str">
        <f>IF(SEM!AK128="","",SEM!AK128)</f>
        <v/>
      </c>
      <c r="AL128" s="6"/>
      <c r="AM128" s="79" t="str">
        <f t="shared" si="37"/>
        <v/>
      </c>
      <c r="AN128" s="12"/>
      <c r="AO128" s="12"/>
      <c r="AP128" s="14"/>
      <c r="AQ128" s="16"/>
      <c r="AR128" s="15"/>
      <c r="AU128" s="198"/>
      <c r="AV128" s="198"/>
      <c r="AW128" s="198"/>
      <c r="AX128" s="198"/>
    </row>
    <row r="129" spans="2:50" ht="17.25" customHeight="1" x14ac:dyDescent="0.2">
      <c r="B129" s="6"/>
      <c r="C129" s="49" t="str">
        <f>IF(SEM!C129="","",SEM!C129)</f>
        <v/>
      </c>
      <c r="D129" s="220" t="str">
        <f>IF(C129="","",VLOOKUP(SEM!C129,FROTA!$B$5:$C$305,2,0))</f>
        <v/>
      </c>
      <c r="E129" s="24" t="str">
        <f>IF(C129="","",VLOOKUP(C129,FROTA!$B$5:$N$305,7,0))</f>
        <v/>
      </c>
      <c r="F129" s="38" t="str">
        <f t="shared" si="28"/>
        <v/>
      </c>
      <c r="G129" s="71" t="str">
        <f t="shared" si="38"/>
        <v/>
      </c>
      <c r="H129" s="32" t="str">
        <f t="shared" si="40"/>
        <v/>
      </c>
      <c r="I129" s="73" t="str">
        <f t="shared" si="40"/>
        <v/>
      </c>
      <c r="J129" s="73" t="str">
        <f t="shared" si="40"/>
        <v/>
      </c>
      <c r="K129" s="73" t="str">
        <f t="shared" si="41"/>
        <v/>
      </c>
      <c r="L129" s="73" t="str">
        <f t="shared" si="41"/>
        <v/>
      </c>
      <c r="M129" s="73" t="str">
        <f t="shared" si="41"/>
        <v/>
      </c>
      <c r="N129" s="73" t="str">
        <f t="shared" si="41"/>
        <v/>
      </c>
      <c r="O129" s="73" t="str">
        <f t="shared" si="41"/>
        <v/>
      </c>
      <c r="P129" s="73" t="str">
        <f t="shared" si="41"/>
        <v/>
      </c>
      <c r="Q129" s="73" t="str">
        <f t="shared" si="41"/>
        <v/>
      </c>
      <c r="R129" s="73" t="str">
        <f t="shared" si="42"/>
        <v/>
      </c>
      <c r="S129" s="73" t="str">
        <f t="shared" si="42"/>
        <v/>
      </c>
      <c r="T129" s="73" t="str">
        <f t="shared" si="42"/>
        <v/>
      </c>
      <c r="U129" s="73" t="str">
        <f t="shared" si="42"/>
        <v/>
      </c>
      <c r="V129" s="73" t="str">
        <f t="shared" si="42"/>
        <v/>
      </c>
      <c r="W129" s="73" t="str">
        <f t="shared" si="42"/>
        <v/>
      </c>
      <c r="X129" s="73" t="str">
        <f t="shared" si="42"/>
        <v/>
      </c>
      <c r="Y129" s="73" t="str">
        <f t="shared" si="42"/>
        <v/>
      </c>
      <c r="Z129" s="73" t="str">
        <f t="shared" si="42"/>
        <v/>
      </c>
      <c r="AA129" s="73" t="str">
        <f t="shared" si="42"/>
        <v/>
      </c>
      <c r="AB129" s="74" t="str">
        <f t="shared" si="42"/>
        <v/>
      </c>
      <c r="AC129" s="35" t="str">
        <f t="shared" si="29"/>
        <v/>
      </c>
      <c r="AD129" s="40" t="str">
        <f t="shared" si="30"/>
        <v/>
      </c>
      <c r="AE129" s="37" t="str">
        <f t="shared" si="31"/>
        <v/>
      </c>
      <c r="AF129" s="40" t="str">
        <f t="shared" si="32"/>
        <v/>
      </c>
      <c r="AG129" s="37" t="str">
        <f t="shared" si="33"/>
        <v/>
      </c>
      <c r="AH129" s="40" t="str">
        <f t="shared" si="34"/>
        <v/>
      </c>
      <c r="AI129" s="37" t="str">
        <f t="shared" si="35"/>
        <v/>
      </c>
      <c r="AJ129" s="40" t="str">
        <f t="shared" si="36"/>
        <v/>
      </c>
      <c r="AK129" s="33" t="str">
        <f>IF(SEM!AK129="","",SEM!AK129)</f>
        <v/>
      </c>
      <c r="AL129" s="6"/>
      <c r="AM129" s="79" t="str">
        <f t="shared" si="37"/>
        <v/>
      </c>
      <c r="AN129" s="12"/>
      <c r="AO129" s="12"/>
      <c r="AP129" s="14"/>
      <c r="AQ129" s="16"/>
      <c r="AR129" s="15"/>
      <c r="AU129" s="198"/>
      <c r="AV129" s="198"/>
      <c r="AW129" s="198"/>
      <c r="AX129" s="198"/>
    </row>
    <row r="130" spans="2:50" ht="17.25" customHeight="1" x14ac:dyDescent="0.2">
      <c r="B130" s="6"/>
      <c r="C130" s="49" t="str">
        <f>IF(SEM!C130="","",SEM!C130)</f>
        <v/>
      </c>
      <c r="D130" s="220" t="str">
        <f>IF(C130="","",VLOOKUP(SEM!C130,FROTA!$B$5:$C$305,2,0))</f>
        <v/>
      </c>
      <c r="E130" s="24" t="str">
        <f>IF(C130="","",VLOOKUP(C130,FROTA!$B$5:$N$305,7,0))</f>
        <v/>
      </c>
      <c r="F130" s="38" t="str">
        <f t="shared" si="28"/>
        <v/>
      </c>
      <c r="G130" s="71" t="str">
        <f t="shared" si="38"/>
        <v/>
      </c>
      <c r="H130" s="32" t="str">
        <f t="shared" si="40"/>
        <v/>
      </c>
      <c r="I130" s="73" t="str">
        <f t="shared" si="40"/>
        <v/>
      </c>
      <c r="J130" s="73" t="str">
        <f t="shared" si="40"/>
        <v/>
      </c>
      <c r="K130" s="73" t="str">
        <f t="shared" si="41"/>
        <v/>
      </c>
      <c r="L130" s="73" t="str">
        <f t="shared" si="41"/>
        <v/>
      </c>
      <c r="M130" s="73" t="str">
        <f t="shared" si="41"/>
        <v/>
      </c>
      <c r="N130" s="73" t="str">
        <f t="shared" si="41"/>
        <v/>
      </c>
      <c r="O130" s="73" t="str">
        <f t="shared" si="41"/>
        <v/>
      </c>
      <c r="P130" s="73" t="str">
        <f t="shared" si="41"/>
        <v/>
      </c>
      <c r="Q130" s="73" t="str">
        <f t="shared" si="41"/>
        <v/>
      </c>
      <c r="R130" s="73" t="str">
        <f t="shared" si="42"/>
        <v/>
      </c>
      <c r="S130" s="73" t="str">
        <f t="shared" si="42"/>
        <v/>
      </c>
      <c r="T130" s="73" t="str">
        <f t="shared" si="42"/>
        <v/>
      </c>
      <c r="U130" s="73" t="str">
        <f t="shared" si="42"/>
        <v/>
      </c>
      <c r="V130" s="73" t="str">
        <f t="shared" si="42"/>
        <v/>
      </c>
      <c r="W130" s="73" t="str">
        <f t="shared" si="42"/>
        <v/>
      </c>
      <c r="X130" s="73" t="str">
        <f t="shared" si="42"/>
        <v/>
      </c>
      <c r="Y130" s="73" t="str">
        <f t="shared" si="42"/>
        <v/>
      </c>
      <c r="Z130" s="73" t="str">
        <f t="shared" si="42"/>
        <v/>
      </c>
      <c r="AA130" s="73" t="str">
        <f t="shared" si="42"/>
        <v/>
      </c>
      <c r="AB130" s="74" t="str">
        <f t="shared" si="42"/>
        <v/>
      </c>
      <c r="AC130" s="35" t="str">
        <f t="shared" si="29"/>
        <v/>
      </c>
      <c r="AD130" s="40" t="str">
        <f t="shared" si="30"/>
        <v/>
      </c>
      <c r="AE130" s="37" t="str">
        <f t="shared" si="31"/>
        <v/>
      </c>
      <c r="AF130" s="40" t="str">
        <f t="shared" si="32"/>
        <v/>
      </c>
      <c r="AG130" s="37" t="str">
        <f t="shared" si="33"/>
        <v/>
      </c>
      <c r="AH130" s="40" t="str">
        <f t="shared" si="34"/>
        <v/>
      </c>
      <c r="AI130" s="37" t="str">
        <f t="shared" si="35"/>
        <v/>
      </c>
      <c r="AJ130" s="40" t="str">
        <f t="shared" si="36"/>
        <v/>
      </c>
      <c r="AK130" s="33" t="str">
        <f>IF(SEM!AK130="","",SEM!AK130)</f>
        <v/>
      </c>
      <c r="AL130" s="6"/>
      <c r="AM130" s="79" t="str">
        <f t="shared" si="37"/>
        <v/>
      </c>
      <c r="AN130" s="12"/>
      <c r="AO130" s="12"/>
      <c r="AP130" s="14"/>
      <c r="AQ130" s="16"/>
      <c r="AR130" s="15"/>
      <c r="AU130" s="198"/>
      <c r="AV130" s="198"/>
      <c r="AW130" s="198"/>
      <c r="AX130" s="198"/>
    </row>
    <row r="131" spans="2:50" ht="17.25" customHeight="1" x14ac:dyDescent="0.2">
      <c r="B131" s="6"/>
      <c r="C131" s="49" t="str">
        <f>IF(SEM!C131="","",SEM!C131)</f>
        <v/>
      </c>
      <c r="D131" s="220" t="str">
        <f>IF(C131="","",VLOOKUP(SEM!C131,FROTA!$B$5:$C$305,2,0))</f>
        <v/>
      </c>
      <c r="E131" s="24" t="str">
        <f>IF(C131="","",VLOOKUP(C131,FROTA!$B$5:$N$305,7,0))</f>
        <v/>
      </c>
      <c r="F131" s="38" t="str">
        <f t="shared" si="28"/>
        <v/>
      </c>
      <c r="G131" s="71" t="str">
        <f t="shared" si="38"/>
        <v/>
      </c>
      <c r="H131" s="32" t="str">
        <f t="shared" si="40"/>
        <v/>
      </c>
      <c r="I131" s="73" t="str">
        <f t="shared" si="40"/>
        <v/>
      </c>
      <c r="J131" s="73" t="str">
        <f t="shared" si="40"/>
        <v/>
      </c>
      <c r="K131" s="73" t="str">
        <f t="shared" si="41"/>
        <v/>
      </c>
      <c r="L131" s="73" t="str">
        <f t="shared" si="41"/>
        <v/>
      </c>
      <c r="M131" s="73" t="str">
        <f t="shared" ref="K131:Q167" si="43">IF($C131="","",IF(SUM(M$307*$G131)&gt;$F131,$F131,SUM(M$307*$G131)))</f>
        <v/>
      </c>
      <c r="N131" s="73" t="str">
        <f t="shared" si="43"/>
        <v/>
      </c>
      <c r="O131" s="73" t="str">
        <f t="shared" si="43"/>
        <v/>
      </c>
      <c r="P131" s="73" t="str">
        <f t="shared" si="43"/>
        <v/>
      </c>
      <c r="Q131" s="73" t="str">
        <f t="shared" si="43"/>
        <v/>
      </c>
      <c r="R131" s="73" t="str">
        <f t="shared" si="42"/>
        <v/>
      </c>
      <c r="S131" s="73" t="str">
        <f t="shared" si="42"/>
        <v/>
      </c>
      <c r="T131" s="73" t="str">
        <f t="shared" si="42"/>
        <v/>
      </c>
      <c r="U131" s="73" t="str">
        <f t="shared" si="42"/>
        <v/>
      </c>
      <c r="V131" s="73" t="str">
        <f t="shared" si="42"/>
        <v/>
      </c>
      <c r="W131" s="73" t="str">
        <f t="shared" si="42"/>
        <v/>
      </c>
      <c r="X131" s="73" t="str">
        <f t="shared" si="42"/>
        <v/>
      </c>
      <c r="Y131" s="73" t="str">
        <f t="shared" si="42"/>
        <v/>
      </c>
      <c r="Z131" s="73" t="str">
        <f t="shared" si="42"/>
        <v/>
      </c>
      <c r="AA131" s="73" t="str">
        <f t="shared" si="42"/>
        <v/>
      </c>
      <c r="AB131" s="74" t="str">
        <f t="shared" si="42"/>
        <v/>
      </c>
      <c r="AC131" s="35" t="str">
        <f t="shared" si="29"/>
        <v/>
      </c>
      <c r="AD131" s="40" t="str">
        <f t="shared" si="30"/>
        <v/>
      </c>
      <c r="AE131" s="37" t="str">
        <f t="shared" si="31"/>
        <v/>
      </c>
      <c r="AF131" s="40" t="str">
        <f t="shared" si="32"/>
        <v/>
      </c>
      <c r="AG131" s="37" t="str">
        <f t="shared" si="33"/>
        <v/>
      </c>
      <c r="AH131" s="40" t="str">
        <f t="shared" si="34"/>
        <v/>
      </c>
      <c r="AI131" s="37" t="str">
        <f t="shared" si="35"/>
        <v/>
      </c>
      <c r="AJ131" s="40" t="str">
        <f t="shared" si="36"/>
        <v/>
      </c>
      <c r="AK131" s="33" t="str">
        <f>IF(SEM!AK131="","",SEM!AK131)</f>
        <v/>
      </c>
      <c r="AL131" s="6"/>
      <c r="AM131" s="79" t="str">
        <f t="shared" si="37"/>
        <v/>
      </c>
      <c r="AN131" s="12"/>
      <c r="AO131" s="12"/>
      <c r="AP131" s="14"/>
      <c r="AQ131" s="16"/>
      <c r="AR131" s="15"/>
      <c r="AU131" s="198"/>
      <c r="AV131" s="198"/>
      <c r="AW131" s="198"/>
      <c r="AX131" s="198"/>
    </row>
    <row r="132" spans="2:50" ht="17.25" customHeight="1" x14ac:dyDescent="0.2">
      <c r="B132" s="6"/>
      <c r="C132" s="49" t="str">
        <f>IF(SEM!C132="","",SEM!C132)</f>
        <v/>
      </c>
      <c r="D132" s="220" t="str">
        <f>IF(C132="","",VLOOKUP(SEM!C132,FROTA!$B$5:$C$305,2,0))</f>
        <v/>
      </c>
      <c r="E132" s="24" t="str">
        <f>IF(C132="","",VLOOKUP(C132,FROTA!$B$5:$N$305,7,0))</f>
        <v/>
      </c>
      <c r="F132" s="38" t="str">
        <f t="shared" si="28"/>
        <v/>
      </c>
      <c r="G132" s="71" t="str">
        <f t="shared" si="38"/>
        <v/>
      </c>
      <c r="H132" s="32" t="str">
        <f t="shared" si="40"/>
        <v/>
      </c>
      <c r="I132" s="73" t="str">
        <f t="shared" si="40"/>
        <v/>
      </c>
      <c r="J132" s="73" t="str">
        <f t="shared" si="40"/>
        <v/>
      </c>
      <c r="K132" s="73" t="str">
        <f t="shared" si="43"/>
        <v/>
      </c>
      <c r="L132" s="73" t="str">
        <f t="shared" si="43"/>
        <v/>
      </c>
      <c r="M132" s="73" t="str">
        <f t="shared" si="43"/>
        <v/>
      </c>
      <c r="N132" s="73" t="str">
        <f t="shared" si="43"/>
        <v/>
      </c>
      <c r="O132" s="73" t="str">
        <f t="shared" si="43"/>
        <v/>
      </c>
      <c r="P132" s="73" t="str">
        <f t="shared" si="43"/>
        <v/>
      </c>
      <c r="Q132" s="73" t="str">
        <f t="shared" si="43"/>
        <v/>
      </c>
      <c r="R132" s="73" t="str">
        <f t="shared" si="42"/>
        <v/>
      </c>
      <c r="S132" s="73" t="str">
        <f t="shared" ref="R132:AB155" si="44">IF($C132="","",IF(SUM(S$307*$G132)&gt;$F132,$F132,SUM(S$307*$G132)))</f>
        <v/>
      </c>
      <c r="T132" s="73" t="str">
        <f t="shared" si="44"/>
        <v/>
      </c>
      <c r="U132" s="73" t="str">
        <f t="shared" si="44"/>
        <v/>
      </c>
      <c r="V132" s="73" t="str">
        <f t="shared" si="44"/>
        <v/>
      </c>
      <c r="W132" s="73" t="str">
        <f t="shared" si="44"/>
        <v/>
      </c>
      <c r="X132" s="73" t="str">
        <f t="shared" si="44"/>
        <v/>
      </c>
      <c r="Y132" s="73" t="str">
        <f t="shared" si="44"/>
        <v/>
      </c>
      <c r="Z132" s="73" t="str">
        <f t="shared" si="44"/>
        <v/>
      </c>
      <c r="AA132" s="73" t="str">
        <f t="shared" si="44"/>
        <v/>
      </c>
      <c r="AB132" s="74" t="str">
        <f t="shared" si="44"/>
        <v/>
      </c>
      <c r="AC132" s="35" t="str">
        <f t="shared" si="29"/>
        <v/>
      </c>
      <c r="AD132" s="40" t="str">
        <f t="shared" si="30"/>
        <v/>
      </c>
      <c r="AE132" s="37" t="str">
        <f t="shared" si="31"/>
        <v/>
      </c>
      <c r="AF132" s="40" t="str">
        <f t="shared" si="32"/>
        <v/>
      </c>
      <c r="AG132" s="37" t="str">
        <f t="shared" si="33"/>
        <v/>
      </c>
      <c r="AH132" s="40" t="str">
        <f t="shared" si="34"/>
        <v/>
      </c>
      <c r="AI132" s="37" t="str">
        <f t="shared" si="35"/>
        <v/>
      </c>
      <c r="AJ132" s="40" t="str">
        <f t="shared" si="36"/>
        <v/>
      </c>
      <c r="AK132" s="33" t="str">
        <f>IF(SEM!AK132="","",SEM!AK132)</f>
        <v/>
      </c>
      <c r="AL132" s="6"/>
      <c r="AM132" s="79" t="str">
        <f t="shared" si="37"/>
        <v/>
      </c>
      <c r="AN132" s="12"/>
      <c r="AO132" s="12"/>
      <c r="AP132" s="14"/>
      <c r="AQ132" s="16"/>
      <c r="AR132" s="15"/>
      <c r="AU132" s="198"/>
      <c r="AV132" s="198"/>
      <c r="AW132" s="198"/>
      <c r="AX132" s="198"/>
    </row>
    <row r="133" spans="2:50" ht="17.25" customHeight="1" x14ac:dyDescent="0.2">
      <c r="B133" s="6"/>
      <c r="C133" s="49" t="str">
        <f>IF(SEM!C133="","",SEM!C133)</f>
        <v/>
      </c>
      <c r="D133" s="220" t="str">
        <f>IF(C133="","",VLOOKUP(SEM!C133,FROTA!$B$5:$C$305,2,0))</f>
        <v/>
      </c>
      <c r="E133" s="24" t="str">
        <f>IF(C133="","",VLOOKUP(C133,FROTA!$B$5:$N$305,7,0))</f>
        <v/>
      </c>
      <c r="F133" s="38" t="str">
        <f t="shared" si="28"/>
        <v/>
      </c>
      <c r="G133" s="71" t="str">
        <f t="shared" si="38"/>
        <v/>
      </c>
      <c r="H133" s="32" t="str">
        <f t="shared" si="40"/>
        <v/>
      </c>
      <c r="I133" s="73" t="str">
        <f t="shared" si="40"/>
        <v/>
      </c>
      <c r="J133" s="73" t="str">
        <f t="shared" si="40"/>
        <v/>
      </c>
      <c r="K133" s="73" t="str">
        <f t="shared" si="43"/>
        <v/>
      </c>
      <c r="L133" s="73" t="str">
        <f t="shared" si="43"/>
        <v/>
      </c>
      <c r="M133" s="73" t="str">
        <f t="shared" si="43"/>
        <v/>
      </c>
      <c r="N133" s="73" t="str">
        <f t="shared" si="43"/>
        <v/>
      </c>
      <c r="O133" s="73" t="str">
        <f t="shared" si="43"/>
        <v/>
      </c>
      <c r="P133" s="73" t="str">
        <f t="shared" si="43"/>
        <v/>
      </c>
      <c r="Q133" s="73" t="str">
        <f t="shared" si="43"/>
        <v/>
      </c>
      <c r="R133" s="73" t="str">
        <f t="shared" si="44"/>
        <v/>
      </c>
      <c r="S133" s="73" t="str">
        <f t="shared" si="44"/>
        <v/>
      </c>
      <c r="T133" s="73" t="str">
        <f t="shared" si="44"/>
        <v/>
      </c>
      <c r="U133" s="73" t="str">
        <f t="shared" si="44"/>
        <v/>
      </c>
      <c r="V133" s="73" t="str">
        <f t="shared" si="44"/>
        <v/>
      </c>
      <c r="W133" s="73" t="str">
        <f t="shared" si="44"/>
        <v/>
      </c>
      <c r="X133" s="73" t="str">
        <f t="shared" si="44"/>
        <v/>
      </c>
      <c r="Y133" s="73" t="str">
        <f t="shared" si="44"/>
        <v/>
      </c>
      <c r="Z133" s="73" t="str">
        <f t="shared" si="44"/>
        <v/>
      </c>
      <c r="AA133" s="73" t="str">
        <f t="shared" si="44"/>
        <v/>
      </c>
      <c r="AB133" s="74" t="str">
        <f t="shared" si="44"/>
        <v/>
      </c>
      <c r="AC133" s="35" t="str">
        <f t="shared" si="29"/>
        <v/>
      </c>
      <c r="AD133" s="40" t="str">
        <f t="shared" si="30"/>
        <v/>
      </c>
      <c r="AE133" s="37" t="str">
        <f t="shared" si="31"/>
        <v/>
      </c>
      <c r="AF133" s="40" t="str">
        <f t="shared" si="32"/>
        <v/>
      </c>
      <c r="AG133" s="37" t="str">
        <f t="shared" si="33"/>
        <v/>
      </c>
      <c r="AH133" s="40" t="str">
        <f t="shared" si="34"/>
        <v/>
      </c>
      <c r="AI133" s="37" t="str">
        <f t="shared" si="35"/>
        <v/>
      </c>
      <c r="AJ133" s="40" t="str">
        <f t="shared" si="36"/>
        <v/>
      </c>
      <c r="AK133" s="33" t="str">
        <f>IF(SEM!AK133="","",SEM!AK133)</f>
        <v/>
      </c>
      <c r="AL133" s="6"/>
      <c r="AM133" s="79" t="str">
        <f t="shared" si="37"/>
        <v/>
      </c>
      <c r="AN133" s="12"/>
      <c r="AO133" s="12"/>
      <c r="AP133" s="14"/>
      <c r="AQ133" s="16"/>
      <c r="AR133" s="15"/>
      <c r="AU133" s="198"/>
      <c r="AV133" s="198"/>
      <c r="AW133" s="198"/>
      <c r="AX133" s="198"/>
    </row>
    <row r="134" spans="2:50" ht="17.25" customHeight="1" x14ac:dyDescent="0.2">
      <c r="B134" s="6"/>
      <c r="C134" s="49" t="str">
        <f>IF(SEM!C134="","",SEM!C134)</f>
        <v/>
      </c>
      <c r="D134" s="220" t="str">
        <f>IF(C134="","",VLOOKUP(SEM!C134,FROTA!$B$5:$C$305,2,0))</f>
        <v/>
      </c>
      <c r="E134" s="24" t="str">
        <f>IF(C134="","",VLOOKUP(C134,FROTA!$B$5:$N$305,7,0))</f>
        <v/>
      </c>
      <c r="F134" s="38" t="str">
        <f t="shared" si="28"/>
        <v/>
      </c>
      <c r="G134" s="71" t="str">
        <f t="shared" si="38"/>
        <v/>
      </c>
      <c r="H134" s="32" t="str">
        <f t="shared" si="40"/>
        <v/>
      </c>
      <c r="I134" s="73" t="str">
        <f t="shared" si="40"/>
        <v/>
      </c>
      <c r="J134" s="73" t="str">
        <f t="shared" si="40"/>
        <v/>
      </c>
      <c r="K134" s="73" t="str">
        <f t="shared" si="43"/>
        <v/>
      </c>
      <c r="L134" s="73" t="str">
        <f t="shared" si="43"/>
        <v/>
      </c>
      <c r="M134" s="73" t="str">
        <f t="shared" si="43"/>
        <v/>
      </c>
      <c r="N134" s="73" t="str">
        <f t="shared" si="43"/>
        <v/>
      </c>
      <c r="O134" s="73" t="str">
        <f t="shared" si="43"/>
        <v/>
      </c>
      <c r="P134" s="73" t="str">
        <f t="shared" si="43"/>
        <v/>
      </c>
      <c r="Q134" s="73" t="str">
        <f t="shared" si="43"/>
        <v/>
      </c>
      <c r="R134" s="73" t="str">
        <f t="shared" si="44"/>
        <v/>
      </c>
      <c r="S134" s="73" t="str">
        <f t="shared" si="44"/>
        <v/>
      </c>
      <c r="T134" s="73" t="str">
        <f t="shared" si="44"/>
        <v/>
      </c>
      <c r="U134" s="73" t="str">
        <f t="shared" si="44"/>
        <v/>
      </c>
      <c r="V134" s="73" t="str">
        <f t="shared" si="44"/>
        <v/>
      </c>
      <c r="W134" s="73" t="str">
        <f t="shared" si="44"/>
        <v/>
      </c>
      <c r="X134" s="73" t="str">
        <f t="shared" si="44"/>
        <v/>
      </c>
      <c r="Y134" s="73" t="str">
        <f t="shared" si="44"/>
        <v/>
      </c>
      <c r="Z134" s="73" t="str">
        <f t="shared" si="44"/>
        <v/>
      </c>
      <c r="AA134" s="73" t="str">
        <f t="shared" si="44"/>
        <v/>
      </c>
      <c r="AB134" s="74" t="str">
        <f t="shared" si="44"/>
        <v/>
      </c>
      <c r="AC134" s="35" t="str">
        <f t="shared" si="29"/>
        <v/>
      </c>
      <c r="AD134" s="40" t="str">
        <f t="shared" si="30"/>
        <v/>
      </c>
      <c r="AE134" s="37" t="str">
        <f t="shared" si="31"/>
        <v/>
      </c>
      <c r="AF134" s="40" t="str">
        <f t="shared" si="32"/>
        <v/>
      </c>
      <c r="AG134" s="37" t="str">
        <f t="shared" si="33"/>
        <v/>
      </c>
      <c r="AH134" s="40" t="str">
        <f t="shared" si="34"/>
        <v/>
      </c>
      <c r="AI134" s="37" t="str">
        <f t="shared" si="35"/>
        <v/>
      </c>
      <c r="AJ134" s="40" t="str">
        <f t="shared" si="36"/>
        <v/>
      </c>
      <c r="AK134" s="33" t="str">
        <f>IF(SEM!AK134="","",SEM!AK134)</f>
        <v/>
      </c>
      <c r="AL134" s="6"/>
      <c r="AM134" s="79" t="str">
        <f t="shared" si="37"/>
        <v/>
      </c>
      <c r="AN134" s="12"/>
      <c r="AO134" s="12"/>
      <c r="AP134" s="14"/>
      <c r="AQ134" s="16"/>
      <c r="AR134" s="15"/>
      <c r="AU134" s="198"/>
      <c r="AV134" s="198"/>
      <c r="AW134" s="198"/>
      <c r="AX134" s="198"/>
    </row>
    <row r="135" spans="2:50" ht="17.25" customHeight="1" x14ac:dyDescent="0.2">
      <c r="B135" s="6"/>
      <c r="C135" s="49" t="str">
        <f>IF(SEM!C135="","",SEM!C135)</f>
        <v/>
      </c>
      <c r="D135" s="220" t="str">
        <f>IF(C135="","",VLOOKUP(SEM!C135,FROTA!$B$5:$C$305,2,0))</f>
        <v/>
      </c>
      <c r="E135" s="24" t="str">
        <f>IF(C135="","",VLOOKUP(C135,FROTA!$B$5:$N$305,7,0))</f>
        <v/>
      </c>
      <c r="F135" s="38" t="str">
        <f t="shared" ref="F135:F198" si="45">IF(E135="","",VLOOKUP(E135,$AP$5:$AQ$18,2,0))</f>
        <v/>
      </c>
      <c r="G135" s="71" t="str">
        <f t="shared" si="38"/>
        <v/>
      </c>
      <c r="H135" s="32" t="str">
        <f t="shared" si="40"/>
        <v/>
      </c>
      <c r="I135" s="73" t="str">
        <f t="shared" si="40"/>
        <v/>
      </c>
      <c r="J135" s="73" t="str">
        <f t="shared" si="40"/>
        <v/>
      </c>
      <c r="K135" s="73" t="str">
        <f t="shared" si="43"/>
        <v/>
      </c>
      <c r="L135" s="73" t="str">
        <f t="shared" si="43"/>
        <v/>
      </c>
      <c r="M135" s="73" t="str">
        <f t="shared" si="43"/>
        <v/>
      </c>
      <c r="N135" s="73" t="str">
        <f t="shared" si="43"/>
        <v/>
      </c>
      <c r="O135" s="73" t="str">
        <f t="shared" si="43"/>
        <v/>
      </c>
      <c r="P135" s="73" t="str">
        <f t="shared" si="43"/>
        <v/>
      </c>
      <c r="Q135" s="73" t="str">
        <f t="shared" si="43"/>
        <v/>
      </c>
      <c r="R135" s="73" t="str">
        <f t="shared" si="44"/>
        <v/>
      </c>
      <c r="S135" s="73" t="str">
        <f t="shared" si="44"/>
        <v/>
      </c>
      <c r="T135" s="73" t="str">
        <f t="shared" si="44"/>
        <v/>
      </c>
      <c r="U135" s="73" t="str">
        <f t="shared" si="44"/>
        <v/>
      </c>
      <c r="V135" s="73" t="str">
        <f t="shared" si="44"/>
        <v/>
      </c>
      <c r="W135" s="73" t="str">
        <f t="shared" si="44"/>
        <v/>
      </c>
      <c r="X135" s="73" t="str">
        <f t="shared" si="44"/>
        <v/>
      </c>
      <c r="Y135" s="73" t="str">
        <f t="shared" si="44"/>
        <v/>
      </c>
      <c r="Z135" s="73" t="str">
        <f t="shared" si="44"/>
        <v/>
      </c>
      <c r="AA135" s="73" t="str">
        <f t="shared" si="44"/>
        <v/>
      </c>
      <c r="AB135" s="74" t="str">
        <f t="shared" si="44"/>
        <v/>
      </c>
      <c r="AC135" s="35" t="str">
        <f t="shared" ref="AC135:AC198" si="46">IF(C135="","",SUM(H135:AB135)*AK135)</f>
        <v/>
      </c>
      <c r="AD135" s="40" t="str">
        <f t="shared" ref="AD135:AD198" si="47">IF(C135="","",SUM(H135:AB135))</f>
        <v/>
      </c>
      <c r="AE135" s="37" t="str">
        <f t="shared" ref="AE135:AE198" si="48">IF(C135="","",SUM(H135:R135)*AK135)</f>
        <v/>
      </c>
      <c r="AF135" s="40" t="str">
        <f t="shared" ref="AF135:AF198" si="49">IF(C135="","",SUM(H135:Q135))</f>
        <v/>
      </c>
      <c r="AG135" s="37" t="str">
        <f t="shared" ref="AG135:AG198" si="50">IF(C135="","",SUM(R135:AB135)*AK135)</f>
        <v/>
      </c>
      <c r="AH135" s="40" t="str">
        <f t="shared" ref="AH135:AH198" si="51">IF(C135="","",SUM(R135:AB135))</f>
        <v/>
      </c>
      <c r="AI135" s="37" t="str">
        <f t="shared" ref="AI135:AI198" si="52">IF(C135="","",SUM(J135:M135,T135:W135)*AK135)</f>
        <v/>
      </c>
      <c r="AJ135" s="40" t="str">
        <f t="shared" ref="AJ135:AJ198" si="53">IF(C135="","",SUM(J135:M135,T135:W135))</f>
        <v/>
      </c>
      <c r="AK135" s="33" t="str">
        <f>IF(SEM!AK135="","",SEM!AK135)</f>
        <v/>
      </c>
      <c r="AL135" s="6"/>
      <c r="AM135" s="79" t="str">
        <f t="shared" ref="AM135:AM198" si="54">IF(C135="","",SUM(H135:AB135))</f>
        <v/>
      </c>
      <c r="AN135" s="12"/>
      <c r="AO135" s="12"/>
      <c r="AP135" s="14"/>
      <c r="AQ135" s="16"/>
      <c r="AR135" s="15"/>
      <c r="AU135" s="198"/>
      <c r="AV135" s="198"/>
      <c r="AW135" s="198"/>
      <c r="AX135" s="198"/>
    </row>
    <row r="136" spans="2:50" ht="17.25" customHeight="1" x14ac:dyDescent="0.2">
      <c r="B136" s="6"/>
      <c r="C136" s="49" t="str">
        <f>IF(SEM!C136="","",SEM!C136)</f>
        <v/>
      </c>
      <c r="D136" s="220" t="str">
        <f>IF(C136="","",VLOOKUP(SEM!C136,FROTA!$B$5:$C$305,2,0))</f>
        <v/>
      </c>
      <c r="E136" s="24" t="str">
        <f>IF(C136="","",VLOOKUP(C136,FROTA!$B$5:$N$305,7,0))</f>
        <v/>
      </c>
      <c r="F136" s="38" t="str">
        <f t="shared" si="45"/>
        <v/>
      </c>
      <c r="G136" s="71" t="str">
        <f t="shared" si="38"/>
        <v/>
      </c>
      <c r="H136" s="32" t="str">
        <f t="shared" si="40"/>
        <v/>
      </c>
      <c r="I136" s="73" t="str">
        <f t="shared" si="40"/>
        <v/>
      </c>
      <c r="J136" s="73" t="str">
        <f t="shared" si="40"/>
        <v/>
      </c>
      <c r="K136" s="73" t="str">
        <f t="shared" si="43"/>
        <v/>
      </c>
      <c r="L136" s="73" t="str">
        <f t="shared" si="43"/>
        <v/>
      </c>
      <c r="M136" s="73" t="str">
        <f t="shared" si="43"/>
        <v/>
      </c>
      <c r="N136" s="73" t="str">
        <f t="shared" si="43"/>
        <v/>
      </c>
      <c r="O136" s="73" t="str">
        <f t="shared" si="43"/>
        <v/>
      </c>
      <c r="P136" s="73" t="str">
        <f t="shared" si="43"/>
        <v/>
      </c>
      <c r="Q136" s="73" t="str">
        <f t="shared" si="43"/>
        <v/>
      </c>
      <c r="R136" s="73" t="str">
        <f t="shared" si="44"/>
        <v/>
      </c>
      <c r="S136" s="73" t="str">
        <f t="shared" si="44"/>
        <v/>
      </c>
      <c r="T136" s="73" t="str">
        <f t="shared" si="44"/>
        <v/>
      </c>
      <c r="U136" s="73" t="str">
        <f t="shared" si="44"/>
        <v/>
      </c>
      <c r="V136" s="73" t="str">
        <f t="shared" si="44"/>
        <v/>
      </c>
      <c r="W136" s="73" t="str">
        <f t="shared" si="44"/>
        <v/>
      </c>
      <c r="X136" s="73" t="str">
        <f t="shared" si="44"/>
        <v/>
      </c>
      <c r="Y136" s="73" t="str">
        <f t="shared" si="44"/>
        <v/>
      </c>
      <c r="Z136" s="73" t="str">
        <f t="shared" si="44"/>
        <v/>
      </c>
      <c r="AA136" s="73" t="str">
        <f t="shared" si="44"/>
        <v/>
      </c>
      <c r="AB136" s="74" t="str">
        <f t="shared" si="44"/>
        <v/>
      </c>
      <c r="AC136" s="35" t="str">
        <f t="shared" si="46"/>
        <v/>
      </c>
      <c r="AD136" s="40" t="str">
        <f t="shared" si="47"/>
        <v/>
      </c>
      <c r="AE136" s="37" t="str">
        <f t="shared" si="48"/>
        <v/>
      </c>
      <c r="AF136" s="40" t="str">
        <f t="shared" si="49"/>
        <v/>
      </c>
      <c r="AG136" s="37" t="str">
        <f t="shared" si="50"/>
        <v/>
      </c>
      <c r="AH136" s="40" t="str">
        <f t="shared" si="51"/>
        <v/>
      </c>
      <c r="AI136" s="37" t="str">
        <f t="shared" si="52"/>
        <v/>
      </c>
      <c r="AJ136" s="40" t="str">
        <f t="shared" si="53"/>
        <v/>
      </c>
      <c r="AK136" s="33" t="str">
        <f>IF(SEM!AK136="","",SEM!AK136)</f>
        <v/>
      </c>
      <c r="AL136" s="6"/>
      <c r="AM136" s="79" t="str">
        <f t="shared" si="54"/>
        <v/>
      </c>
      <c r="AN136" s="12"/>
      <c r="AO136" s="12"/>
      <c r="AP136" s="14"/>
      <c r="AQ136" s="16"/>
      <c r="AR136" s="15"/>
      <c r="AU136" s="198"/>
      <c r="AV136" s="198"/>
      <c r="AW136" s="198"/>
      <c r="AX136" s="198"/>
    </row>
    <row r="137" spans="2:50" ht="17.25" customHeight="1" x14ac:dyDescent="0.2">
      <c r="B137" s="6"/>
      <c r="C137" s="49" t="str">
        <f>IF(SEM!C137="","",SEM!C137)</f>
        <v/>
      </c>
      <c r="D137" s="220" t="str">
        <f>IF(C137="","",VLOOKUP(SEM!C137,FROTA!$B$5:$C$305,2,0))</f>
        <v/>
      </c>
      <c r="E137" s="24" t="str">
        <f>IF(C137="","",VLOOKUP(C137,FROTA!$B$5:$N$305,7,0))</f>
        <v/>
      </c>
      <c r="F137" s="38" t="str">
        <f t="shared" si="45"/>
        <v/>
      </c>
      <c r="G137" s="71" t="str">
        <f t="shared" ref="G137:G200" si="55">IF(C137="","",F137/$F$307)</f>
        <v/>
      </c>
      <c r="H137" s="32" t="str">
        <f t="shared" si="40"/>
        <v/>
      </c>
      <c r="I137" s="73" t="str">
        <f t="shared" si="40"/>
        <v/>
      </c>
      <c r="J137" s="73" t="str">
        <f t="shared" si="40"/>
        <v/>
      </c>
      <c r="K137" s="73" t="str">
        <f t="shared" si="43"/>
        <v/>
      </c>
      <c r="L137" s="73" t="str">
        <f t="shared" si="43"/>
        <v/>
      </c>
      <c r="M137" s="73" t="str">
        <f t="shared" si="43"/>
        <v/>
      </c>
      <c r="N137" s="73" t="str">
        <f t="shared" si="43"/>
        <v/>
      </c>
      <c r="O137" s="73" t="str">
        <f t="shared" si="43"/>
        <v/>
      </c>
      <c r="P137" s="73" t="str">
        <f t="shared" si="43"/>
        <v/>
      </c>
      <c r="Q137" s="73" t="str">
        <f t="shared" si="43"/>
        <v/>
      </c>
      <c r="R137" s="73" t="str">
        <f t="shared" si="44"/>
        <v/>
      </c>
      <c r="S137" s="73" t="str">
        <f t="shared" si="44"/>
        <v/>
      </c>
      <c r="T137" s="73" t="str">
        <f t="shared" si="44"/>
        <v/>
      </c>
      <c r="U137" s="73" t="str">
        <f t="shared" si="44"/>
        <v/>
      </c>
      <c r="V137" s="73" t="str">
        <f t="shared" si="44"/>
        <v/>
      </c>
      <c r="W137" s="73" t="str">
        <f t="shared" si="44"/>
        <v/>
      </c>
      <c r="X137" s="73" t="str">
        <f t="shared" si="44"/>
        <v/>
      </c>
      <c r="Y137" s="73" t="str">
        <f t="shared" si="44"/>
        <v/>
      </c>
      <c r="Z137" s="73" t="str">
        <f t="shared" si="44"/>
        <v/>
      </c>
      <c r="AA137" s="73" t="str">
        <f t="shared" si="44"/>
        <v/>
      </c>
      <c r="AB137" s="74" t="str">
        <f t="shared" si="44"/>
        <v/>
      </c>
      <c r="AC137" s="35" t="str">
        <f t="shared" si="46"/>
        <v/>
      </c>
      <c r="AD137" s="40" t="str">
        <f t="shared" si="47"/>
        <v/>
      </c>
      <c r="AE137" s="37" t="str">
        <f t="shared" si="48"/>
        <v/>
      </c>
      <c r="AF137" s="40" t="str">
        <f t="shared" si="49"/>
        <v/>
      </c>
      <c r="AG137" s="37" t="str">
        <f t="shared" si="50"/>
        <v/>
      </c>
      <c r="AH137" s="40" t="str">
        <f t="shared" si="51"/>
        <v/>
      </c>
      <c r="AI137" s="37" t="str">
        <f t="shared" si="52"/>
        <v/>
      </c>
      <c r="AJ137" s="40" t="str">
        <f t="shared" si="53"/>
        <v/>
      </c>
      <c r="AK137" s="33" t="str">
        <f>IF(SEM!AK137="","",SEM!AK137)</f>
        <v/>
      </c>
      <c r="AL137" s="6"/>
      <c r="AM137" s="79" t="str">
        <f t="shared" si="54"/>
        <v/>
      </c>
      <c r="AN137" s="12"/>
      <c r="AO137" s="12"/>
      <c r="AP137" s="14"/>
      <c r="AQ137" s="16"/>
      <c r="AR137" s="15"/>
      <c r="AU137" s="198"/>
      <c r="AV137" s="198"/>
      <c r="AW137" s="198"/>
      <c r="AX137" s="198"/>
    </row>
    <row r="138" spans="2:50" ht="17.25" customHeight="1" x14ac:dyDescent="0.2">
      <c r="B138" s="6"/>
      <c r="C138" s="49" t="str">
        <f>IF(SEM!C138="","",SEM!C138)</f>
        <v/>
      </c>
      <c r="D138" s="220" t="str">
        <f>IF(C138="","",VLOOKUP(SEM!C138,FROTA!$B$5:$C$305,2,0))</f>
        <v/>
      </c>
      <c r="E138" s="24" t="str">
        <f>IF(C138="","",VLOOKUP(C138,FROTA!$B$5:$N$305,7,0))</f>
        <v/>
      </c>
      <c r="F138" s="38" t="str">
        <f t="shared" si="45"/>
        <v/>
      </c>
      <c r="G138" s="71" t="str">
        <f t="shared" si="55"/>
        <v/>
      </c>
      <c r="H138" s="32" t="str">
        <f t="shared" si="40"/>
        <v/>
      </c>
      <c r="I138" s="73" t="str">
        <f t="shared" si="40"/>
        <v/>
      </c>
      <c r="J138" s="73" t="str">
        <f t="shared" si="40"/>
        <v/>
      </c>
      <c r="K138" s="73" t="str">
        <f t="shared" si="43"/>
        <v/>
      </c>
      <c r="L138" s="73" t="str">
        <f t="shared" si="43"/>
        <v/>
      </c>
      <c r="M138" s="73" t="str">
        <f t="shared" si="43"/>
        <v/>
      </c>
      <c r="N138" s="73" t="str">
        <f t="shared" si="43"/>
        <v/>
      </c>
      <c r="O138" s="73" t="str">
        <f t="shared" si="43"/>
        <v/>
      </c>
      <c r="P138" s="73" t="str">
        <f t="shared" si="43"/>
        <v/>
      </c>
      <c r="Q138" s="73" t="str">
        <f t="shared" si="43"/>
        <v/>
      </c>
      <c r="R138" s="73" t="str">
        <f t="shared" si="44"/>
        <v/>
      </c>
      <c r="S138" s="73" t="str">
        <f t="shared" si="44"/>
        <v/>
      </c>
      <c r="T138" s="73" t="str">
        <f t="shared" si="44"/>
        <v/>
      </c>
      <c r="U138" s="73" t="str">
        <f t="shared" si="44"/>
        <v/>
      </c>
      <c r="V138" s="73" t="str">
        <f t="shared" si="44"/>
        <v/>
      </c>
      <c r="W138" s="73" t="str">
        <f t="shared" si="44"/>
        <v/>
      </c>
      <c r="X138" s="73" t="str">
        <f t="shared" si="44"/>
        <v/>
      </c>
      <c r="Y138" s="73" t="str">
        <f t="shared" si="44"/>
        <v/>
      </c>
      <c r="Z138" s="73" t="str">
        <f t="shared" si="44"/>
        <v/>
      </c>
      <c r="AA138" s="73" t="str">
        <f t="shared" si="44"/>
        <v/>
      </c>
      <c r="AB138" s="74" t="str">
        <f t="shared" si="44"/>
        <v/>
      </c>
      <c r="AC138" s="35" t="str">
        <f t="shared" si="46"/>
        <v/>
      </c>
      <c r="AD138" s="40" t="str">
        <f t="shared" si="47"/>
        <v/>
      </c>
      <c r="AE138" s="37" t="str">
        <f t="shared" si="48"/>
        <v/>
      </c>
      <c r="AF138" s="40" t="str">
        <f t="shared" si="49"/>
        <v/>
      </c>
      <c r="AG138" s="37" t="str">
        <f t="shared" si="50"/>
        <v/>
      </c>
      <c r="AH138" s="40" t="str">
        <f t="shared" si="51"/>
        <v/>
      </c>
      <c r="AI138" s="37" t="str">
        <f t="shared" si="52"/>
        <v/>
      </c>
      <c r="AJ138" s="40" t="str">
        <f t="shared" si="53"/>
        <v/>
      </c>
      <c r="AK138" s="33" t="str">
        <f>IF(SEM!AK138="","",SEM!AK138)</f>
        <v/>
      </c>
      <c r="AL138" s="6"/>
      <c r="AM138" s="79" t="str">
        <f t="shared" si="54"/>
        <v/>
      </c>
      <c r="AN138" s="12"/>
      <c r="AO138" s="12"/>
      <c r="AP138" s="14"/>
      <c r="AQ138" s="16"/>
      <c r="AR138" s="15"/>
      <c r="AU138" s="198"/>
      <c r="AV138" s="198"/>
      <c r="AW138" s="198"/>
      <c r="AX138" s="198"/>
    </row>
    <row r="139" spans="2:50" ht="17.25" customHeight="1" x14ac:dyDescent="0.2">
      <c r="B139" s="6"/>
      <c r="C139" s="49" t="str">
        <f>IF(SEM!C139="","",SEM!C139)</f>
        <v/>
      </c>
      <c r="D139" s="220" t="str">
        <f>IF(C139="","",VLOOKUP(SEM!C139,FROTA!$B$5:$C$305,2,0))</f>
        <v/>
      </c>
      <c r="E139" s="24" t="str">
        <f>IF(C139="","",VLOOKUP(C139,FROTA!$B$5:$N$305,7,0))</f>
        <v/>
      </c>
      <c r="F139" s="38" t="str">
        <f t="shared" si="45"/>
        <v/>
      </c>
      <c r="G139" s="71" t="str">
        <f t="shared" si="55"/>
        <v/>
      </c>
      <c r="H139" s="32" t="str">
        <f t="shared" si="40"/>
        <v/>
      </c>
      <c r="I139" s="73" t="str">
        <f t="shared" si="40"/>
        <v/>
      </c>
      <c r="J139" s="73" t="str">
        <f t="shared" si="40"/>
        <v/>
      </c>
      <c r="K139" s="73" t="str">
        <f t="shared" si="43"/>
        <v/>
      </c>
      <c r="L139" s="73" t="str">
        <f t="shared" si="43"/>
        <v/>
      </c>
      <c r="M139" s="73" t="str">
        <f t="shared" si="43"/>
        <v/>
      </c>
      <c r="N139" s="73" t="str">
        <f t="shared" si="43"/>
        <v/>
      </c>
      <c r="O139" s="73" t="str">
        <f t="shared" si="43"/>
        <v/>
      </c>
      <c r="P139" s="73" t="str">
        <f t="shared" si="43"/>
        <v/>
      </c>
      <c r="Q139" s="73" t="str">
        <f t="shared" si="43"/>
        <v/>
      </c>
      <c r="R139" s="73" t="str">
        <f t="shared" si="44"/>
        <v/>
      </c>
      <c r="S139" s="73" t="str">
        <f t="shared" si="44"/>
        <v/>
      </c>
      <c r="T139" s="73" t="str">
        <f t="shared" si="44"/>
        <v/>
      </c>
      <c r="U139" s="73" t="str">
        <f t="shared" si="44"/>
        <v/>
      </c>
      <c r="V139" s="73" t="str">
        <f t="shared" si="44"/>
        <v/>
      </c>
      <c r="W139" s="73" t="str">
        <f t="shared" si="44"/>
        <v/>
      </c>
      <c r="X139" s="73" t="str">
        <f t="shared" si="44"/>
        <v/>
      </c>
      <c r="Y139" s="73" t="str">
        <f t="shared" si="44"/>
        <v/>
      </c>
      <c r="Z139" s="73" t="str">
        <f t="shared" si="44"/>
        <v/>
      </c>
      <c r="AA139" s="73" t="str">
        <f t="shared" si="44"/>
        <v/>
      </c>
      <c r="AB139" s="74" t="str">
        <f t="shared" si="44"/>
        <v/>
      </c>
      <c r="AC139" s="35" t="str">
        <f t="shared" si="46"/>
        <v/>
      </c>
      <c r="AD139" s="40" t="str">
        <f t="shared" si="47"/>
        <v/>
      </c>
      <c r="AE139" s="37" t="str">
        <f t="shared" si="48"/>
        <v/>
      </c>
      <c r="AF139" s="40" t="str">
        <f t="shared" si="49"/>
        <v/>
      </c>
      <c r="AG139" s="37" t="str">
        <f t="shared" si="50"/>
        <v/>
      </c>
      <c r="AH139" s="40" t="str">
        <f t="shared" si="51"/>
        <v/>
      </c>
      <c r="AI139" s="37" t="str">
        <f t="shared" si="52"/>
        <v/>
      </c>
      <c r="AJ139" s="40" t="str">
        <f t="shared" si="53"/>
        <v/>
      </c>
      <c r="AK139" s="33" t="str">
        <f>IF(SEM!AK139="","",SEM!AK139)</f>
        <v/>
      </c>
      <c r="AL139" s="6"/>
      <c r="AM139" s="79" t="str">
        <f t="shared" si="54"/>
        <v/>
      </c>
      <c r="AN139" s="12"/>
      <c r="AO139" s="12"/>
      <c r="AP139" s="14"/>
      <c r="AQ139" s="16"/>
      <c r="AR139" s="15"/>
      <c r="AU139" s="198"/>
      <c r="AV139" s="198"/>
      <c r="AW139" s="198"/>
      <c r="AX139" s="198"/>
    </row>
    <row r="140" spans="2:50" ht="17.25" customHeight="1" x14ac:dyDescent="0.2">
      <c r="B140" s="6"/>
      <c r="C140" s="49" t="str">
        <f>IF(SEM!C140="","",SEM!C140)</f>
        <v/>
      </c>
      <c r="D140" s="220" t="str">
        <f>IF(C140="","",VLOOKUP(SEM!C140,FROTA!$B$5:$C$305,2,0))</f>
        <v/>
      </c>
      <c r="E140" s="24" t="str">
        <f>IF(C140="","",VLOOKUP(C140,FROTA!$B$5:$N$305,7,0))</f>
        <v/>
      </c>
      <c r="F140" s="38" t="str">
        <f t="shared" si="45"/>
        <v/>
      </c>
      <c r="G140" s="71" t="str">
        <f t="shared" si="55"/>
        <v/>
      </c>
      <c r="H140" s="32" t="str">
        <f t="shared" si="40"/>
        <v/>
      </c>
      <c r="I140" s="73" t="str">
        <f t="shared" si="40"/>
        <v/>
      </c>
      <c r="J140" s="73" t="str">
        <f t="shared" si="40"/>
        <v/>
      </c>
      <c r="K140" s="73" t="str">
        <f t="shared" si="43"/>
        <v/>
      </c>
      <c r="L140" s="73" t="str">
        <f t="shared" si="43"/>
        <v/>
      </c>
      <c r="M140" s="73" t="str">
        <f t="shared" si="43"/>
        <v/>
      </c>
      <c r="N140" s="73" t="str">
        <f t="shared" si="43"/>
        <v/>
      </c>
      <c r="O140" s="73" t="str">
        <f t="shared" si="43"/>
        <v/>
      </c>
      <c r="P140" s="73" t="str">
        <f t="shared" si="43"/>
        <v/>
      </c>
      <c r="Q140" s="73" t="str">
        <f t="shared" si="43"/>
        <v/>
      </c>
      <c r="R140" s="73" t="str">
        <f t="shared" si="44"/>
        <v/>
      </c>
      <c r="S140" s="73" t="str">
        <f t="shared" si="44"/>
        <v/>
      </c>
      <c r="T140" s="73" t="str">
        <f t="shared" si="44"/>
        <v/>
      </c>
      <c r="U140" s="73" t="str">
        <f t="shared" si="44"/>
        <v/>
      </c>
      <c r="V140" s="73" t="str">
        <f t="shared" si="44"/>
        <v/>
      </c>
      <c r="W140" s="73" t="str">
        <f t="shared" si="44"/>
        <v/>
      </c>
      <c r="X140" s="73" t="str">
        <f t="shared" si="44"/>
        <v/>
      </c>
      <c r="Y140" s="73" t="str">
        <f t="shared" si="44"/>
        <v/>
      </c>
      <c r="Z140" s="73" t="str">
        <f t="shared" si="44"/>
        <v/>
      </c>
      <c r="AA140" s="73" t="str">
        <f t="shared" si="44"/>
        <v/>
      </c>
      <c r="AB140" s="74" t="str">
        <f t="shared" si="44"/>
        <v/>
      </c>
      <c r="AC140" s="35" t="str">
        <f t="shared" si="46"/>
        <v/>
      </c>
      <c r="AD140" s="40" t="str">
        <f t="shared" si="47"/>
        <v/>
      </c>
      <c r="AE140" s="37" t="str">
        <f t="shared" si="48"/>
        <v/>
      </c>
      <c r="AF140" s="40" t="str">
        <f t="shared" si="49"/>
        <v/>
      </c>
      <c r="AG140" s="37" t="str">
        <f t="shared" si="50"/>
        <v/>
      </c>
      <c r="AH140" s="40" t="str">
        <f t="shared" si="51"/>
        <v/>
      </c>
      <c r="AI140" s="37" t="str">
        <f t="shared" si="52"/>
        <v/>
      </c>
      <c r="AJ140" s="40" t="str">
        <f t="shared" si="53"/>
        <v/>
      </c>
      <c r="AK140" s="33" t="str">
        <f>IF(SEM!AK140="","",SEM!AK140)</f>
        <v/>
      </c>
      <c r="AL140" s="6"/>
      <c r="AM140" s="79" t="str">
        <f t="shared" si="54"/>
        <v/>
      </c>
      <c r="AN140" s="12"/>
      <c r="AO140" s="12"/>
      <c r="AP140" s="14"/>
      <c r="AQ140" s="16"/>
      <c r="AR140" s="15"/>
      <c r="AU140" s="198"/>
      <c r="AV140" s="198"/>
      <c r="AW140" s="198"/>
      <c r="AX140" s="198"/>
    </row>
    <row r="141" spans="2:50" ht="17.25" customHeight="1" x14ac:dyDescent="0.2">
      <c r="B141" s="6"/>
      <c r="C141" s="49" t="str">
        <f>IF(SEM!C141="","",SEM!C141)</f>
        <v/>
      </c>
      <c r="D141" s="220" t="str">
        <f>IF(C141="","",VLOOKUP(SEM!C141,FROTA!$B$5:$C$305,2,0))</f>
        <v/>
      </c>
      <c r="E141" s="24" t="str">
        <f>IF(C141="","",VLOOKUP(C141,FROTA!$B$5:$N$305,7,0))</f>
        <v/>
      </c>
      <c r="F141" s="38" t="str">
        <f t="shared" si="45"/>
        <v/>
      </c>
      <c r="G141" s="71" t="str">
        <f t="shared" si="55"/>
        <v/>
      </c>
      <c r="H141" s="32" t="str">
        <f t="shared" si="40"/>
        <v/>
      </c>
      <c r="I141" s="73" t="str">
        <f t="shared" si="40"/>
        <v/>
      </c>
      <c r="J141" s="73" t="str">
        <f t="shared" si="40"/>
        <v/>
      </c>
      <c r="K141" s="73" t="str">
        <f t="shared" si="43"/>
        <v/>
      </c>
      <c r="L141" s="73" t="str">
        <f t="shared" si="43"/>
        <v/>
      </c>
      <c r="M141" s="73" t="str">
        <f t="shared" si="43"/>
        <v/>
      </c>
      <c r="N141" s="73" t="str">
        <f t="shared" si="43"/>
        <v/>
      </c>
      <c r="O141" s="73" t="str">
        <f t="shared" si="43"/>
        <v/>
      </c>
      <c r="P141" s="73" t="str">
        <f t="shared" si="43"/>
        <v/>
      </c>
      <c r="Q141" s="73" t="str">
        <f t="shared" si="43"/>
        <v/>
      </c>
      <c r="R141" s="73" t="str">
        <f t="shared" si="44"/>
        <v/>
      </c>
      <c r="S141" s="73" t="str">
        <f t="shared" si="44"/>
        <v/>
      </c>
      <c r="T141" s="73" t="str">
        <f t="shared" si="44"/>
        <v/>
      </c>
      <c r="U141" s="73" t="str">
        <f t="shared" si="44"/>
        <v/>
      </c>
      <c r="V141" s="73" t="str">
        <f t="shared" si="44"/>
        <v/>
      </c>
      <c r="W141" s="73" t="str">
        <f t="shared" si="44"/>
        <v/>
      </c>
      <c r="X141" s="73" t="str">
        <f t="shared" si="44"/>
        <v/>
      </c>
      <c r="Y141" s="73" t="str">
        <f t="shared" si="44"/>
        <v/>
      </c>
      <c r="Z141" s="73" t="str">
        <f t="shared" si="44"/>
        <v/>
      </c>
      <c r="AA141" s="73" t="str">
        <f t="shared" si="44"/>
        <v/>
      </c>
      <c r="AB141" s="74" t="str">
        <f t="shared" si="44"/>
        <v/>
      </c>
      <c r="AC141" s="35" t="str">
        <f t="shared" si="46"/>
        <v/>
      </c>
      <c r="AD141" s="40" t="str">
        <f t="shared" si="47"/>
        <v/>
      </c>
      <c r="AE141" s="37" t="str">
        <f t="shared" si="48"/>
        <v/>
      </c>
      <c r="AF141" s="40" t="str">
        <f t="shared" si="49"/>
        <v/>
      </c>
      <c r="AG141" s="37" t="str">
        <f t="shared" si="50"/>
        <v/>
      </c>
      <c r="AH141" s="40" t="str">
        <f t="shared" si="51"/>
        <v/>
      </c>
      <c r="AI141" s="37" t="str">
        <f t="shared" si="52"/>
        <v/>
      </c>
      <c r="AJ141" s="40" t="str">
        <f t="shared" si="53"/>
        <v/>
      </c>
      <c r="AK141" s="33" t="str">
        <f>IF(SEM!AK141="","",SEM!AK141)</f>
        <v/>
      </c>
      <c r="AL141" s="6"/>
      <c r="AM141" s="79" t="str">
        <f t="shared" si="54"/>
        <v/>
      </c>
      <c r="AN141" s="12"/>
      <c r="AO141" s="12"/>
      <c r="AP141" s="14"/>
      <c r="AQ141" s="16"/>
      <c r="AR141" s="15"/>
      <c r="AU141" s="198"/>
      <c r="AV141" s="198"/>
      <c r="AW141" s="198"/>
      <c r="AX141" s="198"/>
    </row>
    <row r="142" spans="2:50" ht="17.25" customHeight="1" x14ac:dyDescent="0.2">
      <c r="B142" s="6"/>
      <c r="C142" s="49" t="str">
        <f>IF(SEM!C142="","",SEM!C142)</f>
        <v/>
      </c>
      <c r="D142" s="220" t="str">
        <f>IF(C142="","",VLOOKUP(SEM!C142,FROTA!$B$5:$C$305,2,0))</f>
        <v/>
      </c>
      <c r="E142" s="24" t="str">
        <f>IF(C142="","",VLOOKUP(C142,FROTA!$B$5:$N$305,7,0))</f>
        <v/>
      </c>
      <c r="F142" s="38" t="str">
        <f t="shared" si="45"/>
        <v/>
      </c>
      <c r="G142" s="71" t="str">
        <f t="shared" si="55"/>
        <v/>
      </c>
      <c r="H142" s="32" t="str">
        <f t="shared" si="40"/>
        <v/>
      </c>
      <c r="I142" s="73" t="str">
        <f t="shared" si="40"/>
        <v/>
      </c>
      <c r="J142" s="73" t="str">
        <f t="shared" si="40"/>
        <v/>
      </c>
      <c r="K142" s="73" t="str">
        <f t="shared" si="43"/>
        <v/>
      </c>
      <c r="L142" s="73" t="str">
        <f t="shared" si="43"/>
        <v/>
      </c>
      <c r="M142" s="73" t="str">
        <f t="shared" si="43"/>
        <v/>
      </c>
      <c r="N142" s="73" t="str">
        <f t="shared" si="43"/>
        <v/>
      </c>
      <c r="O142" s="73" t="str">
        <f t="shared" si="43"/>
        <v/>
      </c>
      <c r="P142" s="73" t="str">
        <f t="shared" si="43"/>
        <v/>
      </c>
      <c r="Q142" s="73" t="str">
        <f t="shared" si="43"/>
        <v/>
      </c>
      <c r="R142" s="73" t="str">
        <f t="shared" si="44"/>
        <v/>
      </c>
      <c r="S142" s="73" t="str">
        <f t="shared" si="44"/>
        <v/>
      </c>
      <c r="T142" s="73" t="str">
        <f t="shared" si="44"/>
        <v/>
      </c>
      <c r="U142" s="73" t="str">
        <f t="shared" si="44"/>
        <v/>
      </c>
      <c r="V142" s="73" t="str">
        <f t="shared" si="44"/>
        <v/>
      </c>
      <c r="W142" s="73" t="str">
        <f t="shared" si="44"/>
        <v/>
      </c>
      <c r="X142" s="73" t="str">
        <f t="shared" si="44"/>
        <v/>
      </c>
      <c r="Y142" s="73" t="str">
        <f t="shared" si="44"/>
        <v/>
      </c>
      <c r="Z142" s="73" t="str">
        <f t="shared" si="44"/>
        <v/>
      </c>
      <c r="AA142" s="73" t="str">
        <f t="shared" si="44"/>
        <v/>
      </c>
      <c r="AB142" s="74" t="str">
        <f t="shared" si="44"/>
        <v/>
      </c>
      <c r="AC142" s="35" t="str">
        <f t="shared" si="46"/>
        <v/>
      </c>
      <c r="AD142" s="40" t="str">
        <f t="shared" si="47"/>
        <v/>
      </c>
      <c r="AE142" s="37" t="str">
        <f t="shared" si="48"/>
        <v/>
      </c>
      <c r="AF142" s="40" t="str">
        <f t="shared" si="49"/>
        <v/>
      </c>
      <c r="AG142" s="37" t="str">
        <f t="shared" si="50"/>
        <v/>
      </c>
      <c r="AH142" s="40" t="str">
        <f t="shared" si="51"/>
        <v/>
      </c>
      <c r="AI142" s="37" t="str">
        <f t="shared" si="52"/>
        <v/>
      </c>
      <c r="AJ142" s="40" t="str">
        <f t="shared" si="53"/>
        <v/>
      </c>
      <c r="AK142" s="33" t="str">
        <f>IF(SEM!AK142="","",SEM!AK142)</f>
        <v/>
      </c>
      <c r="AL142" s="6"/>
      <c r="AM142" s="79" t="str">
        <f t="shared" si="54"/>
        <v/>
      </c>
      <c r="AN142" s="12"/>
      <c r="AO142" s="12"/>
      <c r="AP142" s="14"/>
      <c r="AQ142" s="16"/>
      <c r="AR142" s="15"/>
      <c r="AU142" s="198"/>
      <c r="AV142" s="198"/>
      <c r="AW142" s="198"/>
      <c r="AX142" s="198"/>
    </row>
    <row r="143" spans="2:50" ht="17.25" customHeight="1" x14ac:dyDescent="0.2">
      <c r="B143" s="6"/>
      <c r="C143" s="49" t="str">
        <f>IF(SEM!C143="","",SEM!C143)</f>
        <v/>
      </c>
      <c r="D143" s="220" t="str">
        <f>IF(C143="","",VLOOKUP(SEM!C143,FROTA!$B$5:$C$305,2,0))</f>
        <v/>
      </c>
      <c r="E143" s="24" t="str">
        <f>IF(C143="","",VLOOKUP(C143,FROTA!$B$5:$N$305,7,0))</f>
        <v/>
      </c>
      <c r="F143" s="38" t="str">
        <f t="shared" si="45"/>
        <v/>
      </c>
      <c r="G143" s="71" t="str">
        <f t="shared" si="55"/>
        <v/>
      </c>
      <c r="H143" s="32" t="str">
        <f t="shared" si="40"/>
        <v/>
      </c>
      <c r="I143" s="73" t="str">
        <f t="shared" si="40"/>
        <v/>
      </c>
      <c r="J143" s="73" t="str">
        <f t="shared" si="40"/>
        <v/>
      </c>
      <c r="K143" s="73" t="str">
        <f t="shared" si="43"/>
        <v/>
      </c>
      <c r="L143" s="73" t="str">
        <f t="shared" si="43"/>
        <v/>
      </c>
      <c r="M143" s="73" t="str">
        <f t="shared" si="43"/>
        <v/>
      </c>
      <c r="N143" s="73" t="str">
        <f t="shared" si="43"/>
        <v/>
      </c>
      <c r="O143" s="73" t="str">
        <f t="shared" si="43"/>
        <v/>
      </c>
      <c r="P143" s="73" t="str">
        <f t="shared" si="43"/>
        <v/>
      </c>
      <c r="Q143" s="73" t="str">
        <f t="shared" si="43"/>
        <v/>
      </c>
      <c r="R143" s="73" t="str">
        <f t="shared" si="44"/>
        <v/>
      </c>
      <c r="S143" s="73" t="str">
        <f t="shared" si="44"/>
        <v/>
      </c>
      <c r="T143" s="73" t="str">
        <f t="shared" si="44"/>
        <v/>
      </c>
      <c r="U143" s="73" t="str">
        <f t="shared" si="44"/>
        <v/>
      </c>
      <c r="V143" s="73" t="str">
        <f t="shared" si="44"/>
        <v/>
      </c>
      <c r="W143" s="73" t="str">
        <f t="shared" si="44"/>
        <v/>
      </c>
      <c r="X143" s="73" t="str">
        <f t="shared" si="44"/>
        <v/>
      </c>
      <c r="Y143" s="73" t="str">
        <f t="shared" si="44"/>
        <v/>
      </c>
      <c r="Z143" s="73" t="str">
        <f t="shared" si="44"/>
        <v/>
      </c>
      <c r="AA143" s="73" t="str">
        <f t="shared" si="44"/>
        <v/>
      </c>
      <c r="AB143" s="74" t="str">
        <f t="shared" si="44"/>
        <v/>
      </c>
      <c r="AC143" s="35" t="str">
        <f t="shared" si="46"/>
        <v/>
      </c>
      <c r="AD143" s="40" t="str">
        <f t="shared" si="47"/>
        <v/>
      </c>
      <c r="AE143" s="37" t="str">
        <f t="shared" si="48"/>
        <v/>
      </c>
      <c r="AF143" s="40" t="str">
        <f t="shared" si="49"/>
        <v/>
      </c>
      <c r="AG143" s="37" t="str">
        <f t="shared" si="50"/>
        <v/>
      </c>
      <c r="AH143" s="40" t="str">
        <f t="shared" si="51"/>
        <v/>
      </c>
      <c r="AI143" s="37" t="str">
        <f t="shared" si="52"/>
        <v/>
      </c>
      <c r="AJ143" s="40" t="str">
        <f t="shared" si="53"/>
        <v/>
      </c>
      <c r="AK143" s="33" t="str">
        <f>IF(SEM!AK143="","",SEM!AK143)</f>
        <v/>
      </c>
      <c r="AL143" s="6"/>
      <c r="AM143" s="79" t="str">
        <f t="shared" si="54"/>
        <v/>
      </c>
      <c r="AN143" s="12"/>
      <c r="AO143" s="12"/>
      <c r="AP143" s="14"/>
      <c r="AQ143" s="16"/>
      <c r="AR143" s="15"/>
      <c r="AU143" s="198"/>
      <c r="AV143" s="198"/>
      <c r="AW143" s="198"/>
      <c r="AX143" s="198"/>
    </row>
    <row r="144" spans="2:50" ht="17.25" customHeight="1" x14ac:dyDescent="0.2">
      <c r="B144" s="6"/>
      <c r="C144" s="49" t="str">
        <f>IF(SEM!C144="","",SEM!C144)</f>
        <v/>
      </c>
      <c r="D144" s="220" t="str">
        <f>IF(C144="","",VLOOKUP(SEM!C144,FROTA!$B$5:$C$305,2,0))</f>
        <v/>
      </c>
      <c r="E144" s="24" t="str">
        <f>IF(C144="","",VLOOKUP(C144,FROTA!$B$5:$N$305,7,0))</f>
        <v/>
      </c>
      <c r="F144" s="38" t="str">
        <f t="shared" si="45"/>
        <v/>
      </c>
      <c r="G144" s="71" t="str">
        <f t="shared" si="55"/>
        <v/>
      </c>
      <c r="H144" s="32" t="str">
        <f t="shared" si="40"/>
        <v/>
      </c>
      <c r="I144" s="73" t="str">
        <f t="shared" si="40"/>
        <v/>
      </c>
      <c r="J144" s="73" t="str">
        <f t="shared" si="40"/>
        <v/>
      </c>
      <c r="K144" s="73" t="str">
        <f t="shared" si="43"/>
        <v/>
      </c>
      <c r="L144" s="73" t="str">
        <f t="shared" si="43"/>
        <v/>
      </c>
      <c r="M144" s="73" t="str">
        <f t="shared" si="43"/>
        <v/>
      </c>
      <c r="N144" s="73" t="str">
        <f t="shared" si="43"/>
        <v/>
      </c>
      <c r="O144" s="73" t="str">
        <f t="shared" si="43"/>
        <v/>
      </c>
      <c r="P144" s="73" t="str">
        <f t="shared" si="43"/>
        <v/>
      </c>
      <c r="Q144" s="73" t="str">
        <f t="shared" si="43"/>
        <v/>
      </c>
      <c r="R144" s="73" t="str">
        <f t="shared" si="44"/>
        <v/>
      </c>
      <c r="S144" s="73" t="str">
        <f t="shared" si="44"/>
        <v/>
      </c>
      <c r="T144" s="73" t="str">
        <f t="shared" si="44"/>
        <v/>
      </c>
      <c r="U144" s="73" t="str">
        <f t="shared" si="44"/>
        <v/>
      </c>
      <c r="V144" s="73" t="str">
        <f t="shared" si="44"/>
        <v/>
      </c>
      <c r="W144" s="73" t="str">
        <f t="shared" si="44"/>
        <v/>
      </c>
      <c r="X144" s="73" t="str">
        <f t="shared" si="44"/>
        <v/>
      </c>
      <c r="Y144" s="73" t="str">
        <f t="shared" si="44"/>
        <v/>
      </c>
      <c r="Z144" s="73" t="str">
        <f t="shared" si="44"/>
        <v/>
      </c>
      <c r="AA144" s="73" t="str">
        <f t="shared" si="44"/>
        <v/>
      </c>
      <c r="AB144" s="74" t="str">
        <f t="shared" si="44"/>
        <v/>
      </c>
      <c r="AC144" s="35" t="str">
        <f t="shared" si="46"/>
        <v/>
      </c>
      <c r="AD144" s="40" t="str">
        <f t="shared" si="47"/>
        <v/>
      </c>
      <c r="AE144" s="37" t="str">
        <f t="shared" si="48"/>
        <v/>
      </c>
      <c r="AF144" s="40" t="str">
        <f t="shared" si="49"/>
        <v/>
      </c>
      <c r="AG144" s="37" t="str">
        <f t="shared" si="50"/>
        <v/>
      </c>
      <c r="AH144" s="40" t="str">
        <f t="shared" si="51"/>
        <v/>
      </c>
      <c r="AI144" s="37" t="str">
        <f t="shared" si="52"/>
        <v/>
      </c>
      <c r="AJ144" s="40" t="str">
        <f t="shared" si="53"/>
        <v/>
      </c>
      <c r="AK144" s="33" t="str">
        <f>IF(SEM!AK144="","",SEM!AK144)</f>
        <v/>
      </c>
      <c r="AL144" s="6"/>
      <c r="AM144" s="79" t="str">
        <f t="shared" si="54"/>
        <v/>
      </c>
      <c r="AN144" s="12"/>
      <c r="AO144" s="12"/>
      <c r="AP144" s="14"/>
      <c r="AQ144" s="16"/>
      <c r="AR144" s="15"/>
      <c r="AU144" s="198"/>
      <c r="AV144" s="198"/>
      <c r="AW144" s="198"/>
      <c r="AX144" s="198"/>
    </row>
    <row r="145" spans="2:50" ht="17.25" customHeight="1" x14ac:dyDescent="0.2">
      <c r="B145" s="6"/>
      <c r="C145" s="49" t="str">
        <f>IF(SEM!C145="","",SEM!C145)</f>
        <v/>
      </c>
      <c r="D145" s="220" t="str">
        <f>IF(C145="","",VLOOKUP(SEM!C145,FROTA!$B$5:$C$305,2,0))</f>
        <v/>
      </c>
      <c r="E145" s="24" t="str">
        <f>IF(C145="","",VLOOKUP(C145,FROTA!$B$5:$N$305,7,0))</f>
        <v/>
      </c>
      <c r="F145" s="38" t="str">
        <f t="shared" si="45"/>
        <v/>
      </c>
      <c r="G145" s="71" t="str">
        <f t="shared" si="55"/>
        <v/>
      </c>
      <c r="H145" s="32" t="str">
        <f t="shared" si="40"/>
        <v/>
      </c>
      <c r="I145" s="73" t="str">
        <f t="shared" si="40"/>
        <v/>
      </c>
      <c r="J145" s="73" t="str">
        <f t="shared" si="40"/>
        <v/>
      </c>
      <c r="K145" s="73" t="str">
        <f t="shared" si="43"/>
        <v/>
      </c>
      <c r="L145" s="73" t="str">
        <f t="shared" si="43"/>
        <v/>
      </c>
      <c r="M145" s="73" t="str">
        <f t="shared" si="43"/>
        <v/>
      </c>
      <c r="N145" s="73" t="str">
        <f t="shared" si="43"/>
        <v/>
      </c>
      <c r="O145" s="73" t="str">
        <f t="shared" si="43"/>
        <v/>
      </c>
      <c r="P145" s="73" t="str">
        <f t="shared" si="43"/>
        <v/>
      </c>
      <c r="Q145" s="73" t="str">
        <f t="shared" si="43"/>
        <v/>
      </c>
      <c r="R145" s="73" t="str">
        <f t="shared" si="44"/>
        <v/>
      </c>
      <c r="S145" s="73" t="str">
        <f t="shared" si="44"/>
        <v/>
      </c>
      <c r="T145" s="73" t="str">
        <f t="shared" si="44"/>
        <v/>
      </c>
      <c r="U145" s="73" t="str">
        <f t="shared" si="44"/>
        <v/>
      </c>
      <c r="V145" s="73" t="str">
        <f t="shared" si="44"/>
        <v/>
      </c>
      <c r="W145" s="73" t="str">
        <f t="shared" si="44"/>
        <v/>
      </c>
      <c r="X145" s="73" t="str">
        <f t="shared" si="44"/>
        <v/>
      </c>
      <c r="Y145" s="73" t="str">
        <f t="shared" si="44"/>
        <v/>
      </c>
      <c r="Z145" s="73" t="str">
        <f t="shared" si="44"/>
        <v/>
      </c>
      <c r="AA145" s="73" t="str">
        <f t="shared" si="44"/>
        <v/>
      </c>
      <c r="AB145" s="74" t="str">
        <f t="shared" si="44"/>
        <v/>
      </c>
      <c r="AC145" s="35" t="str">
        <f t="shared" si="46"/>
        <v/>
      </c>
      <c r="AD145" s="40" t="str">
        <f t="shared" si="47"/>
        <v/>
      </c>
      <c r="AE145" s="37" t="str">
        <f t="shared" si="48"/>
        <v/>
      </c>
      <c r="AF145" s="40" t="str">
        <f t="shared" si="49"/>
        <v/>
      </c>
      <c r="AG145" s="37" t="str">
        <f t="shared" si="50"/>
        <v/>
      </c>
      <c r="AH145" s="40" t="str">
        <f t="shared" si="51"/>
        <v/>
      </c>
      <c r="AI145" s="37" t="str">
        <f t="shared" si="52"/>
        <v/>
      </c>
      <c r="AJ145" s="40" t="str">
        <f t="shared" si="53"/>
        <v/>
      </c>
      <c r="AK145" s="33" t="str">
        <f>IF(SEM!AK145="","",SEM!AK145)</f>
        <v/>
      </c>
      <c r="AL145" s="6"/>
      <c r="AM145" s="79" t="str">
        <f t="shared" si="54"/>
        <v/>
      </c>
      <c r="AN145" s="12"/>
      <c r="AO145" s="12"/>
      <c r="AP145" s="14"/>
      <c r="AQ145" s="16"/>
      <c r="AR145" s="15"/>
      <c r="AU145" s="198"/>
      <c r="AV145" s="198"/>
      <c r="AW145" s="198"/>
      <c r="AX145" s="198"/>
    </row>
    <row r="146" spans="2:50" ht="17.25" customHeight="1" x14ac:dyDescent="0.2">
      <c r="B146" s="6"/>
      <c r="C146" s="49" t="str">
        <f>IF(SEM!C146="","",SEM!C146)</f>
        <v/>
      </c>
      <c r="D146" s="220" t="str">
        <f>IF(C146="","",VLOOKUP(SEM!C146,FROTA!$B$5:$C$305,2,0))</f>
        <v/>
      </c>
      <c r="E146" s="24" t="str">
        <f>IF(C146="","",VLOOKUP(C146,FROTA!$B$5:$N$305,7,0))</f>
        <v/>
      </c>
      <c r="F146" s="38" t="str">
        <f t="shared" si="45"/>
        <v/>
      </c>
      <c r="G146" s="71" t="str">
        <f t="shared" si="55"/>
        <v/>
      </c>
      <c r="H146" s="32" t="str">
        <f t="shared" si="40"/>
        <v/>
      </c>
      <c r="I146" s="73" t="str">
        <f t="shared" si="40"/>
        <v/>
      </c>
      <c r="J146" s="73" t="str">
        <f t="shared" si="40"/>
        <v/>
      </c>
      <c r="K146" s="73" t="str">
        <f t="shared" si="43"/>
        <v/>
      </c>
      <c r="L146" s="73" t="str">
        <f t="shared" si="43"/>
        <v/>
      </c>
      <c r="M146" s="73" t="str">
        <f t="shared" si="43"/>
        <v/>
      </c>
      <c r="N146" s="73" t="str">
        <f t="shared" si="43"/>
        <v/>
      </c>
      <c r="O146" s="73" t="str">
        <f t="shared" si="43"/>
        <v/>
      </c>
      <c r="P146" s="73" t="str">
        <f t="shared" si="43"/>
        <v/>
      </c>
      <c r="Q146" s="73" t="str">
        <f t="shared" si="43"/>
        <v/>
      </c>
      <c r="R146" s="73" t="str">
        <f t="shared" si="44"/>
        <v/>
      </c>
      <c r="S146" s="73" t="str">
        <f t="shared" si="44"/>
        <v/>
      </c>
      <c r="T146" s="73" t="str">
        <f t="shared" si="44"/>
        <v/>
      </c>
      <c r="U146" s="73" t="str">
        <f t="shared" si="44"/>
        <v/>
      </c>
      <c r="V146" s="73" t="str">
        <f t="shared" si="44"/>
        <v/>
      </c>
      <c r="W146" s="73" t="str">
        <f t="shared" si="44"/>
        <v/>
      </c>
      <c r="X146" s="73" t="str">
        <f t="shared" si="44"/>
        <v/>
      </c>
      <c r="Y146" s="73" t="str">
        <f t="shared" si="44"/>
        <v/>
      </c>
      <c r="Z146" s="73" t="str">
        <f t="shared" si="44"/>
        <v/>
      </c>
      <c r="AA146" s="73" t="str">
        <f t="shared" si="44"/>
        <v/>
      </c>
      <c r="AB146" s="74" t="str">
        <f t="shared" si="44"/>
        <v/>
      </c>
      <c r="AC146" s="35" t="str">
        <f t="shared" si="46"/>
        <v/>
      </c>
      <c r="AD146" s="40" t="str">
        <f t="shared" si="47"/>
        <v/>
      </c>
      <c r="AE146" s="37" t="str">
        <f t="shared" si="48"/>
        <v/>
      </c>
      <c r="AF146" s="40" t="str">
        <f t="shared" si="49"/>
        <v/>
      </c>
      <c r="AG146" s="37" t="str">
        <f t="shared" si="50"/>
        <v/>
      </c>
      <c r="AH146" s="40" t="str">
        <f t="shared" si="51"/>
        <v/>
      </c>
      <c r="AI146" s="37" t="str">
        <f t="shared" si="52"/>
        <v/>
      </c>
      <c r="AJ146" s="40" t="str">
        <f t="shared" si="53"/>
        <v/>
      </c>
      <c r="AK146" s="33" t="str">
        <f>IF(SEM!AK146="","",SEM!AK146)</f>
        <v/>
      </c>
      <c r="AL146" s="6"/>
      <c r="AM146" s="79" t="str">
        <f t="shared" si="54"/>
        <v/>
      </c>
      <c r="AN146" s="12"/>
      <c r="AO146" s="12"/>
      <c r="AP146" s="14"/>
      <c r="AQ146" s="16"/>
      <c r="AR146" s="15"/>
      <c r="AU146" s="198"/>
      <c r="AV146" s="198"/>
      <c r="AW146" s="198"/>
      <c r="AX146" s="198"/>
    </row>
    <row r="147" spans="2:50" ht="17.25" customHeight="1" x14ac:dyDescent="0.2">
      <c r="B147" s="6"/>
      <c r="C147" s="49" t="str">
        <f>IF(SEM!C147="","",SEM!C147)</f>
        <v/>
      </c>
      <c r="D147" s="220" t="str">
        <f>IF(C147="","",VLOOKUP(SEM!C147,FROTA!$B$5:$C$305,2,0))</f>
        <v/>
      </c>
      <c r="E147" s="24" t="str">
        <f>IF(C147="","",VLOOKUP(C147,FROTA!$B$5:$N$305,7,0))</f>
        <v/>
      </c>
      <c r="F147" s="38" t="str">
        <f t="shared" si="45"/>
        <v/>
      </c>
      <c r="G147" s="71" t="str">
        <f t="shared" si="55"/>
        <v/>
      </c>
      <c r="H147" s="32" t="str">
        <f t="shared" si="40"/>
        <v/>
      </c>
      <c r="I147" s="73" t="str">
        <f t="shared" si="40"/>
        <v/>
      </c>
      <c r="J147" s="73" t="str">
        <f t="shared" si="40"/>
        <v/>
      </c>
      <c r="K147" s="73" t="str">
        <f t="shared" si="43"/>
        <v/>
      </c>
      <c r="L147" s="73" t="str">
        <f t="shared" si="43"/>
        <v/>
      </c>
      <c r="M147" s="73" t="str">
        <f t="shared" si="43"/>
        <v/>
      </c>
      <c r="N147" s="73" t="str">
        <f t="shared" si="43"/>
        <v/>
      </c>
      <c r="O147" s="73" t="str">
        <f t="shared" si="43"/>
        <v/>
      </c>
      <c r="P147" s="73" t="str">
        <f t="shared" si="43"/>
        <v/>
      </c>
      <c r="Q147" s="73" t="str">
        <f t="shared" si="43"/>
        <v/>
      </c>
      <c r="R147" s="73" t="str">
        <f t="shared" si="44"/>
        <v/>
      </c>
      <c r="S147" s="73" t="str">
        <f t="shared" si="44"/>
        <v/>
      </c>
      <c r="T147" s="73" t="str">
        <f t="shared" si="44"/>
        <v/>
      </c>
      <c r="U147" s="73" t="str">
        <f t="shared" si="44"/>
        <v/>
      </c>
      <c r="V147" s="73" t="str">
        <f t="shared" si="44"/>
        <v/>
      </c>
      <c r="W147" s="73" t="str">
        <f t="shared" si="44"/>
        <v/>
      </c>
      <c r="X147" s="73" t="str">
        <f t="shared" si="44"/>
        <v/>
      </c>
      <c r="Y147" s="73" t="str">
        <f t="shared" si="44"/>
        <v/>
      </c>
      <c r="Z147" s="73" t="str">
        <f t="shared" si="44"/>
        <v/>
      </c>
      <c r="AA147" s="73" t="str">
        <f t="shared" si="44"/>
        <v/>
      </c>
      <c r="AB147" s="74" t="str">
        <f t="shared" si="44"/>
        <v/>
      </c>
      <c r="AC147" s="35" t="str">
        <f t="shared" si="46"/>
        <v/>
      </c>
      <c r="AD147" s="40" t="str">
        <f t="shared" si="47"/>
        <v/>
      </c>
      <c r="AE147" s="37" t="str">
        <f t="shared" si="48"/>
        <v/>
      </c>
      <c r="AF147" s="40" t="str">
        <f t="shared" si="49"/>
        <v/>
      </c>
      <c r="AG147" s="37" t="str">
        <f t="shared" si="50"/>
        <v/>
      </c>
      <c r="AH147" s="40" t="str">
        <f t="shared" si="51"/>
        <v/>
      </c>
      <c r="AI147" s="37" t="str">
        <f t="shared" si="52"/>
        <v/>
      </c>
      <c r="AJ147" s="40" t="str">
        <f t="shared" si="53"/>
        <v/>
      </c>
      <c r="AK147" s="33" t="str">
        <f>IF(SEM!AK147="","",SEM!AK147)</f>
        <v/>
      </c>
      <c r="AL147" s="6"/>
      <c r="AM147" s="79" t="str">
        <f t="shared" si="54"/>
        <v/>
      </c>
      <c r="AN147" s="12"/>
      <c r="AO147" s="12"/>
      <c r="AP147" s="14"/>
      <c r="AQ147" s="16"/>
      <c r="AR147" s="15"/>
      <c r="AU147" s="198"/>
      <c r="AV147" s="198"/>
      <c r="AW147" s="198"/>
      <c r="AX147" s="198"/>
    </row>
    <row r="148" spans="2:50" ht="17.25" customHeight="1" x14ac:dyDescent="0.2">
      <c r="B148" s="6"/>
      <c r="C148" s="49" t="str">
        <f>IF(SEM!C148="","",SEM!C148)</f>
        <v/>
      </c>
      <c r="D148" s="220" t="str">
        <f>IF(C148="","",VLOOKUP(SEM!C148,FROTA!$B$5:$C$305,2,0))</f>
        <v/>
      </c>
      <c r="E148" s="24" t="str">
        <f>IF(C148="","",VLOOKUP(C148,FROTA!$B$5:$N$305,7,0))</f>
        <v/>
      </c>
      <c r="F148" s="38" t="str">
        <f t="shared" si="45"/>
        <v/>
      </c>
      <c r="G148" s="71" t="str">
        <f t="shared" si="55"/>
        <v/>
      </c>
      <c r="H148" s="32" t="str">
        <f t="shared" si="40"/>
        <v/>
      </c>
      <c r="I148" s="73" t="str">
        <f t="shared" si="40"/>
        <v/>
      </c>
      <c r="J148" s="73" t="str">
        <f t="shared" si="40"/>
        <v/>
      </c>
      <c r="K148" s="73" t="str">
        <f t="shared" si="43"/>
        <v/>
      </c>
      <c r="L148" s="73" t="str">
        <f t="shared" si="43"/>
        <v/>
      </c>
      <c r="M148" s="73" t="str">
        <f t="shared" si="43"/>
        <v/>
      </c>
      <c r="N148" s="73" t="str">
        <f t="shared" si="43"/>
        <v/>
      </c>
      <c r="O148" s="73" t="str">
        <f t="shared" si="43"/>
        <v/>
      </c>
      <c r="P148" s="73" t="str">
        <f t="shared" si="43"/>
        <v/>
      </c>
      <c r="Q148" s="73" t="str">
        <f t="shared" si="43"/>
        <v/>
      </c>
      <c r="R148" s="73" t="str">
        <f t="shared" si="44"/>
        <v/>
      </c>
      <c r="S148" s="73" t="str">
        <f t="shared" si="44"/>
        <v/>
      </c>
      <c r="T148" s="73" t="str">
        <f t="shared" si="44"/>
        <v/>
      </c>
      <c r="U148" s="73" t="str">
        <f t="shared" si="44"/>
        <v/>
      </c>
      <c r="V148" s="73" t="str">
        <f t="shared" si="44"/>
        <v/>
      </c>
      <c r="W148" s="73" t="str">
        <f t="shared" si="44"/>
        <v/>
      </c>
      <c r="X148" s="73" t="str">
        <f t="shared" si="44"/>
        <v/>
      </c>
      <c r="Y148" s="73" t="str">
        <f t="shared" si="44"/>
        <v/>
      </c>
      <c r="Z148" s="73" t="str">
        <f t="shared" si="44"/>
        <v/>
      </c>
      <c r="AA148" s="73" t="str">
        <f t="shared" si="44"/>
        <v/>
      </c>
      <c r="AB148" s="74" t="str">
        <f t="shared" si="44"/>
        <v/>
      </c>
      <c r="AC148" s="35" t="str">
        <f t="shared" si="46"/>
        <v/>
      </c>
      <c r="AD148" s="40" t="str">
        <f t="shared" si="47"/>
        <v/>
      </c>
      <c r="AE148" s="37" t="str">
        <f t="shared" si="48"/>
        <v/>
      </c>
      <c r="AF148" s="40" t="str">
        <f t="shared" si="49"/>
        <v/>
      </c>
      <c r="AG148" s="37" t="str">
        <f t="shared" si="50"/>
        <v/>
      </c>
      <c r="AH148" s="40" t="str">
        <f t="shared" si="51"/>
        <v/>
      </c>
      <c r="AI148" s="37" t="str">
        <f t="shared" si="52"/>
        <v/>
      </c>
      <c r="AJ148" s="40" t="str">
        <f t="shared" si="53"/>
        <v/>
      </c>
      <c r="AK148" s="33" t="str">
        <f>IF(SEM!AK148="","",SEM!AK148)</f>
        <v/>
      </c>
      <c r="AL148" s="6"/>
      <c r="AM148" s="79" t="str">
        <f t="shared" si="54"/>
        <v/>
      </c>
      <c r="AN148" s="12"/>
      <c r="AO148" s="12"/>
      <c r="AP148" s="14"/>
      <c r="AQ148" s="16"/>
      <c r="AR148" s="15"/>
      <c r="AU148" s="198"/>
      <c r="AV148" s="198"/>
      <c r="AW148" s="198"/>
      <c r="AX148" s="198"/>
    </row>
    <row r="149" spans="2:50" ht="17.25" customHeight="1" x14ac:dyDescent="0.2">
      <c r="B149" s="6"/>
      <c r="C149" s="49" t="str">
        <f>IF(SEM!C149="","",SEM!C149)</f>
        <v/>
      </c>
      <c r="D149" s="220" t="str">
        <f>IF(C149="","",VLOOKUP(SEM!C149,FROTA!$B$5:$C$305,2,0))</f>
        <v/>
      </c>
      <c r="E149" s="24" t="str">
        <f>IF(C149="","",VLOOKUP(C149,FROTA!$B$5:$N$305,7,0))</f>
        <v/>
      </c>
      <c r="F149" s="38" t="str">
        <f t="shared" si="45"/>
        <v/>
      </c>
      <c r="G149" s="71" t="str">
        <f t="shared" si="55"/>
        <v/>
      </c>
      <c r="H149" s="32" t="str">
        <f t="shared" si="40"/>
        <v/>
      </c>
      <c r="I149" s="73" t="str">
        <f t="shared" si="40"/>
        <v/>
      </c>
      <c r="J149" s="73" t="str">
        <f t="shared" si="40"/>
        <v/>
      </c>
      <c r="K149" s="73" t="str">
        <f t="shared" si="43"/>
        <v/>
      </c>
      <c r="L149" s="73" t="str">
        <f t="shared" si="43"/>
        <v/>
      </c>
      <c r="M149" s="73" t="str">
        <f t="shared" si="43"/>
        <v/>
      </c>
      <c r="N149" s="73" t="str">
        <f t="shared" si="43"/>
        <v/>
      </c>
      <c r="O149" s="73" t="str">
        <f t="shared" si="43"/>
        <v/>
      </c>
      <c r="P149" s="73" t="str">
        <f t="shared" si="43"/>
        <v/>
      </c>
      <c r="Q149" s="73" t="str">
        <f t="shared" si="43"/>
        <v/>
      </c>
      <c r="R149" s="73" t="str">
        <f t="shared" si="44"/>
        <v/>
      </c>
      <c r="S149" s="73" t="str">
        <f t="shared" si="44"/>
        <v/>
      </c>
      <c r="T149" s="73" t="str">
        <f t="shared" si="44"/>
        <v/>
      </c>
      <c r="U149" s="73" t="str">
        <f t="shared" si="44"/>
        <v/>
      </c>
      <c r="V149" s="73" t="str">
        <f t="shared" si="44"/>
        <v/>
      </c>
      <c r="W149" s="73" t="str">
        <f t="shared" si="44"/>
        <v/>
      </c>
      <c r="X149" s="73" t="str">
        <f t="shared" si="44"/>
        <v/>
      </c>
      <c r="Y149" s="73" t="str">
        <f t="shared" si="44"/>
        <v/>
      </c>
      <c r="Z149" s="73" t="str">
        <f t="shared" si="44"/>
        <v/>
      </c>
      <c r="AA149" s="73" t="str">
        <f t="shared" si="44"/>
        <v/>
      </c>
      <c r="AB149" s="74" t="str">
        <f t="shared" si="44"/>
        <v/>
      </c>
      <c r="AC149" s="35" t="str">
        <f t="shared" si="46"/>
        <v/>
      </c>
      <c r="AD149" s="40" t="str">
        <f t="shared" si="47"/>
        <v/>
      </c>
      <c r="AE149" s="37" t="str">
        <f t="shared" si="48"/>
        <v/>
      </c>
      <c r="AF149" s="40" t="str">
        <f t="shared" si="49"/>
        <v/>
      </c>
      <c r="AG149" s="37" t="str">
        <f t="shared" si="50"/>
        <v/>
      </c>
      <c r="AH149" s="40" t="str">
        <f t="shared" si="51"/>
        <v/>
      </c>
      <c r="AI149" s="37" t="str">
        <f t="shared" si="52"/>
        <v/>
      </c>
      <c r="AJ149" s="40" t="str">
        <f t="shared" si="53"/>
        <v/>
      </c>
      <c r="AK149" s="33" t="str">
        <f>IF(SEM!AK149="","",SEM!AK149)</f>
        <v/>
      </c>
      <c r="AL149" s="6"/>
      <c r="AM149" s="79" t="str">
        <f t="shared" si="54"/>
        <v/>
      </c>
      <c r="AN149" s="12"/>
      <c r="AO149" s="12"/>
      <c r="AP149" s="14"/>
      <c r="AQ149" s="16"/>
      <c r="AR149" s="15"/>
      <c r="AU149" s="198"/>
      <c r="AV149" s="198"/>
      <c r="AW149" s="198"/>
      <c r="AX149" s="198"/>
    </row>
    <row r="150" spans="2:50" ht="17.25" customHeight="1" x14ac:dyDescent="0.2">
      <c r="B150" s="6"/>
      <c r="C150" s="49" t="str">
        <f>IF(SEM!C150="","",SEM!C150)</f>
        <v/>
      </c>
      <c r="D150" s="220" t="str">
        <f>IF(C150="","",VLOOKUP(SEM!C150,FROTA!$B$5:$C$305,2,0))</f>
        <v/>
      </c>
      <c r="E150" s="24" t="str">
        <f>IF(C150="","",VLOOKUP(C150,FROTA!$B$5:$N$305,7,0))</f>
        <v/>
      </c>
      <c r="F150" s="38" t="str">
        <f t="shared" si="45"/>
        <v/>
      </c>
      <c r="G150" s="71" t="str">
        <f t="shared" si="55"/>
        <v/>
      </c>
      <c r="H150" s="32" t="str">
        <f t="shared" si="40"/>
        <v/>
      </c>
      <c r="I150" s="73" t="str">
        <f t="shared" si="40"/>
        <v/>
      </c>
      <c r="J150" s="73" t="str">
        <f t="shared" si="40"/>
        <v/>
      </c>
      <c r="K150" s="73" t="str">
        <f t="shared" si="43"/>
        <v/>
      </c>
      <c r="L150" s="73" t="str">
        <f t="shared" si="43"/>
        <v/>
      </c>
      <c r="M150" s="73" t="str">
        <f t="shared" si="43"/>
        <v/>
      </c>
      <c r="N150" s="73" t="str">
        <f t="shared" si="43"/>
        <v/>
      </c>
      <c r="O150" s="73" t="str">
        <f t="shared" si="43"/>
        <v/>
      </c>
      <c r="P150" s="73" t="str">
        <f t="shared" si="43"/>
        <v/>
      </c>
      <c r="Q150" s="73" t="str">
        <f t="shared" si="43"/>
        <v/>
      </c>
      <c r="R150" s="73" t="str">
        <f t="shared" si="44"/>
        <v/>
      </c>
      <c r="S150" s="73" t="str">
        <f t="shared" si="44"/>
        <v/>
      </c>
      <c r="T150" s="73" t="str">
        <f t="shared" si="44"/>
        <v/>
      </c>
      <c r="U150" s="73" t="str">
        <f t="shared" si="44"/>
        <v/>
      </c>
      <c r="V150" s="73" t="str">
        <f t="shared" si="44"/>
        <v/>
      </c>
      <c r="W150" s="73" t="str">
        <f t="shared" si="44"/>
        <v/>
      </c>
      <c r="X150" s="73" t="str">
        <f t="shared" si="44"/>
        <v/>
      </c>
      <c r="Y150" s="73" t="str">
        <f t="shared" si="44"/>
        <v/>
      </c>
      <c r="Z150" s="73" t="str">
        <f t="shared" si="44"/>
        <v/>
      </c>
      <c r="AA150" s="73" t="str">
        <f t="shared" si="44"/>
        <v/>
      </c>
      <c r="AB150" s="74" t="str">
        <f t="shared" si="44"/>
        <v/>
      </c>
      <c r="AC150" s="35" t="str">
        <f t="shared" si="46"/>
        <v/>
      </c>
      <c r="AD150" s="40" t="str">
        <f t="shared" si="47"/>
        <v/>
      </c>
      <c r="AE150" s="37" t="str">
        <f t="shared" si="48"/>
        <v/>
      </c>
      <c r="AF150" s="40" t="str">
        <f t="shared" si="49"/>
        <v/>
      </c>
      <c r="AG150" s="37" t="str">
        <f t="shared" si="50"/>
        <v/>
      </c>
      <c r="AH150" s="40" t="str">
        <f t="shared" si="51"/>
        <v/>
      </c>
      <c r="AI150" s="37" t="str">
        <f t="shared" si="52"/>
        <v/>
      </c>
      <c r="AJ150" s="40" t="str">
        <f t="shared" si="53"/>
        <v/>
      </c>
      <c r="AK150" s="33" t="str">
        <f>IF(SEM!AK150="","",SEM!AK150)</f>
        <v/>
      </c>
      <c r="AL150" s="6"/>
      <c r="AM150" s="79" t="str">
        <f t="shared" si="54"/>
        <v/>
      </c>
      <c r="AN150" s="12"/>
      <c r="AO150" s="12"/>
      <c r="AP150" s="14"/>
      <c r="AQ150" s="16"/>
      <c r="AR150" s="15"/>
      <c r="AU150" s="198"/>
      <c r="AV150" s="198"/>
      <c r="AW150" s="198"/>
      <c r="AX150" s="198"/>
    </row>
    <row r="151" spans="2:50" ht="17.25" customHeight="1" x14ac:dyDescent="0.2">
      <c r="B151" s="6"/>
      <c r="C151" s="49" t="str">
        <f>IF(SEM!C151="","",SEM!C151)</f>
        <v/>
      </c>
      <c r="D151" s="220" t="str">
        <f>IF(C151="","",VLOOKUP(SEM!C151,FROTA!$B$5:$C$305,2,0))</f>
        <v/>
      </c>
      <c r="E151" s="24" t="str">
        <f>IF(C151="","",VLOOKUP(C151,FROTA!$B$5:$N$305,7,0))</f>
        <v/>
      </c>
      <c r="F151" s="38" t="str">
        <f t="shared" si="45"/>
        <v/>
      </c>
      <c r="G151" s="71" t="str">
        <f t="shared" si="55"/>
        <v/>
      </c>
      <c r="H151" s="32" t="str">
        <f t="shared" ref="H151:J214" si="56">IF($C151="","",IF(SUM(H$307*$G151)&gt;$F151,$F151,SUM(H$307*$G151)))</f>
        <v/>
      </c>
      <c r="I151" s="73" t="str">
        <f t="shared" si="56"/>
        <v/>
      </c>
      <c r="J151" s="73" t="str">
        <f t="shared" si="56"/>
        <v/>
      </c>
      <c r="K151" s="73" t="str">
        <f t="shared" si="43"/>
        <v/>
      </c>
      <c r="L151" s="73" t="str">
        <f t="shared" si="43"/>
        <v/>
      </c>
      <c r="M151" s="73" t="str">
        <f t="shared" si="43"/>
        <v/>
      </c>
      <c r="N151" s="73" t="str">
        <f t="shared" si="43"/>
        <v/>
      </c>
      <c r="O151" s="73" t="str">
        <f t="shared" si="43"/>
        <v/>
      </c>
      <c r="P151" s="73" t="str">
        <f t="shared" si="43"/>
        <v/>
      </c>
      <c r="Q151" s="73" t="str">
        <f t="shared" si="43"/>
        <v/>
      </c>
      <c r="R151" s="73" t="str">
        <f t="shared" si="44"/>
        <v/>
      </c>
      <c r="S151" s="73" t="str">
        <f t="shared" si="44"/>
        <v/>
      </c>
      <c r="T151" s="73" t="str">
        <f t="shared" si="44"/>
        <v/>
      </c>
      <c r="U151" s="73" t="str">
        <f t="shared" si="44"/>
        <v/>
      </c>
      <c r="V151" s="73" t="str">
        <f t="shared" si="44"/>
        <v/>
      </c>
      <c r="W151" s="73" t="str">
        <f t="shared" si="44"/>
        <v/>
      </c>
      <c r="X151" s="73" t="str">
        <f t="shared" si="44"/>
        <v/>
      </c>
      <c r="Y151" s="73" t="str">
        <f t="shared" si="44"/>
        <v/>
      </c>
      <c r="Z151" s="73" t="str">
        <f t="shared" si="44"/>
        <v/>
      </c>
      <c r="AA151" s="73" t="str">
        <f t="shared" si="44"/>
        <v/>
      </c>
      <c r="AB151" s="74" t="str">
        <f t="shared" si="44"/>
        <v/>
      </c>
      <c r="AC151" s="35" t="str">
        <f t="shared" si="46"/>
        <v/>
      </c>
      <c r="AD151" s="40" t="str">
        <f t="shared" si="47"/>
        <v/>
      </c>
      <c r="AE151" s="37" t="str">
        <f t="shared" si="48"/>
        <v/>
      </c>
      <c r="AF151" s="40" t="str">
        <f t="shared" si="49"/>
        <v/>
      </c>
      <c r="AG151" s="37" t="str">
        <f t="shared" si="50"/>
        <v/>
      </c>
      <c r="AH151" s="40" t="str">
        <f t="shared" si="51"/>
        <v/>
      </c>
      <c r="AI151" s="37" t="str">
        <f t="shared" si="52"/>
        <v/>
      </c>
      <c r="AJ151" s="40" t="str">
        <f t="shared" si="53"/>
        <v/>
      </c>
      <c r="AK151" s="33" t="str">
        <f>IF(SEM!AK151="","",SEM!AK151)</f>
        <v/>
      </c>
      <c r="AL151" s="6"/>
      <c r="AM151" s="79" t="str">
        <f t="shared" si="54"/>
        <v/>
      </c>
      <c r="AN151" s="12"/>
      <c r="AO151" s="12"/>
      <c r="AP151" s="14"/>
      <c r="AQ151" s="16"/>
      <c r="AR151" s="15"/>
      <c r="AU151" s="198"/>
      <c r="AV151" s="198"/>
      <c r="AW151" s="198"/>
      <c r="AX151" s="198"/>
    </row>
    <row r="152" spans="2:50" ht="17.25" customHeight="1" x14ac:dyDescent="0.2">
      <c r="B152" s="6"/>
      <c r="C152" s="49" t="str">
        <f>IF(SEM!C152="","",SEM!C152)</f>
        <v/>
      </c>
      <c r="D152" s="220" t="str">
        <f>IF(C152="","",VLOOKUP(SEM!C152,FROTA!$B$5:$C$305,2,0))</f>
        <v/>
      </c>
      <c r="E152" s="24" t="str">
        <f>IF(C152="","",VLOOKUP(C152,FROTA!$B$5:$N$305,7,0))</f>
        <v/>
      </c>
      <c r="F152" s="38" t="str">
        <f t="shared" si="45"/>
        <v/>
      </c>
      <c r="G152" s="71" t="str">
        <f t="shared" si="55"/>
        <v/>
      </c>
      <c r="H152" s="32" t="str">
        <f t="shared" si="56"/>
        <v/>
      </c>
      <c r="I152" s="73" t="str">
        <f t="shared" si="56"/>
        <v/>
      </c>
      <c r="J152" s="73" t="str">
        <f t="shared" si="56"/>
        <v/>
      </c>
      <c r="K152" s="73" t="str">
        <f t="shared" si="43"/>
        <v/>
      </c>
      <c r="L152" s="73" t="str">
        <f t="shared" si="43"/>
        <v/>
      </c>
      <c r="M152" s="73" t="str">
        <f t="shared" si="43"/>
        <v/>
      </c>
      <c r="N152" s="73" t="str">
        <f t="shared" si="43"/>
        <v/>
      </c>
      <c r="O152" s="73" t="str">
        <f t="shared" si="43"/>
        <v/>
      </c>
      <c r="P152" s="73" t="str">
        <f t="shared" si="43"/>
        <v/>
      </c>
      <c r="Q152" s="73" t="str">
        <f t="shared" si="43"/>
        <v/>
      </c>
      <c r="R152" s="73" t="str">
        <f t="shared" si="44"/>
        <v/>
      </c>
      <c r="S152" s="73" t="str">
        <f t="shared" si="44"/>
        <v/>
      </c>
      <c r="T152" s="73" t="str">
        <f t="shared" si="44"/>
        <v/>
      </c>
      <c r="U152" s="73" t="str">
        <f t="shared" si="44"/>
        <v/>
      </c>
      <c r="V152" s="73" t="str">
        <f t="shared" si="44"/>
        <v/>
      </c>
      <c r="W152" s="73" t="str">
        <f t="shared" si="44"/>
        <v/>
      </c>
      <c r="X152" s="73" t="str">
        <f t="shared" si="44"/>
        <v/>
      </c>
      <c r="Y152" s="73" t="str">
        <f t="shared" si="44"/>
        <v/>
      </c>
      <c r="Z152" s="73" t="str">
        <f t="shared" si="44"/>
        <v/>
      </c>
      <c r="AA152" s="73" t="str">
        <f t="shared" si="44"/>
        <v/>
      </c>
      <c r="AB152" s="74" t="str">
        <f t="shared" si="44"/>
        <v/>
      </c>
      <c r="AC152" s="35" t="str">
        <f t="shared" si="46"/>
        <v/>
      </c>
      <c r="AD152" s="40" t="str">
        <f t="shared" si="47"/>
        <v/>
      </c>
      <c r="AE152" s="37" t="str">
        <f t="shared" si="48"/>
        <v/>
      </c>
      <c r="AF152" s="40" t="str">
        <f t="shared" si="49"/>
        <v/>
      </c>
      <c r="AG152" s="37" t="str">
        <f t="shared" si="50"/>
        <v/>
      </c>
      <c r="AH152" s="40" t="str">
        <f t="shared" si="51"/>
        <v/>
      </c>
      <c r="AI152" s="37" t="str">
        <f t="shared" si="52"/>
        <v/>
      </c>
      <c r="AJ152" s="40" t="str">
        <f t="shared" si="53"/>
        <v/>
      </c>
      <c r="AK152" s="33" t="str">
        <f>IF(SEM!AK152="","",SEM!AK152)</f>
        <v/>
      </c>
      <c r="AL152" s="6"/>
      <c r="AM152" s="79" t="str">
        <f t="shared" si="54"/>
        <v/>
      </c>
      <c r="AN152" s="12"/>
      <c r="AO152" s="12"/>
      <c r="AP152" s="14"/>
      <c r="AQ152" s="16"/>
      <c r="AR152" s="15"/>
      <c r="AU152" s="198"/>
      <c r="AV152" s="198"/>
      <c r="AW152" s="198"/>
      <c r="AX152" s="198"/>
    </row>
    <row r="153" spans="2:50" ht="17.25" customHeight="1" x14ac:dyDescent="0.2">
      <c r="B153" s="6"/>
      <c r="C153" s="49" t="str">
        <f>IF(SEM!C153="","",SEM!C153)</f>
        <v/>
      </c>
      <c r="D153" s="220" t="str">
        <f>IF(C153="","",VLOOKUP(SEM!C153,FROTA!$B$5:$C$305,2,0))</f>
        <v/>
      </c>
      <c r="E153" s="24" t="str">
        <f>IF(C153="","",VLOOKUP(C153,FROTA!$B$5:$N$305,7,0))</f>
        <v/>
      </c>
      <c r="F153" s="38" t="str">
        <f t="shared" si="45"/>
        <v/>
      </c>
      <c r="G153" s="71" t="str">
        <f t="shared" si="55"/>
        <v/>
      </c>
      <c r="H153" s="32" t="str">
        <f t="shared" si="56"/>
        <v/>
      </c>
      <c r="I153" s="73" t="str">
        <f t="shared" si="56"/>
        <v/>
      </c>
      <c r="J153" s="73" t="str">
        <f t="shared" si="56"/>
        <v/>
      </c>
      <c r="K153" s="73" t="str">
        <f t="shared" si="43"/>
        <v/>
      </c>
      <c r="L153" s="73" t="str">
        <f t="shared" si="43"/>
        <v/>
      </c>
      <c r="M153" s="73" t="str">
        <f t="shared" si="43"/>
        <v/>
      </c>
      <c r="N153" s="73" t="str">
        <f t="shared" si="43"/>
        <v/>
      </c>
      <c r="O153" s="73" t="str">
        <f t="shared" si="43"/>
        <v/>
      </c>
      <c r="P153" s="73" t="str">
        <f t="shared" si="43"/>
        <v/>
      </c>
      <c r="Q153" s="73" t="str">
        <f t="shared" si="43"/>
        <v/>
      </c>
      <c r="R153" s="73" t="str">
        <f t="shared" si="44"/>
        <v/>
      </c>
      <c r="S153" s="73" t="str">
        <f t="shared" si="44"/>
        <v/>
      </c>
      <c r="T153" s="73" t="str">
        <f t="shared" si="44"/>
        <v/>
      </c>
      <c r="U153" s="73" t="str">
        <f t="shared" si="44"/>
        <v/>
      </c>
      <c r="V153" s="73" t="str">
        <f t="shared" si="44"/>
        <v/>
      </c>
      <c r="W153" s="73" t="str">
        <f t="shared" si="44"/>
        <v/>
      </c>
      <c r="X153" s="73" t="str">
        <f t="shared" si="44"/>
        <v/>
      </c>
      <c r="Y153" s="73" t="str">
        <f t="shared" si="44"/>
        <v/>
      </c>
      <c r="Z153" s="73" t="str">
        <f t="shared" si="44"/>
        <v/>
      </c>
      <c r="AA153" s="73" t="str">
        <f t="shared" si="44"/>
        <v/>
      </c>
      <c r="AB153" s="74" t="str">
        <f t="shared" si="44"/>
        <v/>
      </c>
      <c r="AC153" s="35" t="str">
        <f t="shared" si="46"/>
        <v/>
      </c>
      <c r="AD153" s="40" t="str">
        <f t="shared" si="47"/>
        <v/>
      </c>
      <c r="AE153" s="37" t="str">
        <f t="shared" si="48"/>
        <v/>
      </c>
      <c r="AF153" s="40" t="str">
        <f t="shared" si="49"/>
        <v/>
      </c>
      <c r="AG153" s="37" t="str">
        <f t="shared" si="50"/>
        <v/>
      </c>
      <c r="AH153" s="40" t="str">
        <f t="shared" si="51"/>
        <v/>
      </c>
      <c r="AI153" s="37" t="str">
        <f t="shared" si="52"/>
        <v/>
      </c>
      <c r="AJ153" s="40" t="str">
        <f t="shared" si="53"/>
        <v/>
      </c>
      <c r="AK153" s="33" t="str">
        <f>IF(SEM!AK153="","",SEM!AK153)</f>
        <v/>
      </c>
      <c r="AL153" s="6"/>
      <c r="AM153" s="79" t="str">
        <f t="shared" si="54"/>
        <v/>
      </c>
      <c r="AN153" s="12"/>
      <c r="AO153" s="12"/>
      <c r="AP153" s="14"/>
      <c r="AQ153" s="16"/>
      <c r="AR153" s="15"/>
      <c r="AU153" s="198"/>
      <c r="AV153" s="198"/>
      <c r="AW153" s="198"/>
      <c r="AX153" s="198"/>
    </row>
    <row r="154" spans="2:50" ht="17.25" customHeight="1" x14ac:dyDescent="0.2">
      <c r="B154" s="6"/>
      <c r="C154" s="49" t="str">
        <f>IF(SEM!C154="","",SEM!C154)</f>
        <v/>
      </c>
      <c r="D154" s="220" t="str">
        <f>IF(C154="","",VLOOKUP(SEM!C154,FROTA!$B$5:$C$305,2,0))</f>
        <v/>
      </c>
      <c r="E154" s="24" t="str">
        <f>IF(C154="","",VLOOKUP(C154,FROTA!$B$5:$N$305,7,0))</f>
        <v/>
      </c>
      <c r="F154" s="38" t="str">
        <f t="shared" si="45"/>
        <v/>
      </c>
      <c r="G154" s="71" t="str">
        <f t="shared" si="55"/>
        <v/>
      </c>
      <c r="H154" s="32" t="str">
        <f t="shared" si="56"/>
        <v/>
      </c>
      <c r="I154" s="73" t="str">
        <f t="shared" si="56"/>
        <v/>
      </c>
      <c r="J154" s="73" t="str">
        <f t="shared" si="56"/>
        <v/>
      </c>
      <c r="K154" s="73" t="str">
        <f t="shared" si="43"/>
        <v/>
      </c>
      <c r="L154" s="73" t="str">
        <f t="shared" si="43"/>
        <v/>
      </c>
      <c r="M154" s="73" t="str">
        <f t="shared" si="43"/>
        <v/>
      </c>
      <c r="N154" s="73" t="str">
        <f t="shared" si="43"/>
        <v/>
      </c>
      <c r="O154" s="73" t="str">
        <f t="shared" si="43"/>
        <v/>
      </c>
      <c r="P154" s="73" t="str">
        <f t="shared" si="43"/>
        <v/>
      </c>
      <c r="Q154" s="73" t="str">
        <f t="shared" si="43"/>
        <v/>
      </c>
      <c r="R154" s="73" t="str">
        <f t="shared" si="44"/>
        <v/>
      </c>
      <c r="S154" s="73" t="str">
        <f t="shared" si="44"/>
        <v/>
      </c>
      <c r="T154" s="73" t="str">
        <f t="shared" si="44"/>
        <v/>
      </c>
      <c r="U154" s="73" t="str">
        <f t="shared" si="44"/>
        <v/>
      </c>
      <c r="V154" s="73" t="str">
        <f t="shared" si="44"/>
        <v/>
      </c>
      <c r="W154" s="73" t="str">
        <f t="shared" si="44"/>
        <v/>
      </c>
      <c r="X154" s="73" t="str">
        <f t="shared" si="44"/>
        <v/>
      </c>
      <c r="Y154" s="73" t="str">
        <f t="shared" si="44"/>
        <v/>
      </c>
      <c r="Z154" s="73" t="str">
        <f t="shared" si="44"/>
        <v/>
      </c>
      <c r="AA154" s="73" t="str">
        <f t="shared" si="44"/>
        <v/>
      </c>
      <c r="AB154" s="74" t="str">
        <f t="shared" si="44"/>
        <v/>
      </c>
      <c r="AC154" s="35" t="str">
        <f t="shared" si="46"/>
        <v/>
      </c>
      <c r="AD154" s="40" t="str">
        <f t="shared" si="47"/>
        <v/>
      </c>
      <c r="AE154" s="37" t="str">
        <f t="shared" si="48"/>
        <v/>
      </c>
      <c r="AF154" s="40" t="str">
        <f t="shared" si="49"/>
        <v/>
      </c>
      <c r="AG154" s="37" t="str">
        <f t="shared" si="50"/>
        <v/>
      </c>
      <c r="AH154" s="40" t="str">
        <f t="shared" si="51"/>
        <v/>
      </c>
      <c r="AI154" s="37" t="str">
        <f t="shared" si="52"/>
        <v/>
      </c>
      <c r="AJ154" s="40" t="str">
        <f t="shared" si="53"/>
        <v/>
      </c>
      <c r="AK154" s="33" t="str">
        <f>IF(SEM!AK154="","",SEM!AK154)</f>
        <v/>
      </c>
      <c r="AL154" s="6"/>
      <c r="AM154" s="79" t="str">
        <f t="shared" si="54"/>
        <v/>
      </c>
      <c r="AN154" s="12"/>
      <c r="AO154" s="12"/>
      <c r="AP154" s="14"/>
      <c r="AQ154" s="16"/>
      <c r="AR154" s="15"/>
      <c r="AU154" s="198"/>
      <c r="AV154" s="198"/>
      <c r="AW154" s="198"/>
      <c r="AX154" s="198"/>
    </row>
    <row r="155" spans="2:50" ht="17.25" customHeight="1" x14ac:dyDescent="0.2">
      <c r="B155" s="6"/>
      <c r="C155" s="49" t="str">
        <f>IF(SEM!C155="","",SEM!C155)</f>
        <v/>
      </c>
      <c r="D155" s="220" t="str">
        <f>IF(C155="","",VLOOKUP(SEM!C155,FROTA!$B$5:$C$305,2,0))</f>
        <v/>
      </c>
      <c r="E155" s="24" t="str">
        <f>IF(C155="","",VLOOKUP(C155,FROTA!$B$5:$N$305,7,0))</f>
        <v/>
      </c>
      <c r="F155" s="38" t="str">
        <f t="shared" si="45"/>
        <v/>
      </c>
      <c r="G155" s="71" t="str">
        <f t="shared" si="55"/>
        <v/>
      </c>
      <c r="H155" s="32" t="str">
        <f t="shared" si="56"/>
        <v/>
      </c>
      <c r="I155" s="73" t="str">
        <f t="shared" si="56"/>
        <v/>
      </c>
      <c r="J155" s="73" t="str">
        <f t="shared" si="56"/>
        <v/>
      </c>
      <c r="K155" s="73" t="str">
        <f t="shared" si="43"/>
        <v/>
      </c>
      <c r="L155" s="73" t="str">
        <f t="shared" si="43"/>
        <v/>
      </c>
      <c r="M155" s="73" t="str">
        <f t="shared" si="43"/>
        <v/>
      </c>
      <c r="N155" s="73" t="str">
        <f t="shared" si="43"/>
        <v/>
      </c>
      <c r="O155" s="73" t="str">
        <f t="shared" si="43"/>
        <v/>
      </c>
      <c r="P155" s="73" t="str">
        <f t="shared" si="43"/>
        <v/>
      </c>
      <c r="Q155" s="73" t="str">
        <f t="shared" si="43"/>
        <v/>
      </c>
      <c r="R155" s="73" t="str">
        <f t="shared" si="44"/>
        <v/>
      </c>
      <c r="S155" s="73" t="str">
        <f t="shared" si="44"/>
        <v/>
      </c>
      <c r="T155" s="73" t="str">
        <f t="shared" si="44"/>
        <v/>
      </c>
      <c r="U155" s="73" t="str">
        <f t="shared" ref="R155:AB178" si="57">IF($C155="","",IF(SUM(U$307*$G155)&gt;$F155,$F155,SUM(U$307*$G155)))</f>
        <v/>
      </c>
      <c r="V155" s="73" t="str">
        <f t="shared" si="57"/>
        <v/>
      </c>
      <c r="W155" s="73" t="str">
        <f t="shared" si="57"/>
        <v/>
      </c>
      <c r="X155" s="73" t="str">
        <f t="shared" si="57"/>
        <v/>
      </c>
      <c r="Y155" s="73" t="str">
        <f t="shared" si="57"/>
        <v/>
      </c>
      <c r="Z155" s="73" t="str">
        <f t="shared" si="57"/>
        <v/>
      </c>
      <c r="AA155" s="73" t="str">
        <f t="shared" si="57"/>
        <v/>
      </c>
      <c r="AB155" s="74" t="str">
        <f t="shared" si="57"/>
        <v/>
      </c>
      <c r="AC155" s="35" t="str">
        <f t="shared" si="46"/>
        <v/>
      </c>
      <c r="AD155" s="40" t="str">
        <f t="shared" si="47"/>
        <v/>
      </c>
      <c r="AE155" s="37" t="str">
        <f t="shared" si="48"/>
        <v/>
      </c>
      <c r="AF155" s="40" t="str">
        <f t="shared" si="49"/>
        <v/>
      </c>
      <c r="AG155" s="37" t="str">
        <f t="shared" si="50"/>
        <v/>
      </c>
      <c r="AH155" s="40" t="str">
        <f t="shared" si="51"/>
        <v/>
      </c>
      <c r="AI155" s="37" t="str">
        <f t="shared" si="52"/>
        <v/>
      </c>
      <c r="AJ155" s="40" t="str">
        <f t="shared" si="53"/>
        <v/>
      </c>
      <c r="AK155" s="33" t="str">
        <f>IF(SEM!AK155="","",SEM!AK155)</f>
        <v/>
      </c>
      <c r="AL155" s="6"/>
      <c r="AM155" s="79" t="str">
        <f t="shared" si="54"/>
        <v/>
      </c>
      <c r="AN155" s="12"/>
      <c r="AO155" s="12"/>
      <c r="AP155" s="14"/>
      <c r="AQ155" s="16"/>
      <c r="AR155" s="15"/>
      <c r="AU155" s="198"/>
      <c r="AV155" s="198"/>
      <c r="AW155" s="198"/>
      <c r="AX155" s="198"/>
    </row>
    <row r="156" spans="2:50" ht="17.25" customHeight="1" x14ac:dyDescent="0.2">
      <c r="B156" s="6"/>
      <c r="C156" s="49" t="str">
        <f>IF(SEM!C156="","",SEM!C156)</f>
        <v/>
      </c>
      <c r="D156" s="220" t="str">
        <f>IF(C156="","",VLOOKUP(SEM!C156,FROTA!$B$5:$C$305,2,0))</f>
        <v/>
      </c>
      <c r="E156" s="24" t="str">
        <f>IF(C156="","",VLOOKUP(C156,FROTA!$B$5:$N$305,7,0))</f>
        <v/>
      </c>
      <c r="F156" s="38" t="str">
        <f t="shared" si="45"/>
        <v/>
      </c>
      <c r="G156" s="71" t="str">
        <f t="shared" si="55"/>
        <v/>
      </c>
      <c r="H156" s="32" t="str">
        <f t="shared" si="56"/>
        <v/>
      </c>
      <c r="I156" s="73" t="str">
        <f t="shared" si="56"/>
        <v/>
      </c>
      <c r="J156" s="73" t="str">
        <f t="shared" si="56"/>
        <v/>
      </c>
      <c r="K156" s="73" t="str">
        <f t="shared" si="43"/>
        <v/>
      </c>
      <c r="L156" s="73" t="str">
        <f t="shared" si="43"/>
        <v/>
      </c>
      <c r="M156" s="73" t="str">
        <f t="shared" si="43"/>
        <v/>
      </c>
      <c r="N156" s="73" t="str">
        <f t="shared" si="43"/>
        <v/>
      </c>
      <c r="O156" s="73" t="str">
        <f t="shared" si="43"/>
        <v/>
      </c>
      <c r="P156" s="73" t="str">
        <f t="shared" si="43"/>
        <v/>
      </c>
      <c r="Q156" s="73" t="str">
        <f t="shared" si="43"/>
        <v/>
      </c>
      <c r="R156" s="73" t="str">
        <f t="shared" si="57"/>
        <v/>
      </c>
      <c r="S156" s="73" t="str">
        <f t="shared" si="57"/>
        <v/>
      </c>
      <c r="T156" s="73" t="str">
        <f t="shared" si="57"/>
        <v/>
      </c>
      <c r="U156" s="73" t="str">
        <f t="shared" si="57"/>
        <v/>
      </c>
      <c r="V156" s="73" t="str">
        <f t="shared" si="57"/>
        <v/>
      </c>
      <c r="W156" s="73" t="str">
        <f t="shared" si="57"/>
        <v/>
      </c>
      <c r="X156" s="73" t="str">
        <f t="shared" si="57"/>
        <v/>
      </c>
      <c r="Y156" s="73" t="str">
        <f t="shared" si="57"/>
        <v/>
      </c>
      <c r="Z156" s="73" t="str">
        <f t="shared" si="57"/>
        <v/>
      </c>
      <c r="AA156" s="73" t="str">
        <f t="shared" si="57"/>
        <v/>
      </c>
      <c r="AB156" s="74" t="str">
        <f t="shared" si="57"/>
        <v/>
      </c>
      <c r="AC156" s="35" t="str">
        <f t="shared" si="46"/>
        <v/>
      </c>
      <c r="AD156" s="40" t="str">
        <f t="shared" si="47"/>
        <v/>
      </c>
      <c r="AE156" s="37" t="str">
        <f t="shared" si="48"/>
        <v/>
      </c>
      <c r="AF156" s="40" t="str">
        <f t="shared" si="49"/>
        <v/>
      </c>
      <c r="AG156" s="37" t="str">
        <f t="shared" si="50"/>
        <v/>
      </c>
      <c r="AH156" s="40" t="str">
        <f t="shared" si="51"/>
        <v/>
      </c>
      <c r="AI156" s="37" t="str">
        <f t="shared" si="52"/>
        <v/>
      </c>
      <c r="AJ156" s="40" t="str">
        <f t="shared" si="53"/>
        <v/>
      </c>
      <c r="AK156" s="33" t="str">
        <f>IF(SEM!AK156="","",SEM!AK156)</f>
        <v/>
      </c>
      <c r="AL156" s="6"/>
      <c r="AM156" s="79" t="str">
        <f t="shared" si="54"/>
        <v/>
      </c>
      <c r="AN156" s="12"/>
      <c r="AO156" s="12"/>
      <c r="AP156" s="14"/>
      <c r="AQ156" s="16"/>
      <c r="AR156" s="15"/>
      <c r="AU156" s="198"/>
      <c r="AV156" s="198"/>
      <c r="AW156" s="198"/>
      <c r="AX156" s="198"/>
    </row>
    <row r="157" spans="2:50" ht="17.25" customHeight="1" x14ac:dyDescent="0.2">
      <c r="B157" s="6"/>
      <c r="C157" s="49" t="str">
        <f>IF(SEM!C157="","",SEM!C157)</f>
        <v/>
      </c>
      <c r="D157" s="220" t="str">
        <f>IF(C157="","",VLOOKUP(SEM!C157,FROTA!$B$5:$C$305,2,0))</f>
        <v/>
      </c>
      <c r="E157" s="24" t="str">
        <f>IF(C157="","",VLOOKUP(C157,FROTA!$B$5:$N$305,7,0))</f>
        <v/>
      </c>
      <c r="F157" s="38" t="str">
        <f t="shared" si="45"/>
        <v/>
      </c>
      <c r="G157" s="71" t="str">
        <f t="shared" si="55"/>
        <v/>
      </c>
      <c r="H157" s="32" t="str">
        <f t="shared" si="56"/>
        <v/>
      </c>
      <c r="I157" s="73" t="str">
        <f t="shared" si="56"/>
        <v/>
      </c>
      <c r="J157" s="73" t="str">
        <f t="shared" si="56"/>
        <v/>
      </c>
      <c r="K157" s="73" t="str">
        <f t="shared" si="43"/>
        <v/>
      </c>
      <c r="L157" s="73" t="str">
        <f t="shared" si="43"/>
        <v/>
      </c>
      <c r="M157" s="73" t="str">
        <f t="shared" si="43"/>
        <v/>
      </c>
      <c r="N157" s="73" t="str">
        <f t="shared" si="43"/>
        <v/>
      </c>
      <c r="O157" s="73" t="str">
        <f t="shared" si="43"/>
        <v/>
      </c>
      <c r="P157" s="73" t="str">
        <f t="shared" si="43"/>
        <v/>
      </c>
      <c r="Q157" s="73" t="str">
        <f t="shared" si="43"/>
        <v/>
      </c>
      <c r="R157" s="73" t="str">
        <f t="shared" si="57"/>
        <v/>
      </c>
      <c r="S157" s="73" t="str">
        <f t="shared" si="57"/>
        <v/>
      </c>
      <c r="T157" s="73" t="str">
        <f t="shared" si="57"/>
        <v/>
      </c>
      <c r="U157" s="73" t="str">
        <f t="shared" si="57"/>
        <v/>
      </c>
      <c r="V157" s="73" t="str">
        <f t="shared" si="57"/>
        <v/>
      </c>
      <c r="W157" s="73" t="str">
        <f t="shared" si="57"/>
        <v/>
      </c>
      <c r="X157" s="73" t="str">
        <f t="shared" si="57"/>
        <v/>
      </c>
      <c r="Y157" s="73" t="str">
        <f t="shared" si="57"/>
        <v/>
      </c>
      <c r="Z157" s="73" t="str">
        <f t="shared" si="57"/>
        <v/>
      </c>
      <c r="AA157" s="73" t="str">
        <f t="shared" si="57"/>
        <v/>
      </c>
      <c r="AB157" s="74" t="str">
        <f t="shared" si="57"/>
        <v/>
      </c>
      <c r="AC157" s="35" t="str">
        <f t="shared" si="46"/>
        <v/>
      </c>
      <c r="AD157" s="40" t="str">
        <f t="shared" si="47"/>
        <v/>
      </c>
      <c r="AE157" s="37" t="str">
        <f t="shared" si="48"/>
        <v/>
      </c>
      <c r="AF157" s="40" t="str">
        <f t="shared" si="49"/>
        <v/>
      </c>
      <c r="AG157" s="37" t="str">
        <f t="shared" si="50"/>
        <v/>
      </c>
      <c r="AH157" s="40" t="str">
        <f t="shared" si="51"/>
        <v/>
      </c>
      <c r="AI157" s="37" t="str">
        <f t="shared" si="52"/>
        <v/>
      </c>
      <c r="AJ157" s="40" t="str">
        <f t="shared" si="53"/>
        <v/>
      </c>
      <c r="AK157" s="33" t="str">
        <f>IF(SEM!AK157="","",SEM!AK157)</f>
        <v/>
      </c>
      <c r="AL157" s="6"/>
      <c r="AM157" s="79" t="str">
        <f t="shared" si="54"/>
        <v/>
      </c>
      <c r="AN157" s="12"/>
      <c r="AO157" s="12"/>
      <c r="AP157" s="14"/>
      <c r="AQ157" s="16"/>
      <c r="AR157" s="15"/>
      <c r="AU157" s="198"/>
      <c r="AV157" s="198"/>
      <c r="AW157" s="198"/>
      <c r="AX157" s="198"/>
    </row>
    <row r="158" spans="2:50" ht="17.25" customHeight="1" x14ac:dyDescent="0.2">
      <c r="B158" s="6"/>
      <c r="C158" s="49" t="str">
        <f>IF(SEM!C158="","",SEM!C158)</f>
        <v/>
      </c>
      <c r="D158" s="220" t="str">
        <f>IF(C158="","",VLOOKUP(SEM!C158,FROTA!$B$5:$C$305,2,0))</f>
        <v/>
      </c>
      <c r="E158" s="24" t="str">
        <f>IF(C158="","",VLOOKUP(C158,FROTA!$B$5:$N$305,7,0))</f>
        <v/>
      </c>
      <c r="F158" s="38" t="str">
        <f t="shared" si="45"/>
        <v/>
      </c>
      <c r="G158" s="71" t="str">
        <f t="shared" si="55"/>
        <v/>
      </c>
      <c r="H158" s="32" t="str">
        <f t="shared" si="56"/>
        <v/>
      </c>
      <c r="I158" s="73" t="str">
        <f t="shared" si="56"/>
        <v/>
      </c>
      <c r="J158" s="73" t="str">
        <f t="shared" si="56"/>
        <v/>
      </c>
      <c r="K158" s="73" t="str">
        <f t="shared" si="43"/>
        <v/>
      </c>
      <c r="L158" s="73" t="str">
        <f t="shared" si="43"/>
        <v/>
      </c>
      <c r="M158" s="73" t="str">
        <f t="shared" si="43"/>
        <v/>
      </c>
      <c r="N158" s="73" t="str">
        <f t="shared" si="43"/>
        <v/>
      </c>
      <c r="O158" s="73" t="str">
        <f t="shared" si="43"/>
        <v/>
      </c>
      <c r="P158" s="73" t="str">
        <f t="shared" si="43"/>
        <v/>
      </c>
      <c r="Q158" s="73" t="str">
        <f t="shared" si="43"/>
        <v/>
      </c>
      <c r="R158" s="73" t="str">
        <f t="shared" si="57"/>
        <v/>
      </c>
      <c r="S158" s="73" t="str">
        <f t="shared" si="57"/>
        <v/>
      </c>
      <c r="T158" s="73" t="str">
        <f t="shared" si="57"/>
        <v/>
      </c>
      <c r="U158" s="73" t="str">
        <f t="shared" si="57"/>
        <v/>
      </c>
      <c r="V158" s="73" t="str">
        <f t="shared" si="57"/>
        <v/>
      </c>
      <c r="W158" s="73" t="str">
        <f t="shared" si="57"/>
        <v/>
      </c>
      <c r="X158" s="73" t="str">
        <f t="shared" si="57"/>
        <v/>
      </c>
      <c r="Y158" s="73" t="str">
        <f t="shared" si="57"/>
        <v/>
      </c>
      <c r="Z158" s="73" t="str">
        <f t="shared" si="57"/>
        <v/>
      </c>
      <c r="AA158" s="73" t="str">
        <f t="shared" si="57"/>
        <v/>
      </c>
      <c r="AB158" s="74" t="str">
        <f t="shared" si="57"/>
        <v/>
      </c>
      <c r="AC158" s="35" t="str">
        <f t="shared" si="46"/>
        <v/>
      </c>
      <c r="AD158" s="40" t="str">
        <f t="shared" si="47"/>
        <v/>
      </c>
      <c r="AE158" s="37" t="str">
        <f t="shared" si="48"/>
        <v/>
      </c>
      <c r="AF158" s="40" t="str">
        <f t="shared" si="49"/>
        <v/>
      </c>
      <c r="AG158" s="37" t="str">
        <f t="shared" si="50"/>
        <v/>
      </c>
      <c r="AH158" s="40" t="str">
        <f t="shared" si="51"/>
        <v/>
      </c>
      <c r="AI158" s="37" t="str">
        <f t="shared" si="52"/>
        <v/>
      </c>
      <c r="AJ158" s="40" t="str">
        <f t="shared" si="53"/>
        <v/>
      </c>
      <c r="AK158" s="33" t="str">
        <f>IF(SEM!AK158="","",SEM!AK158)</f>
        <v/>
      </c>
      <c r="AL158" s="6"/>
      <c r="AM158" s="79" t="str">
        <f t="shared" si="54"/>
        <v/>
      </c>
      <c r="AN158" s="12"/>
      <c r="AO158" s="12"/>
      <c r="AP158" s="14"/>
      <c r="AQ158" s="16"/>
      <c r="AR158" s="15"/>
      <c r="AU158" s="198"/>
      <c r="AV158" s="198"/>
      <c r="AW158" s="198"/>
      <c r="AX158" s="198"/>
    </row>
    <row r="159" spans="2:50" ht="17.25" customHeight="1" x14ac:dyDescent="0.2">
      <c r="B159" s="6"/>
      <c r="C159" s="49" t="str">
        <f>IF(SEM!C159="","",SEM!C159)</f>
        <v/>
      </c>
      <c r="D159" s="220" t="str">
        <f>IF(C159="","",VLOOKUP(SEM!C159,FROTA!$B$5:$C$305,2,0))</f>
        <v/>
      </c>
      <c r="E159" s="24" t="str">
        <f>IF(C159="","",VLOOKUP(C159,FROTA!$B$5:$N$305,7,0))</f>
        <v/>
      </c>
      <c r="F159" s="38" t="str">
        <f t="shared" si="45"/>
        <v/>
      </c>
      <c r="G159" s="71" t="str">
        <f t="shared" si="55"/>
        <v/>
      </c>
      <c r="H159" s="32" t="str">
        <f t="shared" si="56"/>
        <v/>
      </c>
      <c r="I159" s="73" t="str">
        <f t="shared" si="56"/>
        <v/>
      </c>
      <c r="J159" s="73" t="str">
        <f t="shared" si="56"/>
        <v/>
      </c>
      <c r="K159" s="73" t="str">
        <f t="shared" si="43"/>
        <v/>
      </c>
      <c r="L159" s="73" t="str">
        <f t="shared" si="43"/>
        <v/>
      </c>
      <c r="M159" s="73" t="str">
        <f t="shared" si="43"/>
        <v/>
      </c>
      <c r="N159" s="73" t="str">
        <f t="shared" si="43"/>
        <v/>
      </c>
      <c r="O159" s="73" t="str">
        <f t="shared" si="43"/>
        <v/>
      </c>
      <c r="P159" s="73" t="str">
        <f t="shared" si="43"/>
        <v/>
      </c>
      <c r="Q159" s="73" t="str">
        <f t="shared" si="43"/>
        <v/>
      </c>
      <c r="R159" s="73" t="str">
        <f t="shared" si="57"/>
        <v/>
      </c>
      <c r="S159" s="73" t="str">
        <f t="shared" si="57"/>
        <v/>
      </c>
      <c r="T159" s="73" t="str">
        <f t="shared" si="57"/>
        <v/>
      </c>
      <c r="U159" s="73" t="str">
        <f t="shared" si="57"/>
        <v/>
      </c>
      <c r="V159" s="73" t="str">
        <f t="shared" si="57"/>
        <v/>
      </c>
      <c r="W159" s="73" t="str">
        <f t="shared" si="57"/>
        <v/>
      </c>
      <c r="X159" s="73" t="str">
        <f t="shared" si="57"/>
        <v/>
      </c>
      <c r="Y159" s="73" t="str">
        <f t="shared" si="57"/>
        <v/>
      </c>
      <c r="Z159" s="73" t="str">
        <f t="shared" si="57"/>
        <v/>
      </c>
      <c r="AA159" s="73" t="str">
        <f t="shared" si="57"/>
        <v/>
      </c>
      <c r="AB159" s="74" t="str">
        <f t="shared" si="57"/>
        <v/>
      </c>
      <c r="AC159" s="35" t="str">
        <f t="shared" si="46"/>
        <v/>
      </c>
      <c r="AD159" s="40" t="str">
        <f t="shared" si="47"/>
        <v/>
      </c>
      <c r="AE159" s="37" t="str">
        <f t="shared" si="48"/>
        <v/>
      </c>
      <c r="AF159" s="40" t="str">
        <f t="shared" si="49"/>
        <v/>
      </c>
      <c r="AG159" s="37" t="str">
        <f t="shared" si="50"/>
        <v/>
      </c>
      <c r="AH159" s="40" t="str">
        <f t="shared" si="51"/>
        <v/>
      </c>
      <c r="AI159" s="37" t="str">
        <f t="shared" si="52"/>
        <v/>
      </c>
      <c r="AJ159" s="40" t="str">
        <f t="shared" si="53"/>
        <v/>
      </c>
      <c r="AK159" s="33" t="str">
        <f>IF(SEM!AK159="","",SEM!AK159)</f>
        <v/>
      </c>
      <c r="AL159" s="6"/>
      <c r="AM159" s="79" t="str">
        <f t="shared" si="54"/>
        <v/>
      </c>
      <c r="AN159" s="12"/>
      <c r="AO159" s="12"/>
      <c r="AP159" s="14"/>
      <c r="AQ159" s="16"/>
      <c r="AR159" s="15"/>
      <c r="AU159" s="198"/>
      <c r="AV159" s="198"/>
      <c r="AW159" s="198"/>
      <c r="AX159" s="198"/>
    </row>
    <row r="160" spans="2:50" ht="17.25" customHeight="1" x14ac:dyDescent="0.2">
      <c r="B160" s="6"/>
      <c r="C160" s="49" t="str">
        <f>IF(SEM!C160="","",SEM!C160)</f>
        <v/>
      </c>
      <c r="D160" s="220" t="str">
        <f>IF(C160="","",VLOOKUP(SEM!C160,FROTA!$B$5:$C$305,2,0))</f>
        <v/>
      </c>
      <c r="E160" s="24" t="str">
        <f>IF(C160="","",VLOOKUP(C160,FROTA!$B$5:$N$305,7,0))</f>
        <v/>
      </c>
      <c r="F160" s="38" t="str">
        <f t="shared" si="45"/>
        <v/>
      </c>
      <c r="G160" s="71" t="str">
        <f t="shared" si="55"/>
        <v/>
      </c>
      <c r="H160" s="32" t="str">
        <f t="shared" si="56"/>
        <v/>
      </c>
      <c r="I160" s="73" t="str">
        <f t="shared" si="56"/>
        <v/>
      </c>
      <c r="J160" s="73" t="str">
        <f t="shared" si="56"/>
        <v/>
      </c>
      <c r="K160" s="73" t="str">
        <f t="shared" si="43"/>
        <v/>
      </c>
      <c r="L160" s="73" t="str">
        <f t="shared" si="43"/>
        <v/>
      </c>
      <c r="M160" s="73" t="str">
        <f t="shared" si="43"/>
        <v/>
      </c>
      <c r="N160" s="73" t="str">
        <f t="shared" si="43"/>
        <v/>
      </c>
      <c r="O160" s="73" t="str">
        <f t="shared" si="43"/>
        <v/>
      </c>
      <c r="P160" s="73" t="str">
        <f t="shared" si="43"/>
        <v/>
      </c>
      <c r="Q160" s="73" t="str">
        <f t="shared" si="43"/>
        <v/>
      </c>
      <c r="R160" s="73" t="str">
        <f t="shared" si="57"/>
        <v/>
      </c>
      <c r="S160" s="73" t="str">
        <f t="shared" si="57"/>
        <v/>
      </c>
      <c r="T160" s="73" t="str">
        <f t="shared" si="57"/>
        <v/>
      </c>
      <c r="U160" s="73" t="str">
        <f t="shared" si="57"/>
        <v/>
      </c>
      <c r="V160" s="73" t="str">
        <f t="shared" si="57"/>
        <v/>
      </c>
      <c r="W160" s="73" t="str">
        <f t="shared" si="57"/>
        <v/>
      </c>
      <c r="X160" s="73" t="str">
        <f t="shared" si="57"/>
        <v/>
      </c>
      <c r="Y160" s="73" t="str">
        <f t="shared" si="57"/>
        <v/>
      </c>
      <c r="Z160" s="73" t="str">
        <f t="shared" si="57"/>
        <v/>
      </c>
      <c r="AA160" s="73" t="str">
        <f t="shared" si="57"/>
        <v/>
      </c>
      <c r="AB160" s="74" t="str">
        <f t="shared" si="57"/>
        <v/>
      </c>
      <c r="AC160" s="35" t="str">
        <f t="shared" si="46"/>
        <v/>
      </c>
      <c r="AD160" s="40" t="str">
        <f t="shared" si="47"/>
        <v/>
      </c>
      <c r="AE160" s="37" t="str">
        <f t="shared" si="48"/>
        <v/>
      </c>
      <c r="AF160" s="40" t="str">
        <f t="shared" si="49"/>
        <v/>
      </c>
      <c r="AG160" s="37" t="str">
        <f t="shared" si="50"/>
        <v/>
      </c>
      <c r="AH160" s="40" t="str">
        <f t="shared" si="51"/>
        <v/>
      </c>
      <c r="AI160" s="37" t="str">
        <f t="shared" si="52"/>
        <v/>
      </c>
      <c r="AJ160" s="40" t="str">
        <f t="shared" si="53"/>
        <v/>
      </c>
      <c r="AK160" s="33" t="str">
        <f>IF(SEM!AK160="","",SEM!AK160)</f>
        <v/>
      </c>
      <c r="AL160" s="6"/>
      <c r="AM160" s="79" t="str">
        <f t="shared" si="54"/>
        <v/>
      </c>
      <c r="AN160" s="12"/>
      <c r="AO160" s="12"/>
      <c r="AP160" s="14"/>
      <c r="AQ160" s="16"/>
      <c r="AR160" s="15"/>
      <c r="AU160" s="198"/>
      <c r="AV160" s="198"/>
      <c r="AW160" s="198"/>
      <c r="AX160" s="198"/>
    </row>
    <row r="161" spans="2:50" ht="17.25" customHeight="1" x14ac:dyDescent="0.2">
      <c r="B161" s="6"/>
      <c r="C161" s="49" t="str">
        <f>IF(SEM!C161="","",SEM!C161)</f>
        <v/>
      </c>
      <c r="D161" s="220" t="str">
        <f>IF(C161="","",VLOOKUP(SEM!C161,FROTA!$B$5:$C$305,2,0))</f>
        <v/>
      </c>
      <c r="E161" s="24" t="str">
        <f>IF(C161="","",VLOOKUP(C161,FROTA!$B$5:$N$305,7,0))</f>
        <v/>
      </c>
      <c r="F161" s="38" t="str">
        <f t="shared" si="45"/>
        <v/>
      </c>
      <c r="G161" s="71" t="str">
        <f t="shared" si="55"/>
        <v/>
      </c>
      <c r="H161" s="32" t="str">
        <f t="shared" si="56"/>
        <v/>
      </c>
      <c r="I161" s="73" t="str">
        <f t="shared" si="56"/>
        <v/>
      </c>
      <c r="J161" s="73" t="str">
        <f t="shared" si="56"/>
        <v/>
      </c>
      <c r="K161" s="73" t="str">
        <f t="shared" si="43"/>
        <v/>
      </c>
      <c r="L161" s="73" t="str">
        <f t="shared" si="43"/>
        <v/>
      </c>
      <c r="M161" s="73" t="str">
        <f t="shared" si="43"/>
        <v/>
      </c>
      <c r="N161" s="73" t="str">
        <f t="shared" si="43"/>
        <v/>
      </c>
      <c r="O161" s="73" t="str">
        <f t="shared" si="43"/>
        <v/>
      </c>
      <c r="P161" s="73" t="str">
        <f t="shared" si="43"/>
        <v/>
      </c>
      <c r="Q161" s="73" t="str">
        <f t="shared" si="43"/>
        <v/>
      </c>
      <c r="R161" s="73" t="str">
        <f t="shared" si="57"/>
        <v/>
      </c>
      <c r="S161" s="73" t="str">
        <f t="shared" si="57"/>
        <v/>
      </c>
      <c r="T161" s="73" t="str">
        <f t="shared" si="57"/>
        <v/>
      </c>
      <c r="U161" s="73" t="str">
        <f t="shared" si="57"/>
        <v/>
      </c>
      <c r="V161" s="73" t="str">
        <f t="shared" si="57"/>
        <v/>
      </c>
      <c r="W161" s="73" t="str">
        <f t="shared" si="57"/>
        <v/>
      </c>
      <c r="X161" s="73" t="str">
        <f t="shared" si="57"/>
        <v/>
      </c>
      <c r="Y161" s="73" t="str">
        <f t="shared" si="57"/>
        <v/>
      </c>
      <c r="Z161" s="73" t="str">
        <f t="shared" si="57"/>
        <v/>
      </c>
      <c r="AA161" s="73" t="str">
        <f t="shared" si="57"/>
        <v/>
      </c>
      <c r="AB161" s="74" t="str">
        <f t="shared" si="57"/>
        <v/>
      </c>
      <c r="AC161" s="35" t="str">
        <f t="shared" si="46"/>
        <v/>
      </c>
      <c r="AD161" s="40" t="str">
        <f t="shared" si="47"/>
        <v/>
      </c>
      <c r="AE161" s="37" t="str">
        <f t="shared" si="48"/>
        <v/>
      </c>
      <c r="AF161" s="40" t="str">
        <f t="shared" si="49"/>
        <v/>
      </c>
      <c r="AG161" s="37" t="str">
        <f t="shared" si="50"/>
        <v/>
      </c>
      <c r="AH161" s="40" t="str">
        <f t="shared" si="51"/>
        <v/>
      </c>
      <c r="AI161" s="37" t="str">
        <f t="shared" si="52"/>
        <v/>
      </c>
      <c r="AJ161" s="40" t="str">
        <f t="shared" si="53"/>
        <v/>
      </c>
      <c r="AK161" s="33" t="str">
        <f>IF(SEM!AK161="","",SEM!AK161)</f>
        <v/>
      </c>
      <c r="AL161" s="6"/>
      <c r="AM161" s="79" t="str">
        <f t="shared" si="54"/>
        <v/>
      </c>
      <c r="AN161" s="12"/>
      <c r="AO161" s="12"/>
      <c r="AP161" s="14"/>
      <c r="AQ161" s="16"/>
      <c r="AR161" s="15"/>
      <c r="AU161" s="198"/>
      <c r="AV161" s="198"/>
      <c r="AW161" s="198"/>
      <c r="AX161" s="198"/>
    </row>
    <row r="162" spans="2:50" ht="17.25" customHeight="1" x14ac:dyDescent="0.2">
      <c r="B162" s="6"/>
      <c r="C162" s="49" t="str">
        <f>IF(SEM!C162="","",SEM!C162)</f>
        <v/>
      </c>
      <c r="D162" s="220" t="str">
        <f>IF(C162="","",VLOOKUP(SEM!C162,FROTA!$B$5:$C$305,2,0))</f>
        <v/>
      </c>
      <c r="E162" s="24" t="str">
        <f>IF(C162="","",VLOOKUP(C162,FROTA!$B$5:$N$305,7,0))</f>
        <v/>
      </c>
      <c r="F162" s="38" t="str">
        <f t="shared" si="45"/>
        <v/>
      </c>
      <c r="G162" s="71" t="str">
        <f t="shared" si="55"/>
        <v/>
      </c>
      <c r="H162" s="32" t="str">
        <f t="shared" si="56"/>
        <v/>
      </c>
      <c r="I162" s="73" t="str">
        <f t="shared" si="56"/>
        <v/>
      </c>
      <c r="J162" s="73" t="str">
        <f t="shared" si="56"/>
        <v/>
      </c>
      <c r="K162" s="73" t="str">
        <f t="shared" si="43"/>
        <v/>
      </c>
      <c r="L162" s="73" t="str">
        <f t="shared" si="43"/>
        <v/>
      </c>
      <c r="M162" s="73" t="str">
        <f t="shared" si="43"/>
        <v/>
      </c>
      <c r="N162" s="73" t="str">
        <f t="shared" si="43"/>
        <v/>
      </c>
      <c r="O162" s="73" t="str">
        <f t="shared" si="43"/>
        <v/>
      </c>
      <c r="P162" s="73" t="str">
        <f t="shared" si="43"/>
        <v/>
      </c>
      <c r="Q162" s="73" t="str">
        <f t="shared" si="43"/>
        <v/>
      </c>
      <c r="R162" s="73" t="str">
        <f t="shared" si="57"/>
        <v/>
      </c>
      <c r="S162" s="73" t="str">
        <f t="shared" si="57"/>
        <v/>
      </c>
      <c r="T162" s="73" t="str">
        <f t="shared" si="57"/>
        <v/>
      </c>
      <c r="U162" s="73" t="str">
        <f t="shared" si="57"/>
        <v/>
      </c>
      <c r="V162" s="73" t="str">
        <f t="shared" si="57"/>
        <v/>
      </c>
      <c r="W162" s="73" t="str">
        <f t="shared" si="57"/>
        <v/>
      </c>
      <c r="X162" s="73" t="str">
        <f t="shared" si="57"/>
        <v/>
      </c>
      <c r="Y162" s="73" t="str">
        <f t="shared" si="57"/>
        <v/>
      </c>
      <c r="Z162" s="73" t="str">
        <f t="shared" si="57"/>
        <v/>
      </c>
      <c r="AA162" s="73" t="str">
        <f t="shared" si="57"/>
        <v/>
      </c>
      <c r="AB162" s="74" t="str">
        <f t="shared" si="57"/>
        <v/>
      </c>
      <c r="AC162" s="35" t="str">
        <f t="shared" si="46"/>
        <v/>
      </c>
      <c r="AD162" s="40" t="str">
        <f t="shared" si="47"/>
        <v/>
      </c>
      <c r="AE162" s="37" t="str">
        <f t="shared" si="48"/>
        <v/>
      </c>
      <c r="AF162" s="40" t="str">
        <f t="shared" si="49"/>
        <v/>
      </c>
      <c r="AG162" s="37" t="str">
        <f t="shared" si="50"/>
        <v/>
      </c>
      <c r="AH162" s="40" t="str">
        <f t="shared" si="51"/>
        <v/>
      </c>
      <c r="AI162" s="37" t="str">
        <f t="shared" si="52"/>
        <v/>
      </c>
      <c r="AJ162" s="40" t="str">
        <f t="shared" si="53"/>
        <v/>
      </c>
      <c r="AK162" s="33" t="str">
        <f>IF(SEM!AK162="","",SEM!AK162)</f>
        <v/>
      </c>
      <c r="AL162" s="6"/>
      <c r="AM162" s="79" t="str">
        <f t="shared" si="54"/>
        <v/>
      </c>
      <c r="AN162" s="12"/>
      <c r="AO162" s="12"/>
      <c r="AP162" s="14"/>
      <c r="AQ162" s="16"/>
      <c r="AR162" s="15"/>
      <c r="AU162" s="198"/>
      <c r="AV162" s="198"/>
      <c r="AW162" s="198"/>
      <c r="AX162" s="198"/>
    </row>
    <row r="163" spans="2:50" ht="17.25" customHeight="1" x14ac:dyDescent="0.2">
      <c r="B163" s="6"/>
      <c r="C163" s="49" t="str">
        <f>IF(SEM!C163="","",SEM!C163)</f>
        <v/>
      </c>
      <c r="D163" s="220" t="str">
        <f>IF(C163="","",VLOOKUP(SEM!C163,FROTA!$B$5:$C$305,2,0))</f>
        <v/>
      </c>
      <c r="E163" s="24" t="str">
        <f>IF(C163="","",VLOOKUP(C163,FROTA!$B$5:$N$305,7,0))</f>
        <v/>
      </c>
      <c r="F163" s="38" t="str">
        <f t="shared" si="45"/>
        <v/>
      </c>
      <c r="G163" s="71" t="str">
        <f t="shared" si="55"/>
        <v/>
      </c>
      <c r="H163" s="32" t="str">
        <f t="shared" si="56"/>
        <v/>
      </c>
      <c r="I163" s="73" t="str">
        <f t="shared" si="56"/>
        <v/>
      </c>
      <c r="J163" s="73" t="str">
        <f t="shared" si="56"/>
        <v/>
      </c>
      <c r="K163" s="73" t="str">
        <f t="shared" si="43"/>
        <v/>
      </c>
      <c r="L163" s="73" t="str">
        <f t="shared" si="43"/>
        <v/>
      </c>
      <c r="M163" s="73" t="str">
        <f t="shared" si="43"/>
        <v/>
      </c>
      <c r="N163" s="73" t="str">
        <f t="shared" si="43"/>
        <v/>
      </c>
      <c r="O163" s="73" t="str">
        <f t="shared" si="43"/>
        <v/>
      </c>
      <c r="P163" s="73" t="str">
        <f t="shared" si="43"/>
        <v/>
      </c>
      <c r="Q163" s="73" t="str">
        <f t="shared" si="43"/>
        <v/>
      </c>
      <c r="R163" s="73" t="str">
        <f t="shared" si="57"/>
        <v/>
      </c>
      <c r="S163" s="73" t="str">
        <f t="shared" si="57"/>
        <v/>
      </c>
      <c r="T163" s="73" t="str">
        <f t="shared" si="57"/>
        <v/>
      </c>
      <c r="U163" s="73" t="str">
        <f t="shared" si="57"/>
        <v/>
      </c>
      <c r="V163" s="73" t="str">
        <f t="shared" si="57"/>
        <v/>
      </c>
      <c r="W163" s="73" t="str">
        <f t="shared" si="57"/>
        <v/>
      </c>
      <c r="X163" s="73" t="str">
        <f t="shared" si="57"/>
        <v/>
      </c>
      <c r="Y163" s="73" t="str">
        <f t="shared" si="57"/>
        <v/>
      </c>
      <c r="Z163" s="73" t="str">
        <f t="shared" si="57"/>
        <v/>
      </c>
      <c r="AA163" s="73" t="str">
        <f t="shared" si="57"/>
        <v/>
      </c>
      <c r="AB163" s="74" t="str">
        <f t="shared" si="57"/>
        <v/>
      </c>
      <c r="AC163" s="35" t="str">
        <f t="shared" si="46"/>
        <v/>
      </c>
      <c r="AD163" s="40" t="str">
        <f t="shared" si="47"/>
        <v/>
      </c>
      <c r="AE163" s="37" t="str">
        <f t="shared" si="48"/>
        <v/>
      </c>
      <c r="AF163" s="40" t="str">
        <f t="shared" si="49"/>
        <v/>
      </c>
      <c r="AG163" s="37" t="str">
        <f t="shared" si="50"/>
        <v/>
      </c>
      <c r="AH163" s="40" t="str">
        <f t="shared" si="51"/>
        <v/>
      </c>
      <c r="AI163" s="37" t="str">
        <f t="shared" si="52"/>
        <v/>
      </c>
      <c r="AJ163" s="40" t="str">
        <f t="shared" si="53"/>
        <v/>
      </c>
      <c r="AK163" s="33" t="str">
        <f>IF(SEM!AK163="","",SEM!AK163)</f>
        <v/>
      </c>
      <c r="AL163" s="6"/>
      <c r="AM163" s="79" t="str">
        <f t="shared" si="54"/>
        <v/>
      </c>
      <c r="AN163" s="12"/>
      <c r="AO163" s="12"/>
      <c r="AP163" s="14"/>
      <c r="AQ163" s="16"/>
      <c r="AR163" s="15"/>
      <c r="AU163" s="198"/>
      <c r="AV163" s="198"/>
      <c r="AW163" s="198"/>
      <c r="AX163" s="198"/>
    </row>
    <row r="164" spans="2:50" ht="17.25" customHeight="1" x14ac:dyDescent="0.2">
      <c r="B164" s="6"/>
      <c r="C164" s="49" t="str">
        <f>IF(SEM!C164="","",SEM!C164)</f>
        <v/>
      </c>
      <c r="D164" s="220" t="str">
        <f>IF(C164="","",VLOOKUP(SEM!C164,FROTA!$B$5:$C$305,2,0))</f>
        <v/>
      </c>
      <c r="E164" s="24" t="str">
        <f>IF(C164="","",VLOOKUP(C164,FROTA!$B$5:$N$305,7,0))</f>
        <v/>
      </c>
      <c r="F164" s="38" t="str">
        <f t="shared" si="45"/>
        <v/>
      </c>
      <c r="G164" s="71" t="str">
        <f t="shared" si="55"/>
        <v/>
      </c>
      <c r="H164" s="32" t="str">
        <f t="shared" si="56"/>
        <v/>
      </c>
      <c r="I164" s="73" t="str">
        <f t="shared" si="56"/>
        <v/>
      </c>
      <c r="J164" s="73" t="str">
        <f t="shared" si="56"/>
        <v/>
      </c>
      <c r="K164" s="73" t="str">
        <f t="shared" si="43"/>
        <v/>
      </c>
      <c r="L164" s="73" t="str">
        <f t="shared" si="43"/>
        <v/>
      </c>
      <c r="M164" s="73" t="str">
        <f t="shared" si="43"/>
        <v/>
      </c>
      <c r="N164" s="73" t="str">
        <f t="shared" si="43"/>
        <v/>
      </c>
      <c r="O164" s="73" t="str">
        <f t="shared" si="43"/>
        <v/>
      </c>
      <c r="P164" s="73" t="str">
        <f t="shared" si="43"/>
        <v/>
      </c>
      <c r="Q164" s="73" t="str">
        <f t="shared" si="43"/>
        <v/>
      </c>
      <c r="R164" s="73" t="str">
        <f t="shared" si="57"/>
        <v/>
      </c>
      <c r="S164" s="73" t="str">
        <f t="shared" si="57"/>
        <v/>
      </c>
      <c r="T164" s="73" t="str">
        <f t="shared" si="57"/>
        <v/>
      </c>
      <c r="U164" s="73" t="str">
        <f t="shared" si="57"/>
        <v/>
      </c>
      <c r="V164" s="73" t="str">
        <f t="shared" si="57"/>
        <v/>
      </c>
      <c r="W164" s="73" t="str">
        <f t="shared" si="57"/>
        <v/>
      </c>
      <c r="X164" s="73" t="str">
        <f t="shared" si="57"/>
        <v/>
      </c>
      <c r="Y164" s="73" t="str">
        <f t="shared" si="57"/>
        <v/>
      </c>
      <c r="Z164" s="73" t="str">
        <f t="shared" si="57"/>
        <v/>
      </c>
      <c r="AA164" s="73" t="str">
        <f t="shared" si="57"/>
        <v/>
      </c>
      <c r="AB164" s="74" t="str">
        <f t="shared" si="57"/>
        <v/>
      </c>
      <c r="AC164" s="35" t="str">
        <f t="shared" si="46"/>
        <v/>
      </c>
      <c r="AD164" s="40" t="str">
        <f t="shared" si="47"/>
        <v/>
      </c>
      <c r="AE164" s="37" t="str">
        <f t="shared" si="48"/>
        <v/>
      </c>
      <c r="AF164" s="40" t="str">
        <f t="shared" si="49"/>
        <v/>
      </c>
      <c r="AG164" s="37" t="str">
        <f t="shared" si="50"/>
        <v/>
      </c>
      <c r="AH164" s="40" t="str">
        <f t="shared" si="51"/>
        <v/>
      </c>
      <c r="AI164" s="37" t="str">
        <f t="shared" si="52"/>
        <v/>
      </c>
      <c r="AJ164" s="40" t="str">
        <f t="shared" si="53"/>
        <v/>
      </c>
      <c r="AK164" s="33" t="str">
        <f>IF(SEM!AK164="","",SEM!AK164)</f>
        <v/>
      </c>
      <c r="AL164" s="6"/>
      <c r="AM164" s="79" t="str">
        <f t="shared" si="54"/>
        <v/>
      </c>
      <c r="AN164" s="12"/>
      <c r="AO164" s="12"/>
      <c r="AP164" s="14"/>
      <c r="AQ164" s="16"/>
      <c r="AR164" s="15"/>
      <c r="AU164" s="198"/>
      <c r="AV164" s="198"/>
      <c r="AW164" s="198"/>
      <c r="AX164" s="198"/>
    </row>
    <row r="165" spans="2:50" ht="17.25" customHeight="1" x14ac:dyDescent="0.2">
      <c r="B165" s="6"/>
      <c r="C165" s="49" t="str">
        <f>IF(SEM!C165="","",SEM!C165)</f>
        <v/>
      </c>
      <c r="D165" s="220" t="str">
        <f>IF(C165="","",VLOOKUP(SEM!C165,FROTA!$B$5:$C$305,2,0))</f>
        <v/>
      </c>
      <c r="E165" s="24" t="str">
        <f>IF(C165="","",VLOOKUP(C165,FROTA!$B$5:$N$305,7,0))</f>
        <v/>
      </c>
      <c r="F165" s="38" t="str">
        <f t="shared" si="45"/>
        <v/>
      </c>
      <c r="G165" s="71" t="str">
        <f t="shared" si="55"/>
        <v/>
      </c>
      <c r="H165" s="32" t="str">
        <f t="shared" si="56"/>
        <v/>
      </c>
      <c r="I165" s="73" t="str">
        <f t="shared" si="56"/>
        <v/>
      </c>
      <c r="J165" s="73" t="str">
        <f t="shared" si="56"/>
        <v/>
      </c>
      <c r="K165" s="73" t="str">
        <f t="shared" si="43"/>
        <v/>
      </c>
      <c r="L165" s="73" t="str">
        <f t="shared" si="43"/>
        <v/>
      </c>
      <c r="M165" s="73" t="str">
        <f t="shared" si="43"/>
        <v/>
      </c>
      <c r="N165" s="73" t="str">
        <f t="shared" si="43"/>
        <v/>
      </c>
      <c r="O165" s="73" t="str">
        <f t="shared" si="43"/>
        <v/>
      </c>
      <c r="P165" s="73" t="str">
        <f t="shared" si="43"/>
        <v/>
      </c>
      <c r="Q165" s="73" t="str">
        <f t="shared" si="43"/>
        <v/>
      </c>
      <c r="R165" s="73" t="str">
        <f t="shared" si="57"/>
        <v/>
      </c>
      <c r="S165" s="73" t="str">
        <f t="shared" si="57"/>
        <v/>
      </c>
      <c r="T165" s="73" t="str">
        <f t="shared" si="57"/>
        <v/>
      </c>
      <c r="U165" s="73" t="str">
        <f t="shared" si="57"/>
        <v/>
      </c>
      <c r="V165" s="73" t="str">
        <f t="shared" si="57"/>
        <v/>
      </c>
      <c r="W165" s="73" t="str">
        <f t="shared" si="57"/>
        <v/>
      </c>
      <c r="X165" s="73" t="str">
        <f t="shared" si="57"/>
        <v/>
      </c>
      <c r="Y165" s="73" t="str">
        <f t="shared" si="57"/>
        <v/>
      </c>
      <c r="Z165" s="73" t="str">
        <f t="shared" si="57"/>
        <v/>
      </c>
      <c r="AA165" s="73" t="str">
        <f t="shared" si="57"/>
        <v/>
      </c>
      <c r="AB165" s="74" t="str">
        <f t="shared" si="57"/>
        <v/>
      </c>
      <c r="AC165" s="35" t="str">
        <f t="shared" si="46"/>
        <v/>
      </c>
      <c r="AD165" s="40" t="str">
        <f t="shared" si="47"/>
        <v/>
      </c>
      <c r="AE165" s="37" t="str">
        <f t="shared" si="48"/>
        <v/>
      </c>
      <c r="AF165" s="40" t="str">
        <f t="shared" si="49"/>
        <v/>
      </c>
      <c r="AG165" s="37" t="str">
        <f t="shared" si="50"/>
        <v/>
      </c>
      <c r="AH165" s="40" t="str">
        <f t="shared" si="51"/>
        <v/>
      </c>
      <c r="AI165" s="37" t="str">
        <f t="shared" si="52"/>
        <v/>
      </c>
      <c r="AJ165" s="40" t="str">
        <f t="shared" si="53"/>
        <v/>
      </c>
      <c r="AK165" s="33" t="str">
        <f>IF(SEM!AK165="","",SEM!AK165)</f>
        <v/>
      </c>
      <c r="AL165" s="6"/>
      <c r="AM165" s="79" t="str">
        <f t="shared" si="54"/>
        <v/>
      </c>
      <c r="AN165" s="12"/>
      <c r="AO165" s="12"/>
      <c r="AP165" s="14"/>
      <c r="AQ165" s="16"/>
      <c r="AR165" s="15"/>
      <c r="AU165" s="198"/>
      <c r="AV165" s="198"/>
      <c r="AW165" s="198"/>
      <c r="AX165" s="198"/>
    </row>
    <row r="166" spans="2:50" ht="17.25" customHeight="1" x14ac:dyDescent="0.2">
      <c r="B166" s="6"/>
      <c r="C166" s="49" t="str">
        <f>IF(SEM!C166="","",SEM!C166)</f>
        <v/>
      </c>
      <c r="D166" s="220" t="str">
        <f>IF(C166="","",VLOOKUP(SEM!C166,FROTA!$B$5:$C$305,2,0))</f>
        <v/>
      </c>
      <c r="E166" s="24" t="str">
        <f>IF(C166="","",VLOOKUP(C166,FROTA!$B$5:$N$305,7,0))</f>
        <v/>
      </c>
      <c r="F166" s="38" t="str">
        <f t="shared" si="45"/>
        <v/>
      </c>
      <c r="G166" s="71" t="str">
        <f t="shared" si="55"/>
        <v/>
      </c>
      <c r="H166" s="32" t="str">
        <f t="shared" si="56"/>
        <v/>
      </c>
      <c r="I166" s="73" t="str">
        <f t="shared" si="56"/>
        <v/>
      </c>
      <c r="J166" s="73" t="str">
        <f t="shared" si="56"/>
        <v/>
      </c>
      <c r="K166" s="73" t="str">
        <f t="shared" si="43"/>
        <v/>
      </c>
      <c r="L166" s="73" t="str">
        <f t="shared" si="43"/>
        <v/>
      </c>
      <c r="M166" s="73" t="str">
        <f t="shared" si="43"/>
        <v/>
      </c>
      <c r="N166" s="73" t="str">
        <f t="shared" si="43"/>
        <v/>
      </c>
      <c r="O166" s="73" t="str">
        <f t="shared" si="43"/>
        <v/>
      </c>
      <c r="P166" s="73" t="str">
        <f t="shared" si="43"/>
        <v/>
      </c>
      <c r="Q166" s="73" t="str">
        <f t="shared" si="43"/>
        <v/>
      </c>
      <c r="R166" s="73" t="str">
        <f t="shared" si="57"/>
        <v/>
      </c>
      <c r="S166" s="73" t="str">
        <f t="shared" si="57"/>
        <v/>
      </c>
      <c r="T166" s="73" t="str">
        <f t="shared" si="57"/>
        <v/>
      </c>
      <c r="U166" s="73" t="str">
        <f t="shared" si="57"/>
        <v/>
      </c>
      <c r="V166" s="73" t="str">
        <f t="shared" si="57"/>
        <v/>
      </c>
      <c r="W166" s="73" t="str">
        <f t="shared" si="57"/>
        <v/>
      </c>
      <c r="X166" s="73" t="str">
        <f t="shared" si="57"/>
        <v/>
      </c>
      <c r="Y166" s="73" t="str">
        <f t="shared" si="57"/>
        <v/>
      </c>
      <c r="Z166" s="73" t="str">
        <f t="shared" si="57"/>
        <v/>
      </c>
      <c r="AA166" s="73" t="str">
        <f t="shared" si="57"/>
        <v/>
      </c>
      <c r="AB166" s="74" t="str">
        <f t="shared" si="57"/>
        <v/>
      </c>
      <c r="AC166" s="35" t="str">
        <f t="shared" si="46"/>
        <v/>
      </c>
      <c r="AD166" s="40" t="str">
        <f t="shared" si="47"/>
        <v/>
      </c>
      <c r="AE166" s="37" t="str">
        <f t="shared" si="48"/>
        <v/>
      </c>
      <c r="AF166" s="40" t="str">
        <f t="shared" si="49"/>
        <v/>
      </c>
      <c r="AG166" s="37" t="str">
        <f t="shared" si="50"/>
        <v/>
      </c>
      <c r="AH166" s="40" t="str">
        <f t="shared" si="51"/>
        <v/>
      </c>
      <c r="AI166" s="37" t="str">
        <f t="shared" si="52"/>
        <v/>
      </c>
      <c r="AJ166" s="40" t="str">
        <f t="shared" si="53"/>
        <v/>
      </c>
      <c r="AK166" s="33" t="str">
        <f>IF(SEM!AK166="","",SEM!AK166)</f>
        <v/>
      </c>
      <c r="AL166" s="6"/>
      <c r="AM166" s="79" t="str">
        <f t="shared" si="54"/>
        <v/>
      </c>
      <c r="AN166" s="12"/>
      <c r="AO166" s="12"/>
      <c r="AP166" s="14"/>
      <c r="AQ166" s="16"/>
      <c r="AR166" s="15"/>
      <c r="AU166" s="198"/>
      <c r="AV166" s="198"/>
      <c r="AW166" s="198"/>
      <c r="AX166" s="198"/>
    </row>
    <row r="167" spans="2:50" ht="17.25" customHeight="1" x14ac:dyDescent="0.2">
      <c r="B167" s="6"/>
      <c r="C167" s="49" t="str">
        <f>IF(SEM!C167="","",SEM!C167)</f>
        <v/>
      </c>
      <c r="D167" s="220" t="str">
        <f>IF(C167="","",VLOOKUP(SEM!C167,FROTA!$B$5:$C$305,2,0))</f>
        <v/>
      </c>
      <c r="E167" s="24" t="str">
        <f>IF(C167="","",VLOOKUP(C167,FROTA!$B$5:$N$305,7,0))</f>
        <v/>
      </c>
      <c r="F167" s="38" t="str">
        <f t="shared" si="45"/>
        <v/>
      </c>
      <c r="G167" s="71" t="str">
        <f t="shared" si="55"/>
        <v/>
      </c>
      <c r="H167" s="32" t="str">
        <f t="shared" si="56"/>
        <v/>
      </c>
      <c r="I167" s="73" t="str">
        <f t="shared" si="56"/>
        <v/>
      </c>
      <c r="J167" s="73" t="str">
        <f t="shared" si="56"/>
        <v/>
      </c>
      <c r="K167" s="73" t="str">
        <f t="shared" si="43"/>
        <v/>
      </c>
      <c r="L167" s="73" t="str">
        <f t="shared" si="43"/>
        <v/>
      </c>
      <c r="M167" s="73" t="str">
        <f t="shared" si="43"/>
        <v/>
      </c>
      <c r="N167" s="73" t="str">
        <f t="shared" si="43"/>
        <v/>
      </c>
      <c r="O167" s="73" t="str">
        <f t="shared" si="43"/>
        <v/>
      </c>
      <c r="P167" s="73" t="str">
        <f t="shared" ref="K167:Q204" si="58">IF($C167="","",IF(SUM(P$307*$G167)&gt;$F167,$F167,SUM(P$307*$G167)))</f>
        <v/>
      </c>
      <c r="Q167" s="73" t="str">
        <f t="shared" si="58"/>
        <v/>
      </c>
      <c r="R167" s="73" t="str">
        <f t="shared" si="57"/>
        <v/>
      </c>
      <c r="S167" s="73" t="str">
        <f t="shared" si="57"/>
        <v/>
      </c>
      <c r="T167" s="73" t="str">
        <f t="shared" si="57"/>
        <v/>
      </c>
      <c r="U167" s="73" t="str">
        <f t="shared" si="57"/>
        <v/>
      </c>
      <c r="V167" s="73" t="str">
        <f t="shared" si="57"/>
        <v/>
      </c>
      <c r="W167" s="73" t="str">
        <f t="shared" si="57"/>
        <v/>
      </c>
      <c r="X167" s="73" t="str">
        <f t="shared" si="57"/>
        <v/>
      </c>
      <c r="Y167" s="73" t="str">
        <f t="shared" si="57"/>
        <v/>
      </c>
      <c r="Z167" s="73" t="str">
        <f t="shared" si="57"/>
        <v/>
      </c>
      <c r="AA167" s="73" t="str">
        <f t="shared" si="57"/>
        <v/>
      </c>
      <c r="AB167" s="74" t="str">
        <f t="shared" si="57"/>
        <v/>
      </c>
      <c r="AC167" s="35" t="str">
        <f t="shared" si="46"/>
        <v/>
      </c>
      <c r="AD167" s="40" t="str">
        <f t="shared" si="47"/>
        <v/>
      </c>
      <c r="AE167" s="37" t="str">
        <f t="shared" si="48"/>
        <v/>
      </c>
      <c r="AF167" s="40" t="str">
        <f t="shared" si="49"/>
        <v/>
      </c>
      <c r="AG167" s="37" t="str">
        <f t="shared" si="50"/>
        <v/>
      </c>
      <c r="AH167" s="40" t="str">
        <f t="shared" si="51"/>
        <v/>
      </c>
      <c r="AI167" s="37" t="str">
        <f t="shared" si="52"/>
        <v/>
      </c>
      <c r="AJ167" s="40" t="str">
        <f t="shared" si="53"/>
        <v/>
      </c>
      <c r="AK167" s="33" t="str">
        <f>IF(SEM!AK167="","",SEM!AK167)</f>
        <v/>
      </c>
      <c r="AL167" s="6"/>
      <c r="AM167" s="79" t="str">
        <f t="shared" si="54"/>
        <v/>
      </c>
      <c r="AN167" s="12"/>
      <c r="AO167" s="12"/>
      <c r="AP167" s="14"/>
      <c r="AQ167" s="16"/>
      <c r="AR167" s="15"/>
      <c r="AU167" s="198"/>
      <c r="AV167" s="198"/>
      <c r="AW167" s="198"/>
      <c r="AX167" s="198"/>
    </row>
    <row r="168" spans="2:50" ht="17.25" customHeight="1" x14ac:dyDescent="0.2">
      <c r="B168" s="6"/>
      <c r="C168" s="49" t="str">
        <f>IF(SEM!C168="","",SEM!C168)</f>
        <v/>
      </c>
      <c r="D168" s="220" t="str">
        <f>IF(C168="","",VLOOKUP(SEM!C168,FROTA!$B$5:$C$305,2,0))</f>
        <v/>
      </c>
      <c r="E168" s="24" t="str">
        <f>IF(C168="","",VLOOKUP(C168,FROTA!$B$5:$N$305,7,0))</f>
        <v/>
      </c>
      <c r="F168" s="38" t="str">
        <f t="shared" si="45"/>
        <v/>
      </c>
      <c r="G168" s="71" t="str">
        <f t="shared" si="55"/>
        <v/>
      </c>
      <c r="H168" s="32" t="str">
        <f t="shared" si="56"/>
        <v/>
      </c>
      <c r="I168" s="73" t="str">
        <f t="shared" si="56"/>
        <v/>
      </c>
      <c r="J168" s="73" t="str">
        <f t="shared" si="56"/>
        <v/>
      </c>
      <c r="K168" s="73" t="str">
        <f t="shared" si="58"/>
        <v/>
      </c>
      <c r="L168" s="73" t="str">
        <f t="shared" si="58"/>
        <v/>
      </c>
      <c r="M168" s="73" t="str">
        <f t="shared" si="58"/>
        <v/>
      </c>
      <c r="N168" s="73" t="str">
        <f t="shared" si="58"/>
        <v/>
      </c>
      <c r="O168" s="73" t="str">
        <f t="shared" si="58"/>
        <v/>
      </c>
      <c r="P168" s="73" t="str">
        <f t="shared" si="58"/>
        <v/>
      </c>
      <c r="Q168" s="73" t="str">
        <f t="shared" si="58"/>
        <v/>
      </c>
      <c r="R168" s="73" t="str">
        <f t="shared" si="57"/>
        <v/>
      </c>
      <c r="S168" s="73" t="str">
        <f t="shared" si="57"/>
        <v/>
      </c>
      <c r="T168" s="73" t="str">
        <f t="shared" si="57"/>
        <v/>
      </c>
      <c r="U168" s="73" t="str">
        <f t="shared" si="57"/>
        <v/>
      </c>
      <c r="V168" s="73" t="str">
        <f t="shared" si="57"/>
        <v/>
      </c>
      <c r="W168" s="73" t="str">
        <f t="shared" si="57"/>
        <v/>
      </c>
      <c r="X168" s="73" t="str">
        <f t="shared" si="57"/>
        <v/>
      </c>
      <c r="Y168" s="73" t="str">
        <f t="shared" si="57"/>
        <v/>
      </c>
      <c r="Z168" s="73" t="str">
        <f t="shared" si="57"/>
        <v/>
      </c>
      <c r="AA168" s="73" t="str">
        <f t="shared" si="57"/>
        <v/>
      </c>
      <c r="AB168" s="74" t="str">
        <f t="shared" si="57"/>
        <v/>
      </c>
      <c r="AC168" s="35" t="str">
        <f t="shared" si="46"/>
        <v/>
      </c>
      <c r="AD168" s="40" t="str">
        <f t="shared" si="47"/>
        <v/>
      </c>
      <c r="AE168" s="37" t="str">
        <f t="shared" si="48"/>
        <v/>
      </c>
      <c r="AF168" s="40" t="str">
        <f t="shared" si="49"/>
        <v/>
      </c>
      <c r="AG168" s="37" t="str">
        <f t="shared" si="50"/>
        <v/>
      </c>
      <c r="AH168" s="40" t="str">
        <f t="shared" si="51"/>
        <v/>
      </c>
      <c r="AI168" s="37" t="str">
        <f t="shared" si="52"/>
        <v/>
      </c>
      <c r="AJ168" s="40" t="str">
        <f t="shared" si="53"/>
        <v/>
      </c>
      <c r="AK168" s="33" t="str">
        <f>IF(SEM!AK168="","",SEM!AK168)</f>
        <v/>
      </c>
      <c r="AL168" s="6"/>
      <c r="AM168" s="79" t="str">
        <f t="shared" si="54"/>
        <v/>
      </c>
      <c r="AN168" s="12"/>
      <c r="AO168" s="12"/>
      <c r="AP168" s="14"/>
      <c r="AQ168" s="16"/>
      <c r="AR168" s="15"/>
      <c r="AU168" s="198"/>
      <c r="AV168" s="198"/>
      <c r="AW168" s="198"/>
      <c r="AX168" s="198"/>
    </row>
    <row r="169" spans="2:50" ht="17.25" customHeight="1" x14ac:dyDescent="0.2">
      <c r="B169" s="6"/>
      <c r="C169" s="49" t="str">
        <f>IF(SEM!C169="","",SEM!C169)</f>
        <v/>
      </c>
      <c r="D169" s="220" t="str">
        <f>IF(C169="","",VLOOKUP(SEM!C169,FROTA!$B$5:$C$305,2,0))</f>
        <v/>
      </c>
      <c r="E169" s="24" t="str">
        <f>IF(C169="","",VLOOKUP(C169,FROTA!$B$5:$N$305,7,0))</f>
        <v/>
      </c>
      <c r="F169" s="38" t="str">
        <f t="shared" si="45"/>
        <v/>
      </c>
      <c r="G169" s="71" t="str">
        <f t="shared" si="55"/>
        <v/>
      </c>
      <c r="H169" s="32" t="str">
        <f t="shared" si="56"/>
        <v/>
      </c>
      <c r="I169" s="73" t="str">
        <f t="shared" si="56"/>
        <v/>
      </c>
      <c r="J169" s="73" t="str">
        <f t="shared" si="56"/>
        <v/>
      </c>
      <c r="K169" s="73" t="str">
        <f t="shared" si="58"/>
        <v/>
      </c>
      <c r="L169" s="73" t="str">
        <f t="shared" si="58"/>
        <v/>
      </c>
      <c r="M169" s="73" t="str">
        <f t="shared" si="58"/>
        <v/>
      </c>
      <c r="N169" s="73" t="str">
        <f t="shared" si="58"/>
        <v/>
      </c>
      <c r="O169" s="73" t="str">
        <f t="shared" si="58"/>
        <v/>
      </c>
      <c r="P169" s="73" t="str">
        <f t="shared" si="58"/>
        <v/>
      </c>
      <c r="Q169" s="73" t="str">
        <f t="shared" si="58"/>
        <v/>
      </c>
      <c r="R169" s="73" t="str">
        <f t="shared" si="57"/>
        <v/>
      </c>
      <c r="S169" s="73" t="str">
        <f t="shared" si="57"/>
        <v/>
      </c>
      <c r="T169" s="73" t="str">
        <f t="shared" si="57"/>
        <v/>
      </c>
      <c r="U169" s="73" t="str">
        <f t="shared" si="57"/>
        <v/>
      </c>
      <c r="V169" s="73" t="str">
        <f t="shared" si="57"/>
        <v/>
      </c>
      <c r="W169" s="73" t="str">
        <f t="shared" si="57"/>
        <v/>
      </c>
      <c r="X169" s="73" t="str">
        <f t="shared" si="57"/>
        <v/>
      </c>
      <c r="Y169" s="73" t="str">
        <f t="shared" si="57"/>
        <v/>
      </c>
      <c r="Z169" s="73" t="str">
        <f t="shared" si="57"/>
        <v/>
      </c>
      <c r="AA169" s="73" t="str">
        <f t="shared" si="57"/>
        <v/>
      </c>
      <c r="AB169" s="74" t="str">
        <f t="shared" si="57"/>
        <v/>
      </c>
      <c r="AC169" s="35" t="str">
        <f t="shared" si="46"/>
        <v/>
      </c>
      <c r="AD169" s="40" t="str">
        <f t="shared" si="47"/>
        <v/>
      </c>
      <c r="AE169" s="37" t="str">
        <f t="shared" si="48"/>
        <v/>
      </c>
      <c r="AF169" s="40" t="str">
        <f t="shared" si="49"/>
        <v/>
      </c>
      <c r="AG169" s="37" t="str">
        <f t="shared" si="50"/>
        <v/>
      </c>
      <c r="AH169" s="40" t="str">
        <f t="shared" si="51"/>
        <v/>
      </c>
      <c r="AI169" s="37" t="str">
        <f t="shared" si="52"/>
        <v/>
      </c>
      <c r="AJ169" s="40" t="str">
        <f t="shared" si="53"/>
        <v/>
      </c>
      <c r="AK169" s="33" t="str">
        <f>IF(SEM!AK169="","",SEM!AK169)</f>
        <v/>
      </c>
      <c r="AL169" s="6"/>
      <c r="AM169" s="79" t="str">
        <f t="shared" si="54"/>
        <v/>
      </c>
      <c r="AN169" s="12"/>
      <c r="AO169" s="12"/>
      <c r="AP169" s="14"/>
      <c r="AQ169" s="16"/>
      <c r="AR169" s="15"/>
      <c r="AU169" s="198"/>
      <c r="AV169" s="198"/>
      <c r="AW169" s="198"/>
      <c r="AX169" s="198"/>
    </row>
    <row r="170" spans="2:50" ht="17.25" customHeight="1" x14ac:dyDescent="0.2">
      <c r="B170" s="6"/>
      <c r="C170" s="49" t="str">
        <f>IF(SEM!C170="","",SEM!C170)</f>
        <v/>
      </c>
      <c r="D170" s="220" t="str">
        <f>IF(C170="","",VLOOKUP(SEM!C170,FROTA!$B$5:$C$305,2,0))</f>
        <v/>
      </c>
      <c r="E170" s="24" t="str">
        <f>IF(C170="","",VLOOKUP(C170,FROTA!$B$5:$N$305,7,0))</f>
        <v/>
      </c>
      <c r="F170" s="38" t="str">
        <f t="shared" si="45"/>
        <v/>
      </c>
      <c r="G170" s="71" t="str">
        <f t="shared" si="55"/>
        <v/>
      </c>
      <c r="H170" s="32" t="str">
        <f t="shared" si="56"/>
        <v/>
      </c>
      <c r="I170" s="73" t="str">
        <f t="shared" si="56"/>
        <v/>
      </c>
      <c r="J170" s="73" t="str">
        <f t="shared" si="56"/>
        <v/>
      </c>
      <c r="K170" s="73" t="str">
        <f t="shared" si="58"/>
        <v/>
      </c>
      <c r="L170" s="73" t="str">
        <f t="shared" si="58"/>
        <v/>
      </c>
      <c r="M170" s="73" t="str">
        <f t="shared" si="58"/>
        <v/>
      </c>
      <c r="N170" s="73" t="str">
        <f t="shared" si="58"/>
        <v/>
      </c>
      <c r="O170" s="73" t="str">
        <f t="shared" si="58"/>
        <v/>
      </c>
      <c r="P170" s="73" t="str">
        <f t="shared" si="58"/>
        <v/>
      </c>
      <c r="Q170" s="73" t="str">
        <f t="shared" si="58"/>
        <v/>
      </c>
      <c r="R170" s="73" t="str">
        <f t="shared" si="57"/>
        <v/>
      </c>
      <c r="S170" s="73" t="str">
        <f t="shared" si="57"/>
        <v/>
      </c>
      <c r="T170" s="73" t="str">
        <f t="shared" si="57"/>
        <v/>
      </c>
      <c r="U170" s="73" t="str">
        <f t="shared" si="57"/>
        <v/>
      </c>
      <c r="V170" s="73" t="str">
        <f t="shared" si="57"/>
        <v/>
      </c>
      <c r="W170" s="73" t="str">
        <f t="shared" si="57"/>
        <v/>
      </c>
      <c r="X170" s="73" t="str">
        <f t="shared" si="57"/>
        <v/>
      </c>
      <c r="Y170" s="73" t="str">
        <f t="shared" si="57"/>
        <v/>
      </c>
      <c r="Z170" s="73" t="str">
        <f t="shared" si="57"/>
        <v/>
      </c>
      <c r="AA170" s="73" t="str">
        <f t="shared" si="57"/>
        <v/>
      </c>
      <c r="AB170" s="74" t="str">
        <f t="shared" si="57"/>
        <v/>
      </c>
      <c r="AC170" s="35" t="str">
        <f t="shared" si="46"/>
        <v/>
      </c>
      <c r="AD170" s="40" t="str">
        <f t="shared" si="47"/>
        <v/>
      </c>
      <c r="AE170" s="37" t="str">
        <f t="shared" si="48"/>
        <v/>
      </c>
      <c r="AF170" s="40" t="str">
        <f t="shared" si="49"/>
        <v/>
      </c>
      <c r="AG170" s="37" t="str">
        <f t="shared" si="50"/>
        <v/>
      </c>
      <c r="AH170" s="40" t="str">
        <f t="shared" si="51"/>
        <v/>
      </c>
      <c r="AI170" s="37" t="str">
        <f t="shared" si="52"/>
        <v/>
      </c>
      <c r="AJ170" s="40" t="str">
        <f t="shared" si="53"/>
        <v/>
      </c>
      <c r="AK170" s="33" t="str">
        <f>IF(SEM!AK170="","",SEM!AK170)</f>
        <v/>
      </c>
      <c r="AL170" s="6"/>
      <c r="AM170" s="79" t="str">
        <f t="shared" si="54"/>
        <v/>
      </c>
      <c r="AN170" s="12"/>
      <c r="AO170" s="12"/>
      <c r="AP170" s="14"/>
      <c r="AQ170" s="16"/>
      <c r="AR170" s="15"/>
      <c r="AU170" s="198"/>
      <c r="AV170" s="198"/>
      <c r="AW170" s="198"/>
      <c r="AX170" s="198"/>
    </row>
    <row r="171" spans="2:50" ht="17.25" customHeight="1" x14ac:dyDescent="0.2">
      <c r="B171" s="6"/>
      <c r="C171" s="49" t="str">
        <f>IF(SEM!C171="","",SEM!C171)</f>
        <v/>
      </c>
      <c r="D171" s="220" t="str">
        <f>IF(C171="","",VLOOKUP(SEM!C171,FROTA!$B$5:$C$305,2,0))</f>
        <v/>
      </c>
      <c r="E171" s="24" t="str">
        <f>IF(C171="","",VLOOKUP(C171,FROTA!$B$5:$N$305,7,0))</f>
        <v/>
      </c>
      <c r="F171" s="38" t="str">
        <f t="shared" si="45"/>
        <v/>
      </c>
      <c r="G171" s="71" t="str">
        <f t="shared" si="55"/>
        <v/>
      </c>
      <c r="H171" s="32" t="str">
        <f t="shared" si="56"/>
        <v/>
      </c>
      <c r="I171" s="73" t="str">
        <f t="shared" si="56"/>
        <v/>
      </c>
      <c r="J171" s="73" t="str">
        <f t="shared" si="56"/>
        <v/>
      </c>
      <c r="K171" s="73" t="str">
        <f t="shared" si="58"/>
        <v/>
      </c>
      <c r="L171" s="73" t="str">
        <f t="shared" si="58"/>
        <v/>
      </c>
      <c r="M171" s="73" t="str">
        <f t="shared" si="58"/>
        <v/>
      </c>
      <c r="N171" s="73" t="str">
        <f t="shared" si="58"/>
        <v/>
      </c>
      <c r="O171" s="73" t="str">
        <f t="shared" si="58"/>
        <v/>
      </c>
      <c r="P171" s="73" t="str">
        <f t="shared" si="58"/>
        <v/>
      </c>
      <c r="Q171" s="73" t="str">
        <f t="shared" si="58"/>
        <v/>
      </c>
      <c r="R171" s="73" t="str">
        <f t="shared" si="57"/>
        <v/>
      </c>
      <c r="S171" s="73" t="str">
        <f t="shared" si="57"/>
        <v/>
      </c>
      <c r="T171" s="73" t="str">
        <f t="shared" si="57"/>
        <v/>
      </c>
      <c r="U171" s="73" t="str">
        <f t="shared" si="57"/>
        <v/>
      </c>
      <c r="V171" s="73" t="str">
        <f t="shared" si="57"/>
        <v/>
      </c>
      <c r="W171" s="73" t="str">
        <f t="shared" si="57"/>
        <v/>
      </c>
      <c r="X171" s="73" t="str">
        <f t="shared" si="57"/>
        <v/>
      </c>
      <c r="Y171" s="73" t="str">
        <f t="shared" si="57"/>
        <v/>
      </c>
      <c r="Z171" s="73" t="str">
        <f t="shared" si="57"/>
        <v/>
      </c>
      <c r="AA171" s="73" t="str">
        <f t="shared" si="57"/>
        <v/>
      </c>
      <c r="AB171" s="74" t="str">
        <f t="shared" si="57"/>
        <v/>
      </c>
      <c r="AC171" s="35" t="str">
        <f t="shared" si="46"/>
        <v/>
      </c>
      <c r="AD171" s="40" t="str">
        <f t="shared" si="47"/>
        <v/>
      </c>
      <c r="AE171" s="37" t="str">
        <f t="shared" si="48"/>
        <v/>
      </c>
      <c r="AF171" s="40" t="str">
        <f t="shared" si="49"/>
        <v/>
      </c>
      <c r="AG171" s="37" t="str">
        <f t="shared" si="50"/>
        <v/>
      </c>
      <c r="AH171" s="40" t="str">
        <f t="shared" si="51"/>
        <v/>
      </c>
      <c r="AI171" s="37" t="str">
        <f t="shared" si="52"/>
        <v/>
      </c>
      <c r="AJ171" s="40" t="str">
        <f t="shared" si="53"/>
        <v/>
      </c>
      <c r="AK171" s="33" t="str">
        <f>IF(SEM!AK171="","",SEM!AK171)</f>
        <v/>
      </c>
      <c r="AL171" s="6"/>
      <c r="AM171" s="79" t="str">
        <f t="shared" si="54"/>
        <v/>
      </c>
      <c r="AN171" s="12"/>
      <c r="AO171" s="12"/>
      <c r="AP171" s="14"/>
      <c r="AQ171" s="16"/>
      <c r="AR171" s="15"/>
      <c r="AU171" s="198"/>
      <c r="AV171" s="198"/>
      <c r="AW171" s="198"/>
      <c r="AX171" s="198"/>
    </row>
    <row r="172" spans="2:50" ht="17.25" customHeight="1" x14ac:dyDescent="0.2">
      <c r="B172" s="6"/>
      <c r="C172" s="49" t="str">
        <f>IF(SEM!C172="","",SEM!C172)</f>
        <v/>
      </c>
      <c r="D172" s="220" t="str">
        <f>IF(C172="","",VLOOKUP(SEM!C172,FROTA!$B$5:$C$305,2,0))</f>
        <v/>
      </c>
      <c r="E172" s="24" t="str">
        <f>IF(C172="","",VLOOKUP(C172,FROTA!$B$5:$N$305,7,0))</f>
        <v/>
      </c>
      <c r="F172" s="38" t="str">
        <f t="shared" si="45"/>
        <v/>
      </c>
      <c r="G172" s="71" t="str">
        <f t="shared" si="55"/>
        <v/>
      </c>
      <c r="H172" s="32" t="str">
        <f t="shared" si="56"/>
        <v/>
      </c>
      <c r="I172" s="73" t="str">
        <f t="shared" si="56"/>
        <v/>
      </c>
      <c r="J172" s="73" t="str">
        <f t="shared" si="56"/>
        <v/>
      </c>
      <c r="K172" s="73" t="str">
        <f t="shared" si="58"/>
        <v/>
      </c>
      <c r="L172" s="73" t="str">
        <f t="shared" si="58"/>
        <v/>
      </c>
      <c r="M172" s="73" t="str">
        <f t="shared" si="58"/>
        <v/>
      </c>
      <c r="N172" s="73" t="str">
        <f t="shared" si="58"/>
        <v/>
      </c>
      <c r="O172" s="73" t="str">
        <f t="shared" si="58"/>
        <v/>
      </c>
      <c r="P172" s="73" t="str">
        <f t="shared" si="58"/>
        <v/>
      </c>
      <c r="Q172" s="73" t="str">
        <f t="shared" si="58"/>
        <v/>
      </c>
      <c r="R172" s="73" t="str">
        <f t="shared" si="57"/>
        <v/>
      </c>
      <c r="S172" s="73" t="str">
        <f t="shared" si="57"/>
        <v/>
      </c>
      <c r="T172" s="73" t="str">
        <f t="shared" si="57"/>
        <v/>
      </c>
      <c r="U172" s="73" t="str">
        <f t="shared" si="57"/>
        <v/>
      </c>
      <c r="V172" s="73" t="str">
        <f t="shared" si="57"/>
        <v/>
      </c>
      <c r="W172" s="73" t="str">
        <f t="shared" si="57"/>
        <v/>
      </c>
      <c r="X172" s="73" t="str">
        <f t="shared" si="57"/>
        <v/>
      </c>
      <c r="Y172" s="73" t="str">
        <f t="shared" si="57"/>
        <v/>
      </c>
      <c r="Z172" s="73" t="str">
        <f t="shared" si="57"/>
        <v/>
      </c>
      <c r="AA172" s="73" t="str">
        <f t="shared" si="57"/>
        <v/>
      </c>
      <c r="AB172" s="74" t="str">
        <f t="shared" si="57"/>
        <v/>
      </c>
      <c r="AC172" s="35" t="str">
        <f t="shared" si="46"/>
        <v/>
      </c>
      <c r="AD172" s="40" t="str">
        <f t="shared" si="47"/>
        <v/>
      </c>
      <c r="AE172" s="37" t="str">
        <f t="shared" si="48"/>
        <v/>
      </c>
      <c r="AF172" s="40" t="str">
        <f t="shared" si="49"/>
        <v/>
      </c>
      <c r="AG172" s="37" t="str">
        <f t="shared" si="50"/>
        <v/>
      </c>
      <c r="AH172" s="40" t="str">
        <f t="shared" si="51"/>
        <v/>
      </c>
      <c r="AI172" s="37" t="str">
        <f t="shared" si="52"/>
        <v/>
      </c>
      <c r="AJ172" s="40" t="str">
        <f t="shared" si="53"/>
        <v/>
      </c>
      <c r="AK172" s="33" t="str">
        <f>IF(SEM!AK172="","",SEM!AK172)</f>
        <v/>
      </c>
      <c r="AL172" s="6"/>
      <c r="AM172" s="79" t="str">
        <f t="shared" si="54"/>
        <v/>
      </c>
      <c r="AN172" s="12"/>
      <c r="AO172" s="12"/>
      <c r="AP172" s="14"/>
      <c r="AQ172" s="16"/>
      <c r="AR172" s="15"/>
      <c r="AU172" s="198"/>
      <c r="AV172" s="198"/>
      <c r="AW172" s="198"/>
      <c r="AX172" s="198"/>
    </row>
    <row r="173" spans="2:50" ht="17.25" customHeight="1" x14ac:dyDescent="0.2">
      <c r="B173" s="6"/>
      <c r="C173" s="49" t="str">
        <f>IF(SEM!C173="","",SEM!C173)</f>
        <v/>
      </c>
      <c r="D173" s="220" t="str">
        <f>IF(C173="","",VLOOKUP(SEM!C173,FROTA!$B$5:$C$305,2,0))</f>
        <v/>
      </c>
      <c r="E173" s="24" t="str">
        <f>IF(C173="","",VLOOKUP(C173,FROTA!$B$5:$N$305,7,0))</f>
        <v/>
      </c>
      <c r="F173" s="38" t="str">
        <f t="shared" si="45"/>
        <v/>
      </c>
      <c r="G173" s="71" t="str">
        <f t="shared" si="55"/>
        <v/>
      </c>
      <c r="H173" s="32" t="str">
        <f t="shared" si="56"/>
        <v/>
      </c>
      <c r="I173" s="73" t="str">
        <f t="shared" si="56"/>
        <v/>
      </c>
      <c r="J173" s="73" t="str">
        <f t="shared" si="56"/>
        <v/>
      </c>
      <c r="K173" s="73" t="str">
        <f t="shared" si="58"/>
        <v/>
      </c>
      <c r="L173" s="73" t="str">
        <f t="shared" si="58"/>
        <v/>
      </c>
      <c r="M173" s="73" t="str">
        <f t="shared" si="58"/>
        <v/>
      </c>
      <c r="N173" s="73" t="str">
        <f t="shared" si="58"/>
        <v/>
      </c>
      <c r="O173" s="73" t="str">
        <f t="shared" si="58"/>
        <v/>
      </c>
      <c r="P173" s="73" t="str">
        <f t="shared" si="58"/>
        <v/>
      </c>
      <c r="Q173" s="73" t="str">
        <f t="shared" si="58"/>
        <v/>
      </c>
      <c r="R173" s="73" t="str">
        <f t="shared" si="57"/>
        <v/>
      </c>
      <c r="S173" s="73" t="str">
        <f t="shared" si="57"/>
        <v/>
      </c>
      <c r="T173" s="73" t="str">
        <f t="shared" si="57"/>
        <v/>
      </c>
      <c r="U173" s="73" t="str">
        <f t="shared" si="57"/>
        <v/>
      </c>
      <c r="V173" s="73" t="str">
        <f t="shared" si="57"/>
        <v/>
      </c>
      <c r="W173" s="73" t="str">
        <f t="shared" si="57"/>
        <v/>
      </c>
      <c r="X173" s="73" t="str">
        <f t="shared" si="57"/>
        <v/>
      </c>
      <c r="Y173" s="73" t="str">
        <f t="shared" si="57"/>
        <v/>
      </c>
      <c r="Z173" s="73" t="str">
        <f t="shared" si="57"/>
        <v/>
      </c>
      <c r="AA173" s="73" t="str">
        <f t="shared" si="57"/>
        <v/>
      </c>
      <c r="AB173" s="74" t="str">
        <f t="shared" si="57"/>
        <v/>
      </c>
      <c r="AC173" s="35" t="str">
        <f t="shared" si="46"/>
        <v/>
      </c>
      <c r="AD173" s="40" t="str">
        <f t="shared" si="47"/>
        <v/>
      </c>
      <c r="AE173" s="37" t="str">
        <f t="shared" si="48"/>
        <v/>
      </c>
      <c r="AF173" s="40" t="str">
        <f t="shared" si="49"/>
        <v/>
      </c>
      <c r="AG173" s="37" t="str">
        <f t="shared" si="50"/>
        <v/>
      </c>
      <c r="AH173" s="40" t="str">
        <f t="shared" si="51"/>
        <v/>
      </c>
      <c r="AI173" s="37" t="str">
        <f t="shared" si="52"/>
        <v/>
      </c>
      <c r="AJ173" s="40" t="str">
        <f t="shared" si="53"/>
        <v/>
      </c>
      <c r="AK173" s="33" t="str">
        <f>IF(SEM!AK173="","",SEM!AK173)</f>
        <v/>
      </c>
      <c r="AL173" s="6"/>
      <c r="AM173" s="79" t="str">
        <f t="shared" si="54"/>
        <v/>
      </c>
      <c r="AN173" s="12"/>
      <c r="AO173" s="12"/>
      <c r="AP173" s="14"/>
      <c r="AQ173" s="16"/>
      <c r="AR173" s="15"/>
      <c r="AU173" s="198"/>
      <c r="AV173" s="198"/>
      <c r="AW173" s="198"/>
      <c r="AX173" s="198"/>
    </row>
    <row r="174" spans="2:50" ht="17.25" customHeight="1" x14ac:dyDescent="0.2">
      <c r="B174" s="6"/>
      <c r="C174" s="49" t="str">
        <f>IF(SEM!C174="","",SEM!C174)</f>
        <v/>
      </c>
      <c r="D174" s="220" t="str">
        <f>IF(C174="","",VLOOKUP(SEM!C174,FROTA!$B$5:$C$305,2,0))</f>
        <v/>
      </c>
      <c r="E174" s="24" t="str">
        <f>IF(C174="","",VLOOKUP(C174,FROTA!$B$5:$N$305,7,0))</f>
        <v/>
      </c>
      <c r="F174" s="38" t="str">
        <f t="shared" si="45"/>
        <v/>
      </c>
      <c r="G174" s="71" t="str">
        <f t="shared" si="55"/>
        <v/>
      </c>
      <c r="H174" s="32" t="str">
        <f t="shared" si="56"/>
        <v/>
      </c>
      <c r="I174" s="73" t="str">
        <f t="shared" si="56"/>
        <v/>
      </c>
      <c r="J174" s="73" t="str">
        <f t="shared" si="56"/>
        <v/>
      </c>
      <c r="K174" s="73" t="str">
        <f t="shared" si="58"/>
        <v/>
      </c>
      <c r="L174" s="73" t="str">
        <f t="shared" si="58"/>
        <v/>
      </c>
      <c r="M174" s="73" t="str">
        <f t="shared" si="58"/>
        <v/>
      </c>
      <c r="N174" s="73" t="str">
        <f t="shared" si="58"/>
        <v/>
      </c>
      <c r="O174" s="73" t="str">
        <f t="shared" si="58"/>
        <v/>
      </c>
      <c r="P174" s="73" t="str">
        <f t="shared" si="58"/>
        <v/>
      </c>
      <c r="Q174" s="73" t="str">
        <f t="shared" si="58"/>
        <v/>
      </c>
      <c r="R174" s="73" t="str">
        <f t="shared" si="57"/>
        <v/>
      </c>
      <c r="S174" s="73" t="str">
        <f t="shared" si="57"/>
        <v/>
      </c>
      <c r="T174" s="73" t="str">
        <f t="shared" si="57"/>
        <v/>
      </c>
      <c r="U174" s="73" t="str">
        <f t="shared" si="57"/>
        <v/>
      </c>
      <c r="V174" s="73" t="str">
        <f t="shared" si="57"/>
        <v/>
      </c>
      <c r="W174" s="73" t="str">
        <f t="shared" si="57"/>
        <v/>
      </c>
      <c r="X174" s="73" t="str">
        <f t="shared" si="57"/>
        <v/>
      </c>
      <c r="Y174" s="73" t="str">
        <f t="shared" si="57"/>
        <v/>
      </c>
      <c r="Z174" s="73" t="str">
        <f t="shared" si="57"/>
        <v/>
      </c>
      <c r="AA174" s="73" t="str">
        <f t="shared" si="57"/>
        <v/>
      </c>
      <c r="AB174" s="74" t="str">
        <f t="shared" si="57"/>
        <v/>
      </c>
      <c r="AC174" s="35" t="str">
        <f t="shared" si="46"/>
        <v/>
      </c>
      <c r="AD174" s="40" t="str">
        <f t="shared" si="47"/>
        <v/>
      </c>
      <c r="AE174" s="37" t="str">
        <f t="shared" si="48"/>
        <v/>
      </c>
      <c r="AF174" s="40" t="str">
        <f t="shared" si="49"/>
        <v/>
      </c>
      <c r="AG174" s="37" t="str">
        <f t="shared" si="50"/>
        <v/>
      </c>
      <c r="AH174" s="40" t="str">
        <f t="shared" si="51"/>
        <v/>
      </c>
      <c r="AI174" s="37" t="str">
        <f t="shared" si="52"/>
        <v/>
      </c>
      <c r="AJ174" s="40" t="str">
        <f t="shared" si="53"/>
        <v/>
      </c>
      <c r="AK174" s="33" t="str">
        <f>IF(SEM!AK174="","",SEM!AK174)</f>
        <v/>
      </c>
      <c r="AL174" s="6"/>
      <c r="AM174" s="79" t="str">
        <f t="shared" si="54"/>
        <v/>
      </c>
      <c r="AN174" s="12"/>
      <c r="AO174" s="12"/>
      <c r="AP174" s="14"/>
      <c r="AQ174" s="16"/>
      <c r="AR174" s="15"/>
      <c r="AU174" s="198"/>
      <c r="AV174" s="198"/>
      <c r="AW174" s="198"/>
      <c r="AX174" s="198"/>
    </row>
    <row r="175" spans="2:50" ht="17.25" customHeight="1" x14ac:dyDescent="0.2">
      <c r="B175" s="6"/>
      <c r="C175" s="49" t="str">
        <f>IF(SEM!C175="","",SEM!C175)</f>
        <v/>
      </c>
      <c r="D175" s="220" t="str">
        <f>IF(C175="","",VLOOKUP(SEM!C175,FROTA!$B$5:$C$305,2,0))</f>
        <v/>
      </c>
      <c r="E175" s="24" t="str">
        <f>IF(C175="","",VLOOKUP(C175,FROTA!$B$5:$N$305,7,0))</f>
        <v/>
      </c>
      <c r="F175" s="38" t="str">
        <f t="shared" si="45"/>
        <v/>
      </c>
      <c r="G175" s="71" t="str">
        <f t="shared" si="55"/>
        <v/>
      </c>
      <c r="H175" s="32" t="str">
        <f t="shared" si="56"/>
        <v/>
      </c>
      <c r="I175" s="73" t="str">
        <f t="shared" si="56"/>
        <v/>
      </c>
      <c r="J175" s="73" t="str">
        <f t="shared" si="56"/>
        <v/>
      </c>
      <c r="K175" s="73" t="str">
        <f t="shared" si="58"/>
        <v/>
      </c>
      <c r="L175" s="73" t="str">
        <f t="shared" si="58"/>
        <v/>
      </c>
      <c r="M175" s="73" t="str">
        <f t="shared" si="58"/>
        <v/>
      </c>
      <c r="N175" s="73" t="str">
        <f t="shared" si="58"/>
        <v/>
      </c>
      <c r="O175" s="73" t="str">
        <f t="shared" si="58"/>
        <v/>
      </c>
      <c r="P175" s="73" t="str">
        <f t="shared" si="58"/>
        <v/>
      </c>
      <c r="Q175" s="73" t="str">
        <f t="shared" si="58"/>
        <v/>
      </c>
      <c r="R175" s="73" t="str">
        <f t="shared" si="57"/>
        <v/>
      </c>
      <c r="S175" s="73" t="str">
        <f t="shared" si="57"/>
        <v/>
      </c>
      <c r="T175" s="73" t="str">
        <f t="shared" si="57"/>
        <v/>
      </c>
      <c r="U175" s="73" t="str">
        <f t="shared" si="57"/>
        <v/>
      </c>
      <c r="V175" s="73" t="str">
        <f t="shared" si="57"/>
        <v/>
      </c>
      <c r="W175" s="73" t="str">
        <f t="shared" si="57"/>
        <v/>
      </c>
      <c r="X175" s="73" t="str">
        <f t="shared" si="57"/>
        <v/>
      </c>
      <c r="Y175" s="73" t="str">
        <f t="shared" si="57"/>
        <v/>
      </c>
      <c r="Z175" s="73" t="str">
        <f t="shared" si="57"/>
        <v/>
      </c>
      <c r="AA175" s="73" t="str">
        <f t="shared" si="57"/>
        <v/>
      </c>
      <c r="AB175" s="74" t="str">
        <f t="shared" si="57"/>
        <v/>
      </c>
      <c r="AC175" s="35" t="str">
        <f t="shared" si="46"/>
        <v/>
      </c>
      <c r="AD175" s="40" t="str">
        <f t="shared" si="47"/>
        <v/>
      </c>
      <c r="AE175" s="37" t="str">
        <f t="shared" si="48"/>
        <v/>
      </c>
      <c r="AF175" s="40" t="str">
        <f t="shared" si="49"/>
        <v/>
      </c>
      <c r="AG175" s="37" t="str">
        <f t="shared" si="50"/>
        <v/>
      </c>
      <c r="AH175" s="40" t="str">
        <f t="shared" si="51"/>
        <v/>
      </c>
      <c r="AI175" s="37" t="str">
        <f t="shared" si="52"/>
        <v/>
      </c>
      <c r="AJ175" s="40" t="str">
        <f t="shared" si="53"/>
        <v/>
      </c>
      <c r="AK175" s="33" t="str">
        <f>IF(SEM!AK175="","",SEM!AK175)</f>
        <v/>
      </c>
      <c r="AL175" s="6"/>
      <c r="AM175" s="79" t="str">
        <f t="shared" si="54"/>
        <v/>
      </c>
      <c r="AN175" s="12"/>
      <c r="AO175" s="12"/>
      <c r="AP175" s="14"/>
      <c r="AQ175" s="16"/>
      <c r="AR175" s="15"/>
      <c r="AU175" s="198"/>
      <c r="AV175" s="198"/>
      <c r="AW175" s="198"/>
      <c r="AX175" s="198"/>
    </row>
    <row r="176" spans="2:50" ht="17.25" customHeight="1" x14ac:dyDescent="0.2">
      <c r="B176" s="6"/>
      <c r="C176" s="49" t="str">
        <f>IF(SEM!C176="","",SEM!C176)</f>
        <v/>
      </c>
      <c r="D176" s="220" t="str">
        <f>IF(C176="","",VLOOKUP(SEM!C176,FROTA!$B$5:$C$305,2,0))</f>
        <v/>
      </c>
      <c r="E176" s="24" t="str">
        <f>IF(C176="","",VLOOKUP(C176,FROTA!$B$5:$N$305,7,0))</f>
        <v/>
      </c>
      <c r="F176" s="38" t="str">
        <f t="shared" si="45"/>
        <v/>
      </c>
      <c r="G176" s="71" t="str">
        <f t="shared" si="55"/>
        <v/>
      </c>
      <c r="H176" s="32" t="str">
        <f t="shared" si="56"/>
        <v/>
      </c>
      <c r="I176" s="73" t="str">
        <f t="shared" si="56"/>
        <v/>
      </c>
      <c r="J176" s="73" t="str">
        <f t="shared" si="56"/>
        <v/>
      </c>
      <c r="K176" s="73" t="str">
        <f t="shared" si="58"/>
        <v/>
      </c>
      <c r="L176" s="73" t="str">
        <f t="shared" si="58"/>
        <v/>
      </c>
      <c r="M176" s="73" t="str">
        <f t="shared" si="58"/>
        <v/>
      </c>
      <c r="N176" s="73" t="str">
        <f t="shared" si="58"/>
        <v/>
      </c>
      <c r="O176" s="73" t="str">
        <f t="shared" si="58"/>
        <v/>
      </c>
      <c r="P176" s="73" t="str">
        <f t="shared" si="58"/>
        <v/>
      </c>
      <c r="Q176" s="73" t="str">
        <f t="shared" si="58"/>
        <v/>
      </c>
      <c r="R176" s="73" t="str">
        <f t="shared" si="57"/>
        <v/>
      </c>
      <c r="S176" s="73" t="str">
        <f t="shared" si="57"/>
        <v/>
      </c>
      <c r="T176" s="73" t="str">
        <f t="shared" si="57"/>
        <v/>
      </c>
      <c r="U176" s="73" t="str">
        <f t="shared" si="57"/>
        <v/>
      </c>
      <c r="V176" s="73" t="str">
        <f t="shared" si="57"/>
        <v/>
      </c>
      <c r="W176" s="73" t="str">
        <f t="shared" si="57"/>
        <v/>
      </c>
      <c r="X176" s="73" t="str">
        <f t="shared" si="57"/>
        <v/>
      </c>
      <c r="Y176" s="73" t="str">
        <f t="shared" si="57"/>
        <v/>
      </c>
      <c r="Z176" s="73" t="str">
        <f t="shared" si="57"/>
        <v/>
      </c>
      <c r="AA176" s="73" t="str">
        <f t="shared" si="57"/>
        <v/>
      </c>
      <c r="AB176" s="74" t="str">
        <f t="shared" si="57"/>
        <v/>
      </c>
      <c r="AC176" s="35" t="str">
        <f t="shared" si="46"/>
        <v/>
      </c>
      <c r="AD176" s="40" t="str">
        <f t="shared" si="47"/>
        <v/>
      </c>
      <c r="AE176" s="37" t="str">
        <f t="shared" si="48"/>
        <v/>
      </c>
      <c r="AF176" s="40" t="str">
        <f t="shared" si="49"/>
        <v/>
      </c>
      <c r="AG176" s="37" t="str">
        <f t="shared" si="50"/>
        <v/>
      </c>
      <c r="AH176" s="40" t="str">
        <f t="shared" si="51"/>
        <v/>
      </c>
      <c r="AI176" s="37" t="str">
        <f t="shared" si="52"/>
        <v/>
      </c>
      <c r="AJ176" s="40" t="str">
        <f t="shared" si="53"/>
        <v/>
      </c>
      <c r="AK176" s="33" t="str">
        <f>IF(SEM!AK176="","",SEM!AK176)</f>
        <v/>
      </c>
      <c r="AL176" s="6"/>
      <c r="AM176" s="79" t="str">
        <f t="shared" si="54"/>
        <v/>
      </c>
      <c r="AN176" s="12"/>
      <c r="AO176" s="12"/>
      <c r="AP176" s="14"/>
      <c r="AQ176" s="16"/>
      <c r="AR176" s="15"/>
      <c r="AU176" s="198"/>
      <c r="AV176" s="198"/>
      <c r="AW176" s="198"/>
      <c r="AX176" s="198"/>
    </row>
    <row r="177" spans="2:50" ht="17.25" customHeight="1" x14ac:dyDescent="0.2">
      <c r="B177" s="6"/>
      <c r="C177" s="49" t="str">
        <f>IF(SEM!C177="","",SEM!C177)</f>
        <v/>
      </c>
      <c r="D177" s="220" t="str">
        <f>IF(C177="","",VLOOKUP(SEM!C177,FROTA!$B$5:$C$305,2,0))</f>
        <v/>
      </c>
      <c r="E177" s="24" t="str">
        <f>IF(C177="","",VLOOKUP(C177,FROTA!$B$5:$N$305,7,0))</f>
        <v/>
      </c>
      <c r="F177" s="38" t="str">
        <f t="shared" si="45"/>
        <v/>
      </c>
      <c r="G177" s="71" t="str">
        <f t="shared" si="55"/>
        <v/>
      </c>
      <c r="H177" s="32" t="str">
        <f t="shared" si="56"/>
        <v/>
      </c>
      <c r="I177" s="73" t="str">
        <f t="shared" si="56"/>
        <v/>
      </c>
      <c r="J177" s="73" t="str">
        <f t="shared" si="56"/>
        <v/>
      </c>
      <c r="K177" s="73" t="str">
        <f t="shared" si="58"/>
        <v/>
      </c>
      <c r="L177" s="73" t="str">
        <f t="shared" si="58"/>
        <v/>
      </c>
      <c r="M177" s="73" t="str">
        <f t="shared" si="58"/>
        <v/>
      </c>
      <c r="N177" s="73" t="str">
        <f t="shared" si="58"/>
        <v/>
      </c>
      <c r="O177" s="73" t="str">
        <f t="shared" si="58"/>
        <v/>
      </c>
      <c r="P177" s="73" t="str">
        <f t="shared" si="58"/>
        <v/>
      </c>
      <c r="Q177" s="73" t="str">
        <f t="shared" si="58"/>
        <v/>
      </c>
      <c r="R177" s="73" t="str">
        <f t="shared" si="57"/>
        <v/>
      </c>
      <c r="S177" s="73" t="str">
        <f t="shared" si="57"/>
        <v/>
      </c>
      <c r="T177" s="73" t="str">
        <f t="shared" si="57"/>
        <v/>
      </c>
      <c r="U177" s="73" t="str">
        <f t="shared" si="57"/>
        <v/>
      </c>
      <c r="V177" s="73" t="str">
        <f t="shared" si="57"/>
        <v/>
      </c>
      <c r="W177" s="73" t="str">
        <f t="shared" si="57"/>
        <v/>
      </c>
      <c r="X177" s="73" t="str">
        <f t="shared" si="57"/>
        <v/>
      </c>
      <c r="Y177" s="73" t="str">
        <f t="shared" si="57"/>
        <v/>
      </c>
      <c r="Z177" s="73" t="str">
        <f t="shared" si="57"/>
        <v/>
      </c>
      <c r="AA177" s="73" t="str">
        <f t="shared" si="57"/>
        <v/>
      </c>
      <c r="AB177" s="74" t="str">
        <f t="shared" si="57"/>
        <v/>
      </c>
      <c r="AC177" s="35" t="str">
        <f t="shared" si="46"/>
        <v/>
      </c>
      <c r="AD177" s="40" t="str">
        <f t="shared" si="47"/>
        <v/>
      </c>
      <c r="AE177" s="37" t="str">
        <f t="shared" si="48"/>
        <v/>
      </c>
      <c r="AF177" s="40" t="str">
        <f t="shared" si="49"/>
        <v/>
      </c>
      <c r="AG177" s="37" t="str">
        <f t="shared" si="50"/>
        <v/>
      </c>
      <c r="AH177" s="40" t="str">
        <f t="shared" si="51"/>
        <v/>
      </c>
      <c r="AI177" s="37" t="str">
        <f t="shared" si="52"/>
        <v/>
      </c>
      <c r="AJ177" s="40" t="str">
        <f t="shared" si="53"/>
        <v/>
      </c>
      <c r="AK177" s="33" t="str">
        <f>IF(SEM!AK177="","",SEM!AK177)</f>
        <v/>
      </c>
      <c r="AL177" s="6"/>
      <c r="AM177" s="79" t="str">
        <f t="shared" si="54"/>
        <v/>
      </c>
      <c r="AN177" s="12"/>
      <c r="AO177" s="12"/>
      <c r="AP177" s="14"/>
      <c r="AQ177" s="16"/>
      <c r="AR177" s="15"/>
      <c r="AU177" s="198"/>
      <c r="AV177" s="198"/>
      <c r="AW177" s="198"/>
      <c r="AX177" s="198"/>
    </row>
    <row r="178" spans="2:50" ht="17.25" customHeight="1" x14ac:dyDescent="0.2">
      <c r="B178" s="6"/>
      <c r="C178" s="49" t="str">
        <f>IF(SEM!C178="","",SEM!C178)</f>
        <v/>
      </c>
      <c r="D178" s="220" t="str">
        <f>IF(C178="","",VLOOKUP(SEM!C178,FROTA!$B$5:$C$305,2,0))</f>
        <v/>
      </c>
      <c r="E178" s="24" t="str">
        <f>IF(C178="","",VLOOKUP(C178,FROTA!$B$5:$N$305,7,0))</f>
        <v/>
      </c>
      <c r="F178" s="38" t="str">
        <f t="shared" si="45"/>
        <v/>
      </c>
      <c r="G178" s="71" t="str">
        <f t="shared" si="55"/>
        <v/>
      </c>
      <c r="H178" s="32" t="str">
        <f t="shared" si="56"/>
        <v/>
      </c>
      <c r="I178" s="73" t="str">
        <f t="shared" si="56"/>
        <v/>
      </c>
      <c r="J178" s="73" t="str">
        <f t="shared" si="56"/>
        <v/>
      </c>
      <c r="K178" s="73" t="str">
        <f t="shared" si="58"/>
        <v/>
      </c>
      <c r="L178" s="73" t="str">
        <f t="shared" si="58"/>
        <v/>
      </c>
      <c r="M178" s="73" t="str">
        <f t="shared" si="58"/>
        <v/>
      </c>
      <c r="N178" s="73" t="str">
        <f t="shared" si="58"/>
        <v/>
      </c>
      <c r="O178" s="73" t="str">
        <f t="shared" si="58"/>
        <v/>
      </c>
      <c r="P178" s="73" t="str">
        <f t="shared" si="58"/>
        <v/>
      </c>
      <c r="Q178" s="73" t="str">
        <f t="shared" si="58"/>
        <v/>
      </c>
      <c r="R178" s="73" t="str">
        <f t="shared" si="57"/>
        <v/>
      </c>
      <c r="S178" s="73" t="str">
        <f t="shared" si="57"/>
        <v/>
      </c>
      <c r="T178" s="73" t="str">
        <f t="shared" si="57"/>
        <v/>
      </c>
      <c r="U178" s="73" t="str">
        <f t="shared" si="57"/>
        <v/>
      </c>
      <c r="V178" s="73" t="str">
        <f t="shared" si="57"/>
        <v/>
      </c>
      <c r="W178" s="73" t="str">
        <f t="shared" ref="R178:AB201" si="59">IF($C178="","",IF(SUM(W$307*$G178)&gt;$F178,$F178,SUM(W$307*$G178)))</f>
        <v/>
      </c>
      <c r="X178" s="73" t="str">
        <f t="shared" si="59"/>
        <v/>
      </c>
      <c r="Y178" s="73" t="str">
        <f t="shared" si="59"/>
        <v/>
      </c>
      <c r="Z178" s="73" t="str">
        <f t="shared" si="59"/>
        <v/>
      </c>
      <c r="AA178" s="73" t="str">
        <f t="shared" si="59"/>
        <v/>
      </c>
      <c r="AB178" s="74" t="str">
        <f t="shared" si="59"/>
        <v/>
      </c>
      <c r="AC178" s="35" t="str">
        <f t="shared" si="46"/>
        <v/>
      </c>
      <c r="AD178" s="40" t="str">
        <f t="shared" si="47"/>
        <v/>
      </c>
      <c r="AE178" s="37" t="str">
        <f t="shared" si="48"/>
        <v/>
      </c>
      <c r="AF178" s="40" t="str">
        <f t="shared" si="49"/>
        <v/>
      </c>
      <c r="AG178" s="37" t="str">
        <f t="shared" si="50"/>
        <v/>
      </c>
      <c r="AH178" s="40" t="str">
        <f t="shared" si="51"/>
        <v/>
      </c>
      <c r="AI178" s="37" t="str">
        <f t="shared" si="52"/>
        <v/>
      </c>
      <c r="AJ178" s="40" t="str">
        <f t="shared" si="53"/>
        <v/>
      </c>
      <c r="AK178" s="33" t="str">
        <f>IF(SEM!AK178="","",SEM!AK178)</f>
        <v/>
      </c>
      <c r="AL178" s="6"/>
      <c r="AM178" s="79" t="str">
        <f t="shared" si="54"/>
        <v/>
      </c>
      <c r="AN178" s="12"/>
      <c r="AO178" s="12"/>
      <c r="AP178" s="14"/>
      <c r="AQ178" s="16"/>
      <c r="AR178" s="15"/>
      <c r="AU178" s="198"/>
      <c r="AV178" s="198"/>
      <c r="AW178" s="198"/>
      <c r="AX178" s="198"/>
    </row>
    <row r="179" spans="2:50" ht="17.25" customHeight="1" x14ac:dyDescent="0.2">
      <c r="B179" s="6"/>
      <c r="C179" s="49" t="str">
        <f>IF(SEM!C179="","",SEM!C179)</f>
        <v/>
      </c>
      <c r="D179" s="220" t="str">
        <f>IF(C179="","",VLOOKUP(SEM!C179,FROTA!$B$5:$C$305,2,0))</f>
        <v/>
      </c>
      <c r="E179" s="24" t="str">
        <f>IF(C179="","",VLOOKUP(C179,FROTA!$B$5:$N$305,7,0))</f>
        <v/>
      </c>
      <c r="F179" s="38" t="str">
        <f t="shared" si="45"/>
        <v/>
      </c>
      <c r="G179" s="71" t="str">
        <f t="shared" si="55"/>
        <v/>
      </c>
      <c r="H179" s="32" t="str">
        <f t="shared" si="56"/>
        <v/>
      </c>
      <c r="I179" s="73" t="str">
        <f t="shared" si="56"/>
        <v/>
      </c>
      <c r="J179" s="73" t="str">
        <f t="shared" si="56"/>
        <v/>
      </c>
      <c r="K179" s="73" t="str">
        <f t="shared" si="58"/>
        <v/>
      </c>
      <c r="L179" s="73" t="str">
        <f t="shared" si="58"/>
        <v/>
      </c>
      <c r="M179" s="73" t="str">
        <f t="shared" si="58"/>
        <v/>
      </c>
      <c r="N179" s="73" t="str">
        <f t="shared" si="58"/>
        <v/>
      </c>
      <c r="O179" s="73" t="str">
        <f t="shared" si="58"/>
        <v/>
      </c>
      <c r="P179" s="73" t="str">
        <f t="shared" si="58"/>
        <v/>
      </c>
      <c r="Q179" s="73" t="str">
        <f t="shared" si="58"/>
        <v/>
      </c>
      <c r="R179" s="73" t="str">
        <f t="shared" si="59"/>
        <v/>
      </c>
      <c r="S179" s="73" t="str">
        <f t="shared" si="59"/>
        <v/>
      </c>
      <c r="T179" s="73" t="str">
        <f t="shared" si="59"/>
        <v/>
      </c>
      <c r="U179" s="73" t="str">
        <f t="shared" si="59"/>
        <v/>
      </c>
      <c r="V179" s="73" t="str">
        <f t="shared" si="59"/>
        <v/>
      </c>
      <c r="W179" s="73" t="str">
        <f t="shared" si="59"/>
        <v/>
      </c>
      <c r="X179" s="73" t="str">
        <f t="shared" si="59"/>
        <v/>
      </c>
      <c r="Y179" s="73" t="str">
        <f t="shared" si="59"/>
        <v/>
      </c>
      <c r="Z179" s="73" t="str">
        <f t="shared" si="59"/>
        <v/>
      </c>
      <c r="AA179" s="73" t="str">
        <f t="shared" si="59"/>
        <v/>
      </c>
      <c r="AB179" s="74" t="str">
        <f t="shared" si="59"/>
        <v/>
      </c>
      <c r="AC179" s="35" t="str">
        <f t="shared" si="46"/>
        <v/>
      </c>
      <c r="AD179" s="40" t="str">
        <f t="shared" si="47"/>
        <v/>
      </c>
      <c r="AE179" s="37" t="str">
        <f t="shared" si="48"/>
        <v/>
      </c>
      <c r="AF179" s="40" t="str">
        <f t="shared" si="49"/>
        <v/>
      </c>
      <c r="AG179" s="37" t="str">
        <f t="shared" si="50"/>
        <v/>
      </c>
      <c r="AH179" s="40" t="str">
        <f t="shared" si="51"/>
        <v/>
      </c>
      <c r="AI179" s="37" t="str">
        <f t="shared" si="52"/>
        <v/>
      </c>
      <c r="AJ179" s="40" t="str">
        <f t="shared" si="53"/>
        <v/>
      </c>
      <c r="AK179" s="33" t="str">
        <f>IF(SEM!AK179="","",SEM!AK179)</f>
        <v/>
      </c>
      <c r="AL179" s="6"/>
      <c r="AM179" s="79" t="str">
        <f t="shared" si="54"/>
        <v/>
      </c>
      <c r="AN179" s="12"/>
      <c r="AO179" s="12"/>
      <c r="AP179" s="14"/>
      <c r="AQ179" s="16"/>
      <c r="AR179" s="15"/>
      <c r="AU179" s="198"/>
      <c r="AV179" s="198"/>
      <c r="AW179" s="198"/>
      <c r="AX179" s="198"/>
    </row>
    <row r="180" spans="2:50" ht="17.25" customHeight="1" x14ac:dyDescent="0.2">
      <c r="B180" s="6"/>
      <c r="C180" s="49" t="str">
        <f>IF(SEM!C180="","",SEM!C180)</f>
        <v/>
      </c>
      <c r="D180" s="220" t="str">
        <f>IF(C180="","",VLOOKUP(SEM!C180,FROTA!$B$5:$C$305,2,0))</f>
        <v/>
      </c>
      <c r="E180" s="24" t="str">
        <f>IF(C180="","",VLOOKUP(C180,FROTA!$B$5:$N$305,7,0))</f>
        <v/>
      </c>
      <c r="F180" s="38" t="str">
        <f t="shared" si="45"/>
        <v/>
      </c>
      <c r="G180" s="71" t="str">
        <f t="shared" si="55"/>
        <v/>
      </c>
      <c r="H180" s="32" t="str">
        <f t="shared" si="56"/>
        <v/>
      </c>
      <c r="I180" s="73" t="str">
        <f t="shared" si="56"/>
        <v/>
      </c>
      <c r="J180" s="73" t="str">
        <f t="shared" si="56"/>
        <v/>
      </c>
      <c r="K180" s="73" t="str">
        <f t="shared" si="58"/>
        <v/>
      </c>
      <c r="L180" s="73" t="str">
        <f t="shared" si="58"/>
        <v/>
      </c>
      <c r="M180" s="73" t="str">
        <f t="shared" si="58"/>
        <v/>
      </c>
      <c r="N180" s="73" t="str">
        <f t="shared" si="58"/>
        <v/>
      </c>
      <c r="O180" s="73" t="str">
        <f t="shared" si="58"/>
        <v/>
      </c>
      <c r="P180" s="73" t="str">
        <f t="shared" si="58"/>
        <v/>
      </c>
      <c r="Q180" s="73" t="str">
        <f t="shared" si="58"/>
        <v/>
      </c>
      <c r="R180" s="73" t="str">
        <f t="shared" si="59"/>
        <v/>
      </c>
      <c r="S180" s="73" t="str">
        <f t="shared" si="59"/>
        <v/>
      </c>
      <c r="T180" s="73" t="str">
        <f t="shared" si="59"/>
        <v/>
      </c>
      <c r="U180" s="73" t="str">
        <f t="shared" si="59"/>
        <v/>
      </c>
      <c r="V180" s="73" t="str">
        <f t="shared" si="59"/>
        <v/>
      </c>
      <c r="W180" s="73" t="str">
        <f t="shared" si="59"/>
        <v/>
      </c>
      <c r="X180" s="73" t="str">
        <f t="shared" si="59"/>
        <v/>
      </c>
      <c r="Y180" s="73" t="str">
        <f t="shared" si="59"/>
        <v/>
      </c>
      <c r="Z180" s="73" t="str">
        <f t="shared" si="59"/>
        <v/>
      </c>
      <c r="AA180" s="73" t="str">
        <f t="shared" si="59"/>
        <v/>
      </c>
      <c r="AB180" s="74" t="str">
        <f t="shared" si="59"/>
        <v/>
      </c>
      <c r="AC180" s="35" t="str">
        <f t="shared" si="46"/>
        <v/>
      </c>
      <c r="AD180" s="40" t="str">
        <f t="shared" si="47"/>
        <v/>
      </c>
      <c r="AE180" s="37" t="str">
        <f t="shared" si="48"/>
        <v/>
      </c>
      <c r="AF180" s="40" t="str">
        <f t="shared" si="49"/>
        <v/>
      </c>
      <c r="AG180" s="37" t="str">
        <f t="shared" si="50"/>
        <v/>
      </c>
      <c r="AH180" s="40" t="str">
        <f t="shared" si="51"/>
        <v/>
      </c>
      <c r="AI180" s="37" t="str">
        <f t="shared" si="52"/>
        <v/>
      </c>
      <c r="AJ180" s="40" t="str">
        <f t="shared" si="53"/>
        <v/>
      </c>
      <c r="AK180" s="33" t="str">
        <f>IF(SEM!AK180="","",SEM!AK180)</f>
        <v/>
      </c>
      <c r="AL180" s="6"/>
      <c r="AM180" s="79" t="str">
        <f t="shared" si="54"/>
        <v/>
      </c>
      <c r="AN180" s="12"/>
      <c r="AO180" s="12"/>
      <c r="AP180" s="14"/>
      <c r="AQ180" s="16"/>
      <c r="AR180" s="15"/>
      <c r="AU180" s="198"/>
      <c r="AV180" s="198"/>
      <c r="AW180" s="198"/>
      <c r="AX180" s="198"/>
    </row>
    <row r="181" spans="2:50" ht="17.25" customHeight="1" x14ac:dyDescent="0.2">
      <c r="B181" s="6"/>
      <c r="C181" s="49" t="str">
        <f>IF(SEM!C181="","",SEM!C181)</f>
        <v/>
      </c>
      <c r="D181" s="220" t="str">
        <f>IF(C181="","",VLOOKUP(SEM!C181,FROTA!$B$5:$C$305,2,0))</f>
        <v/>
      </c>
      <c r="E181" s="24" t="str">
        <f>IF(C181="","",VLOOKUP(C181,FROTA!$B$5:$N$305,7,0))</f>
        <v/>
      </c>
      <c r="F181" s="38" t="str">
        <f t="shared" si="45"/>
        <v/>
      </c>
      <c r="G181" s="71" t="str">
        <f t="shared" si="55"/>
        <v/>
      </c>
      <c r="H181" s="32" t="str">
        <f t="shared" si="56"/>
        <v/>
      </c>
      <c r="I181" s="73" t="str">
        <f t="shared" si="56"/>
        <v/>
      </c>
      <c r="J181" s="73" t="str">
        <f t="shared" si="56"/>
        <v/>
      </c>
      <c r="K181" s="73" t="str">
        <f t="shared" si="58"/>
        <v/>
      </c>
      <c r="L181" s="73" t="str">
        <f t="shared" si="58"/>
        <v/>
      </c>
      <c r="M181" s="73" t="str">
        <f t="shared" si="58"/>
        <v/>
      </c>
      <c r="N181" s="73" t="str">
        <f t="shared" si="58"/>
        <v/>
      </c>
      <c r="O181" s="73" t="str">
        <f t="shared" si="58"/>
        <v/>
      </c>
      <c r="P181" s="73" t="str">
        <f t="shared" si="58"/>
        <v/>
      </c>
      <c r="Q181" s="73" t="str">
        <f t="shared" si="58"/>
        <v/>
      </c>
      <c r="R181" s="73" t="str">
        <f t="shared" si="59"/>
        <v/>
      </c>
      <c r="S181" s="73" t="str">
        <f t="shared" si="59"/>
        <v/>
      </c>
      <c r="T181" s="73" t="str">
        <f t="shared" si="59"/>
        <v/>
      </c>
      <c r="U181" s="73" t="str">
        <f t="shared" si="59"/>
        <v/>
      </c>
      <c r="V181" s="73" t="str">
        <f t="shared" si="59"/>
        <v/>
      </c>
      <c r="W181" s="73" t="str">
        <f t="shared" si="59"/>
        <v/>
      </c>
      <c r="X181" s="73" t="str">
        <f t="shared" si="59"/>
        <v/>
      </c>
      <c r="Y181" s="73" t="str">
        <f t="shared" si="59"/>
        <v/>
      </c>
      <c r="Z181" s="73" t="str">
        <f t="shared" si="59"/>
        <v/>
      </c>
      <c r="AA181" s="73" t="str">
        <f t="shared" si="59"/>
        <v/>
      </c>
      <c r="AB181" s="74" t="str">
        <f t="shared" si="59"/>
        <v/>
      </c>
      <c r="AC181" s="35" t="str">
        <f t="shared" si="46"/>
        <v/>
      </c>
      <c r="AD181" s="40" t="str">
        <f t="shared" si="47"/>
        <v/>
      </c>
      <c r="AE181" s="37" t="str">
        <f t="shared" si="48"/>
        <v/>
      </c>
      <c r="AF181" s="40" t="str">
        <f t="shared" si="49"/>
        <v/>
      </c>
      <c r="AG181" s="37" t="str">
        <f t="shared" si="50"/>
        <v/>
      </c>
      <c r="AH181" s="40" t="str">
        <f t="shared" si="51"/>
        <v/>
      </c>
      <c r="AI181" s="37" t="str">
        <f t="shared" si="52"/>
        <v/>
      </c>
      <c r="AJ181" s="40" t="str">
        <f t="shared" si="53"/>
        <v/>
      </c>
      <c r="AK181" s="33" t="str">
        <f>IF(SEM!AK181="","",SEM!AK181)</f>
        <v/>
      </c>
      <c r="AL181" s="6"/>
      <c r="AM181" s="79" t="str">
        <f t="shared" si="54"/>
        <v/>
      </c>
      <c r="AN181" s="12"/>
      <c r="AO181" s="12"/>
      <c r="AP181" s="14"/>
      <c r="AQ181" s="16"/>
      <c r="AR181" s="15"/>
      <c r="AU181" s="198"/>
      <c r="AV181" s="198"/>
      <c r="AW181" s="198"/>
      <c r="AX181" s="198"/>
    </row>
    <row r="182" spans="2:50" ht="17.25" customHeight="1" x14ac:dyDescent="0.2">
      <c r="B182" s="6"/>
      <c r="C182" s="49" t="str">
        <f>IF(SEM!C182="","",SEM!C182)</f>
        <v/>
      </c>
      <c r="D182" s="220" t="str">
        <f>IF(C182="","",VLOOKUP(SEM!C182,FROTA!$B$5:$C$305,2,0))</f>
        <v/>
      </c>
      <c r="E182" s="24" t="str">
        <f>IF(C182="","",VLOOKUP(C182,FROTA!$B$5:$N$305,7,0))</f>
        <v/>
      </c>
      <c r="F182" s="38" t="str">
        <f t="shared" si="45"/>
        <v/>
      </c>
      <c r="G182" s="71" t="str">
        <f t="shared" si="55"/>
        <v/>
      </c>
      <c r="H182" s="32" t="str">
        <f t="shared" si="56"/>
        <v/>
      </c>
      <c r="I182" s="73" t="str">
        <f t="shared" si="56"/>
        <v/>
      </c>
      <c r="J182" s="73" t="str">
        <f t="shared" si="56"/>
        <v/>
      </c>
      <c r="K182" s="73" t="str">
        <f t="shared" si="58"/>
        <v/>
      </c>
      <c r="L182" s="73" t="str">
        <f t="shared" si="58"/>
        <v/>
      </c>
      <c r="M182" s="73" t="str">
        <f t="shared" si="58"/>
        <v/>
      </c>
      <c r="N182" s="73" t="str">
        <f t="shared" si="58"/>
        <v/>
      </c>
      <c r="O182" s="73" t="str">
        <f t="shared" si="58"/>
        <v/>
      </c>
      <c r="P182" s="73" t="str">
        <f t="shared" si="58"/>
        <v/>
      </c>
      <c r="Q182" s="73" t="str">
        <f t="shared" si="58"/>
        <v/>
      </c>
      <c r="R182" s="73" t="str">
        <f t="shared" si="59"/>
        <v/>
      </c>
      <c r="S182" s="73" t="str">
        <f t="shared" si="59"/>
        <v/>
      </c>
      <c r="T182" s="73" t="str">
        <f t="shared" si="59"/>
        <v/>
      </c>
      <c r="U182" s="73" t="str">
        <f t="shared" si="59"/>
        <v/>
      </c>
      <c r="V182" s="73" t="str">
        <f t="shared" si="59"/>
        <v/>
      </c>
      <c r="W182" s="73" t="str">
        <f t="shared" si="59"/>
        <v/>
      </c>
      <c r="X182" s="73" t="str">
        <f t="shared" si="59"/>
        <v/>
      </c>
      <c r="Y182" s="73" t="str">
        <f t="shared" si="59"/>
        <v/>
      </c>
      <c r="Z182" s="73" t="str">
        <f t="shared" si="59"/>
        <v/>
      </c>
      <c r="AA182" s="73" t="str">
        <f t="shared" si="59"/>
        <v/>
      </c>
      <c r="AB182" s="74" t="str">
        <f t="shared" si="59"/>
        <v/>
      </c>
      <c r="AC182" s="35" t="str">
        <f t="shared" si="46"/>
        <v/>
      </c>
      <c r="AD182" s="40" t="str">
        <f t="shared" si="47"/>
        <v/>
      </c>
      <c r="AE182" s="37" t="str">
        <f t="shared" si="48"/>
        <v/>
      </c>
      <c r="AF182" s="40" t="str">
        <f t="shared" si="49"/>
        <v/>
      </c>
      <c r="AG182" s="37" t="str">
        <f t="shared" si="50"/>
        <v/>
      </c>
      <c r="AH182" s="40" t="str">
        <f t="shared" si="51"/>
        <v/>
      </c>
      <c r="AI182" s="37" t="str">
        <f t="shared" si="52"/>
        <v/>
      </c>
      <c r="AJ182" s="40" t="str">
        <f t="shared" si="53"/>
        <v/>
      </c>
      <c r="AK182" s="33" t="str">
        <f>IF(SEM!AK182="","",SEM!AK182)</f>
        <v/>
      </c>
      <c r="AL182" s="6"/>
      <c r="AM182" s="79" t="str">
        <f t="shared" si="54"/>
        <v/>
      </c>
      <c r="AN182" s="12"/>
      <c r="AO182" s="12"/>
      <c r="AP182" s="14"/>
      <c r="AQ182" s="16"/>
      <c r="AR182" s="15"/>
      <c r="AU182" s="198"/>
      <c r="AV182" s="198"/>
      <c r="AW182" s="198"/>
      <c r="AX182" s="198"/>
    </row>
    <row r="183" spans="2:50" ht="17.25" customHeight="1" x14ac:dyDescent="0.2">
      <c r="B183" s="6"/>
      <c r="C183" s="49" t="str">
        <f>IF(SEM!C183="","",SEM!C183)</f>
        <v/>
      </c>
      <c r="D183" s="220" t="str">
        <f>IF(C183="","",VLOOKUP(SEM!C183,FROTA!$B$5:$C$305,2,0))</f>
        <v/>
      </c>
      <c r="E183" s="24" t="str">
        <f>IF(C183="","",VLOOKUP(C183,FROTA!$B$5:$N$305,7,0))</f>
        <v/>
      </c>
      <c r="F183" s="38" t="str">
        <f t="shared" si="45"/>
        <v/>
      </c>
      <c r="G183" s="71" t="str">
        <f t="shared" si="55"/>
        <v/>
      </c>
      <c r="H183" s="32" t="str">
        <f t="shared" si="56"/>
        <v/>
      </c>
      <c r="I183" s="73" t="str">
        <f t="shared" si="56"/>
        <v/>
      </c>
      <c r="J183" s="73" t="str">
        <f t="shared" si="56"/>
        <v/>
      </c>
      <c r="K183" s="73" t="str">
        <f t="shared" si="58"/>
        <v/>
      </c>
      <c r="L183" s="73" t="str">
        <f t="shared" si="58"/>
        <v/>
      </c>
      <c r="M183" s="73" t="str">
        <f t="shared" si="58"/>
        <v/>
      </c>
      <c r="N183" s="73" t="str">
        <f t="shared" si="58"/>
        <v/>
      </c>
      <c r="O183" s="73" t="str">
        <f t="shared" si="58"/>
        <v/>
      </c>
      <c r="P183" s="73" t="str">
        <f t="shared" si="58"/>
        <v/>
      </c>
      <c r="Q183" s="73" t="str">
        <f t="shared" si="58"/>
        <v/>
      </c>
      <c r="R183" s="73" t="str">
        <f t="shared" si="59"/>
        <v/>
      </c>
      <c r="S183" s="73" t="str">
        <f t="shared" si="59"/>
        <v/>
      </c>
      <c r="T183" s="73" t="str">
        <f t="shared" si="59"/>
        <v/>
      </c>
      <c r="U183" s="73" t="str">
        <f t="shared" si="59"/>
        <v/>
      </c>
      <c r="V183" s="73" t="str">
        <f t="shared" si="59"/>
        <v/>
      </c>
      <c r="W183" s="73" t="str">
        <f t="shared" si="59"/>
        <v/>
      </c>
      <c r="X183" s="73" t="str">
        <f t="shared" si="59"/>
        <v/>
      </c>
      <c r="Y183" s="73" t="str">
        <f t="shared" si="59"/>
        <v/>
      </c>
      <c r="Z183" s="73" t="str">
        <f t="shared" si="59"/>
        <v/>
      </c>
      <c r="AA183" s="73" t="str">
        <f t="shared" si="59"/>
        <v/>
      </c>
      <c r="AB183" s="74" t="str">
        <f t="shared" si="59"/>
        <v/>
      </c>
      <c r="AC183" s="35" t="str">
        <f t="shared" si="46"/>
        <v/>
      </c>
      <c r="AD183" s="40" t="str">
        <f t="shared" si="47"/>
        <v/>
      </c>
      <c r="AE183" s="37" t="str">
        <f t="shared" si="48"/>
        <v/>
      </c>
      <c r="AF183" s="40" t="str">
        <f t="shared" si="49"/>
        <v/>
      </c>
      <c r="AG183" s="37" t="str">
        <f t="shared" si="50"/>
        <v/>
      </c>
      <c r="AH183" s="40" t="str">
        <f t="shared" si="51"/>
        <v/>
      </c>
      <c r="AI183" s="37" t="str">
        <f t="shared" si="52"/>
        <v/>
      </c>
      <c r="AJ183" s="40" t="str">
        <f t="shared" si="53"/>
        <v/>
      </c>
      <c r="AK183" s="33" t="str">
        <f>IF(SEM!AK183="","",SEM!AK183)</f>
        <v/>
      </c>
      <c r="AL183" s="6"/>
      <c r="AM183" s="79" t="str">
        <f t="shared" si="54"/>
        <v/>
      </c>
      <c r="AN183" s="12"/>
      <c r="AO183" s="12"/>
      <c r="AP183" s="14"/>
      <c r="AQ183" s="16"/>
      <c r="AR183" s="15"/>
      <c r="AU183" s="198"/>
      <c r="AV183" s="198"/>
      <c r="AW183" s="198"/>
      <c r="AX183" s="198"/>
    </row>
    <row r="184" spans="2:50" ht="17.25" customHeight="1" x14ac:dyDescent="0.2">
      <c r="B184" s="6"/>
      <c r="C184" s="49" t="str">
        <f>IF(SEM!C184="","",SEM!C184)</f>
        <v/>
      </c>
      <c r="D184" s="220" t="str">
        <f>IF(C184="","",VLOOKUP(SEM!C184,FROTA!$B$5:$C$305,2,0))</f>
        <v/>
      </c>
      <c r="E184" s="24" t="str">
        <f>IF(C184="","",VLOOKUP(C184,FROTA!$B$5:$N$305,7,0))</f>
        <v/>
      </c>
      <c r="F184" s="38" t="str">
        <f t="shared" si="45"/>
        <v/>
      </c>
      <c r="G184" s="71" t="str">
        <f t="shared" si="55"/>
        <v/>
      </c>
      <c r="H184" s="32" t="str">
        <f t="shared" si="56"/>
        <v/>
      </c>
      <c r="I184" s="73" t="str">
        <f t="shared" si="56"/>
        <v/>
      </c>
      <c r="J184" s="73" t="str">
        <f t="shared" si="56"/>
        <v/>
      </c>
      <c r="K184" s="73" t="str">
        <f t="shared" si="58"/>
        <v/>
      </c>
      <c r="L184" s="73" t="str">
        <f t="shared" si="58"/>
        <v/>
      </c>
      <c r="M184" s="73" t="str">
        <f t="shared" si="58"/>
        <v/>
      </c>
      <c r="N184" s="73" t="str">
        <f t="shared" si="58"/>
        <v/>
      </c>
      <c r="O184" s="73" t="str">
        <f t="shared" si="58"/>
        <v/>
      </c>
      <c r="P184" s="73" t="str">
        <f t="shared" si="58"/>
        <v/>
      </c>
      <c r="Q184" s="73" t="str">
        <f t="shared" si="58"/>
        <v/>
      </c>
      <c r="R184" s="73" t="str">
        <f t="shared" si="59"/>
        <v/>
      </c>
      <c r="S184" s="73" t="str">
        <f t="shared" si="59"/>
        <v/>
      </c>
      <c r="T184" s="73" t="str">
        <f t="shared" si="59"/>
        <v/>
      </c>
      <c r="U184" s="73" t="str">
        <f t="shared" si="59"/>
        <v/>
      </c>
      <c r="V184" s="73" t="str">
        <f t="shared" si="59"/>
        <v/>
      </c>
      <c r="W184" s="73" t="str">
        <f t="shared" si="59"/>
        <v/>
      </c>
      <c r="X184" s="73" t="str">
        <f t="shared" si="59"/>
        <v/>
      </c>
      <c r="Y184" s="73" t="str">
        <f t="shared" si="59"/>
        <v/>
      </c>
      <c r="Z184" s="73" t="str">
        <f t="shared" si="59"/>
        <v/>
      </c>
      <c r="AA184" s="73" t="str">
        <f t="shared" si="59"/>
        <v/>
      </c>
      <c r="AB184" s="74" t="str">
        <f t="shared" si="59"/>
        <v/>
      </c>
      <c r="AC184" s="35" t="str">
        <f t="shared" si="46"/>
        <v/>
      </c>
      <c r="AD184" s="40" t="str">
        <f t="shared" si="47"/>
        <v/>
      </c>
      <c r="AE184" s="37" t="str">
        <f t="shared" si="48"/>
        <v/>
      </c>
      <c r="AF184" s="40" t="str">
        <f t="shared" si="49"/>
        <v/>
      </c>
      <c r="AG184" s="37" t="str">
        <f t="shared" si="50"/>
        <v/>
      </c>
      <c r="AH184" s="40" t="str">
        <f t="shared" si="51"/>
        <v/>
      </c>
      <c r="AI184" s="37" t="str">
        <f t="shared" si="52"/>
        <v/>
      </c>
      <c r="AJ184" s="40" t="str">
        <f t="shared" si="53"/>
        <v/>
      </c>
      <c r="AK184" s="33" t="str">
        <f>IF(SEM!AK184="","",SEM!AK184)</f>
        <v/>
      </c>
      <c r="AL184" s="6"/>
      <c r="AM184" s="79" t="str">
        <f t="shared" si="54"/>
        <v/>
      </c>
      <c r="AN184" s="12"/>
      <c r="AO184" s="12"/>
      <c r="AP184" s="14"/>
      <c r="AQ184" s="16"/>
      <c r="AR184" s="15"/>
      <c r="AU184" s="198"/>
      <c r="AV184" s="198"/>
      <c r="AW184" s="198"/>
      <c r="AX184" s="198"/>
    </row>
    <row r="185" spans="2:50" ht="17.25" customHeight="1" x14ac:dyDescent="0.2">
      <c r="B185" s="6"/>
      <c r="C185" s="49" t="str">
        <f>IF(SEM!C185="","",SEM!C185)</f>
        <v/>
      </c>
      <c r="D185" s="220" t="str">
        <f>IF(C185="","",VLOOKUP(SEM!C185,FROTA!$B$5:$C$305,2,0))</f>
        <v/>
      </c>
      <c r="E185" s="24" t="str">
        <f>IF(C185="","",VLOOKUP(C185,FROTA!$B$5:$N$305,7,0))</f>
        <v/>
      </c>
      <c r="F185" s="38" t="str">
        <f t="shared" si="45"/>
        <v/>
      </c>
      <c r="G185" s="71" t="str">
        <f t="shared" si="55"/>
        <v/>
      </c>
      <c r="H185" s="32" t="str">
        <f t="shared" si="56"/>
        <v/>
      </c>
      <c r="I185" s="73" t="str">
        <f t="shared" si="56"/>
        <v/>
      </c>
      <c r="J185" s="73" t="str">
        <f t="shared" si="56"/>
        <v/>
      </c>
      <c r="K185" s="73" t="str">
        <f t="shared" si="58"/>
        <v/>
      </c>
      <c r="L185" s="73" t="str">
        <f t="shared" si="58"/>
        <v/>
      </c>
      <c r="M185" s="73" t="str">
        <f t="shared" si="58"/>
        <v/>
      </c>
      <c r="N185" s="73" t="str">
        <f t="shared" si="58"/>
        <v/>
      </c>
      <c r="O185" s="73" t="str">
        <f t="shared" si="58"/>
        <v/>
      </c>
      <c r="P185" s="73" t="str">
        <f t="shared" si="58"/>
        <v/>
      </c>
      <c r="Q185" s="73" t="str">
        <f t="shared" si="58"/>
        <v/>
      </c>
      <c r="R185" s="73" t="str">
        <f t="shared" si="59"/>
        <v/>
      </c>
      <c r="S185" s="73" t="str">
        <f t="shared" si="59"/>
        <v/>
      </c>
      <c r="T185" s="73" t="str">
        <f t="shared" si="59"/>
        <v/>
      </c>
      <c r="U185" s="73" t="str">
        <f t="shared" si="59"/>
        <v/>
      </c>
      <c r="V185" s="73" t="str">
        <f t="shared" si="59"/>
        <v/>
      </c>
      <c r="W185" s="73" t="str">
        <f t="shared" si="59"/>
        <v/>
      </c>
      <c r="X185" s="73" t="str">
        <f t="shared" si="59"/>
        <v/>
      </c>
      <c r="Y185" s="73" t="str">
        <f t="shared" si="59"/>
        <v/>
      </c>
      <c r="Z185" s="73" t="str">
        <f t="shared" si="59"/>
        <v/>
      </c>
      <c r="AA185" s="73" t="str">
        <f t="shared" si="59"/>
        <v/>
      </c>
      <c r="AB185" s="74" t="str">
        <f t="shared" si="59"/>
        <v/>
      </c>
      <c r="AC185" s="35" t="str">
        <f t="shared" si="46"/>
        <v/>
      </c>
      <c r="AD185" s="40" t="str">
        <f t="shared" si="47"/>
        <v/>
      </c>
      <c r="AE185" s="37" t="str">
        <f t="shared" si="48"/>
        <v/>
      </c>
      <c r="AF185" s="40" t="str">
        <f t="shared" si="49"/>
        <v/>
      </c>
      <c r="AG185" s="37" t="str">
        <f t="shared" si="50"/>
        <v/>
      </c>
      <c r="AH185" s="40" t="str">
        <f t="shared" si="51"/>
        <v/>
      </c>
      <c r="AI185" s="37" t="str">
        <f t="shared" si="52"/>
        <v/>
      </c>
      <c r="AJ185" s="40" t="str">
        <f t="shared" si="53"/>
        <v/>
      </c>
      <c r="AK185" s="33" t="str">
        <f>IF(SEM!AK185="","",SEM!AK185)</f>
        <v/>
      </c>
      <c r="AL185" s="6"/>
      <c r="AM185" s="79" t="str">
        <f t="shared" si="54"/>
        <v/>
      </c>
      <c r="AN185" s="12"/>
      <c r="AO185" s="12"/>
      <c r="AP185" s="14"/>
      <c r="AQ185" s="16"/>
      <c r="AR185" s="15"/>
      <c r="AU185" s="198"/>
      <c r="AV185" s="198"/>
      <c r="AW185" s="198"/>
      <c r="AX185" s="198"/>
    </row>
    <row r="186" spans="2:50" ht="17.25" customHeight="1" x14ac:dyDescent="0.2">
      <c r="B186" s="6"/>
      <c r="C186" s="49" t="str">
        <f>IF(SEM!C186="","",SEM!C186)</f>
        <v/>
      </c>
      <c r="D186" s="220" t="str">
        <f>IF(C186="","",VLOOKUP(SEM!C186,FROTA!$B$5:$C$305,2,0))</f>
        <v/>
      </c>
      <c r="E186" s="24" t="str">
        <f>IF(C186="","",VLOOKUP(C186,FROTA!$B$5:$N$305,7,0))</f>
        <v/>
      </c>
      <c r="F186" s="38" t="str">
        <f t="shared" si="45"/>
        <v/>
      </c>
      <c r="G186" s="71" t="str">
        <f t="shared" si="55"/>
        <v/>
      </c>
      <c r="H186" s="32" t="str">
        <f t="shared" si="56"/>
        <v/>
      </c>
      <c r="I186" s="73" t="str">
        <f t="shared" si="56"/>
        <v/>
      </c>
      <c r="J186" s="73" t="str">
        <f t="shared" si="56"/>
        <v/>
      </c>
      <c r="K186" s="73" t="str">
        <f t="shared" si="58"/>
        <v/>
      </c>
      <c r="L186" s="73" t="str">
        <f t="shared" si="58"/>
        <v/>
      </c>
      <c r="M186" s="73" t="str">
        <f t="shared" si="58"/>
        <v/>
      </c>
      <c r="N186" s="73" t="str">
        <f t="shared" si="58"/>
        <v/>
      </c>
      <c r="O186" s="73" t="str">
        <f t="shared" si="58"/>
        <v/>
      </c>
      <c r="P186" s="73" t="str">
        <f t="shared" si="58"/>
        <v/>
      </c>
      <c r="Q186" s="73" t="str">
        <f t="shared" si="58"/>
        <v/>
      </c>
      <c r="R186" s="73" t="str">
        <f t="shared" si="59"/>
        <v/>
      </c>
      <c r="S186" s="73" t="str">
        <f t="shared" si="59"/>
        <v/>
      </c>
      <c r="T186" s="73" t="str">
        <f t="shared" si="59"/>
        <v/>
      </c>
      <c r="U186" s="73" t="str">
        <f t="shared" si="59"/>
        <v/>
      </c>
      <c r="V186" s="73" t="str">
        <f t="shared" si="59"/>
        <v/>
      </c>
      <c r="W186" s="73" t="str">
        <f t="shared" si="59"/>
        <v/>
      </c>
      <c r="X186" s="73" t="str">
        <f t="shared" si="59"/>
        <v/>
      </c>
      <c r="Y186" s="73" t="str">
        <f t="shared" si="59"/>
        <v/>
      </c>
      <c r="Z186" s="73" t="str">
        <f t="shared" si="59"/>
        <v/>
      </c>
      <c r="AA186" s="73" t="str">
        <f t="shared" si="59"/>
        <v/>
      </c>
      <c r="AB186" s="74" t="str">
        <f t="shared" si="59"/>
        <v/>
      </c>
      <c r="AC186" s="35" t="str">
        <f t="shared" si="46"/>
        <v/>
      </c>
      <c r="AD186" s="40" t="str">
        <f t="shared" si="47"/>
        <v/>
      </c>
      <c r="AE186" s="37" t="str">
        <f t="shared" si="48"/>
        <v/>
      </c>
      <c r="AF186" s="40" t="str">
        <f t="shared" si="49"/>
        <v/>
      </c>
      <c r="AG186" s="37" t="str">
        <f t="shared" si="50"/>
        <v/>
      </c>
      <c r="AH186" s="40" t="str">
        <f t="shared" si="51"/>
        <v/>
      </c>
      <c r="AI186" s="37" t="str">
        <f t="shared" si="52"/>
        <v/>
      </c>
      <c r="AJ186" s="40" t="str">
        <f t="shared" si="53"/>
        <v/>
      </c>
      <c r="AK186" s="33" t="str">
        <f>IF(SEM!AK186="","",SEM!AK186)</f>
        <v/>
      </c>
      <c r="AL186" s="6"/>
      <c r="AM186" s="79" t="str">
        <f t="shared" si="54"/>
        <v/>
      </c>
      <c r="AN186" s="12"/>
      <c r="AO186" s="12"/>
      <c r="AP186" s="14"/>
      <c r="AQ186" s="16"/>
      <c r="AR186" s="15"/>
      <c r="AU186" s="198"/>
      <c r="AV186" s="198"/>
      <c r="AW186" s="198"/>
      <c r="AX186" s="198"/>
    </row>
    <row r="187" spans="2:50" ht="17.25" customHeight="1" x14ac:dyDescent="0.2">
      <c r="B187" s="6"/>
      <c r="C187" s="49" t="str">
        <f>IF(SEM!C187="","",SEM!C187)</f>
        <v/>
      </c>
      <c r="D187" s="220" t="str">
        <f>IF(C187="","",VLOOKUP(SEM!C187,FROTA!$B$5:$C$305,2,0))</f>
        <v/>
      </c>
      <c r="E187" s="24" t="str">
        <f>IF(C187="","",VLOOKUP(C187,FROTA!$B$5:$N$305,7,0))</f>
        <v/>
      </c>
      <c r="F187" s="38" t="str">
        <f t="shared" si="45"/>
        <v/>
      </c>
      <c r="G187" s="71" t="str">
        <f t="shared" si="55"/>
        <v/>
      </c>
      <c r="H187" s="32" t="str">
        <f t="shared" si="56"/>
        <v/>
      </c>
      <c r="I187" s="73" t="str">
        <f t="shared" si="56"/>
        <v/>
      </c>
      <c r="J187" s="73" t="str">
        <f t="shared" si="56"/>
        <v/>
      </c>
      <c r="K187" s="73" t="str">
        <f t="shared" si="58"/>
        <v/>
      </c>
      <c r="L187" s="73" t="str">
        <f t="shared" si="58"/>
        <v/>
      </c>
      <c r="M187" s="73" t="str">
        <f t="shared" si="58"/>
        <v/>
      </c>
      <c r="N187" s="73" t="str">
        <f t="shared" si="58"/>
        <v/>
      </c>
      <c r="O187" s="73" t="str">
        <f t="shared" si="58"/>
        <v/>
      </c>
      <c r="P187" s="73" t="str">
        <f t="shared" si="58"/>
        <v/>
      </c>
      <c r="Q187" s="73" t="str">
        <f t="shared" si="58"/>
        <v/>
      </c>
      <c r="R187" s="73" t="str">
        <f t="shared" si="59"/>
        <v/>
      </c>
      <c r="S187" s="73" t="str">
        <f t="shared" si="59"/>
        <v/>
      </c>
      <c r="T187" s="73" t="str">
        <f t="shared" si="59"/>
        <v/>
      </c>
      <c r="U187" s="73" t="str">
        <f t="shared" si="59"/>
        <v/>
      </c>
      <c r="V187" s="73" t="str">
        <f t="shared" si="59"/>
        <v/>
      </c>
      <c r="W187" s="73" t="str">
        <f t="shared" si="59"/>
        <v/>
      </c>
      <c r="X187" s="73" t="str">
        <f t="shared" si="59"/>
        <v/>
      </c>
      <c r="Y187" s="73" t="str">
        <f t="shared" si="59"/>
        <v/>
      </c>
      <c r="Z187" s="73" t="str">
        <f t="shared" si="59"/>
        <v/>
      </c>
      <c r="AA187" s="73" t="str">
        <f t="shared" si="59"/>
        <v/>
      </c>
      <c r="AB187" s="74" t="str">
        <f t="shared" si="59"/>
        <v/>
      </c>
      <c r="AC187" s="35" t="str">
        <f t="shared" si="46"/>
        <v/>
      </c>
      <c r="AD187" s="40" t="str">
        <f t="shared" si="47"/>
        <v/>
      </c>
      <c r="AE187" s="37" t="str">
        <f t="shared" si="48"/>
        <v/>
      </c>
      <c r="AF187" s="40" t="str">
        <f t="shared" si="49"/>
        <v/>
      </c>
      <c r="AG187" s="37" t="str">
        <f t="shared" si="50"/>
        <v/>
      </c>
      <c r="AH187" s="40" t="str">
        <f t="shared" si="51"/>
        <v/>
      </c>
      <c r="AI187" s="37" t="str">
        <f t="shared" si="52"/>
        <v/>
      </c>
      <c r="AJ187" s="40" t="str">
        <f t="shared" si="53"/>
        <v/>
      </c>
      <c r="AK187" s="33" t="str">
        <f>IF(SEM!AK187="","",SEM!AK187)</f>
        <v/>
      </c>
      <c r="AL187" s="6"/>
      <c r="AM187" s="79" t="str">
        <f t="shared" si="54"/>
        <v/>
      </c>
      <c r="AN187" s="12"/>
      <c r="AO187" s="12"/>
      <c r="AP187" s="14"/>
      <c r="AQ187" s="16"/>
      <c r="AR187" s="15"/>
      <c r="AU187" s="198"/>
      <c r="AV187" s="198"/>
      <c r="AW187" s="198"/>
      <c r="AX187" s="198"/>
    </row>
    <row r="188" spans="2:50" ht="17.25" customHeight="1" x14ac:dyDescent="0.2">
      <c r="B188" s="6"/>
      <c r="C188" s="49" t="str">
        <f>IF(SEM!C188="","",SEM!C188)</f>
        <v/>
      </c>
      <c r="D188" s="220" t="str">
        <f>IF(C188="","",VLOOKUP(SEM!C188,FROTA!$B$5:$C$305,2,0))</f>
        <v/>
      </c>
      <c r="E188" s="24" t="str">
        <f>IF(C188="","",VLOOKUP(C188,FROTA!$B$5:$N$305,7,0))</f>
        <v/>
      </c>
      <c r="F188" s="38" t="str">
        <f t="shared" si="45"/>
        <v/>
      </c>
      <c r="G188" s="71" t="str">
        <f t="shared" si="55"/>
        <v/>
      </c>
      <c r="H188" s="32" t="str">
        <f t="shared" si="56"/>
        <v/>
      </c>
      <c r="I188" s="73" t="str">
        <f t="shared" si="56"/>
        <v/>
      </c>
      <c r="J188" s="73" t="str">
        <f t="shared" si="56"/>
        <v/>
      </c>
      <c r="K188" s="73" t="str">
        <f t="shared" si="58"/>
        <v/>
      </c>
      <c r="L188" s="73" t="str">
        <f t="shared" si="58"/>
        <v/>
      </c>
      <c r="M188" s="73" t="str">
        <f t="shared" si="58"/>
        <v/>
      </c>
      <c r="N188" s="73" t="str">
        <f t="shared" si="58"/>
        <v/>
      </c>
      <c r="O188" s="73" t="str">
        <f t="shared" si="58"/>
        <v/>
      </c>
      <c r="P188" s="73" t="str">
        <f t="shared" si="58"/>
        <v/>
      </c>
      <c r="Q188" s="73" t="str">
        <f t="shared" si="58"/>
        <v/>
      </c>
      <c r="R188" s="73" t="str">
        <f t="shared" si="59"/>
        <v/>
      </c>
      <c r="S188" s="73" t="str">
        <f t="shared" si="59"/>
        <v/>
      </c>
      <c r="T188" s="73" t="str">
        <f t="shared" si="59"/>
        <v/>
      </c>
      <c r="U188" s="73" t="str">
        <f t="shared" si="59"/>
        <v/>
      </c>
      <c r="V188" s="73" t="str">
        <f t="shared" si="59"/>
        <v/>
      </c>
      <c r="W188" s="73" t="str">
        <f t="shared" si="59"/>
        <v/>
      </c>
      <c r="X188" s="73" t="str">
        <f t="shared" si="59"/>
        <v/>
      </c>
      <c r="Y188" s="73" t="str">
        <f t="shared" si="59"/>
        <v/>
      </c>
      <c r="Z188" s="73" t="str">
        <f t="shared" si="59"/>
        <v/>
      </c>
      <c r="AA188" s="73" t="str">
        <f t="shared" si="59"/>
        <v/>
      </c>
      <c r="AB188" s="74" t="str">
        <f t="shared" si="59"/>
        <v/>
      </c>
      <c r="AC188" s="35" t="str">
        <f t="shared" si="46"/>
        <v/>
      </c>
      <c r="AD188" s="40" t="str">
        <f t="shared" si="47"/>
        <v/>
      </c>
      <c r="AE188" s="37" t="str">
        <f t="shared" si="48"/>
        <v/>
      </c>
      <c r="AF188" s="40" t="str">
        <f t="shared" si="49"/>
        <v/>
      </c>
      <c r="AG188" s="37" t="str">
        <f t="shared" si="50"/>
        <v/>
      </c>
      <c r="AH188" s="40" t="str">
        <f t="shared" si="51"/>
        <v/>
      </c>
      <c r="AI188" s="37" t="str">
        <f t="shared" si="52"/>
        <v/>
      </c>
      <c r="AJ188" s="40" t="str">
        <f t="shared" si="53"/>
        <v/>
      </c>
      <c r="AK188" s="33" t="str">
        <f>IF(SEM!AK188="","",SEM!AK188)</f>
        <v/>
      </c>
      <c r="AL188" s="6"/>
      <c r="AM188" s="79" t="str">
        <f t="shared" si="54"/>
        <v/>
      </c>
      <c r="AN188" s="12"/>
      <c r="AO188" s="12"/>
      <c r="AP188" s="14"/>
      <c r="AQ188" s="16"/>
      <c r="AR188" s="15"/>
      <c r="AU188" s="198"/>
      <c r="AV188" s="198"/>
      <c r="AW188" s="198"/>
      <c r="AX188" s="198"/>
    </row>
    <row r="189" spans="2:50" ht="17.25" customHeight="1" x14ac:dyDescent="0.2">
      <c r="B189" s="6"/>
      <c r="C189" s="49" t="str">
        <f>IF(SEM!C189="","",SEM!C189)</f>
        <v/>
      </c>
      <c r="D189" s="220" t="str">
        <f>IF(C189="","",VLOOKUP(SEM!C189,FROTA!$B$5:$C$305,2,0))</f>
        <v/>
      </c>
      <c r="E189" s="24" t="str">
        <f>IF(C189="","",VLOOKUP(C189,FROTA!$B$5:$N$305,7,0))</f>
        <v/>
      </c>
      <c r="F189" s="38" t="str">
        <f t="shared" si="45"/>
        <v/>
      </c>
      <c r="G189" s="71" t="str">
        <f t="shared" si="55"/>
        <v/>
      </c>
      <c r="H189" s="32" t="str">
        <f t="shared" si="56"/>
        <v/>
      </c>
      <c r="I189" s="73" t="str">
        <f t="shared" si="56"/>
        <v/>
      </c>
      <c r="J189" s="73" t="str">
        <f t="shared" si="56"/>
        <v/>
      </c>
      <c r="K189" s="73" t="str">
        <f t="shared" si="58"/>
        <v/>
      </c>
      <c r="L189" s="73" t="str">
        <f t="shared" si="58"/>
        <v/>
      </c>
      <c r="M189" s="73" t="str">
        <f t="shared" si="58"/>
        <v/>
      </c>
      <c r="N189" s="73" t="str">
        <f t="shared" si="58"/>
        <v/>
      </c>
      <c r="O189" s="73" t="str">
        <f t="shared" si="58"/>
        <v/>
      </c>
      <c r="P189" s="73" t="str">
        <f t="shared" si="58"/>
        <v/>
      </c>
      <c r="Q189" s="73" t="str">
        <f t="shared" si="58"/>
        <v/>
      </c>
      <c r="R189" s="73" t="str">
        <f t="shared" si="59"/>
        <v/>
      </c>
      <c r="S189" s="73" t="str">
        <f t="shared" si="59"/>
        <v/>
      </c>
      <c r="T189" s="73" t="str">
        <f t="shared" si="59"/>
        <v/>
      </c>
      <c r="U189" s="73" t="str">
        <f t="shared" si="59"/>
        <v/>
      </c>
      <c r="V189" s="73" t="str">
        <f t="shared" si="59"/>
        <v/>
      </c>
      <c r="W189" s="73" t="str">
        <f t="shared" si="59"/>
        <v/>
      </c>
      <c r="X189" s="73" t="str">
        <f t="shared" si="59"/>
        <v/>
      </c>
      <c r="Y189" s="73" t="str">
        <f t="shared" si="59"/>
        <v/>
      </c>
      <c r="Z189" s="73" t="str">
        <f t="shared" si="59"/>
        <v/>
      </c>
      <c r="AA189" s="73" t="str">
        <f t="shared" si="59"/>
        <v/>
      </c>
      <c r="AB189" s="74" t="str">
        <f t="shared" si="59"/>
        <v/>
      </c>
      <c r="AC189" s="35" t="str">
        <f t="shared" si="46"/>
        <v/>
      </c>
      <c r="AD189" s="40" t="str">
        <f t="shared" si="47"/>
        <v/>
      </c>
      <c r="AE189" s="37" t="str">
        <f t="shared" si="48"/>
        <v/>
      </c>
      <c r="AF189" s="40" t="str">
        <f t="shared" si="49"/>
        <v/>
      </c>
      <c r="AG189" s="37" t="str">
        <f t="shared" si="50"/>
        <v/>
      </c>
      <c r="AH189" s="40" t="str">
        <f t="shared" si="51"/>
        <v/>
      </c>
      <c r="AI189" s="37" t="str">
        <f t="shared" si="52"/>
        <v/>
      </c>
      <c r="AJ189" s="40" t="str">
        <f t="shared" si="53"/>
        <v/>
      </c>
      <c r="AK189" s="33" t="str">
        <f>IF(SEM!AK189="","",SEM!AK189)</f>
        <v/>
      </c>
      <c r="AL189" s="6"/>
      <c r="AM189" s="79" t="str">
        <f t="shared" si="54"/>
        <v/>
      </c>
      <c r="AN189" s="12"/>
      <c r="AO189" s="12"/>
      <c r="AP189" s="14"/>
      <c r="AQ189" s="16"/>
      <c r="AR189" s="15"/>
      <c r="AU189" s="198"/>
      <c r="AV189" s="198"/>
      <c r="AW189" s="198"/>
      <c r="AX189" s="198"/>
    </row>
    <row r="190" spans="2:50" ht="17.25" customHeight="1" x14ac:dyDescent="0.2">
      <c r="B190" s="6"/>
      <c r="C190" s="49" t="str">
        <f>IF(SEM!C190="","",SEM!C190)</f>
        <v/>
      </c>
      <c r="D190" s="220" t="str">
        <f>IF(C190="","",VLOOKUP(SEM!C190,FROTA!$B$5:$C$305,2,0))</f>
        <v/>
      </c>
      <c r="E190" s="24" t="str">
        <f>IF(C190="","",VLOOKUP(C190,FROTA!$B$5:$N$305,7,0))</f>
        <v/>
      </c>
      <c r="F190" s="38" t="str">
        <f t="shared" si="45"/>
        <v/>
      </c>
      <c r="G190" s="71" t="str">
        <f t="shared" si="55"/>
        <v/>
      </c>
      <c r="H190" s="32" t="str">
        <f t="shared" si="56"/>
        <v/>
      </c>
      <c r="I190" s="73" t="str">
        <f t="shared" si="56"/>
        <v/>
      </c>
      <c r="J190" s="73" t="str">
        <f t="shared" si="56"/>
        <v/>
      </c>
      <c r="K190" s="73" t="str">
        <f t="shared" si="58"/>
        <v/>
      </c>
      <c r="L190" s="73" t="str">
        <f t="shared" si="58"/>
        <v/>
      </c>
      <c r="M190" s="73" t="str">
        <f t="shared" si="58"/>
        <v/>
      </c>
      <c r="N190" s="73" t="str">
        <f t="shared" si="58"/>
        <v/>
      </c>
      <c r="O190" s="73" t="str">
        <f t="shared" si="58"/>
        <v/>
      </c>
      <c r="P190" s="73" t="str">
        <f t="shared" si="58"/>
        <v/>
      </c>
      <c r="Q190" s="73" t="str">
        <f t="shared" si="58"/>
        <v/>
      </c>
      <c r="R190" s="73" t="str">
        <f t="shared" si="59"/>
        <v/>
      </c>
      <c r="S190" s="73" t="str">
        <f t="shared" si="59"/>
        <v/>
      </c>
      <c r="T190" s="73" t="str">
        <f t="shared" si="59"/>
        <v/>
      </c>
      <c r="U190" s="73" t="str">
        <f t="shared" si="59"/>
        <v/>
      </c>
      <c r="V190" s="73" t="str">
        <f t="shared" si="59"/>
        <v/>
      </c>
      <c r="W190" s="73" t="str">
        <f t="shared" si="59"/>
        <v/>
      </c>
      <c r="X190" s="73" t="str">
        <f t="shared" si="59"/>
        <v/>
      </c>
      <c r="Y190" s="73" t="str">
        <f t="shared" si="59"/>
        <v/>
      </c>
      <c r="Z190" s="73" t="str">
        <f t="shared" si="59"/>
        <v/>
      </c>
      <c r="AA190" s="73" t="str">
        <f t="shared" si="59"/>
        <v/>
      </c>
      <c r="AB190" s="74" t="str">
        <f t="shared" si="59"/>
        <v/>
      </c>
      <c r="AC190" s="35" t="str">
        <f t="shared" si="46"/>
        <v/>
      </c>
      <c r="AD190" s="40" t="str">
        <f t="shared" si="47"/>
        <v/>
      </c>
      <c r="AE190" s="37" t="str">
        <f t="shared" si="48"/>
        <v/>
      </c>
      <c r="AF190" s="40" t="str">
        <f t="shared" si="49"/>
        <v/>
      </c>
      <c r="AG190" s="37" t="str">
        <f t="shared" si="50"/>
        <v/>
      </c>
      <c r="AH190" s="40" t="str">
        <f t="shared" si="51"/>
        <v/>
      </c>
      <c r="AI190" s="37" t="str">
        <f t="shared" si="52"/>
        <v/>
      </c>
      <c r="AJ190" s="40" t="str">
        <f t="shared" si="53"/>
        <v/>
      </c>
      <c r="AK190" s="33" t="str">
        <f>IF(SEM!AK190="","",SEM!AK190)</f>
        <v/>
      </c>
      <c r="AL190" s="6"/>
      <c r="AM190" s="79" t="str">
        <f t="shared" si="54"/>
        <v/>
      </c>
      <c r="AN190" s="12"/>
      <c r="AO190" s="12"/>
      <c r="AP190" s="14"/>
      <c r="AQ190" s="16"/>
      <c r="AR190" s="15"/>
      <c r="AU190" s="198"/>
      <c r="AV190" s="198"/>
      <c r="AW190" s="198"/>
      <c r="AX190" s="198"/>
    </row>
    <row r="191" spans="2:50" ht="17.25" customHeight="1" x14ac:dyDescent="0.2">
      <c r="B191" s="6"/>
      <c r="C191" s="49" t="str">
        <f>IF(SEM!C191="","",SEM!C191)</f>
        <v/>
      </c>
      <c r="D191" s="220" t="str">
        <f>IF(C191="","",VLOOKUP(SEM!C191,FROTA!$B$5:$C$305,2,0))</f>
        <v/>
      </c>
      <c r="E191" s="24" t="str">
        <f>IF(C191="","",VLOOKUP(C191,FROTA!$B$5:$N$305,7,0))</f>
        <v/>
      </c>
      <c r="F191" s="38" t="str">
        <f t="shared" si="45"/>
        <v/>
      </c>
      <c r="G191" s="71" t="str">
        <f t="shared" si="55"/>
        <v/>
      </c>
      <c r="H191" s="32" t="str">
        <f t="shared" si="56"/>
        <v/>
      </c>
      <c r="I191" s="73" t="str">
        <f t="shared" si="56"/>
        <v/>
      </c>
      <c r="J191" s="73" t="str">
        <f t="shared" si="56"/>
        <v/>
      </c>
      <c r="K191" s="73" t="str">
        <f t="shared" si="58"/>
        <v/>
      </c>
      <c r="L191" s="73" t="str">
        <f t="shared" si="58"/>
        <v/>
      </c>
      <c r="M191" s="73" t="str">
        <f t="shared" si="58"/>
        <v/>
      </c>
      <c r="N191" s="73" t="str">
        <f t="shared" si="58"/>
        <v/>
      </c>
      <c r="O191" s="73" t="str">
        <f t="shared" si="58"/>
        <v/>
      </c>
      <c r="P191" s="73" t="str">
        <f t="shared" si="58"/>
        <v/>
      </c>
      <c r="Q191" s="73" t="str">
        <f t="shared" si="58"/>
        <v/>
      </c>
      <c r="R191" s="73" t="str">
        <f t="shared" si="59"/>
        <v/>
      </c>
      <c r="S191" s="73" t="str">
        <f t="shared" si="59"/>
        <v/>
      </c>
      <c r="T191" s="73" t="str">
        <f t="shared" si="59"/>
        <v/>
      </c>
      <c r="U191" s="73" t="str">
        <f t="shared" si="59"/>
        <v/>
      </c>
      <c r="V191" s="73" t="str">
        <f t="shared" si="59"/>
        <v/>
      </c>
      <c r="W191" s="73" t="str">
        <f t="shared" si="59"/>
        <v/>
      </c>
      <c r="X191" s="73" t="str">
        <f t="shared" si="59"/>
        <v/>
      </c>
      <c r="Y191" s="73" t="str">
        <f t="shared" si="59"/>
        <v/>
      </c>
      <c r="Z191" s="73" t="str">
        <f t="shared" si="59"/>
        <v/>
      </c>
      <c r="AA191" s="73" t="str">
        <f t="shared" si="59"/>
        <v/>
      </c>
      <c r="AB191" s="74" t="str">
        <f t="shared" si="59"/>
        <v/>
      </c>
      <c r="AC191" s="35" t="str">
        <f t="shared" si="46"/>
        <v/>
      </c>
      <c r="AD191" s="40" t="str">
        <f t="shared" si="47"/>
        <v/>
      </c>
      <c r="AE191" s="37" t="str">
        <f t="shared" si="48"/>
        <v/>
      </c>
      <c r="AF191" s="40" t="str">
        <f t="shared" si="49"/>
        <v/>
      </c>
      <c r="AG191" s="37" t="str">
        <f t="shared" si="50"/>
        <v/>
      </c>
      <c r="AH191" s="40" t="str">
        <f t="shared" si="51"/>
        <v/>
      </c>
      <c r="AI191" s="37" t="str">
        <f t="shared" si="52"/>
        <v/>
      </c>
      <c r="AJ191" s="40" t="str">
        <f t="shared" si="53"/>
        <v/>
      </c>
      <c r="AK191" s="33" t="str">
        <f>IF(SEM!AK191="","",SEM!AK191)</f>
        <v/>
      </c>
      <c r="AL191" s="6"/>
      <c r="AM191" s="79" t="str">
        <f t="shared" si="54"/>
        <v/>
      </c>
      <c r="AN191" s="12"/>
      <c r="AO191" s="12"/>
      <c r="AP191" s="14"/>
      <c r="AQ191" s="16"/>
      <c r="AR191" s="15"/>
      <c r="AU191" s="198"/>
      <c r="AV191" s="198"/>
      <c r="AW191" s="198"/>
      <c r="AX191" s="198"/>
    </row>
    <row r="192" spans="2:50" ht="17.25" customHeight="1" x14ac:dyDescent="0.2">
      <c r="B192" s="6"/>
      <c r="C192" s="49" t="str">
        <f>IF(SEM!C192="","",SEM!C192)</f>
        <v/>
      </c>
      <c r="D192" s="220" t="str">
        <f>IF(C192="","",VLOOKUP(SEM!C192,FROTA!$B$5:$C$305,2,0))</f>
        <v/>
      </c>
      <c r="E192" s="24" t="str">
        <f>IF(C192="","",VLOOKUP(C192,FROTA!$B$5:$N$305,7,0))</f>
        <v/>
      </c>
      <c r="F192" s="38" t="str">
        <f t="shared" si="45"/>
        <v/>
      </c>
      <c r="G192" s="71" t="str">
        <f t="shared" si="55"/>
        <v/>
      </c>
      <c r="H192" s="32" t="str">
        <f t="shared" si="56"/>
        <v/>
      </c>
      <c r="I192" s="73" t="str">
        <f t="shared" si="56"/>
        <v/>
      </c>
      <c r="J192" s="73" t="str">
        <f t="shared" si="56"/>
        <v/>
      </c>
      <c r="K192" s="73" t="str">
        <f t="shared" si="58"/>
        <v/>
      </c>
      <c r="L192" s="73" t="str">
        <f t="shared" si="58"/>
        <v/>
      </c>
      <c r="M192" s="73" t="str">
        <f t="shared" si="58"/>
        <v/>
      </c>
      <c r="N192" s="73" t="str">
        <f t="shared" si="58"/>
        <v/>
      </c>
      <c r="O192" s="73" t="str">
        <f t="shared" si="58"/>
        <v/>
      </c>
      <c r="P192" s="73" t="str">
        <f t="shared" si="58"/>
        <v/>
      </c>
      <c r="Q192" s="73" t="str">
        <f t="shared" si="58"/>
        <v/>
      </c>
      <c r="R192" s="73" t="str">
        <f t="shared" si="59"/>
        <v/>
      </c>
      <c r="S192" s="73" t="str">
        <f t="shared" si="59"/>
        <v/>
      </c>
      <c r="T192" s="73" t="str">
        <f t="shared" si="59"/>
        <v/>
      </c>
      <c r="U192" s="73" t="str">
        <f t="shared" si="59"/>
        <v/>
      </c>
      <c r="V192" s="73" t="str">
        <f t="shared" si="59"/>
        <v/>
      </c>
      <c r="W192" s="73" t="str">
        <f t="shared" si="59"/>
        <v/>
      </c>
      <c r="X192" s="73" t="str">
        <f t="shared" si="59"/>
        <v/>
      </c>
      <c r="Y192" s="73" t="str">
        <f t="shared" si="59"/>
        <v/>
      </c>
      <c r="Z192" s="73" t="str">
        <f t="shared" si="59"/>
        <v/>
      </c>
      <c r="AA192" s="73" t="str">
        <f t="shared" si="59"/>
        <v/>
      </c>
      <c r="AB192" s="74" t="str">
        <f t="shared" si="59"/>
        <v/>
      </c>
      <c r="AC192" s="35" t="str">
        <f t="shared" si="46"/>
        <v/>
      </c>
      <c r="AD192" s="40" t="str">
        <f t="shared" si="47"/>
        <v/>
      </c>
      <c r="AE192" s="37" t="str">
        <f t="shared" si="48"/>
        <v/>
      </c>
      <c r="AF192" s="40" t="str">
        <f t="shared" si="49"/>
        <v/>
      </c>
      <c r="AG192" s="37" t="str">
        <f t="shared" si="50"/>
        <v/>
      </c>
      <c r="AH192" s="40" t="str">
        <f t="shared" si="51"/>
        <v/>
      </c>
      <c r="AI192" s="37" t="str">
        <f t="shared" si="52"/>
        <v/>
      </c>
      <c r="AJ192" s="40" t="str">
        <f t="shared" si="53"/>
        <v/>
      </c>
      <c r="AK192" s="33" t="str">
        <f>IF(SEM!AK192="","",SEM!AK192)</f>
        <v/>
      </c>
      <c r="AL192" s="6"/>
      <c r="AM192" s="79" t="str">
        <f t="shared" si="54"/>
        <v/>
      </c>
      <c r="AN192" s="12"/>
      <c r="AO192" s="12"/>
      <c r="AP192" s="14"/>
      <c r="AQ192" s="16"/>
      <c r="AR192" s="15"/>
      <c r="AU192" s="198"/>
      <c r="AV192" s="198"/>
      <c r="AW192" s="198"/>
      <c r="AX192" s="198"/>
    </row>
    <row r="193" spans="2:50" ht="17.25" customHeight="1" x14ac:dyDescent="0.2">
      <c r="B193" s="6"/>
      <c r="C193" s="49" t="str">
        <f>IF(SEM!C193="","",SEM!C193)</f>
        <v/>
      </c>
      <c r="D193" s="220" t="str">
        <f>IF(C193="","",VLOOKUP(SEM!C193,FROTA!$B$5:$C$305,2,0))</f>
        <v/>
      </c>
      <c r="E193" s="24" t="str">
        <f>IF(C193="","",VLOOKUP(C193,FROTA!$B$5:$N$305,7,0))</f>
        <v/>
      </c>
      <c r="F193" s="38" t="str">
        <f t="shared" si="45"/>
        <v/>
      </c>
      <c r="G193" s="71" t="str">
        <f t="shared" si="55"/>
        <v/>
      </c>
      <c r="H193" s="32" t="str">
        <f t="shared" si="56"/>
        <v/>
      </c>
      <c r="I193" s="73" t="str">
        <f t="shared" si="56"/>
        <v/>
      </c>
      <c r="J193" s="73" t="str">
        <f t="shared" si="56"/>
        <v/>
      </c>
      <c r="K193" s="73" t="str">
        <f t="shared" si="58"/>
        <v/>
      </c>
      <c r="L193" s="73" t="str">
        <f t="shared" si="58"/>
        <v/>
      </c>
      <c r="M193" s="73" t="str">
        <f t="shared" si="58"/>
        <v/>
      </c>
      <c r="N193" s="73" t="str">
        <f t="shared" si="58"/>
        <v/>
      </c>
      <c r="O193" s="73" t="str">
        <f t="shared" si="58"/>
        <v/>
      </c>
      <c r="P193" s="73" t="str">
        <f t="shared" si="58"/>
        <v/>
      </c>
      <c r="Q193" s="73" t="str">
        <f t="shared" si="58"/>
        <v/>
      </c>
      <c r="R193" s="73" t="str">
        <f t="shared" si="59"/>
        <v/>
      </c>
      <c r="S193" s="73" t="str">
        <f t="shared" si="59"/>
        <v/>
      </c>
      <c r="T193" s="73" t="str">
        <f t="shared" si="59"/>
        <v/>
      </c>
      <c r="U193" s="73" t="str">
        <f t="shared" si="59"/>
        <v/>
      </c>
      <c r="V193" s="73" t="str">
        <f t="shared" si="59"/>
        <v/>
      </c>
      <c r="W193" s="73" t="str">
        <f t="shared" si="59"/>
        <v/>
      </c>
      <c r="X193" s="73" t="str">
        <f t="shared" si="59"/>
        <v/>
      </c>
      <c r="Y193" s="73" t="str">
        <f t="shared" si="59"/>
        <v/>
      </c>
      <c r="Z193" s="73" t="str">
        <f t="shared" si="59"/>
        <v/>
      </c>
      <c r="AA193" s="73" t="str">
        <f t="shared" si="59"/>
        <v/>
      </c>
      <c r="AB193" s="74" t="str">
        <f t="shared" si="59"/>
        <v/>
      </c>
      <c r="AC193" s="35" t="str">
        <f t="shared" si="46"/>
        <v/>
      </c>
      <c r="AD193" s="40" t="str">
        <f t="shared" si="47"/>
        <v/>
      </c>
      <c r="AE193" s="37" t="str">
        <f t="shared" si="48"/>
        <v/>
      </c>
      <c r="AF193" s="40" t="str">
        <f t="shared" si="49"/>
        <v/>
      </c>
      <c r="AG193" s="37" t="str">
        <f t="shared" si="50"/>
        <v/>
      </c>
      <c r="AH193" s="40" t="str">
        <f t="shared" si="51"/>
        <v/>
      </c>
      <c r="AI193" s="37" t="str">
        <f t="shared" si="52"/>
        <v/>
      </c>
      <c r="AJ193" s="40" t="str">
        <f t="shared" si="53"/>
        <v/>
      </c>
      <c r="AK193" s="33" t="str">
        <f>IF(SEM!AK193="","",SEM!AK193)</f>
        <v/>
      </c>
      <c r="AL193" s="6"/>
      <c r="AM193" s="79" t="str">
        <f t="shared" si="54"/>
        <v/>
      </c>
      <c r="AN193" s="12"/>
      <c r="AO193" s="12"/>
      <c r="AP193" s="14"/>
      <c r="AQ193" s="16"/>
      <c r="AR193" s="15"/>
      <c r="AU193" s="198"/>
      <c r="AV193" s="198"/>
      <c r="AW193" s="198"/>
      <c r="AX193" s="198"/>
    </row>
    <row r="194" spans="2:50" ht="17.25" customHeight="1" x14ac:dyDescent="0.2">
      <c r="B194" s="6"/>
      <c r="C194" s="49" t="str">
        <f>IF(SEM!C194="","",SEM!C194)</f>
        <v/>
      </c>
      <c r="D194" s="220" t="str">
        <f>IF(C194="","",VLOOKUP(SEM!C194,FROTA!$B$5:$C$305,2,0))</f>
        <v/>
      </c>
      <c r="E194" s="24" t="str">
        <f>IF(C194="","",VLOOKUP(C194,FROTA!$B$5:$N$305,7,0))</f>
        <v/>
      </c>
      <c r="F194" s="38" t="str">
        <f t="shared" si="45"/>
        <v/>
      </c>
      <c r="G194" s="71" t="str">
        <f t="shared" si="55"/>
        <v/>
      </c>
      <c r="H194" s="32" t="str">
        <f t="shared" si="56"/>
        <v/>
      </c>
      <c r="I194" s="73" t="str">
        <f t="shared" si="56"/>
        <v/>
      </c>
      <c r="J194" s="73" t="str">
        <f t="shared" si="56"/>
        <v/>
      </c>
      <c r="K194" s="73" t="str">
        <f t="shared" si="58"/>
        <v/>
      </c>
      <c r="L194" s="73" t="str">
        <f t="shared" si="58"/>
        <v/>
      </c>
      <c r="M194" s="73" t="str">
        <f t="shared" si="58"/>
        <v/>
      </c>
      <c r="N194" s="73" t="str">
        <f t="shared" si="58"/>
        <v/>
      </c>
      <c r="O194" s="73" t="str">
        <f t="shared" si="58"/>
        <v/>
      </c>
      <c r="P194" s="73" t="str">
        <f t="shared" si="58"/>
        <v/>
      </c>
      <c r="Q194" s="73" t="str">
        <f t="shared" si="58"/>
        <v/>
      </c>
      <c r="R194" s="73" t="str">
        <f t="shared" si="59"/>
        <v/>
      </c>
      <c r="S194" s="73" t="str">
        <f t="shared" si="59"/>
        <v/>
      </c>
      <c r="T194" s="73" t="str">
        <f t="shared" si="59"/>
        <v/>
      </c>
      <c r="U194" s="73" t="str">
        <f t="shared" si="59"/>
        <v/>
      </c>
      <c r="V194" s="73" t="str">
        <f t="shared" si="59"/>
        <v/>
      </c>
      <c r="W194" s="73" t="str">
        <f t="shared" si="59"/>
        <v/>
      </c>
      <c r="X194" s="73" t="str">
        <f t="shared" si="59"/>
        <v/>
      </c>
      <c r="Y194" s="73" t="str">
        <f t="shared" si="59"/>
        <v/>
      </c>
      <c r="Z194" s="73" t="str">
        <f t="shared" si="59"/>
        <v/>
      </c>
      <c r="AA194" s="73" t="str">
        <f t="shared" si="59"/>
        <v/>
      </c>
      <c r="AB194" s="74" t="str">
        <f t="shared" si="59"/>
        <v/>
      </c>
      <c r="AC194" s="35" t="str">
        <f t="shared" si="46"/>
        <v/>
      </c>
      <c r="AD194" s="40" t="str">
        <f t="shared" si="47"/>
        <v/>
      </c>
      <c r="AE194" s="37" t="str">
        <f t="shared" si="48"/>
        <v/>
      </c>
      <c r="AF194" s="40" t="str">
        <f t="shared" si="49"/>
        <v/>
      </c>
      <c r="AG194" s="37" t="str">
        <f t="shared" si="50"/>
        <v/>
      </c>
      <c r="AH194" s="40" t="str">
        <f t="shared" si="51"/>
        <v/>
      </c>
      <c r="AI194" s="37" t="str">
        <f t="shared" si="52"/>
        <v/>
      </c>
      <c r="AJ194" s="40" t="str">
        <f t="shared" si="53"/>
        <v/>
      </c>
      <c r="AK194" s="33" t="str">
        <f>IF(SEM!AK194="","",SEM!AK194)</f>
        <v/>
      </c>
      <c r="AL194" s="6"/>
      <c r="AM194" s="79" t="str">
        <f t="shared" si="54"/>
        <v/>
      </c>
      <c r="AN194" s="12"/>
      <c r="AO194" s="12"/>
      <c r="AP194" s="14"/>
      <c r="AQ194" s="16"/>
      <c r="AR194" s="15"/>
      <c r="AU194" s="198"/>
      <c r="AV194" s="198"/>
      <c r="AW194" s="198"/>
      <c r="AX194" s="198"/>
    </row>
    <row r="195" spans="2:50" ht="17.25" customHeight="1" x14ac:dyDescent="0.2">
      <c r="B195" s="6"/>
      <c r="C195" s="49" t="str">
        <f>IF(SEM!C195="","",SEM!C195)</f>
        <v/>
      </c>
      <c r="D195" s="220" t="str">
        <f>IF(C195="","",VLOOKUP(SEM!C195,FROTA!$B$5:$C$305,2,0))</f>
        <v/>
      </c>
      <c r="E195" s="24" t="str">
        <f>IF(C195="","",VLOOKUP(C195,FROTA!$B$5:$N$305,7,0))</f>
        <v/>
      </c>
      <c r="F195" s="38" t="str">
        <f t="shared" si="45"/>
        <v/>
      </c>
      <c r="G195" s="71" t="str">
        <f t="shared" si="55"/>
        <v/>
      </c>
      <c r="H195" s="32" t="str">
        <f t="shared" si="56"/>
        <v/>
      </c>
      <c r="I195" s="73" t="str">
        <f t="shared" si="56"/>
        <v/>
      </c>
      <c r="J195" s="73" t="str">
        <f t="shared" si="56"/>
        <v/>
      </c>
      <c r="K195" s="73" t="str">
        <f t="shared" si="58"/>
        <v/>
      </c>
      <c r="L195" s="73" t="str">
        <f t="shared" si="58"/>
        <v/>
      </c>
      <c r="M195" s="73" t="str">
        <f t="shared" si="58"/>
        <v/>
      </c>
      <c r="N195" s="73" t="str">
        <f t="shared" si="58"/>
        <v/>
      </c>
      <c r="O195" s="73" t="str">
        <f t="shared" si="58"/>
        <v/>
      </c>
      <c r="P195" s="73" t="str">
        <f t="shared" si="58"/>
        <v/>
      </c>
      <c r="Q195" s="73" t="str">
        <f t="shared" si="58"/>
        <v/>
      </c>
      <c r="R195" s="73" t="str">
        <f t="shared" si="59"/>
        <v/>
      </c>
      <c r="S195" s="73" t="str">
        <f t="shared" si="59"/>
        <v/>
      </c>
      <c r="T195" s="73" t="str">
        <f t="shared" si="59"/>
        <v/>
      </c>
      <c r="U195" s="73" t="str">
        <f t="shared" si="59"/>
        <v/>
      </c>
      <c r="V195" s="73" t="str">
        <f t="shared" si="59"/>
        <v/>
      </c>
      <c r="W195" s="73" t="str">
        <f t="shared" si="59"/>
        <v/>
      </c>
      <c r="X195" s="73" t="str">
        <f t="shared" si="59"/>
        <v/>
      </c>
      <c r="Y195" s="73" t="str">
        <f t="shared" si="59"/>
        <v/>
      </c>
      <c r="Z195" s="73" t="str">
        <f t="shared" si="59"/>
        <v/>
      </c>
      <c r="AA195" s="73" t="str">
        <f t="shared" si="59"/>
        <v/>
      </c>
      <c r="AB195" s="74" t="str">
        <f t="shared" si="59"/>
        <v/>
      </c>
      <c r="AC195" s="35" t="str">
        <f t="shared" si="46"/>
        <v/>
      </c>
      <c r="AD195" s="40" t="str">
        <f t="shared" si="47"/>
        <v/>
      </c>
      <c r="AE195" s="37" t="str">
        <f t="shared" si="48"/>
        <v/>
      </c>
      <c r="AF195" s="40" t="str">
        <f t="shared" si="49"/>
        <v/>
      </c>
      <c r="AG195" s="37" t="str">
        <f t="shared" si="50"/>
        <v/>
      </c>
      <c r="AH195" s="40" t="str">
        <f t="shared" si="51"/>
        <v/>
      </c>
      <c r="AI195" s="37" t="str">
        <f t="shared" si="52"/>
        <v/>
      </c>
      <c r="AJ195" s="40" t="str">
        <f t="shared" si="53"/>
        <v/>
      </c>
      <c r="AK195" s="33" t="str">
        <f>IF(SEM!AK195="","",SEM!AK195)</f>
        <v/>
      </c>
      <c r="AL195" s="6"/>
      <c r="AM195" s="79" t="str">
        <f t="shared" si="54"/>
        <v/>
      </c>
      <c r="AN195" s="12"/>
      <c r="AO195" s="12"/>
      <c r="AP195" s="14"/>
      <c r="AQ195" s="15"/>
      <c r="AR195" s="15"/>
      <c r="AU195" s="198"/>
      <c r="AV195" s="198"/>
      <c r="AW195" s="198"/>
      <c r="AX195" s="198"/>
    </row>
    <row r="196" spans="2:50" ht="17.25" customHeight="1" x14ac:dyDescent="0.2">
      <c r="B196" s="6"/>
      <c r="C196" s="49" t="str">
        <f>IF(SEM!C196="","",SEM!C196)</f>
        <v/>
      </c>
      <c r="D196" s="220" t="str">
        <f>IF(C196="","",VLOOKUP(SEM!C196,FROTA!$B$5:$C$305,2,0))</f>
        <v/>
      </c>
      <c r="E196" s="24" t="str">
        <f>IF(C196="","",VLOOKUP(C196,FROTA!$B$5:$N$305,7,0))</f>
        <v/>
      </c>
      <c r="F196" s="38" t="str">
        <f t="shared" si="45"/>
        <v/>
      </c>
      <c r="G196" s="71" t="str">
        <f t="shared" si="55"/>
        <v/>
      </c>
      <c r="H196" s="32" t="str">
        <f t="shared" si="56"/>
        <v/>
      </c>
      <c r="I196" s="73" t="str">
        <f t="shared" si="56"/>
        <v/>
      </c>
      <c r="J196" s="73" t="str">
        <f t="shared" si="56"/>
        <v/>
      </c>
      <c r="K196" s="73" t="str">
        <f t="shared" si="58"/>
        <v/>
      </c>
      <c r="L196" s="73" t="str">
        <f t="shared" si="58"/>
        <v/>
      </c>
      <c r="M196" s="73" t="str">
        <f t="shared" si="58"/>
        <v/>
      </c>
      <c r="N196" s="73" t="str">
        <f t="shared" si="58"/>
        <v/>
      </c>
      <c r="O196" s="73" t="str">
        <f t="shared" si="58"/>
        <v/>
      </c>
      <c r="P196" s="73" t="str">
        <f t="shared" si="58"/>
        <v/>
      </c>
      <c r="Q196" s="73" t="str">
        <f t="shared" si="58"/>
        <v/>
      </c>
      <c r="R196" s="73" t="str">
        <f t="shared" si="59"/>
        <v/>
      </c>
      <c r="S196" s="73" t="str">
        <f t="shared" si="59"/>
        <v/>
      </c>
      <c r="T196" s="73" t="str">
        <f t="shared" si="59"/>
        <v/>
      </c>
      <c r="U196" s="73" t="str">
        <f t="shared" si="59"/>
        <v/>
      </c>
      <c r="V196" s="73" t="str">
        <f t="shared" si="59"/>
        <v/>
      </c>
      <c r="W196" s="73" t="str">
        <f t="shared" si="59"/>
        <v/>
      </c>
      <c r="X196" s="73" t="str">
        <f t="shared" si="59"/>
        <v/>
      </c>
      <c r="Y196" s="73" t="str">
        <f t="shared" si="59"/>
        <v/>
      </c>
      <c r="Z196" s="73" t="str">
        <f t="shared" si="59"/>
        <v/>
      </c>
      <c r="AA196" s="73" t="str">
        <f t="shared" si="59"/>
        <v/>
      </c>
      <c r="AB196" s="74" t="str">
        <f t="shared" si="59"/>
        <v/>
      </c>
      <c r="AC196" s="35" t="str">
        <f t="shared" si="46"/>
        <v/>
      </c>
      <c r="AD196" s="40" t="str">
        <f t="shared" si="47"/>
        <v/>
      </c>
      <c r="AE196" s="37" t="str">
        <f t="shared" si="48"/>
        <v/>
      </c>
      <c r="AF196" s="40" t="str">
        <f t="shared" si="49"/>
        <v/>
      </c>
      <c r="AG196" s="37" t="str">
        <f t="shared" si="50"/>
        <v/>
      </c>
      <c r="AH196" s="40" t="str">
        <f t="shared" si="51"/>
        <v/>
      </c>
      <c r="AI196" s="37" t="str">
        <f t="shared" si="52"/>
        <v/>
      </c>
      <c r="AJ196" s="40" t="str">
        <f t="shared" si="53"/>
        <v/>
      </c>
      <c r="AK196" s="33" t="str">
        <f>IF(SEM!AK196="","",SEM!AK196)</f>
        <v/>
      </c>
      <c r="AL196" s="6"/>
      <c r="AM196" s="79" t="str">
        <f t="shared" si="54"/>
        <v/>
      </c>
      <c r="AN196" s="12"/>
      <c r="AO196" s="12"/>
      <c r="AP196" s="14"/>
      <c r="AQ196" s="16"/>
      <c r="AR196" s="15"/>
      <c r="AU196" s="198"/>
      <c r="AV196" s="198"/>
      <c r="AW196" s="198"/>
      <c r="AX196" s="198"/>
    </row>
    <row r="197" spans="2:50" ht="17.25" customHeight="1" x14ac:dyDescent="0.2">
      <c r="B197" s="6"/>
      <c r="C197" s="49" t="str">
        <f>IF(SEM!C197="","",SEM!C197)</f>
        <v/>
      </c>
      <c r="D197" s="220" t="str">
        <f>IF(C197="","",VLOOKUP(SEM!C197,FROTA!$B$5:$C$305,2,0))</f>
        <v/>
      </c>
      <c r="E197" s="24" t="str">
        <f>IF(C197="","",VLOOKUP(C197,FROTA!$B$5:$N$305,7,0))</f>
        <v/>
      </c>
      <c r="F197" s="38" t="str">
        <f t="shared" si="45"/>
        <v/>
      </c>
      <c r="G197" s="71" t="str">
        <f t="shared" si="55"/>
        <v/>
      </c>
      <c r="H197" s="32" t="str">
        <f t="shared" si="56"/>
        <v/>
      </c>
      <c r="I197" s="73" t="str">
        <f t="shared" si="56"/>
        <v/>
      </c>
      <c r="J197" s="73" t="str">
        <f t="shared" si="56"/>
        <v/>
      </c>
      <c r="K197" s="73" t="str">
        <f t="shared" si="58"/>
        <v/>
      </c>
      <c r="L197" s="73" t="str">
        <f t="shared" si="58"/>
        <v/>
      </c>
      <c r="M197" s="73" t="str">
        <f t="shared" si="58"/>
        <v/>
      </c>
      <c r="N197" s="73" t="str">
        <f t="shared" si="58"/>
        <v/>
      </c>
      <c r="O197" s="73" t="str">
        <f t="shared" si="58"/>
        <v/>
      </c>
      <c r="P197" s="73" t="str">
        <f t="shared" si="58"/>
        <v/>
      </c>
      <c r="Q197" s="73" t="str">
        <f t="shared" si="58"/>
        <v/>
      </c>
      <c r="R197" s="73" t="str">
        <f t="shared" si="59"/>
        <v/>
      </c>
      <c r="S197" s="73" t="str">
        <f t="shared" si="59"/>
        <v/>
      </c>
      <c r="T197" s="73" t="str">
        <f t="shared" si="59"/>
        <v/>
      </c>
      <c r="U197" s="73" t="str">
        <f t="shared" si="59"/>
        <v/>
      </c>
      <c r="V197" s="73" t="str">
        <f t="shared" si="59"/>
        <v/>
      </c>
      <c r="W197" s="73" t="str">
        <f t="shared" si="59"/>
        <v/>
      </c>
      <c r="X197" s="73" t="str">
        <f t="shared" si="59"/>
        <v/>
      </c>
      <c r="Y197" s="73" t="str">
        <f t="shared" si="59"/>
        <v/>
      </c>
      <c r="Z197" s="73" t="str">
        <f t="shared" si="59"/>
        <v/>
      </c>
      <c r="AA197" s="73" t="str">
        <f t="shared" si="59"/>
        <v/>
      </c>
      <c r="AB197" s="74" t="str">
        <f t="shared" si="59"/>
        <v/>
      </c>
      <c r="AC197" s="35" t="str">
        <f t="shared" si="46"/>
        <v/>
      </c>
      <c r="AD197" s="40" t="str">
        <f t="shared" si="47"/>
        <v/>
      </c>
      <c r="AE197" s="37" t="str">
        <f t="shared" si="48"/>
        <v/>
      </c>
      <c r="AF197" s="40" t="str">
        <f t="shared" si="49"/>
        <v/>
      </c>
      <c r="AG197" s="37" t="str">
        <f t="shared" si="50"/>
        <v/>
      </c>
      <c r="AH197" s="40" t="str">
        <f t="shared" si="51"/>
        <v/>
      </c>
      <c r="AI197" s="37" t="str">
        <f t="shared" si="52"/>
        <v/>
      </c>
      <c r="AJ197" s="40" t="str">
        <f t="shared" si="53"/>
        <v/>
      </c>
      <c r="AK197" s="33" t="str">
        <f>IF(SEM!AK197="","",SEM!AK197)</f>
        <v/>
      </c>
      <c r="AL197" s="6"/>
      <c r="AM197" s="79" t="str">
        <f t="shared" si="54"/>
        <v/>
      </c>
      <c r="AN197" s="12"/>
      <c r="AO197" s="12"/>
      <c r="AP197" s="14"/>
      <c r="AQ197" s="15"/>
      <c r="AR197" s="15"/>
      <c r="AU197" s="198"/>
      <c r="AV197" s="198"/>
      <c r="AW197" s="198"/>
      <c r="AX197" s="198"/>
    </row>
    <row r="198" spans="2:50" ht="17.25" customHeight="1" x14ac:dyDescent="0.2">
      <c r="B198" s="6"/>
      <c r="C198" s="49" t="str">
        <f>IF(SEM!C198="","",SEM!C198)</f>
        <v/>
      </c>
      <c r="D198" s="220" t="str">
        <f>IF(C198="","",VLOOKUP(SEM!C198,FROTA!$B$5:$C$305,2,0))</f>
        <v/>
      </c>
      <c r="E198" s="24" t="str">
        <f>IF(C198="","",VLOOKUP(C198,FROTA!$B$5:$N$305,7,0))</f>
        <v/>
      </c>
      <c r="F198" s="38" t="str">
        <f t="shared" si="45"/>
        <v/>
      </c>
      <c r="G198" s="71" t="str">
        <f t="shared" si="55"/>
        <v/>
      </c>
      <c r="H198" s="32" t="str">
        <f t="shared" si="56"/>
        <v/>
      </c>
      <c r="I198" s="73" t="str">
        <f t="shared" si="56"/>
        <v/>
      </c>
      <c r="J198" s="73" t="str">
        <f t="shared" si="56"/>
        <v/>
      </c>
      <c r="K198" s="73" t="str">
        <f t="shared" si="58"/>
        <v/>
      </c>
      <c r="L198" s="73" t="str">
        <f t="shared" si="58"/>
        <v/>
      </c>
      <c r="M198" s="73" t="str">
        <f t="shared" si="58"/>
        <v/>
      </c>
      <c r="N198" s="73" t="str">
        <f t="shared" si="58"/>
        <v/>
      </c>
      <c r="O198" s="73" t="str">
        <f t="shared" si="58"/>
        <v/>
      </c>
      <c r="P198" s="73" t="str">
        <f t="shared" si="58"/>
        <v/>
      </c>
      <c r="Q198" s="73" t="str">
        <f t="shared" si="58"/>
        <v/>
      </c>
      <c r="R198" s="73" t="str">
        <f t="shared" si="59"/>
        <v/>
      </c>
      <c r="S198" s="73" t="str">
        <f t="shared" si="59"/>
        <v/>
      </c>
      <c r="T198" s="73" t="str">
        <f t="shared" si="59"/>
        <v/>
      </c>
      <c r="U198" s="73" t="str">
        <f t="shared" si="59"/>
        <v/>
      </c>
      <c r="V198" s="73" t="str">
        <f t="shared" si="59"/>
        <v/>
      </c>
      <c r="W198" s="73" t="str">
        <f t="shared" si="59"/>
        <v/>
      </c>
      <c r="X198" s="73" t="str">
        <f t="shared" si="59"/>
        <v/>
      </c>
      <c r="Y198" s="73" t="str">
        <f t="shared" si="59"/>
        <v/>
      </c>
      <c r="Z198" s="73" t="str">
        <f t="shared" si="59"/>
        <v/>
      </c>
      <c r="AA198" s="73" t="str">
        <f t="shared" si="59"/>
        <v/>
      </c>
      <c r="AB198" s="74" t="str">
        <f t="shared" si="59"/>
        <v/>
      </c>
      <c r="AC198" s="35" t="str">
        <f t="shared" si="46"/>
        <v/>
      </c>
      <c r="AD198" s="40" t="str">
        <f t="shared" si="47"/>
        <v/>
      </c>
      <c r="AE198" s="37" t="str">
        <f t="shared" si="48"/>
        <v/>
      </c>
      <c r="AF198" s="40" t="str">
        <f t="shared" si="49"/>
        <v/>
      </c>
      <c r="AG198" s="37" t="str">
        <f t="shared" si="50"/>
        <v/>
      </c>
      <c r="AH198" s="40" t="str">
        <f t="shared" si="51"/>
        <v/>
      </c>
      <c r="AI198" s="37" t="str">
        <f t="shared" si="52"/>
        <v/>
      </c>
      <c r="AJ198" s="40" t="str">
        <f t="shared" si="53"/>
        <v/>
      </c>
      <c r="AK198" s="33" t="str">
        <f>IF(SEM!AK198="","",SEM!AK198)</f>
        <v/>
      </c>
      <c r="AL198" s="6"/>
      <c r="AM198" s="79" t="str">
        <f t="shared" si="54"/>
        <v/>
      </c>
      <c r="AN198" s="12"/>
      <c r="AO198" s="12"/>
      <c r="AP198" s="14"/>
      <c r="AQ198" s="14"/>
      <c r="AR198" s="15"/>
      <c r="AU198" s="198"/>
      <c r="AV198" s="198"/>
      <c r="AW198" s="198"/>
      <c r="AX198" s="198"/>
    </row>
    <row r="199" spans="2:50" ht="17.25" customHeight="1" x14ac:dyDescent="0.2">
      <c r="B199" s="6"/>
      <c r="C199" s="49" t="str">
        <f>IF(SEM!C199="","",SEM!C199)</f>
        <v/>
      </c>
      <c r="D199" s="220" t="str">
        <f>IF(C199="","",VLOOKUP(SEM!C199,FROTA!$B$5:$C$305,2,0))</f>
        <v/>
      </c>
      <c r="E199" s="24" t="str">
        <f>IF(C199="","",VLOOKUP(C199,FROTA!$B$5:$N$305,7,0))</f>
        <v/>
      </c>
      <c r="F199" s="38" t="str">
        <f t="shared" ref="F199:F262" si="60">IF(E199="","",VLOOKUP(E199,$AP$5:$AQ$18,2,0))</f>
        <v/>
      </c>
      <c r="G199" s="71" t="str">
        <f t="shared" si="55"/>
        <v/>
      </c>
      <c r="H199" s="32" t="str">
        <f t="shared" si="56"/>
        <v/>
      </c>
      <c r="I199" s="73" t="str">
        <f t="shared" si="56"/>
        <v/>
      </c>
      <c r="J199" s="73" t="str">
        <f t="shared" si="56"/>
        <v/>
      </c>
      <c r="K199" s="73" t="str">
        <f t="shared" si="58"/>
        <v/>
      </c>
      <c r="L199" s="73" t="str">
        <f t="shared" si="58"/>
        <v/>
      </c>
      <c r="M199" s="73" t="str">
        <f t="shared" si="58"/>
        <v/>
      </c>
      <c r="N199" s="73" t="str">
        <f t="shared" si="58"/>
        <v/>
      </c>
      <c r="O199" s="73" t="str">
        <f t="shared" si="58"/>
        <v/>
      </c>
      <c r="P199" s="73" t="str">
        <f t="shared" si="58"/>
        <v/>
      </c>
      <c r="Q199" s="73" t="str">
        <f t="shared" si="58"/>
        <v/>
      </c>
      <c r="R199" s="73" t="str">
        <f t="shared" si="59"/>
        <v/>
      </c>
      <c r="S199" s="73" t="str">
        <f t="shared" si="59"/>
        <v/>
      </c>
      <c r="T199" s="73" t="str">
        <f t="shared" si="59"/>
        <v/>
      </c>
      <c r="U199" s="73" t="str">
        <f t="shared" si="59"/>
        <v/>
      </c>
      <c r="V199" s="73" t="str">
        <f t="shared" si="59"/>
        <v/>
      </c>
      <c r="W199" s="73" t="str">
        <f t="shared" si="59"/>
        <v/>
      </c>
      <c r="X199" s="73" t="str">
        <f t="shared" si="59"/>
        <v/>
      </c>
      <c r="Y199" s="73" t="str">
        <f t="shared" si="59"/>
        <v/>
      </c>
      <c r="Z199" s="73" t="str">
        <f t="shared" si="59"/>
        <v/>
      </c>
      <c r="AA199" s="73" t="str">
        <f t="shared" si="59"/>
        <v/>
      </c>
      <c r="AB199" s="74" t="str">
        <f t="shared" si="59"/>
        <v/>
      </c>
      <c r="AC199" s="35" t="str">
        <f t="shared" ref="AC199:AC204" si="61">IF(C199="","",SUM(H199:AB199)*AK199)</f>
        <v/>
      </c>
      <c r="AD199" s="40" t="str">
        <f t="shared" ref="AD199:AD204" si="62">IF(C199="","",SUM(H199:AB199))</f>
        <v/>
      </c>
      <c r="AE199" s="37" t="str">
        <f t="shared" ref="AE199:AE204" si="63">IF(C199="","",SUM(H199:R199)*AK199)</f>
        <v/>
      </c>
      <c r="AF199" s="40" t="str">
        <f t="shared" ref="AF199:AF204" si="64">IF(C199="","",SUM(H199:Q199))</f>
        <v/>
      </c>
      <c r="AG199" s="37" t="str">
        <f t="shared" ref="AG199:AG204" si="65">IF(C199="","",SUM(R199:AB199)*AK199)</f>
        <v/>
      </c>
      <c r="AH199" s="40" t="str">
        <f t="shared" ref="AH199:AH204" si="66">IF(C199="","",SUM(R199:AB199))</f>
        <v/>
      </c>
      <c r="AI199" s="37" t="str">
        <f t="shared" ref="AI199:AI204" si="67">IF(C199="","",SUM(J199:M199,T199:W199)*AK199)</f>
        <v/>
      </c>
      <c r="AJ199" s="40" t="str">
        <f t="shared" ref="AJ199:AJ204" si="68">IF(C199="","",SUM(J199:M199,T199:W199))</f>
        <v/>
      </c>
      <c r="AK199" s="33" t="str">
        <f>IF(SEM!AK199="","",SEM!AK199)</f>
        <v/>
      </c>
      <c r="AL199" s="6"/>
      <c r="AM199" s="79" t="str">
        <f t="shared" ref="AM199:AM262" si="69">IF(C199="","",SUM(H199:AB199))</f>
        <v/>
      </c>
      <c r="AN199" s="12"/>
      <c r="AO199" s="12"/>
      <c r="AP199" s="14"/>
      <c r="AQ199" s="14"/>
      <c r="AR199" s="15"/>
      <c r="AU199" s="198"/>
      <c r="AV199" s="198"/>
      <c r="AW199" s="198"/>
      <c r="AX199" s="198"/>
    </row>
    <row r="200" spans="2:50" ht="17.25" customHeight="1" x14ac:dyDescent="0.2">
      <c r="B200" s="6"/>
      <c r="C200" s="49" t="str">
        <f>IF(SEM!C200="","",SEM!C200)</f>
        <v/>
      </c>
      <c r="D200" s="220" t="str">
        <f>IF(C200="","",VLOOKUP(SEM!C200,FROTA!$B$5:$C$305,2,0))</f>
        <v/>
      </c>
      <c r="E200" s="24" t="str">
        <f>IF(C200="","",VLOOKUP(C200,FROTA!$B$5:$N$305,7,0))</f>
        <v/>
      </c>
      <c r="F200" s="38" t="str">
        <f t="shared" si="60"/>
        <v/>
      </c>
      <c r="G200" s="71" t="str">
        <f t="shared" si="55"/>
        <v/>
      </c>
      <c r="H200" s="32" t="str">
        <f t="shared" si="56"/>
        <v/>
      </c>
      <c r="I200" s="73" t="str">
        <f t="shared" si="56"/>
        <v/>
      </c>
      <c r="J200" s="73" t="str">
        <f t="shared" si="56"/>
        <v/>
      </c>
      <c r="K200" s="73" t="str">
        <f t="shared" si="58"/>
        <v/>
      </c>
      <c r="L200" s="73" t="str">
        <f t="shared" si="58"/>
        <v/>
      </c>
      <c r="M200" s="73" t="str">
        <f t="shared" si="58"/>
        <v/>
      </c>
      <c r="N200" s="73" t="str">
        <f t="shared" si="58"/>
        <v/>
      </c>
      <c r="O200" s="73" t="str">
        <f t="shared" si="58"/>
        <v/>
      </c>
      <c r="P200" s="73" t="str">
        <f t="shared" si="58"/>
        <v/>
      </c>
      <c r="Q200" s="73" t="str">
        <f t="shared" si="58"/>
        <v/>
      </c>
      <c r="R200" s="73" t="str">
        <f t="shared" si="59"/>
        <v/>
      </c>
      <c r="S200" s="73" t="str">
        <f t="shared" si="59"/>
        <v/>
      </c>
      <c r="T200" s="73" t="str">
        <f t="shared" si="59"/>
        <v/>
      </c>
      <c r="U200" s="73" t="str">
        <f t="shared" si="59"/>
        <v/>
      </c>
      <c r="V200" s="73" t="str">
        <f t="shared" si="59"/>
        <v/>
      </c>
      <c r="W200" s="73" t="str">
        <f t="shared" si="59"/>
        <v/>
      </c>
      <c r="X200" s="73" t="str">
        <f t="shared" si="59"/>
        <v/>
      </c>
      <c r="Y200" s="73" t="str">
        <f t="shared" si="59"/>
        <v/>
      </c>
      <c r="Z200" s="73" t="str">
        <f t="shared" si="59"/>
        <v/>
      </c>
      <c r="AA200" s="73" t="str">
        <f t="shared" si="59"/>
        <v/>
      </c>
      <c r="AB200" s="74" t="str">
        <f t="shared" si="59"/>
        <v/>
      </c>
      <c r="AC200" s="35" t="str">
        <f t="shared" si="61"/>
        <v/>
      </c>
      <c r="AD200" s="40" t="str">
        <f t="shared" si="62"/>
        <v/>
      </c>
      <c r="AE200" s="37" t="str">
        <f t="shared" si="63"/>
        <v/>
      </c>
      <c r="AF200" s="40" t="str">
        <f t="shared" si="64"/>
        <v/>
      </c>
      <c r="AG200" s="37" t="str">
        <f t="shared" si="65"/>
        <v/>
      </c>
      <c r="AH200" s="40" t="str">
        <f t="shared" si="66"/>
        <v/>
      </c>
      <c r="AI200" s="37" t="str">
        <f t="shared" si="67"/>
        <v/>
      </c>
      <c r="AJ200" s="40" t="str">
        <f t="shared" si="68"/>
        <v/>
      </c>
      <c r="AK200" s="33" t="str">
        <f>IF(SEM!AK200="","",SEM!AK200)</f>
        <v/>
      </c>
      <c r="AL200" s="6"/>
      <c r="AM200" s="79" t="str">
        <f t="shared" si="69"/>
        <v/>
      </c>
      <c r="AN200" s="12"/>
      <c r="AO200" s="12"/>
      <c r="AP200" s="14"/>
      <c r="AQ200" s="14"/>
      <c r="AR200" s="15"/>
      <c r="AU200" s="198"/>
      <c r="AV200" s="198"/>
      <c r="AW200" s="198"/>
      <c r="AX200" s="198"/>
    </row>
    <row r="201" spans="2:50" ht="17.25" customHeight="1" x14ac:dyDescent="0.2">
      <c r="B201" s="6"/>
      <c r="C201" s="49" t="str">
        <f>IF(SEM!C201="","",SEM!C201)</f>
        <v/>
      </c>
      <c r="D201" s="220" t="str">
        <f>IF(C201="","",VLOOKUP(SEM!C201,FROTA!$B$5:$C$305,2,0))</f>
        <v/>
      </c>
      <c r="E201" s="24" t="str">
        <f>IF(C201="","",VLOOKUP(C201,FROTA!$B$5:$N$305,7,0))</f>
        <v/>
      </c>
      <c r="F201" s="38" t="str">
        <f t="shared" si="60"/>
        <v/>
      </c>
      <c r="G201" s="71" t="str">
        <f t="shared" ref="G201:G264" si="70">IF(C201="","",F201/$F$307)</f>
        <v/>
      </c>
      <c r="H201" s="32" t="str">
        <f t="shared" si="56"/>
        <v/>
      </c>
      <c r="I201" s="73" t="str">
        <f t="shared" si="56"/>
        <v/>
      </c>
      <c r="J201" s="73" t="str">
        <f t="shared" si="56"/>
        <v/>
      </c>
      <c r="K201" s="73" t="str">
        <f t="shared" si="58"/>
        <v/>
      </c>
      <c r="L201" s="73" t="str">
        <f t="shared" si="58"/>
        <v/>
      </c>
      <c r="M201" s="73" t="str">
        <f t="shared" si="58"/>
        <v/>
      </c>
      <c r="N201" s="73" t="str">
        <f t="shared" si="58"/>
        <v/>
      </c>
      <c r="O201" s="73" t="str">
        <f t="shared" si="58"/>
        <v/>
      </c>
      <c r="P201" s="73" t="str">
        <f t="shared" si="58"/>
        <v/>
      </c>
      <c r="Q201" s="73" t="str">
        <f t="shared" si="58"/>
        <v/>
      </c>
      <c r="R201" s="73" t="str">
        <f t="shared" si="59"/>
        <v/>
      </c>
      <c r="S201" s="73" t="str">
        <f t="shared" si="59"/>
        <v/>
      </c>
      <c r="T201" s="73" t="str">
        <f t="shared" si="59"/>
        <v/>
      </c>
      <c r="U201" s="73" t="str">
        <f t="shared" si="59"/>
        <v/>
      </c>
      <c r="V201" s="73" t="str">
        <f t="shared" si="59"/>
        <v/>
      </c>
      <c r="W201" s="73" t="str">
        <f t="shared" si="59"/>
        <v/>
      </c>
      <c r="X201" s="73" t="str">
        <f t="shared" si="59"/>
        <v/>
      </c>
      <c r="Y201" s="73" t="str">
        <f t="shared" ref="R201:AB224" si="71">IF($C201="","",IF(SUM(Y$307*$G201)&gt;$F201,$F201,SUM(Y$307*$G201)))</f>
        <v/>
      </c>
      <c r="Z201" s="73" t="str">
        <f t="shared" si="71"/>
        <v/>
      </c>
      <c r="AA201" s="73" t="str">
        <f t="shared" si="71"/>
        <v/>
      </c>
      <c r="AB201" s="74" t="str">
        <f t="shared" si="71"/>
        <v/>
      </c>
      <c r="AC201" s="35" t="str">
        <f t="shared" si="61"/>
        <v/>
      </c>
      <c r="AD201" s="40" t="str">
        <f t="shared" si="62"/>
        <v/>
      </c>
      <c r="AE201" s="37" t="str">
        <f t="shared" si="63"/>
        <v/>
      </c>
      <c r="AF201" s="40" t="str">
        <f t="shared" si="64"/>
        <v/>
      </c>
      <c r="AG201" s="37" t="str">
        <f t="shared" si="65"/>
        <v/>
      </c>
      <c r="AH201" s="40" t="str">
        <f t="shared" si="66"/>
        <v/>
      </c>
      <c r="AI201" s="37" t="str">
        <f t="shared" si="67"/>
        <v/>
      </c>
      <c r="AJ201" s="40" t="str">
        <f t="shared" si="68"/>
        <v/>
      </c>
      <c r="AK201" s="33" t="str">
        <f>IF(SEM!AK201="","",SEM!AK201)</f>
        <v/>
      </c>
      <c r="AL201" s="6"/>
      <c r="AM201" s="79" t="str">
        <f t="shared" si="69"/>
        <v/>
      </c>
      <c r="AN201" s="12"/>
      <c r="AO201" s="12"/>
      <c r="AP201" s="14"/>
      <c r="AQ201" s="14"/>
      <c r="AR201" s="15"/>
      <c r="AU201" s="198"/>
      <c r="AV201" s="198"/>
      <c r="AW201" s="198"/>
      <c r="AX201" s="198"/>
    </row>
    <row r="202" spans="2:50" ht="17.25" customHeight="1" x14ac:dyDescent="0.2">
      <c r="B202" s="6"/>
      <c r="C202" s="49" t="str">
        <f>IF(SEM!C202="","",SEM!C202)</f>
        <v/>
      </c>
      <c r="D202" s="220" t="str">
        <f>IF(C202="","",VLOOKUP(SEM!C202,FROTA!$B$5:$C$305,2,0))</f>
        <v/>
      </c>
      <c r="E202" s="24" t="str">
        <f>IF(C202="","",VLOOKUP(C202,FROTA!$B$5:$N$305,7,0))</f>
        <v/>
      </c>
      <c r="F202" s="38" t="str">
        <f t="shared" si="60"/>
        <v/>
      </c>
      <c r="G202" s="71" t="str">
        <f t="shared" si="70"/>
        <v/>
      </c>
      <c r="H202" s="32" t="str">
        <f t="shared" si="56"/>
        <v/>
      </c>
      <c r="I202" s="73" t="str">
        <f t="shared" si="56"/>
        <v/>
      </c>
      <c r="J202" s="73" t="str">
        <f t="shared" si="56"/>
        <v/>
      </c>
      <c r="K202" s="73" t="str">
        <f t="shared" si="58"/>
        <v/>
      </c>
      <c r="L202" s="73" t="str">
        <f t="shared" si="58"/>
        <v/>
      </c>
      <c r="M202" s="73" t="str">
        <f t="shared" si="58"/>
        <v/>
      </c>
      <c r="N202" s="73" t="str">
        <f t="shared" si="58"/>
        <v/>
      </c>
      <c r="O202" s="73" t="str">
        <f t="shared" si="58"/>
        <v/>
      </c>
      <c r="P202" s="73" t="str">
        <f t="shared" si="58"/>
        <v/>
      </c>
      <c r="Q202" s="73" t="str">
        <f t="shared" si="58"/>
        <v/>
      </c>
      <c r="R202" s="73" t="str">
        <f t="shared" si="71"/>
        <v/>
      </c>
      <c r="S202" s="73" t="str">
        <f t="shared" si="71"/>
        <v/>
      </c>
      <c r="T202" s="73" t="str">
        <f t="shared" si="71"/>
        <v/>
      </c>
      <c r="U202" s="73" t="str">
        <f t="shared" si="71"/>
        <v/>
      </c>
      <c r="V202" s="73" t="str">
        <f t="shared" si="71"/>
        <v/>
      </c>
      <c r="W202" s="73" t="str">
        <f t="shared" si="71"/>
        <v/>
      </c>
      <c r="X202" s="73" t="str">
        <f t="shared" si="71"/>
        <v/>
      </c>
      <c r="Y202" s="73" t="str">
        <f t="shared" si="71"/>
        <v/>
      </c>
      <c r="Z202" s="73" t="str">
        <f t="shared" si="71"/>
        <v/>
      </c>
      <c r="AA202" s="73" t="str">
        <f t="shared" si="71"/>
        <v/>
      </c>
      <c r="AB202" s="74" t="str">
        <f t="shared" si="71"/>
        <v/>
      </c>
      <c r="AC202" s="35" t="str">
        <f t="shared" si="61"/>
        <v/>
      </c>
      <c r="AD202" s="40" t="str">
        <f t="shared" si="62"/>
        <v/>
      </c>
      <c r="AE202" s="37" t="str">
        <f t="shared" si="63"/>
        <v/>
      </c>
      <c r="AF202" s="40" t="str">
        <f t="shared" si="64"/>
        <v/>
      </c>
      <c r="AG202" s="37" t="str">
        <f t="shared" si="65"/>
        <v/>
      </c>
      <c r="AH202" s="40" t="str">
        <f t="shared" si="66"/>
        <v/>
      </c>
      <c r="AI202" s="37" t="str">
        <f t="shared" si="67"/>
        <v/>
      </c>
      <c r="AJ202" s="40" t="str">
        <f t="shared" si="68"/>
        <v/>
      </c>
      <c r="AK202" s="33" t="str">
        <f>IF(SEM!AK202="","",SEM!AK202)</f>
        <v/>
      </c>
      <c r="AL202" s="6"/>
      <c r="AM202" s="79" t="str">
        <f t="shared" si="69"/>
        <v/>
      </c>
      <c r="AN202" s="12"/>
      <c r="AO202" s="12"/>
      <c r="AP202" s="14"/>
      <c r="AQ202" s="14"/>
      <c r="AR202" s="15"/>
      <c r="AU202" s="198"/>
      <c r="AV202" s="198"/>
      <c r="AW202" s="198"/>
      <c r="AX202" s="198"/>
    </row>
    <row r="203" spans="2:50" ht="17.25" customHeight="1" x14ac:dyDescent="0.2">
      <c r="B203" s="6"/>
      <c r="C203" s="49" t="str">
        <f>IF(SEM!C203="","",SEM!C203)</f>
        <v/>
      </c>
      <c r="D203" s="220" t="str">
        <f>IF(C203="","",VLOOKUP(SEM!C203,FROTA!$B$5:$C$305,2,0))</f>
        <v/>
      </c>
      <c r="E203" s="24" t="str">
        <f>IF(C203="","",VLOOKUP(C203,FROTA!$B$5:$N$305,7,0))</f>
        <v/>
      </c>
      <c r="F203" s="38" t="str">
        <f t="shared" si="60"/>
        <v/>
      </c>
      <c r="G203" s="71" t="str">
        <f t="shared" si="70"/>
        <v/>
      </c>
      <c r="H203" s="32" t="str">
        <f t="shared" si="56"/>
        <v/>
      </c>
      <c r="I203" s="73" t="str">
        <f t="shared" si="56"/>
        <v/>
      </c>
      <c r="J203" s="73" t="str">
        <f t="shared" si="56"/>
        <v/>
      </c>
      <c r="K203" s="73" t="str">
        <f t="shared" si="58"/>
        <v/>
      </c>
      <c r="L203" s="73" t="str">
        <f t="shared" si="58"/>
        <v/>
      </c>
      <c r="M203" s="73" t="str">
        <f t="shared" si="58"/>
        <v/>
      </c>
      <c r="N203" s="73" t="str">
        <f t="shared" si="58"/>
        <v/>
      </c>
      <c r="O203" s="73" t="str">
        <f t="shared" si="58"/>
        <v/>
      </c>
      <c r="P203" s="73" t="str">
        <f t="shared" si="58"/>
        <v/>
      </c>
      <c r="Q203" s="73" t="str">
        <f t="shared" si="58"/>
        <v/>
      </c>
      <c r="R203" s="73" t="str">
        <f t="shared" si="71"/>
        <v/>
      </c>
      <c r="S203" s="73" t="str">
        <f t="shared" si="71"/>
        <v/>
      </c>
      <c r="T203" s="73" t="str">
        <f t="shared" si="71"/>
        <v/>
      </c>
      <c r="U203" s="73" t="str">
        <f t="shared" si="71"/>
        <v/>
      </c>
      <c r="V203" s="73" t="str">
        <f t="shared" si="71"/>
        <v/>
      </c>
      <c r="W203" s="73" t="str">
        <f t="shared" si="71"/>
        <v/>
      </c>
      <c r="X203" s="73" t="str">
        <f t="shared" si="71"/>
        <v/>
      </c>
      <c r="Y203" s="73" t="str">
        <f t="shared" si="71"/>
        <v/>
      </c>
      <c r="Z203" s="73" t="str">
        <f t="shared" si="71"/>
        <v/>
      </c>
      <c r="AA203" s="73" t="str">
        <f t="shared" si="71"/>
        <v/>
      </c>
      <c r="AB203" s="74" t="str">
        <f t="shared" si="71"/>
        <v/>
      </c>
      <c r="AC203" s="35" t="str">
        <f t="shared" si="61"/>
        <v/>
      </c>
      <c r="AD203" s="40" t="str">
        <f t="shared" si="62"/>
        <v/>
      </c>
      <c r="AE203" s="37" t="str">
        <f t="shared" si="63"/>
        <v/>
      </c>
      <c r="AF203" s="40" t="str">
        <f t="shared" si="64"/>
        <v/>
      </c>
      <c r="AG203" s="37" t="str">
        <f t="shared" si="65"/>
        <v/>
      </c>
      <c r="AH203" s="40" t="str">
        <f t="shared" si="66"/>
        <v/>
      </c>
      <c r="AI203" s="37" t="str">
        <f t="shared" si="67"/>
        <v/>
      </c>
      <c r="AJ203" s="40" t="str">
        <f t="shared" si="68"/>
        <v/>
      </c>
      <c r="AK203" s="33" t="str">
        <f>IF(SEM!AK203="","",SEM!AK203)</f>
        <v/>
      </c>
      <c r="AL203" s="6"/>
      <c r="AM203" s="79" t="str">
        <f t="shared" si="69"/>
        <v/>
      </c>
      <c r="AN203" s="12"/>
      <c r="AO203" s="12"/>
      <c r="AP203" s="14"/>
      <c r="AQ203" s="14"/>
      <c r="AR203" s="15"/>
      <c r="AU203" s="198"/>
      <c r="AV203" s="198"/>
      <c r="AW203" s="198"/>
      <c r="AX203" s="198"/>
    </row>
    <row r="204" spans="2:50" ht="17.25" customHeight="1" x14ac:dyDescent="0.2">
      <c r="B204" s="6"/>
      <c r="C204" s="49" t="str">
        <f>IF(SEM!C204="","",SEM!C204)</f>
        <v/>
      </c>
      <c r="D204" s="220" t="str">
        <f>IF(C204="","",VLOOKUP(SEM!C204,FROTA!$B$5:$C$305,2,0))</f>
        <v/>
      </c>
      <c r="E204" s="24" t="str">
        <f>IF(C204="","",VLOOKUP(C204,FROTA!$B$5:$N$305,7,0))</f>
        <v/>
      </c>
      <c r="F204" s="38" t="str">
        <f t="shared" si="60"/>
        <v/>
      </c>
      <c r="G204" s="71" t="str">
        <f t="shared" si="70"/>
        <v/>
      </c>
      <c r="H204" s="32" t="str">
        <f t="shared" si="56"/>
        <v/>
      </c>
      <c r="I204" s="73" t="str">
        <f t="shared" si="56"/>
        <v/>
      </c>
      <c r="J204" s="73" t="str">
        <f t="shared" si="56"/>
        <v/>
      </c>
      <c r="K204" s="73" t="str">
        <f t="shared" si="58"/>
        <v/>
      </c>
      <c r="L204" s="73" t="str">
        <f t="shared" ref="K204:Q240" si="72">IF($C204="","",IF(SUM(L$307*$G204)&gt;$F204,$F204,SUM(L$307*$G204)))</f>
        <v/>
      </c>
      <c r="M204" s="73" t="str">
        <f t="shared" si="72"/>
        <v/>
      </c>
      <c r="N204" s="73" t="str">
        <f t="shared" si="72"/>
        <v/>
      </c>
      <c r="O204" s="73" t="str">
        <f t="shared" si="72"/>
        <v/>
      </c>
      <c r="P204" s="73" t="str">
        <f t="shared" si="72"/>
        <v/>
      </c>
      <c r="Q204" s="73" t="str">
        <f t="shared" si="72"/>
        <v/>
      </c>
      <c r="R204" s="73" t="str">
        <f t="shared" si="71"/>
        <v/>
      </c>
      <c r="S204" s="73" t="str">
        <f t="shared" si="71"/>
        <v/>
      </c>
      <c r="T204" s="73" t="str">
        <f t="shared" si="71"/>
        <v/>
      </c>
      <c r="U204" s="73" t="str">
        <f t="shared" si="71"/>
        <v/>
      </c>
      <c r="V204" s="73" t="str">
        <f t="shared" si="71"/>
        <v/>
      </c>
      <c r="W204" s="73" t="str">
        <f t="shared" si="71"/>
        <v/>
      </c>
      <c r="X204" s="73" t="str">
        <f t="shared" si="71"/>
        <v/>
      </c>
      <c r="Y204" s="73" t="str">
        <f t="shared" si="71"/>
        <v/>
      </c>
      <c r="Z204" s="73" t="str">
        <f t="shared" si="71"/>
        <v/>
      </c>
      <c r="AA204" s="73" t="str">
        <f t="shared" si="71"/>
        <v/>
      </c>
      <c r="AB204" s="74" t="str">
        <f t="shared" si="71"/>
        <v/>
      </c>
      <c r="AC204" s="35" t="str">
        <f t="shared" si="61"/>
        <v/>
      </c>
      <c r="AD204" s="40" t="str">
        <f t="shared" si="62"/>
        <v/>
      </c>
      <c r="AE204" s="37" t="str">
        <f t="shared" si="63"/>
        <v/>
      </c>
      <c r="AF204" s="40" t="str">
        <f t="shared" si="64"/>
        <v/>
      </c>
      <c r="AG204" s="37" t="str">
        <f t="shared" si="65"/>
        <v/>
      </c>
      <c r="AH204" s="40" t="str">
        <f t="shared" si="66"/>
        <v/>
      </c>
      <c r="AI204" s="37" t="str">
        <f t="shared" si="67"/>
        <v/>
      </c>
      <c r="AJ204" s="40" t="str">
        <f t="shared" si="68"/>
        <v/>
      </c>
      <c r="AK204" s="33" t="str">
        <f>IF(SEM!AK204="","",SEM!AK204)</f>
        <v/>
      </c>
      <c r="AL204" s="6"/>
      <c r="AM204" s="79" t="str">
        <f t="shared" si="69"/>
        <v/>
      </c>
      <c r="AR204" s="5"/>
      <c r="AU204" s="198"/>
      <c r="AV204" s="198"/>
      <c r="AW204" s="198"/>
      <c r="AX204" s="198"/>
    </row>
    <row r="205" spans="2:50" ht="17.25" customHeight="1" x14ac:dyDescent="0.2">
      <c r="B205" s="6"/>
      <c r="C205" s="49" t="str">
        <f>IF(SEM!C205="","",SEM!C205)</f>
        <v/>
      </c>
      <c r="D205" s="220" t="str">
        <f>IF(C205="","",VLOOKUP(SEM!C205,FROTA!$B$5:$C$305,2,0))</f>
        <v/>
      </c>
      <c r="E205" s="24" t="str">
        <f>IF(C205="","",VLOOKUP(C205,FROTA!$B$5:$N$305,7,0))</f>
        <v/>
      </c>
      <c r="F205" s="38" t="str">
        <f t="shared" si="60"/>
        <v/>
      </c>
      <c r="G205" s="71" t="str">
        <f t="shared" si="70"/>
        <v/>
      </c>
      <c r="H205" s="32" t="str">
        <f t="shared" si="56"/>
        <v/>
      </c>
      <c r="I205" s="73" t="str">
        <f t="shared" si="56"/>
        <v/>
      </c>
      <c r="J205" s="73" t="str">
        <f t="shared" si="56"/>
        <v/>
      </c>
      <c r="K205" s="73" t="str">
        <f t="shared" si="72"/>
        <v/>
      </c>
      <c r="L205" s="73" t="str">
        <f t="shared" si="72"/>
        <v/>
      </c>
      <c r="M205" s="73" t="str">
        <f t="shared" si="72"/>
        <v/>
      </c>
      <c r="N205" s="73" t="str">
        <f t="shared" si="72"/>
        <v/>
      </c>
      <c r="O205" s="73" t="str">
        <f t="shared" si="72"/>
        <v/>
      </c>
      <c r="P205" s="73" t="str">
        <f t="shared" si="72"/>
        <v/>
      </c>
      <c r="Q205" s="73" t="str">
        <f t="shared" si="72"/>
        <v/>
      </c>
      <c r="R205" s="73" t="str">
        <f t="shared" si="71"/>
        <v/>
      </c>
      <c r="S205" s="73" t="str">
        <f t="shared" si="71"/>
        <v/>
      </c>
      <c r="T205" s="73" t="str">
        <f t="shared" si="71"/>
        <v/>
      </c>
      <c r="U205" s="73" t="str">
        <f t="shared" si="71"/>
        <v/>
      </c>
      <c r="V205" s="73" t="str">
        <f t="shared" si="71"/>
        <v/>
      </c>
      <c r="W205" s="73" t="str">
        <f t="shared" si="71"/>
        <v/>
      </c>
      <c r="X205" s="73" t="str">
        <f t="shared" si="71"/>
        <v/>
      </c>
      <c r="Y205" s="73" t="str">
        <f t="shared" si="71"/>
        <v/>
      </c>
      <c r="Z205" s="73" t="str">
        <f t="shared" si="71"/>
        <v/>
      </c>
      <c r="AA205" s="73" t="str">
        <f t="shared" si="71"/>
        <v/>
      </c>
      <c r="AB205" s="74" t="str">
        <f t="shared" si="71"/>
        <v/>
      </c>
      <c r="AC205" s="35" t="str">
        <f t="shared" ref="AC205:AC268" si="73">IF(C205="","",SUM(H205:AB205)*AK205)</f>
        <v/>
      </c>
      <c r="AD205" s="40" t="str">
        <f t="shared" ref="AD205:AD268" si="74">IF(C205="","",SUM(H205:AB205))</f>
        <v/>
      </c>
      <c r="AE205" s="37" t="str">
        <f t="shared" ref="AE205:AE268" si="75">IF(C205="","",SUM(H205:R205)*AK205)</f>
        <v/>
      </c>
      <c r="AF205" s="40" t="str">
        <f t="shared" ref="AF205:AF268" si="76">IF(C205="","",SUM(H205:Q205))</f>
        <v/>
      </c>
      <c r="AG205" s="37" t="str">
        <f t="shared" ref="AG205:AG268" si="77">IF(C205="","",SUM(R205:AB205)*AK205)</f>
        <v/>
      </c>
      <c r="AH205" s="40" t="str">
        <f t="shared" ref="AH205:AH268" si="78">IF(C205="","",SUM(R205:AB205))</f>
        <v/>
      </c>
      <c r="AI205" s="37" t="str">
        <f t="shared" ref="AI205:AI268" si="79">IF(C205="","",SUM(J205:M205,T205:W205)*AK205)</f>
        <v/>
      </c>
      <c r="AJ205" s="40" t="str">
        <f t="shared" ref="AJ205:AJ268" si="80">IF(C205="","",SUM(J205:M205,T205:W205))</f>
        <v/>
      </c>
      <c r="AK205" s="33" t="str">
        <f>IF(SEM!AK205="","",SEM!AK205)</f>
        <v/>
      </c>
      <c r="AL205" s="6"/>
      <c r="AM205" s="79" t="str">
        <f t="shared" si="69"/>
        <v/>
      </c>
      <c r="AR205" s="5"/>
      <c r="AU205" s="198"/>
      <c r="AV205" s="198"/>
      <c r="AW205" s="198"/>
      <c r="AX205" s="198"/>
    </row>
    <row r="206" spans="2:50" ht="17.25" customHeight="1" x14ac:dyDescent="0.2">
      <c r="B206" s="6"/>
      <c r="C206" s="49" t="str">
        <f>IF(SEM!C206="","",SEM!C206)</f>
        <v/>
      </c>
      <c r="D206" s="220" t="str">
        <f>IF(C206="","",VLOOKUP(SEM!C206,FROTA!$B$5:$C$305,2,0))</f>
        <v/>
      </c>
      <c r="E206" s="24" t="str">
        <f>IF(C206="","",VLOOKUP(C206,FROTA!$B$5:$N$305,7,0))</f>
        <v/>
      </c>
      <c r="F206" s="38" t="str">
        <f t="shared" si="60"/>
        <v/>
      </c>
      <c r="G206" s="71" t="str">
        <f t="shared" si="70"/>
        <v/>
      </c>
      <c r="H206" s="32" t="str">
        <f t="shared" si="56"/>
        <v/>
      </c>
      <c r="I206" s="73" t="str">
        <f t="shared" si="56"/>
        <v/>
      </c>
      <c r="J206" s="73" t="str">
        <f t="shared" si="56"/>
        <v/>
      </c>
      <c r="K206" s="73" t="str">
        <f t="shared" si="72"/>
        <v/>
      </c>
      <c r="L206" s="73" t="str">
        <f t="shared" si="72"/>
        <v/>
      </c>
      <c r="M206" s="73" t="str">
        <f t="shared" si="72"/>
        <v/>
      </c>
      <c r="N206" s="73" t="str">
        <f t="shared" si="72"/>
        <v/>
      </c>
      <c r="O206" s="73" t="str">
        <f t="shared" si="72"/>
        <v/>
      </c>
      <c r="P206" s="73" t="str">
        <f t="shared" si="72"/>
        <v/>
      </c>
      <c r="Q206" s="73" t="str">
        <f t="shared" si="72"/>
        <v/>
      </c>
      <c r="R206" s="73" t="str">
        <f t="shared" si="71"/>
        <v/>
      </c>
      <c r="S206" s="73" t="str">
        <f t="shared" si="71"/>
        <v/>
      </c>
      <c r="T206" s="73" t="str">
        <f t="shared" si="71"/>
        <v/>
      </c>
      <c r="U206" s="73" t="str">
        <f t="shared" si="71"/>
        <v/>
      </c>
      <c r="V206" s="73" t="str">
        <f t="shared" si="71"/>
        <v/>
      </c>
      <c r="W206" s="73" t="str">
        <f t="shared" si="71"/>
        <v/>
      </c>
      <c r="X206" s="73" t="str">
        <f t="shared" si="71"/>
        <v/>
      </c>
      <c r="Y206" s="73" t="str">
        <f t="shared" si="71"/>
        <v/>
      </c>
      <c r="Z206" s="73" t="str">
        <f t="shared" si="71"/>
        <v/>
      </c>
      <c r="AA206" s="73" t="str">
        <f t="shared" si="71"/>
        <v/>
      </c>
      <c r="AB206" s="74" t="str">
        <f t="shared" si="71"/>
        <v/>
      </c>
      <c r="AC206" s="35" t="str">
        <f t="shared" si="73"/>
        <v/>
      </c>
      <c r="AD206" s="40" t="str">
        <f t="shared" si="74"/>
        <v/>
      </c>
      <c r="AE206" s="37" t="str">
        <f t="shared" si="75"/>
        <v/>
      </c>
      <c r="AF206" s="40" t="str">
        <f t="shared" si="76"/>
        <v/>
      </c>
      <c r="AG206" s="37" t="str">
        <f t="shared" si="77"/>
        <v/>
      </c>
      <c r="AH206" s="40" t="str">
        <f t="shared" si="78"/>
        <v/>
      </c>
      <c r="AI206" s="37" t="str">
        <f t="shared" si="79"/>
        <v/>
      </c>
      <c r="AJ206" s="40" t="str">
        <f t="shared" si="80"/>
        <v/>
      </c>
      <c r="AK206" s="33" t="str">
        <f>IF(SEM!AK206="","",SEM!AK206)</f>
        <v/>
      </c>
      <c r="AL206" s="6"/>
      <c r="AM206" s="79" t="str">
        <f t="shared" si="69"/>
        <v/>
      </c>
      <c r="AR206" s="5"/>
      <c r="AU206" s="198"/>
      <c r="AV206" s="198"/>
      <c r="AW206" s="198"/>
      <c r="AX206" s="198"/>
    </row>
    <row r="207" spans="2:50" ht="17.25" customHeight="1" x14ac:dyDescent="0.2">
      <c r="B207" s="6"/>
      <c r="C207" s="49" t="str">
        <f>IF(SEM!C207="","",SEM!C207)</f>
        <v/>
      </c>
      <c r="D207" s="220" t="str">
        <f>IF(C207="","",VLOOKUP(SEM!C207,FROTA!$B$5:$C$305,2,0))</f>
        <v/>
      </c>
      <c r="E207" s="24" t="str">
        <f>IF(C207="","",VLOOKUP(C207,FROTA!$B$5:$N$305,7,0))</f>
        <v/>
      </c>
      <c r="F207" s="38" t="str">
        <f t="shared" si="60"/>
        <v/>
      </c>
      <c r="G207" s="71" t="str">
        <f t="shared" si="70"/>
        <v/>
      </c>
      <c r="H207" s="32" t="str">
        <f t="shared" si="56"/>
        <v/>
      </c>
      <c r="I207" s="73" t="str">
        <f t="shared" si="56"/>
        <v/>
      </c>
      <c r="J207" s="73" t="str">
        <f t="shared" si="56"/>
        <v/>
      </c>
      <c r="K207" s="73" t="str">
        <f t="shared" si="72"/>
        <v/>
      </c>
      <c r="L207" s="73" t="str">
        <f t="shared" si="72"/>
        <v/>
      </c>
      <c r="M207" s="73" t="str">
        <f t="shared" si="72"/>
        <v/>
      </c>
      <c r="N207" s="73" t="str">
        <f t="shared" si="72"/>
        <v/>
      </c>
      <c r="O207" s="73" t="str">
        <f t="shared" si="72"/>
        <v/>
      </c>
      <c r="P207" s="73" t="str">
        <f t="shared" si="72"/>
        <v/>
      </c>
      <c r="Q207" s="73" t="str">
        <f t="shared" si="72"/>
        <v/>
      </c>
      <c r="R207" s="73" t="str">
        <f t="shared" si="71"/>
        <v/>
      </c>
      <c r="S207" s="73" t="str">
        <f t="shared" si="71"/>
        <v/>
      </c>
      <c r="T207" s="73" t="str">
        <f t="shared" si="71"/>
        <v/>
      </c>
      <c r="U207" s="73" t="str">
        <f t="shared" si="71"/>
        <v/>
      </c>
      <c r="V207" s="73" t="str">
        <f t="shared" si="71"/>
        <v/>
      </c>
      <c r="W207" s="73" t="str">
        <f t="shared" si="71"/>
        <v/>
      </c>
      <c r="X207" s="73" t="str">
        <f t="shared" si="71"/>
        <v/>
      </c>
      <c r="Y207" s="73" t="str">
        <f t="shared" si="71"/>
        <v/>
      </c>
      <c r="Z207" s="73" t="str">
        <f t="shared" si="71"/>
        <v/>
      </c>
      <c r="AA207" s="73" t="str">
        <f t="shared" si="71"/>
        <v/>
      </c>
      <c r="AB207" s="74" t="str">
        <f t="shared" si="71"/>
        <v/>
      </c>
      <c r="AC207" s="35" t="str">
        <f t="shared" si="73"/>
        <v/>
      </c>
      <c r="AD207" s="40" t="str">
        <f t="shared" si="74"/>
        <v/>
      </c>
      <c r="AE207" s="37" t="str">
        <f t="shared" si="75"/>
        <v/>
      </c>
      <c r="AF207" s="40" t="str">
        <f t="shared" si="76"/>
        <v/>
      </c>
      <c r="AG207" s="37" t="str">
        <f t="shared" si="77"/>
        <v/>
      </c>
      <c r="AH207" s="40" t="str">
        <f t="shared" si="78"/>
        <v/>
      </c>
      <c r="AI207" s="37" t="str">
        <f t="shared" si="79"/>
        <v/>
      </c>
      <c r="AJ207" s="40" t="str">
        <f t="shared" si="80"/>
        <v/>
      </c>
      <c r="AK207" s="33" t="str">
        <f>IF(SEM!AK207="","",SEM!AK207)</f>
        <v/>
      </c>
      <c r="AL207" s="6"/>
      <c r="AM207" s="79" t="str">
        <f t="shared" si="69"/>
        <v/>
      </c>
      <c r="AR207" s="5"/>
      <c r="AU207" s="198"/>
      <c r="AV207" s="198"/>
      <c r="AW207" s="198"/>
      <c r="AX207" s="198"/>
    </row>
    <row r="208" spans="2:50" ht="17.25" customHeight="1" x14ac:dyDescent="0.2">
      <c r="B208" s="6"/>
      <c r="C208" s="49" t="str">
        <f>IF(SEM!C208="","",SEM!C208)</f>
        <v/>
      </c>
      <c r="D208" s="220" t="str">
        <f>IF(C208="","",VLOOKUP(SEM!C208,FROTA!$B$5:$C$305,2,0))</f>
        <v/>
      </c>
      <c r="E208" s="24" t="str">
        <f>IF(C208="","",VLOOKUP(C208,FROTA!$B$5:$N$305,7,0))</f>
        <v/>
      </c>
      <c r="F208" s="38" t="str">
        <f t="shared" si="60"/>
        <v/>
      </c>
      <c r="G208" s="71" t="str">
        <f t="shared" si="70"/>
        <v/>
      </c>
      <c r="H208" s="32" t="str">
        <f t="shared" si="56"/>
        <v/>
      </c>
      <c r="I208" s="73" t="str">
        <f t="shared" si="56"/>
        <v/>
      </c>
      <c r="J208" s="73" t="str">
        <f t="shared" si="56"/>
        <v/>
      </c>
      <c r="K208" s="73" t="str">
        <f t="shared" si="72"/>
        <v/>
      </c>
      <c r="L208" s="73" t="str">
        <f t="shared" si="72"/>
        <v/>
      </c>
      <c r="M208" s="73" t="str">
        <f t="shared" si="72"/>
        <v/>
      </c>
      <c r="N208" s="73" t="str">
        <f t="shared" si="72"/>
        <v/>
      </c>
      <c r="O208" s="73" t="str">
        <f t="shared" si="72"/>
        <v/>
      </c>
      <c r="P208" s="73" t="str">
        <f t="shared" si="72"/>
        <v/>
      </c>
      <c r="Q208" s="73" t="str">
        <f t="shared" si="72"/>
        <v/>
      </c>
      <c r="R208" s="73" t="str">
        <f t="shared" si="71"/>
        <v/>
      </c>
      <c r="S208" s="73" t="str">
        <f t="shared" si="71"/>
        <v/>
      </c>
      <c r="T208" s="73" t="str">
        <f t="shared" si="71"/>
        <v/>
      </c>
      <c r="U208" s="73" t="str">
        <f t="shared" si="71"/>
        <v/>
      </c>
      <c r="V208" s="73" t="str">
        <f t="shared" si="71"/>
        <v/>
      </c>
      <c r="W208" s="73" t="str">
        <f t="shared" si="71"/>
        <v/>
      </c>
      <c r="X208" s="73" t="str">
        <f t="shared" si="71"/>
        <v/>
      </c>
      <c r="Y208" s="73" t="str">
        <f t="shared" si="71"/>
        <v/>
      </c>
      <c r="Z208" s="73" t="str">
        <f t="shared" si="71"/>
        <v/>
      </c>
      <c r="AA208" s="73" t="str">
        <f t="shared" si="71"/>
        <v/>
      </c>
      <c r="AB208" s="74" t="str">
        <f t="shared" si="71"/>
        <v/>
      </c>
      <c r="AC208" s="35" t="str">
        <f t="shared" si="73"/>
        <v/>
      </c>
      <c r="AD208" s="40" t="str">
        <f t="shared" si="74"/>
        <v/>
      </c>
      <c r="AE208" s="37" t="str">
        <f t="shared" si="75"/>
        <v/>
      </c>
      <c r="AF208" s="40" t="str">
        <f t="shared" si="76"/>
        <v/>
      </c>
      <c r="AG208" s="37" t="str">
        <f t="shared" si="77"/>
        <v/>
      </c>
      <c r="AH208" s="40" t="str">
        <f t="shared" si="78"/>
        <v/>
      </c>
      <c r="AI208" s="37" t="str">
        <f t="shared" si="79"/>
        <v/>
      </c>
      <c r="AJ208" s="40" t="str">
        <f t="shared" si="80"/>
        <v/>
      </c>
      <c r="AK208" s="33" t="str">
        <f>IF(SEM!AK208="","",SEM!AK208)</f>
        <v/>
      </c>
      <c r="AL208" s="6"/>
      <c r="AM208" s="79" t="str">
        <f t="shared" si="69"/>
        <v/>
      </c>
      <c r="AR208" s="5"/>
      <c r="AU208" s="198"/>
      <c r="AV208" s="198"/>
      <c r="AW208" s="198"/>
      <c r="AX208" s="198"/>
    </row>
    <row r="209" spans="2:50" ht="17.25" customHeight="1" x14ac:dyDescent="0.2">
      <c r="B209" s="6"/>
      <c r="C209" s="49" t="str">
        <f>IF(SEM!C209="","",SEM!C209)</f>
        <v/>
      </c>
      <c r="D209" s="220" t="str">
        <f>IF(C209="","",VLOOKUP(SEM!C209,FROTA!$B$5:$C$305,2,0))</f>
        <v/>
      </c>
      <c r="E209" s="24" t="str">
        <f>IF(C209="","",VLOOKUP(C209,FROTA!$B$5:$N$305,7,0))</f>
        <v/>
      </c>
      <c r="F209" s="38" t="str">
        <f t="shared" si="60"/>
        <v/>
      </c>
      <c r="G209" s="71" t="str">
        <f t="shared" si="70"/>
        <v/>
      </c>
      <c r="H209" s="32" t="str">
        <f t="shared" si="56"/>
        <v/>
      </c>
      <c r="I209" s="73" t="str">
        <f t="shared" si="56"/>
        <v/>
      </c>
      <c r="J209" s="73" t="str">
        <f t="shared" si="56"/>
        <v/>
      </c>
      <c r="K209" s="73" t="str">
        <f t="shared" si="72"/>
        <v/>
      </c>
      <c r="L209" s="73" t="str">
        <f t="shared" si="72"/>
        <v/>
      </c>
      <c r="M209" s="73" t="str">
        <f t="shared" si="72"/>
        <v/>
      </c>
      <c r="N209" s="73" t="str">
        <f t="shared" si="72"/>
        <v/>
      </c>
      <c r="O209" s="73" t="str">
        <f t="shared" si="72"/>
        <v/>
      </c>
      <c r="P209" s="73" t="str">
        <f t="shared" si="72"/>
        <v/>
      </c>
      <c r="Q209" s="73" t="str">
        <f t="shared" si="72"/>
        <v/>
      </c>
      <c r="R209" s="73" t="str">
        <f t="shared" si="71"/>
        <v/>
      </c>
      <c r="S209" s="73" t="str">
        <f t="shared" si="71"/>
        <v/>
      </c>
      <c r="T209" s="73" t="str">
        <f t="shared" si="71"/>
        <v/>
      </c>
      <c r="U209" s="73" t="str">
        <f t="shared" si="71"/>
        <v/>
      </c>
      <c r="V209" s="73" t="str">
        <f t="shared" si="71"/>
        <v/>
      </c>
      <c r="W209" s="73" t="str">
        <f t="shared" si="71"/>
        <v/>
      </c>
      <c r="X209" s="73" t="str">
        <f t="shared" si="71"/>
        <v/>
      </c>
      <c r="Y209" s="73" t="str">
        <f t="shared" si="71"/>
        <v/>
      </c>
      <c r="Z209" s="73" t="str">
        <f t="shared" si="71"/>
        <v/>
      </c>
      <c r="AA209" s="73" t="str">
        <f t="shared" si="71"/>
        <v/>
      </c>
      <c r="AB209" s="74" t="str">
        <f t="shared" si="71"/>
        <v/>
      </c>
      <c r="AC209" s="35" t="str">
        <f t="shared" si="73"/>
        <v/>
      </c>
      <c r="AD209" s="40" t="str">
        <f t="shared" si="74"/>
        <v/>
      </c>
      <c r="AE209" s="37" t="str">
        <f t="shared" si="75"/>
        <v/>
      </c>
      <c r="AF209" s="40" t="str">
        <f t="shared" si="76"/>
        <v/>
      </c>
      <c r="AG209" s="37" t="str">
        <f t="shared" si="77"/>
        <v/>
      </c>
      <c r="AH209" s="40" t="str">
        <f t="shared" si="78"/>
        <v/>
      </c>
      <c r="AI209" s="37" t="str">
        <f t="shared" si="79"/>
        <v/>
      </c>
      <c r="AJ209" s="40" t="str">
        <f t="shared" si="80"/>
        <v/>
      </c>
      <c r="AK209" s="33" t="str">
        <f>IF(SEM!AK209="","",SEM!AK209)</f>
        <v/>
      </c>
      <c r="AL209" s="6"/>
      <c r="AM209" s="79" t="str">
        <f t="shared" si="69"/>
        <v/>
      </c>
      <c r="AR209" s="5"/>
      <c r="AU209" s="198"/>
      <c r="AV209" s="198"/>
      <c r="AW209" s="198"/>
      <c r="AX209" s="198"/>
    </row>
    <row r="210" spans="2:50" ht="17.25" customHeight="1" x14ac:dyDescent="0.2">
      <c r="B210" s="6"/>
      <c r="C210" s="49" t="str">
        <f>IF(SEM!C210="","",SEM!C210)</f>
        <v/>
      </c>
      <c r="D210" s="220" t="str">
        <f>IF(C210="","",VLOOKUP(SEM!C210,FROTA!$B$5:$C$305,2,0))</f>
        <v/>
      </c>
      <c r="E210" s="24" t="str">
        <f>IF(C210="","",VLOOKUP(C210,FROTA!$B$5:$N$305,7,0))</f>
        <v/>
      </c>
      <c r="F210" s="38" t="str">
        <f t="shared" si="60"/>
        <v/>
      </c>
      <c r="G210" s="71" t="str">
        <f t="shared" si="70"/>
        <v/>
      </c>
      <c r="H210" s="32" t="str">
        <f t="shared" si="56"/>
        <v/>
      </c>
      <c r="I210" s="73" t="str">
        <f t="shared" si="56"/>
        <v/>
      </c>
      <c r="J210" s="73" t="str">
        <f t="shared" si="56"/>
        <v/>
      </c>
      <c r="K210" s="73" t="str">
        <f t="shared" si="72"/>
        <v/>
      </c>
      <c r="L210" s="73" t="str">
        <f t="shared" si="72"/>
        <v/>
      </c>
      <c r="M210" s="73" t="str">
        <f t="shared" si="72"/>
        <v/>
      </c>
      <c r="N210" s="73" t="str">
        <f t="shared" si="72"/>
        <v/>
      </c>
      <c r="O210" s="73" t="str">
        <f t="shared" si="72"/>
        <v/>
      </c>
      <c r="P210" s="73" t="str">
        <f t="shared" si="72"/>
        <v/>
      </c>
      <c r="Q210" s="73" t="str">
        <f t="shared" si="72"/>
        <v/>
      </c>
      <c r="R210" s="73" t="str">
        <f t="shared" si="71"/>
        <v/>
      </c>
      <c r="S210" s="73" t="str">
        <f t="shared" si="71"/>
        <v/>
      </c>
      <c r="T210" s="73" t="str">
        <f t="shared" si="71"/>
        <v/>
      </c>
      <c r="U210" s="73" t="str">
        <f t="shared" si="71"/>
        <v/>
      </c>
      <c r="V210" s="73" t="str">
        <f t="shared" si="71"/>
        <v/>
      </c>
      <c r="W210" s="73" t="str">
        <f t="shared" si="71"/>
        <v/>
      </c>
      <c r="X210" s="73" t="str">
        <f t="shared" si="71"/>
        <v/>
      </c>
      <c r="Y210" s="73" t="str">
        <f t="shared" si="71"/>
        <v/>
      </c>
      <c r="Z210" s="73" t="str">
        <f t="shared" si="71"/>
        <v/>
      </c>
      <c r="AA210" s="73" t="str">
        <f t="shared" si="71"/>
        <v/>
      </c>
      <c r="AB210" s="74" t="str">
        <f t="shared" si="71"/>
        <v/>
      </c>
      <c r="AC210" s="35" t="str">
        <f t="shared" si="73"/>
        <v/>
      </c>
      <c r="AD210" s="40" t="str">
        <f t="shared" si="74"/>
        <v/>
      </c>
      <c r="AE210" s="37" t="str">
        <f t="shared" si="75"/>
        <v/>
      </c>
      <c r="AF210" s="40" t="str">
        <f t="shared" si="76"/>
        <v/>
      </c>
      <c r="AG210" s="37" t="str">
        <f t="shared" si="77"/>
        <v/>
      </c>
      <c r="AH210" s="40" t="str">
        <f t="shared" si="78"/>
        <v/>
      </c>
      <c r="AI210" s="37" t="str">
        <f t="shared" si="79"/>
        <v/>
      </c>
      <c r="AJ210" s="40" t="str">
        <f t="shared" si="80"/>
        <v/>
      </c>
      <c r="AK210" s="33" t="str">
        <f>IF(SEM!AK210="","",SEM!AK210)</f>
        <v/>
      </c>
      <c r="AL210" s="6"/>
      <c r="AM210" s="79" t="str">
        <f t="shared" si="69"/>
        <v/>
      </c>
      <c r="AR210" s="5"/>
      <c r="AU210" s="198"/>
      <c r="AV210" s="198"/>
      <c r="AW210" s="198"/>
      <c r="AX210" s="198"/>
    </row>
    <row r="211" spans="2:50" ht="17.25" customHeight="1" x14ac:dyDescent="0.2">
      <c r="B211" s="6"/>
      <c r="C211" s="49" t="str">
        <f>IF(SEM!C211="","",SEM!C211)</f>
        <v/>
      </c>
      <c r="D211" s="220" t="str">
        <f>IF(C211="","",VLOOKUP(SEM!C211,FROTA!$B$5:$C$305,2,0))</f>
        <v/>
      </c>
      <c r="E211" s="24" t="str">
        <f>IF(C211="","",VLOOKUP(C211,FROTA!$B$5:$N$305,7,0))</f>
        <v/>
      </c>
      <c r="F211" s="38" t="str">
        <f t="shared" si="60"/>
        <v/>
      </c>
      <c r="G211" s="71" t="str">
        <f t="shared" si="70"/>
        <v/>
      </c>
      <c r="H211" s="32" t="str">
        <f t="shared" si="56"/>
        <v/>
      </c>
      <c r="I211" s="73" t="str">
        <f t="shared" si="56"/>
        <v/>
      </c>
      <c r="J211" s="73" t="str">
        <f t="shared" si="56"/>
        <v/>
      </c>
      <c r="K211" s="73" t="str">
        <f t="shared" si="72"/>
        <v/>
      </c>
      <c r="L211" s="73" t="str">
        <f t="shared" si="72"/>
        <v/>
      </c>
      <c r="M211" s="73" t="str">
        <f t="shared" si="72"/>
        <v/>
      </c>
      <c r="N211" s="73" t="str">
        <f t="shared" si="72"/>
        <v/>
      </c>
      <c r="O211" s="73" t="str">
        <f t="shared" si="72"/>
        <v/>
      </c>
      <c r="P211" s="73" t="str">
        <f t="shared" si="72"/>
        <v/>
      </c>
      <c r="Q211" s="73" t="str">
        <f t="shared" si="72"/>
        <v/>
      </c>
      <c r="R211" s="73" t="str">
        <f t="shared" si="71"/>
        <v/>
      </c>
      <c r="S211" s="73" t="str">
        <f t="shared" si="71"/>
        <v/>
      </c>
      <c r="T211" s="73" t="str">
        <f t="shared" si="71"/>
        <v/>
      </c>
      <c r="U211" s="73" t="str">
        <f t="shared" si="71"/>
        <v/>
      </c>
      <c r="V211" s="73" t="str">
        <f t="shared" si="71"/>
        <v/>
      </c>
      <c r="W211" s="73" t="str">
        <f t="shared" si="71"/>
        <v/>
      </c>
      <c r="X211" s="73" t="str">
        <f t="shared" si="71"/>
        <v/>
      </c>
      <c r="Y211" s="73" t="str">
        <f t="shared" si="71"/>
        <v/>
      </c>
      <c r="Z211" s="73" t="str">
        <f t="shared" si="71"/>
        <v/>
      </c>
      <c r="AA211" s="73" t="str">
        <f t="shared" si="71"/>
        <v/>
      </c>
      <c r="AB211" s="74" t="str">
        <f t="shared" si="71"/>
        <v/>
      </c>
      <c r="AC211" s="35" t="str">
        <f t="shared" si="73"/>
        <v/>
      </c>
      <c r="AD211" s="40" t="str">
        <f t="shared" si="74"/>
        <v/>
      </c>
      <c r="AE211" s="37" t="str">
        <f t="shared" si="75"/>
        <v/>
      </c>
      <c r="AF211" s="40" t="str">
        <f t="shared" si="76"/>
        <v/>
      </c>
      <c r="AG211" s="37" t="str">
        <f t="shared" si="77"/>
        <v/>
      </c>
      <c r="AH211" s="40" t="str">
        <f t="shared" si="78"/>
        <v/>
      </c>
      <c r="AI211" s="37" t="str">
        <f t="shared" si="79"/>
        <v/>
      </c>
      <c r="AJ211" s="40" t="str">
        <f t="shared" si="80"/>
        <v/>
      </c>
      <c r="AK211" s="33" t="str">
        <f>IF(SEM!AK211="","",SEM!AK211)</f>
        <v/>
      </c>
      <c r="AL211" s="6"/>
      <c r="AM211" s="79" t="str">
        <f t="shared" si="69"/>
        <v/>
      </c>
      <c r="AR211" s="5"/>
      <c r="AU211" s="198"/>
      <c r="AV211" s="198"/>
      <c r="AW211" s="198"/>
      <c r="AX211" s="198"/>
    </row>
    <row r="212" spans="2:50" ht="17.25" customHeight="1" x14ac:dyDescent="0.2">
      <c r="B212" s="6"/>
      <c r="C212" s="49" t="str">
        <f>IF(SEM!C212="","",SEM!C212)</f>
        <v/>
      </c>
      <c r="D212" s="220" t="str">
        <f>IF(C212="","",VLOOKUP(SEM!C212,FROTA!$B$5:$C$305,2,0))</f>
        <v/>
      </c>
      <c r="E212" s="24" t="str">
        <f>IF(C212="","",VLOOKUP(C212,FROTA!$B$5:$N$305,7,0))</f>
        <v/>
      </c>
      <c r="F212" s="38" t="str">
        <f t="shared" si="60"/>
        <v/>
      </c>
      <c r="G212" s="71" t="str">
        <f t="shared" si="70"/>
        <v/>
      </c>
      <c r="H212" s="32" t="str">
        <f t="shared" si="56"/>
        <v/>
      </c>
      <c r="I212" s="73" t="str">
        <f t="shared" si="56"/>
        <v/>
      </c>
      <c r="J212" s="73" t="str">
        <f t="shared" si="56"/>
        <v/>
      </c>
      <c r="K212" s="73" t="str">
        <f t="shared" si="72"/>
        <v/>
      </c>
      <c r="L212" s="73" t="str">
        <f t="shared" si="72"/>
        <v/>
      </c>
      <c r="M212" s="73" t="str">
        <f t="shared" si="72"/>
        <v/>
      </c>
      <c r="N212" s="73" t="str">
        <f t="shared" si="72"/>
        <v/>
      </c>
      <c r="O212" s="73" t="str">
        <f t="shared" si="72"/>
        <v/>
      </c>
      <c r="P212" s="73" t="str">
        <f t="shared" si="72"/>
        <v/>
      </c>
      <c r="Q212" s="73" t="str">
        <f t="shared" si="72"/>
        <v/>
      </c>
      <c r="R212" s="73" t="str">
        <f t="shared" si="71"/>
        <v/>
      </c>
      <c r="S212" s="73" t="str">
        <f t="shared" si="71"/>
        <v/>
      </c>
      <c r="T212" s="73" t="str">
        <f t="shared" si="71"/>
        <v/>
      </c>
      <c r="U212" s="73" t="str">
        <f t="shared" si="71"/>
        <v/>
      </c>
      <c r="V212" s="73" t="str">
        <f t="shared" si="71"/>
        <v/>
      </c>
      <c r="W212" s="73" t="str">
        <f t="shared" si="71"/>
        <v/>
      </c>
      <c r="X212" s="73" t="str">
        <f t="shared" si="71"/>
        <v/>
      </c>
      <c r="Y212" s="73" t="str">
        <f t="shared" si="71"/>
        <v/>
      </c>
      <c r="Z212" s="73" t="str">
        <f t="shared" si="71"/>
        <v/>
      </c>
      <c r="AA212" s="73" t="str">
        <f t="shared" si="71"/>
        <v/>
      </c>
      <c r="AB212" s="74" t="str">
        <f t="shared" si="71"/>
        <v/>
      </c>
      <c r="AC212" s="35" t="str">
        <f t="shared" si="73"/>
        <v/>
      </c>
      <c r="AD212" s="40" t="str">
        <f t="shared" si="74"/>
        <v/>
      </c>
      <c r="AE212" s="37" t="str">
        <f t="shared" si="75"/>
        <v/>
      </c>
      <c r="AF212" s="40" t="str">
        <f t="shared" si="76"/>
        <v/>
      </c>
      <c r="AG212" s="37" t="str">
        <f t="shared" si="77"/>
        <v/>
      </c>
      <c r="AH212" s="40" t="str">
        <f t="shared" si="78"/>
        <v/>
      </c>
      <c r="AI212" s="37" t="str">
        <f t="shared" si="79"/>
        <v/>
      </c>
      <c r="AJ212" s="40" t="str">
        <f t="shared" si="80"/>
        <v/>
      </c>
      <c r="AK212" s="33" t="str">
        <f>IF(SEM!AK212="","",SEM!AK212)</f>
        <v/>
      </c>
      <c r="AL212" s="6"/>
      <c r="AM212" s="79" t="str">
        <f t="shared" si="69"/>
        <v/>
      </c>
      <c r="AR212" s="5"/>
      <c r="AU212" s="198"/>
      <c r="AV212" s="198"/>
      <c r="AW212" s="198"/>
      <c r="AX212" s="198"/>
    </row>
    <row r="213" spans="2:50" ht="17.25" customHeight="1" x14ac:dyDescent="0.2">
      <c r="B213" s="6"/>
      <c r="C213" s="49" t="str">
        <f>IF(SEM!C213="","",SEM!C213)</f>
        <v/>
      </c>
      <c r="D213" s="220" t="str">
        <f>IF(C213="","",VLOOKUP(SEM!C213,FROTA!$B$5:$C$305,2,0))</f>
        <v/>
      </c>
      <c r="E213" s="24" t="str">
        <f>IF(C213="","",VLOOKUP(C213,FROTA!$B$5:$N$305,7,0))</f>
        <v/>
      </c>
      <c r="F213" s="38" t="str">
        <f t="shared" si="60"/>
        <v/>
      </c>
      <c r="G213" s="71" t="str">
        <f t="shared" si="70"/>
        <v/>
      </c>
      <c r="H213" s="32" t="str">
        <f t="shared" si="56"/>
        <v/>
      </c>
      <c r="I213" s="73" t="str">
        <f t="shared" si="56"/>
        <v/>
      </c>
      <c r="J213" s="73" t="str">
        <f t="shared" si="56"/>
        <v/>
      </c>
      <c r="K213" s="73" t="str">
        <f t="shared" si="72"/>
        <v/>
      </c>
      <c r="L213" s="73" t="str">
        <f t="shared" si="72"/>
        <v/>
      </c>
      <c r="M213" s="73" t="str">
        <f t="shared" si="72"/>
        <v/>
      </c>
      <c r="N213" s="73" t="str">
        <f t="shared" si="72"/>
        <v/>
      </c>
      <c r="O213" s="73" t="str">
        <f t="shared" si="72"/>
        <v/>
      </c>
      <c r="P213" s="73" t="str">
        <f t="shared" si="72"/>
        <v/>
      </c>
      <c r="Q213" s="73" t="str">
        <f t="shared" si="72"/>
        <v/>
      </c>
      <c r="R213" s="73" t="str">
        <f t="shared" si="71"/>
        <v/>
      </c>
      <c r="S213" s="73" t="str">
        <f t="shared" si="71"/>
        <v/>
      </c>
      <c r="T213" s="73" t="str">
        <f t="shared" si="71"/>
        <v/>
      </c>
      <c r="U213" s="73" t="str">
        <f t="shared" si="71"/>
        <v/>
      </c>
      <c r="V213" s="73" t="str">
        <f t="shared" si="71"/>
        <v/>
      </c>
      <c r="W213" s="73" t="str">
        <f t="shared" si="71"/>
        <v/>
      </c>
      <c r="X213" s="73" t="str">
        <f t="shared" si="71"/>
        <v/>
      </c>
      <c r="Y213" s="73" t="str">
        <f t="shared" si="71"/>
        <v/>
      </c>
      <c r="Z213" s="73" t="str">
        <f t="shared" si="71"/>
        <v/>
      </c>
      <c r="AA213" s="73" t="str">
        <f t="shared" si="71"/>
        <v/>
      </c>
      <c r="AB213" s="74" t="str">
        <f t="shared" si="71"/>
        <v/>
      </c>
      <c r="AC213" s="35" t="str">
        <f t="shared" si="73"/>
        <v/>
      </c>
      <c r="AD213" s="40" t="str">
        <f t="shared" si="74"/>
        <v/>
      </c>
      <c r="AE213" s="37" t="str">
        <f t="shared" si="75"/>
        <v/>
      </c>
      <c r="AF213" s="40" t="str">
        <f t="shared" si="76"/>
        <v/>
      </c>
      <c r="AG213" s="37" t="str">
        <f t="shared" si="77"/>
        <v/>
      </c>
      <c r="AH213" s="40" t="str">
        <f t="shared" si="78"/>
        <v/>
      </c>
      <c r="AI213" s="37" t="str">
        <f t="shared" si="79"/>
        <v/>
      </c>
      <c r="AJ213" s="40" t="str">
        <f t="shared" si="80"/>
        <v/>
      </c>
      <c r="AK213" s="33" t="str">
        <f>IF(SEM!AK213="","",SEM!AK213)</f>
        <v/>
      </c>
      <c r="AL213" s="6"/>
      <c r="AM213" s="79" t="str">
        <f t="shared" si="69"/>
        <v/>
      </c>
      <c r="AR213" s="5"/>
      <c r="AU213" s="198"/>
      <c r="AV213" s="198"/>
      <c r="AW213" s="198"/>
      <c r="AX213" s="198"/>
    </row>
    <row r="214" spans="2:50" ht="17.25" customHeight="1" x14ac:dyDescent="0.2">
      <c r="B214" s="6"/>
      <c r="C214" s="49" t="str">
        <f>IF(SEM!C214="","",SEM!C214)</f>
        <v/>
      </c>
      <c r="D214" s="220" t="str">
        <f>IF(C214="","",VLOOKUP(SEM!C214,FROTA!$B$5:$C$305,2,0))</f>
        <v/>
      </c>
      <c r="E214" s="24" t="str">
        <f>IF(C214="","",VLOOKUP(C214,FROTA!$B$5:$N$305,7,0))</f>
        <v/>
      </c>
      <c r="F214" s="38" t="str">
        <f t="shared" si="60"/>
        <v/>
      </c>
      <c r="G214" s="71" t="str">
        <f t="shared" si="70"/>
        <v/>
      </c>
      <c r="H214" s="32" t="str">
        <f t="shared" si="56"/>
        <v/>
      </c>
      <c r="I214" s="73" t="str">
        <f t="shared" si="56"/>
        <v/>
      </c>
      <c r="J214" s="73" t="str">
        <f t="shared" si="56"/>
        <v/>
      </c>
      <c r="K214" s="73" t="str">
        <f t="shared" si="72"/>
        <v/>
      </c>
      <c r="L214" s="73" t="str">
        <f t="shared" si="72"/>
        <v/>
      </c>
      <c r="M214" s="73" t="str">
        <f t="shared" si="72"/>
        <v/>
      </c>
      <c r="N214" s="73" t="str">
        <f t="shared" si="72"/>
        <v/>
      </c>
      <c r="O214" s="73" t="str">
        <f t="shared" si="72"/>
        <v/>
      </c>
      <c r="P214" s="73" t="str">
        <f t="shared" si="72"/>
        <v/>
      </c>
      <c r="Q214" s="73" t="str">
        <f t="shared" si="72"/>
        <v/>
      </c>
      <c r="R214" s="73" t="str">
        <f t="shared" si="71"/>
        <v/>
      </c>
      <c r="S214" s="73" t="str">
        <f t="shared" si="71"/>
        <v/>
      </c>
      <c r="T214" s="73" t="str">
        <f t="shared" si="71"/>
        <v/>
      </c>
      <c r="U214" s="73" t="str">
        <f t="shared" si="71"/>
        <v/>
      </c>
      <c r="V214" s="73" t="str">
        <f t="shared" si="71"/>
        <v/>
      </c>
      <c r="W214" s="73" t="str">
        <f t="shared" si="71"/>
        <v/>
      </c>
      <c r="X214" s="73" t="str">
        <f t="shared" si="71"/>
        <v/>
      </c>
      <c r="Y214" s="73" t="str">
        <f t="shared" si="71"/>
        <v/>
      </c>
      <c r="Z214" s="73" t="str">
        <f t="shared" si="71"/>
        <v/>
      </c>
      <c r="AA214" s="73" t="str">
        <f t="shared" si="71"/>
        <v/>
      </c>
      <c r="AB214" s="74" t="str">
        <f t="shared" si="71"/>
        <v/>
      </c>
      <c r="AC214" s="35" t="str">
        <f t="shared" si="73"/>
        <v/>
      </c>
      <c r="AD214" s="40" t="str">
        <f t="shared" si="74"/>
        <v/>
      </c>
      <c r="AE214" s="37" t="str">
        <f t="shared" si="75"/>
        <v/>
      </c>
      <c r="AF214" s="40" t="str">
        <f t="shared" si="76"/>
        <v/>
      </c>
      <c r="AG214" s="37" t="str">
        <f t="shared" si="77"/>
        <v/>
      </c>
      <c r="AH214" s="40" t="str">
        <f t="shared" si="78"/>
        <v/>
      </c>
      <c r="AI214" s="37" t="str">
        <f t="shared" si="79"/>
        <v/>
      </c>
      <c r="AJ214" s="40" t="str">
        <f t="shared" si="80"/>
        <v/>
      </c>
      <c r="AK214" s="33" t="str">
        <f>IF(SEM!AK214="","",SEM!AK214)</f>
        <v/>
      </c>
      <c r="AL214" s="6"/>
      <c r="AM214" s="79" t="str">
        <f t="shared" si="69"/>
        <v/>
      </c>
      <c r="AR214" s="5"/>
      <c r="AU214" s="198"/>
      <c r="AV214" s="198"/>
      <c r="AW214" s="198"/>
      <c r="AX214" s="198"/>
    </row>
    <row r="215" spans="2:50" ht="17.25" customHeight="1" x14ac:dyDescent="0.2">
      <c r="B215" s="6"/>
      <c r="C215" s="49" t="str">
        <f>IF(SEM!C215="","",SEM!C215)</f>
        <v/>
      </c>
      <c r="D215" s="220" t="str">
        <f>IF(C215="","",VLOOKUP(SEM!C215,FROTA!$B$5:$C$305,2,0))</f>
        <v/>
      </c>
      <c r="E215" s="24" t="str">
        <f>IF(C215="","",VLOOKUP(C215,FROTA!$B$5:$N$305,7,0))</f>
        <v/>
      </c>
      <c r="F215" s="38" t="str">
        <f t="shared" si="60"/>
        <v/>
      </c>
      <c r="G215" s="71" t="str">
        <f t="shared" si="70"/>
        <v/>
      </c>
      <c r="H215" s="32" t="str">
        <f t="shared" ref="H215:J278" si="81">IF($C215="","",IF(SUM(H$307*$G215)&gt;$F215,$F215,SUM(H$307*$G215)))</f>
        <v/>
      </c>
      <c r="I215" s="73" t="str">
        <f t="shared" si="81"/>
        <v/>
      </c>
      <c r="J215" s="73" t="str">
        <f t="shared" si="81"/>
        <v/>
      </c>
      <c r="K215" s="73" t="str">
        <f t="shared" si="72"/>
        <v/>
      </c>
      <c r="L215" s="73" t="str">
        <f t="shared" si="72"/>
        <v/>
      </c>
      <c r="M215" s="73" t="str">
        <f t="shared" si="72"/>
        <v/>
      </c>
      <c r="N215" s="73" t="str">
        <f t="shared" si="72"/>
        <v/>
      </c>
      <c r="O215" s="73" t="str">
        <f t="shared" si="72"/>
        <v/>
      </c>
      <c r="P215" s="73" t="str">
        <f t="shared" si="72"/>
        <v/>
      </c>
      <c r="Q215" s="73" t="str">
        <f t="shared" si="72"/>
        <v/>
      </c>
      <c r="R215" s="73" t="str">
        <f t="shared" si="71"/>
        <v/>
      </c>
      <c r="S215" s="73" t="str">
        <f t="shared" si="71"/>
        <v/>
      </c>
      <c r="T215" s="73" t="str">
        <f t="shared" si="71"/>
        <v/>
      </c>
      <c r="U215" s="73" t="str">
        <f t="shared" si="71"/>
        <v/>
      </c>
      <c r="V215" s="73" t="str">
        <f t="shared" si="71"/>
        <v/>
      </c>
      <c r="W215" s="73" t="str">
        <f t="shared" si="71"/>
        <v/>
      </c>
      <c r="X215" s="73" t="str">
        <f t="shared" si="71"/>
        <v/>
      </c>
      <c r="Y215" s="73" t="str">
        <f t="shared" si="71"/>
        <v/>
      </c>
      <c r="Z215" s="73" t="str">
        <f t="shared" si="71"/>
        <v/>
      </c>
      <c r="AA215" s="73" t="str">
        <f t="shared" si="71"/>
        <v/>
      </c>
      <c r="AB215" s="74" t="str">
        <f t="shared" si="71"/>
        <v/>
      </c>
      <c r="AC215" s="35" t="str">
        <f t="shared" si="73"/>
        <v/>
      </c>
      <c r="AD215" s="40" t="str">
        <f t="shared" si="74"/>
        <v/>
      </c>
      <c r="AE215" s="37" t="str">
        <f t="shared" si="75"/>
        <v/>
      </c>
      <c r="AF215" s="40" t="str">
        <f t="shared" si="76"/>
        <v/>
      </c>
      <c r="AG215" s="37" t="str">
        <f t="shared" si="77"/>
        <v/>
      </c>
      <c r="AH215" s="40" t="str">
        <f t="shared" si="78"/>
        <v/>
      </c>
      <c r="AI215" s="37" t="str">
        <f t="shared" si="79"/>
        <v/>
      </c>
      <c r="AJ215" s="40" t="str">
        <f t="shared" si="80"/>
        <v/>
      </c>
      <c r="AK215" s="33" t="str">
        <f>IF(SEM!AK215="","",SEM!AK215)</f>
        <v/>
      </c>
      <c r="AL215" s="6"/>
      <c r="AM215" s="79" t="str">
        <f t="shared" si="69"/>
        <v/>
      </c>
      <c r="AR215" s="5"/>
      <c r="AU215" s="198"/>
      <c r="AV215" s="198"/>
      <c r="AW215" s="198"/>
      <c r="AX215" s="198"/>
    </row>
    <row r="216" spans="2:50" ht="17.25" customHeight="1" x14ac:dyDescent="0.2">
      <c r="B216" s="6"/>
      <c r="C216" s="49" t="str">
        <f>IF(SEM!C216="","",SEM!C216)</f>
        <v/>
      </c>
      <c r="D216" s="220" t="str">
        <f>IF(C216="","",VLOOKUP(SEM!C216,FROTA!$B$5:$C$305,2,0))</f>
        <v/>
      </c>
      <c r="E216" s="24" t="str">
        <f>IF(C216="","",VLOOKUP(C216,FROTA!$B$5:$N$305,7,0))</f>
        <v/>
      </c>
      <c r="F216" s="38" t="str">
        <f t="shared" si="60"/>
        <v/>
      </c>
      <c r="G216" s="71" t="str">
        <f t="shared" si="70"/>
        <v/>
      </c>
      <c r="H216" s="32" t="str">
        <f t="shared" si="81"/>
        <v/>
      </c>
      <c r="I216" s="73" t="str">
        <f t="shared" si="81"/>
        <v/>
      </c>
      <c r="J216" s="73" t="str">
        <f t="shared" si="81"/>
        <v/>
      </c>
      <c r="K216" s="73" t="str">
        <f t="shared" si="72"/>
        <v/>
      </c>
      <c r="L216" s="73" t="str">
        <f t="shared" si="72"/>
        <v/>
      </c>
      <c r="M216" s="73" t="str">
        <f t="shared" si="72"/>
        <v/>
      </c>
      <c r="N216" s="73" t="str">
        <f t="shared" si="72"/>
        <v/>
      </c>
      <c r="O216" s="73" t="str">
        <f t="shared" si="72"/>
        <v/>
      </c>
      <c r="P216" s="73" t="str">
        <f t="shared" si="72"/>
        <v/>
      </c>
      <c r="Q216" s="73" t="str">
        <f t="shared" si="72"/>
        <v/>
      </c>
      <c r="R216" s="73" t="str">
        <f t="shared" si="71"/>
        <v/>
      </c>
      <c r="S216" s="73" t="str">
        <f t="shared" si="71"/>
        <v/>
      </c>
      <c r="T216" s="73" t="str">
        <f t="shared" si="71"/>
        <v/>
      </c>
      <c r="U216" s="73" t="str">
        <f t="shared" si="71"/>
        <v/>
      </c>
      <c r="V216" s="73" t="str">
        <f t="shared" si="71"/>
        <v/>
      </c>
      <c r="W216" s="73" t="str">
        <f t="shared" si="71"/>
        <v/>
      </c>
      <c r="X216" s="73" t="str">
        <f t="shared" si="71"/>
        <v/>
      </c>
      <c r="Y216" s="73" t="str">
        <f t="shared" si="71"/>
        <v/>
      </c>
      <c r="Z216" s="73" t="str">
        <f t="shared" si="71"/>
        <v/>
      </c>
      <c r="AA216" s="73" t="str">
        <f t="shared" si="71"/>
        <v/>
      </c>
      <c r="AB216" s="74" t="str">
        <f t="shared" si="71"/>
        <v/>
      </c>
      <c r="AC216" s="35" t="str">
        <f t="shared" si="73"/>
        <v/>
      </c>
      <c r="AD216" s="40" t="str">
        <f t="shared" si="74"/>
        <v/>
      </c>
      <c r="AE216" s="37" t="str">
        <f t="shared" si="75"/>
        <v/>
      </c>
      <c r="AF216" s="40" t="str">
        <f t="shared" si="76"/>
        <v/>
      </c>
      <c r="AG216" s="37" t="str">
        <f t="shared" si="77"/>
        <v/>
      </c>
      <c r="AH216" s="40" t="str">
        <f t="shared" si="78"/>
        <v/>
      </c>
      <c r="AI216" s="37" t="str">
        <f t="shared" si="79"/>
        <v/>
      </c>
      <c r="AJ216" s="40" t="str">
        <f t="shared" si="80"/>
        <v/>
      </c>
      <c r="AK216" s="33" t="str">
        <f>IF(SEM!AK216="","",SEM!AK216)</f>
        <v/>
      </c>
      <c r="AL216" s="6"/>
      <c r="AM216" s="79" t="str">
        <f t="shared" si="69"/>
        <v/>
      </c>
      <c r="AR216" s="5"/>
      <c r="AU216" s="198"/>
      <c r="AV216" s="198"/>
      <c r="AW216" s="198"/>
      <c r="AX216" s="198"/>
    </row>
    <row r="217" spans="2:50" ht="17.25" customHeight="1" x14ac:dyDescent="0.2">
      <c r="B217" s="6"/>
      <c r="C217" s="49" t="str">
        <f>IF(SEM!C217="","",SEM!C217)</f>
        <v/>
      </c>
      <c r="D217" s="220" t="str">
        <f>IF(C217="","",VLOOKUP(SEM!C217,FROTA!$B$5:$C$305,2,0))</f>
        <v/>
      </c>
      <c r="E217" s="24" t="str">
        <f>IF(C217="","",VLOOKUP(C217,FROTA!$B$5:$N$305,7,0))</f>
        <v/>
      </c>
      <c r="F217" s="38" t="str">
        <f t="shared" si="60"/>
        <v/>
      </c>
      <c r="G217" s="71" t="str">
        <f t="shared" si="70"/>
        <v/>
      </c>
      <c r="H217" s="32" t="str">
        <f t="shared" si="81"/>
        <v/>
      </c>
      <c r="I217" s="73" t="str">
        <f t="shared" si="81"/>
        <v/>
      </c>
      <c r="J217" s="73" t="str">
        <f t="shared" si="81"/>
        <v/>
      </c>
      <c r="K217" s="73" t="str">
        <f t="shared" si="72"/>
        <v/>
      </c>
      <c r="L217" s="73" t="str">
        <f t="shared" si="72"/>
        <v/>
      </c>
      <c r="M217" s="73" t="str">
        <f t="shared" si="72"/>
        <v/>
      </c>
      <c r="N217" s="73" t="str">
        <f t="shared" si="72"/>
        <v/>
      </c>
      <c r="O217" s="73" t="str">
        <f t="shared" si="72"/>
        <v/>
      </c>
      <c r="P217" s="73" t="str">
        <f t="shared" si="72"/>
        <v/>
      </c>
      <c r="Q217" s="73" t="str">
        <f t="shared" si="72"/>
        <v/>
      </c>
      <c r="R217" s="73" t="str">
        <f t="shared" si="71"/>
        <v/>
      </c>
      <c r="S217" s="73" t="str">
        <f t="shared" si="71"/>
        <v/>
      </c>
      <c r="T217" s="73" t="str">
        <f t="shared" si="71"/>
        <v/>
      </c>
      <c r="U217" s="73" t="str">
        <f t="shared" si="71"/>
        <v/>
      </c>
      <c r="V217" s="73" t="str">
        <f t="shared" si="71"/>
        <v/>
      </c>
      <c r="W217" s="73" t="str">
        <f t="shared" si="71"/>
        <v/>
      </c>
      <c r="X217" s="73" t="str">
        <f t="shared" si="71"/>
        <v/>
      </c>
      <c r="Y217" s="73" t="str">
        <f t="shared" si="71"/>
        <v/>
      </c>
      <c r="Z217" s="73" t="str">
        <f t="shared" si="71"/>
        <v/>
      </c>
      <c r="AA217" s="73" t="str">
        <f t="shared" si="71"/>
        <v/>
      </c>
      <c r="AB217" s="74" t="str">
        <f t="shared" si="71"/>
        <v/>
      </c>
      <c r="AC217" s="35" t="str">
        <f t="shared" si="73"/>
        <v/>
      </c>
      <c r="AD217" s="40" t="str">
        <f t="shared" si="74"/>
        <v/>
      </c>
      <c r="AE217" s="37" t="str">
        <f t="shared" si="75"/>
        <v/>
      </c>
      <c r="AF217" s="40" t="str">
        <f t="shared" si="76"/>
        <v/>
      </c>
      <c r="AG217" s="37" t="str">
        <f t="shared" si="77"/>
        <v/>
      </c>
      <c r="AH217" s="40" t="str">
        <f t="shared" si="78"/>
        <v/>
      </c>
      <c r="AI217" s="37" t="str">
        <f t="shared" si="79"/>
        <v/>
      </c>
      <c r="AJ217" s="40" t="str">
        <f t="shared" si="80"/>
        <v/>
      </c>
      <c r="AK217" s="33" t="str">
        <f>IF(SEM!AK217="","",SEM!AK217)</f>
        <v/>
      </c>
      <c r="AL217" s="6"/>
      <c r="AM217" s="79" t="str">
        <f t="shared" si="69"/>
        <v/>
      </c>
      <c r="AR217" s="5"/>
      <c r="AU217" s="198"/>
      <c r="AV217" s="198"/>
      <c r="AW217" s="198"/>
      <c r="AX217" s="198"/>
    </row>
    <row r="218" spans="2:50" ht="17.25" customHeight="1" x14ac:dyDescent="0.2">
      <c r="B218" s="6"/>
      <c r="C218" s="49" t="str">
        <f>IF(SEM!C218="","",SEM!C218)</f>
        <v/>
      </c>
      <c r="D218" s="220" t="str">
        <f>IF(C218="","",VLOOKUP(SEM!C218,FROTA!$B$5:$C$305,2,0))</f>
        <v/>
      </c>
      <c r="E218" s="24" t="str">
        <f>IF(C218="","",VLOOKUP(C218,FROTA!$B$5:$N$305,7,0))</f>
        <v/>
      </c>
      <c r="F218" s="38" t="str">
        <f t="shared" si="60"/>
        <v/>
      </c>
      <c r="G218" s="71" t="str">
        <f t="shared" si="70"/>
        <v/>
      </c>
      <c r="H218" s="32" t="str">
        <f t="shared" si="81"/>
        <v/>
      </c>
      <c r="I218" s="73" t="str">
        <f t="shared" si="81"/>
        <v/>
      </c>
      <c r="J218" s="73" t="str">
        <f t="shared" si="81"/>
        <v/>
      </c>
      <c r="K218" s="73" t="str">
        <f t="shared" si="72"/>
        <v/>
      </c>
      <c r="L218" s="73" t="str">
        <f t="shared" si="72"/>
        <v/>
      </c>
      <c r="M218" s="73" t="str">
        <f t="shared" si="72"/>
        <v/>
      </c>
      <c r="N218" s="73" t="str">
        <f t="shared" si="72"/>
        <v/>
      </c>
      <c r="O218" s="73" t="str">
        <f t="shared" si="72"/>
        <v/>
      </c>
      <c r="P218" s="73" t="str">
        <f t="shared" si="72"/>
        <v/>
      </c>
      <c r="Q218" s="73" t="str">
        <f t="shared" si="72"/>
        <v/>
      </c>
      <c r="R218" s="73" t="str">
        <f t="shared" si="71"/>
        <v/>
      </c>
      <c r="S218" s="73" t="str">
        <f t="shared" si="71"/>
        <v/>
      </c>
      <c r="T218" s="73" t="str">
        <f t="shared" si="71"/>
        <v/>
      </c>
      <c r="U218" s="73" t="str">
        <f t="shared" si="71"/>
        <v/>
      </c>
      <c r="V218" s="73" t="str">
        <f t="shared" si="71"/>
        <v/>
      </c>
      <c r="W218" s="73" t="str">
        <f t="shared" si="71"/>
        <v/>
      </c>
      <c r="X218" s="73" t="str">
        <f t="shared" si="71"/>
        <v/>
      </c>
      <c r="Y218" s="73" t="str">
        <f t="shared" si="71"/>
        <v/>
      </c>
      <c r="Z218" s="73" t="str">
        <f t="shared" si="71"/>
        <v/>
      </c>
      <c r="AA218" s="73" t="str">
        <f t="shared" si="71"/>
        <v/>
      </c>
      <c r="AB218" s="74" t="str">
        <f t="shared" si="71"/>
        <v/>
      </c>
      <c r="AC218" s="35" t="str">
        <f t="shared" si="73"/>
        <v/>
      </c>
      <c r="AD218" s="40" t="str">
        <f t="shared" si="74"/>
        <v/>
      </c>
      <c r="AE218" s="37" t="str">
        <f t="shared" si="75"/>
        <v/>
      </c>
      <c r="AF218" s="40" t="str">
        <f t="shared" si="76"/>
        <v/>
      </c>
      <c r="AG218" s="37" t="str">
        <f t="shared" si="77"/>
        <v/>
      </c>
      <c r="AH218" s="40" t="str">
        <f t="shared" si="78"/>
        <v/>
      </c>
      <c r="AI218" s="37" t="str">
        <f t="shared" si="79"/>
        <v/>
      </c>
      <c r="AJ218" s="40" t="str">
        <f t="shared" si="80"/>
        <v/>
      </c>
      <c r="AK218" s="33" t="str">
        <f>IF(SEM!AK218="","",SEM!AK218)</f>
        <v/>
      </c>
      <c r="AL218" s="6"/>
      <c r="AM218" s="79" t="str">
        <f t="shared" si="69"/>
        <v/>
      </c>
      <c r="AR218" s="5"/>
      <c r="AU218" s="198"/>
      <c r="AV218" s="198"/>
      <c r="AW218" s="198"/>
      <c r="AX218" s="198"/>
    </row>
    <row r="219" spans="2:50" ht="17.25" customHeight="1" x14ac:dyDescent="0.2">
      <c r="B219" s="6"/>
      <c r="C219" s="49" t="str">
        <f>IF(SEM!C219="","",SEM!C219)</f>
        <v/>
      </c>
      <c r="D219" s="220" t="str">
        <f>IF(C219="","",VLOOKUP(SEM!C219,FROTA!$B$5:$C$305,2,0))</f>
        <v/>
      </c>
      <c r="E219" s="24" t="str">
        <f>IF(C219="","",VLOOKUP(C219,FROTA!$B$5:$N$305,7,0))</f>
        <v/>
      </c>
      <c r="F219" s="38" t="str">
        <f t="shared" si="60"/>
        <v/>
      </c>
      <c r="G219" s="71" t="str">
        <f t="shared" si="70"/>
        <v/>
      </c>
      <c r="H219" s="32" t="str">
        <f t="shared" si="81"/>
        <v/>
      </c>
      <c r="I219" s="73" t="str">
        <f t="shared" si="81"/>
        <v/>
      </c>
      <c r="J219" s="73" t="str">
        <f t="shared" si="81"/>
        <v/>
      </c>
      <c r="K219" s="73" t="str">
        <f t="shared" si="72"/>
        <v/>
      </c>
      <c r="L219" s="73" t="str">
        <f t="shared" si="72"/>
        <v/>
      </c>
      <c r="M219" s="73" t="str">
        <f t="shared" si="72"/>
        <v/>
      </c>
      <c r="N219" s="73" t="str">
        <f t="shared" si="72"/>
        <v/>
      </c>
      <c r="O219" s="73" t="str">
        <f t="shared" si="72"/>
        <v/>
      </c>
      <c r="P219" s="73" t="str">
        <f t="shared" si="72"/>
        <v/>
      </c>
      <c r="Q219" s="73" t="str">
        <f t="shared" si="72"/>
        <v/>
      </c>
      <c r="R219" s="73" t="str">
        <f t="shared" si="71"/>
        <v/>
      </c>
      <c r="S219" s="73" t="str">
        <f t="shared" si="71"/>
        <v/>
      </c>
      <c r="T219" s="73" t="str">
        <f t="shared" si="71"/>
        <v/>
      </c>
      <c r="U219" s="73" t="str">
        <f t="shared" si="71"/>
        <v/>
      </c>
      <c r="V219" s="73" t="str">
        <f t="shared" si="71"/>
        <v/>
      </c>
      <c r="W219" s="73" t="str">
        <f t="shared" si="71"/>
        <v/>
      </c>
      <c r="X219" s="73" t="str">
        <f t="shared" si="71"/>
        <v/>
      </c>
      <c r="Y219" s="73" t="str">
        <f t="shared" si="71"/>
        <v/>
      </c>
      <c r="Z219" s="73" t="str">
        <f t="shared" si="71"/>
        <v/>
      </c>
      <c r="AA219" s="73" t="str">
        <f t="shared" si="71"/>
        <v/>
      </c>
      <c r="AB219" s="74" t="str">
        <f t="shared" si="71"/>
        <v/>
      </c>
      <c r="AC219" s="35" t="str">
        <f t="shared" si="73"/>
        <v/>
      </c>
      <c r="AD219" s="40" t="str">
        <f t="shared" si="74"/>
        <v/>
      </c>
      <c r="AE219" s="37" t="str">
        <f t="shared" si="75"/>
        <v/>
      </c>
      <c r="AF219" s="40" t="str">
        <f t="shared" si="76"/>
        <v/>
      </c>
      <c r="AG219" s="37" t="str">
        <f t="shared" si="77"/>
        <v/>
      </c>
      <c r="AH219" s="40" t="str">
        <f t="shared" si="78"/>
        <v/>
      </c>
      <c r="AI219" s="37" t="str">
        <f t="shared" si="79"/>
        <v/>
      </c>
      <c r="AJ219" s="40" t="str">
        <f t="shared" si="80"/>
        <v/>
      </c>
      <c r="AK219" s="33" t="str">
        <f>IF(SEM!AK219="","",SEM!AK219)</f>
        <v/>
      </c>
      <c r="AL219" s="6"/>
      <c r="AM219" s="79" t="str">
        <f t="shared" si="69"/>
        <v/>
      </c>
      <c r="AR219" s="5"/>
      <c r="AU219" s="198"/>
      <c r="AV219" s="198"/>
      <c r="AW219" s="198"/>
      <c r="AX219" s="198"/>
    </row>
    <row r="220" spans="2:50" ht="17.25" customHeight="1" x14ac:dyDescent="0.2">
      <c r="B220" s="6"/>
      <c r="C220" s="49" t="str">
        <f>IF(SEM!C220="","",SEM!C220)</f>
        <v/>
      </c>
      <c r="D220" s="220" t="str">
        <f>IF(C220="","",VLOOKUP(SEM!C220,FROTA!$B$5:$C$305,2,0))</f>
        <v/>
      </c>
      <c r="E220" s="24" t="str">
        <f>IF(C220="","",VLOOKUP(C220,FROTA!$B$5:$N$305,7,0))</f>
        <v/>
      </c>
      <c r="F220" s="38" t="str">
        <f t="shared" si="60"/>
        <v/>
      </c>
      <c r="G220" s="71" t="str">
        <f t="shared" si="70"/>
        <v/>
      </c>
      <c r="H220" s="32" t="str">
        <f t="shared" si="81"/>
        <v/>
      </c>
      <c r="I220" s="73" t="str">
        <f t="shared" si="81"/>
        <v/>
      </c>
      <c r="J220" s="73" t="str">
        <f t="shared" si="81"/>
        <v/>
      </c>
      <c r="K220" s="73" t="str">
        <f t="shared" si="72"/>
        <v/>
      </c>
      <c r="L220" s="73" t="str">
        <f t="shared" si="72"/>
        <v/>
      </c>
      <c r="M220" s="73" t="str">
        <f t="shared" si="72"/>
        <v/>
      </c>
      <c r="N220" s="73" t="str">
        <f t="shared" si="72"/>
        <v/>
      </c>
      <c r="O220" s="73" t="str">
        <f t="shared" si="72"/>
        <v/>
      </c>
      <c r="P220" s="73" t="str">
        <f t="shared" si="72"/>
        <v/>
      </c>
      <c r="Q220" s="73" t="str">
        <f t="shared" si="72"/>
        <v/>
      </c>
      <c r="R220" s="73" t="str">
        <f t="shared" si="71"/>
        <v/>
      </c>
      <c r="S220" s="73" t="str">
        <f t="shared" si="71"/>
        <v/>
      </c>
      <c r="T220" s="73" t="str">
        <f t="shared" si="71"/>
        <v/>
      </c>
      <c r="U220" s="73" t="str">
        <f t="shared" si="71"/>
        <v/>
      </c>
      <c r="V220" s="73" t="str">
        <f t="shared" si="71"/>
        <v/>
      </c>
      <c r="W220" s="73" t="str">
        <f t="shared" si="71"/>
        <v/>
      </c>
      <c r="X220" s="73" t="str">
        <f t="shared" si="71"/>
        <v/>
      </c>
      <c r="Y220" s="73" t="str">
        <f t="shared" si="71"/>
        <v/>
      </c>
      <c r="Z220" s="73" t="str">
        <f t="shared" si="71"/>
        <v/>
      </c>
      <c r="AA220" s="73" t="str">
        <f t="shared" si="71"/>
        <v/>
      </c>
      <c r="AB220" s="74" t="str">
        <f t="shared" si="71"/>
        <v/>
      </c>
      <c r="AC220" s="35" t="str">
        <f t="shared" si="73"/>
        <v/>
      </c>
      <c r="AD220" s="40" t="str">
        <f t="shared" si="74"/>
        <v/>
      </c>
      <c r="AE220" s="37" t="str">
        <f t="shared" si="75"/>
        <v/>
      </c>
      <c r="AF220" s="40" t="str">
        <f t="shared" si="76"/>
        <v/>
      </c>
      <c r="AG220" s="37" t="str">
        <f t="shared" si="77"/>
        <v/>
      </c>
      <c r="AH220" s="40" t="str">
        <f t="shared" si="78"/>
        <v/>
      </c>
      <c r="AI220" s="37" t="str">
        <f t="shared" si="79"/>
        <v/>
      </c>
      <c r="AJ220" s="40" t="str">
        <f t="shared" si="80"/>
        <v/>
      </c>
      <c r="AK220" s="33" t="str">
        <f>IF(SEM!AK220="","",SEM!AK220)</f>
        <v/>
      </c>
      <c r="AL220" s="6"/>
      <c r="AM220" s="79" t="str">
        <f t="shared" si="69"/>
        <v/>
      </c>
      <c r="AR220" s="5"/>
      <c r="AU220" s="198"/>
      <c r="AV220" s="198"/>
      <c r="AW220" s="198"/>
      <c r="AX220" s="198"/>
    </row>
    <row r="221" spans="2:50" ht="17.25" customHeight="1" x14ac:dyDescent="0.2">
      <c r="B221" s="6"/>
      <c r="C221" s="49" t="str">
        <f>IF(SEM!C221="","",SEM!C221)</f>
        <v/>
      </c>
      <c r="D221" s="220" t="str">
        <f>IF(C221="","",VLOOKUP(SEM!C221,FROTA!$B$5:$C$305,2,0))</f>
        <v/>
      </c>
      <c r="E221" s="24" t="str">
        <f>IF(C221="","",VLOOKUP(C221,FROTA!$B$5:$N$305,7,0))</f>
        <v/>
      </c>
      <c r="F221" s="38" t="str">
        <f t="shared" si="60"/>
        <v/>
      </c>
      <c r="G221" s="71" t="str">
        <f t="shared" si="70"/>
        <v/>
      </c>
      <c r="H221" s="32" t="str">
        <f t="shared" si="81"/>
        <v/>
      </c>
      <c r="I221" s="73" t="str">
        <f t="shared" si="81"/>
        <v/>
      </c>
      <c r="J221" s="73" t="str">
        <f t="shared" si="81"/>
        <v/>
      </c>
      <c r="K221" s="73" t="str">
        <f t="shared" si="72"/>
        <v/>
      </c>
      <c r="L221" s="73" t="str">
        <f t="shared" si="72"/>
        <v/>
      </c>
      <c r="M221" s="73" t="str">
        <f t="shared" si="72"/>
        <v/>
      </c>
      <c r="N221" s="73" t="str">
        <f t="shared" si="72"/>
        <v/>
      </c>
      <c r="O221" s="73" t="str">
        <f t="shared" si="72"/>
        <v/>
      </c>
      <c r="P221" s="73" t="str">
        <f t="shared" si="72"/>
        <v/>
      </c>
      <c r="Q221" s="73" t="str">
        <f t="shared" si="72"/>
        <v/>
      </c>
      <c r="R221" s="73" t="str">
        <f t="shared" si="71"/>
        <v/>
      </c>
      <c r="S221" s="73" t="str">
        <f t="shared" si="71"/>
        <v/>
      </c>
      <c r="T221" s="73" t="str">
        <f t="shared" si="71"/>
        <v/>
      </c>
      <c r="U221" s="73" t="str">
        <f t="shared" si="71"/>
        <v/>
      </c>
      <c r="V221" s="73" t="str">
        <f t="shared" si="71"/>
        <v/>
      </c>
      <c r="W221" s="73" t="str">
        <f t="shared" si="71"/>
        <v/>
      </c>
      <c r="X221" s="73" t="str">
        <f t="shared" si="71"/>
        <v/>
      </c>
      <c r="Y221" s="73" t="str">
        <f t="shared" si="71"/>
        <v/>
      </c>
      <c r="Z221" s="73" t="str">
        <f t="shared" si="71"/>
        <v/>
      </c>
      <c r="AA221" s="73" t="str">
        <f t="shared" si="71"/>
        <v/>
      </c>
      <c r="AB221" s="74" t="str">
        <f t="shared" si="71"/>
        <v/>
      </c>
      <c r="AC221" s="35" t="str">
        <f t="shared" si="73"/>
        <v/>
      </c>
      <c r="AD221" s="40" t="str">
        <f t="shared" si="74"/>
        <v/>
      </c>
      <c r="AE221" s="37" t="str">
        <f t="shared" si="75"/>
        <v/>
      </c>
      <c r="AF221" s="40" t="str">
        <f t="shared" si="76"/>
        <v/>
      </c>
      <c r="AG221" s="37" t="str">
        <f t="shared" si="77"/>
        <v/>
      </c>
      <c r="AH221" s="40" t="str">
        <f t="shared" si="78"/>
        <v/>
      </c>
      <c r="AI221" s="37" t="str">
        <f t="shared" si="79"/>
        <v/>
      </c>
      <c r="AJ221" s="40" t="str">
        <f t="shared" si="80"/>
        <v/>
      </c>
      <c r="AK221" s="33" t="str">
        <f>IF(SEM!AK221="","",SEM!AK221)</f>
        <v/>
      </c>
      <c r="AL221" s="6"/>
      <c r="AM221" s="79" t="str">
        <f t="shared" si="69"/>
        <v/>
      </c>
      <c r="AR221" s="5"/>
      <c r="AU221" s="198"/>
      <c r="AV221" s="198"/>
      <c r="AW221" s="198"/>
      <c r="AX221" s="198"/>
    </row>
    <row r="222" spans="2:50" ht="17.25" customHeight="1" x14ac:dyDescent="0.2">
      <c r="B222" s="6"/>
      <c r="C222" s="49" t="str">
        <f>IF(SEM!C222="","",SEM!C222)</f>
        <v/>
      </c>
      <c r="D222" s="220" t="str">
        <f>IF(C222="","",VLOOKUP(SEM!C222,FROTA!$B$5:$C$305,2,0))</f>
        <v/>
      </c>
      <c r="E222" s="24" t="str">
        <f>IF(C222="","",VLOOKUP(C222,FROTA!$B$5:$N$305,7,0))</f>
        <v/>
      </c>
      <c r="F222" s="38" t="str">
        <f t="shared" si="60"/>
        <v/>
      </c>
      <c r="G222" s="71" t="str">
        <f t="shared" si="70"/>
        <v/>
      </c>
      <c r="H222" s="32" t="str">
        <f t="shared" si="81"/>
        <v/>
      </c>
      <c r="I222" s="73" t="str">
        <f t="shared" si="81"/>
        <v/>
      </c>
      <c r="J222" s="73" t="str">
        <f t="shared" si="81"/>
        <v/>
      </c>
      <c r="K222" s="73" t="str">
        <f t="shared" si="72"/>
        <v/>
      </c>
      <c r="L222" s="73" t="str">
        <f t="shared" si="72"/>
        <v/>
      </c>
      <c r="M222" s="73" t="str">
        <f t="shared" si="72"/>
        <v/>
      </c>
      <c r="N222" s="73" t="str">
        <f t="shared" si="72"/>
        <v/>
      </c>
      <c r="O222" s="73" t="str">
        <f t="shared" si="72"/>
        <v/>
      </c>
      <c r="P222" s="73" t="str">
        <f t="shared" si="72"/>
        <v/>
      </c>
      <c r="Q222" s="73" t="str">
        <f t="shared" si="72"/>
        <v/>
      </c>
      <c r="R222" s="73" t="str">
        <f t="shared" si="71"/>
        <v/>
      </c>
      <c r="S222" s="73" t="str">
        <f t="shared" si="71"/>
        <v/>
      </c>
      <c r="T222" s="73" t="str">
        <f t="shared" si="71"/>
        <v/>
      </c>
      <c r="U222" s="73" t="str">
        <f t="shared" si="71"/>
        <v/>
      </c>
      <c r="V222" s="73" t="str">
        <f t="shared" si="71"/>
        <v/>
      </c>
      <c r="W222" s="73" t="str">
        <f t="shared" si="71"/>
        <v/>
      </c>
      <c r="X222" s="73" t="str">
        <f t="shared" si="71"/>
        <v/>
      </c>
      <c r="Y222" s="73" t="str">
        <f t="shared" si="71"/>
        <v/>
      </c>
      <c r="Z222" s="73" t="str">
        <f t="shared" si="71"/>
        <v/>
      </c>
      <c r="AA222" s="73" t="str">
        <f t="shared" si="71"/>
        <v/>
      </c>
      <c r="AB222" s="74" t="str">
        <f t="shared" si="71"/>
        <v/>
      </c>
      <c r="AC222" s="35" t="str">
        <f t="shared" si="73"/>
        <v/>
      </c>
      <c r="AD222" s="40" t="str">
        <f t="shared" si="74"/>
        <v/>
      </c>
      <c r="AE222" s="37" t="str">
        <f t="shared" si="75"/>
        <v/>
      </c>
      <c r="AF222" s="40" t="str">
        <f t="shared" si="76"/>
        <v/>
      </c>
      <c r="AG222" s="37" t="str">
        <f t="shared" si="77"/>
        <v/>
      </c>
      <c r="AH222" s="40" t="str">
        <f t="shared" si="78"/>
        <v/>
      </c>
      <c r="AI222" s="37" t="str">
        <f t="shared" si="79"/>
        <v/>
      </c>
      <c r="AJ222" s="40" t="str">
        <f t="shared" si="80"/>
        <v/>
      </c>
      <c r="AK222" s="33" t="str">
        <f>IF(SEM!AK222="","",SEM!AK222)</f>
        <v/>
      </c>
      <c r="AL222" s="6"/>
      <c r="AM222" s="79" t="str">
        <f t="shared" si="69"/>
        <v/>
      </c>
      <c r="AR222" s="5"/>
      <c r="AU222" s="198"/>
      <c r="AV222" s="198"/>
      <c r="AW222" s="198"/>
      <c r="AX222" s="198"/>
    </row>
    <row r="223" spans="2:50" ht="17.25" customHeight="1" x14ac:dyDescent="0.2">
      <c r="B223" s="6"/>
      <c r="C223" s="49" t="str">
        <f>IF(SEM!C223="","",SEM!C223)</f>
        <v/>
      </c>
      <c r="D223" s="220" t="str">
        <f>IF(C223="","",VLOOKUP(SEM!C223,FROTA!$B$5:$C$305,2,0))</f>
        <v/>
      </c>
      <c r="E223" s="24" t="str">
        <f>IF(C223="","",VLOOKUP(C223,FROTA!$B$5:$N$305,7,0))</f>
        <v/>
      </c>
      <c r="F223" s="38" t="str">
        <f t="shared" si="60"/>
        <v/>
      </c>
      <c r="G223" s="71" t="str">
        <f t="shared" si="70"/>
        <v/>
      </c>
      <c r="H223" s="32" t="str">
        <f t="shared" si="81"/>
        <v/>
      </c>
      <c r="I223" s="73" t="str">
        <f t="shared" si="81"/>
        <v/>
      </c>
      <c r="J223" s="73" t="str">
        <f t="shared" si="81"/>
        <v/>
      </c>
      <c r="K223" s="73" t="str">
        <f t="shared" si="72"/>
        <v/>
      </c>
      <c r="L223" s="73" t="str">
        <f t="shared" si="72"/>
        <v/>
      </c>
      <c r="M223" s="73" t="str">
        <f t="shared" si="72"/>
        <v/>
      </c>
      <c r="N223" s="73" t="str">
        <f t="shared" si="72"/>
        <v/>
      </c>
      <c r="O223" s="73" t="str">
        <f t="shared" si="72"/>
        <v/>
      </c>
      <c r="P223" s="73" t="str">
        <f t="shared" si="72"/>
        <v/>
      </c>
      <c r="Q223" s="73" t="str">
        <f t="shared" si="72"/>
        <v/>
      </c>
      <c r="R223" s="73" t="str">
        <f t="shared" si="71"/>
        <v/>
      </c>
      <c r="S223" s="73" t="str">
        <f t="shared" si="71"/>
        <v/>
      </c>
      <c r="T223" s="73" t="str">
        <f t="shared" si="71"/>
        <v/>
      </c>
      <c r="U223" s="73" t="str">
        <f t="shared" si="71"/>
        <v/>
      </c>
      <c r="V223" s="73" t="str">
        <f t="shared" si="71"/>
        <v/>
      </c>
      <c r="W223" s="73" t="str">
        <f t="shared" si="71"/>
        <v/>
      </c>
      <c r="X223" s="73" t="str">
        <f t="shared" si="71"/>
        <v/>
      </c>
      <c r="Y223" s="73" t="str">
        <f t="shared" si="71"/>
        <v/>
      </c>
      <c r="Z223" s="73" t="str">
        <f t="shared" si="71"/>
        <v/>
      </c>
      <c r="AA223" s="73" t="str">
        <f t="shared" si="71"/>
        <v/>
      </c>
      <c r="AB223" s="74" t="str">
        <f t="shared" si="71"/>
        <v/>
      </c>
      <c r="AC223" s="35" t="str">
        <f t="shared" si="73"/>
        <v/>
      </c>
      <c r="AD223" s="40" t="str">
        <f t="shared" si="74"/>
        <v/>
      </c>
      <c r="AE223" s="37" t="str">
        <f t="shared" si="75"/>
        <v/>
      </c>
      <c r="AF223" s="40" t="str">
        <f t="shared" si="76"/>
        <v/>
      </c>
      <c r="AG223" s="37" t="str">
        <f t="shared" si="77"/>
        <v/>
      </c>
      <c r="AH223" s="40" t="str">
        <f t="shared" si="78"/>
        <v/>
      </c>
      <c r="AI223" s="37" t="str">
        <f t="shared" si="79"/>
        <v/>
      </c>
      <c r="AJ223" s="40" t="str">
        <f t="shared" si="80"/>
        <v/>
      </c>
      <c r="AK223" s="33" t="str">
        <f>IF(SEM!AK223="","",SEM!AK223)</f>
        <v/>
      </c>
      <c r="AL223" s="6"/>
      <c r="AM223" s="79" t="str">
        <f t="shared" si="69"/>
        <v/>
      </c>
      <c r="AR223" s="5"/>
      <c r="AU223" s="198"/>
      <c r="AV223" s="198"/>
      <c r="AW223" s="198"/>
      <c r="AX223" s="198"/>
    </row>
    <row r="224" spans="2:50" ht="17.25" customHeight="1" x14ac:dyDescent="0.2">
      <c r="B224" s="6"/>
      <c r="C224" s="49" t="str">
        <f>IF(SEM!C224="","",SEM!C224)</f>
        <v/>
      </c>
      <c r="D224" s="220" t="str">
        <f>IF(C224="","",VLOOKUP(SEM!C224,FROTA!$B$5:$C$305,2,0))</f>
        <v/>
      </c>
      <c r="E224" s="24" t="str">
        <f>IF(C224="","",VLOOKUP(C224,FROTA!$B$5:$N$305,7,0))</f>
        <v/>
      </c>
      <c r="F224" s="38" t="str">
        <f t="shared" si="60"/>
        <v/>
      </c>
      <c r="G224" s="71" t="str">
        <f t="shared" si="70"/>
        <v/>
      </c>
      <c r="H224" s="32" t="str">
        <f t="shared" si="81"/>
        <v/>
      </c>
      <c r="I224" s="73" t="str">
        <f t="shared" si="81"/>
        <v/>
      </c>
      <c r="J224" s="73" t="str">
        <f t="shared" si="81"/>
        <v/>
      </c>
      <c r="K224" s="73" t="str">
        <f t="shared" si="72"/>
        <v/>
      </c>
      <c r="L224" s="73" t="str">
        <f t="shared" si="72"/>
        <v/>
      </c>
      <c r="M224" s="73" t="str">
        <f t="shared" si="72"/>
        <v/>
      </c>
      <c r="N224" s="73" t="str">
        <f t="shared" si="72"/>
        <v/>
      </c>
      <c r="O224" s="73" t="str">
        <f t="shared" si="72"/>
        <v/>
      </c>
      <c r="P224" s="73" t="str">
        <f t="shared" si="72"/>
        <v/>
      </c>
      <c r="Q224" s="73" t="str">
        <f t="shared" si="72"/>
        <v/>
      </c>
      <c r="R224" s="73" t="str">
        <f t="shared" si="71"/>
        <v/>
      </c>
      <c r="S224" s="73" t="str">
        <f t="shared" si="71"/>
        <v/>
      </c>
      <c r="T224" s="73" t="str">
        <f t="shared" si="71"/>
        <v/>
      </c>
      <c r="U224" s="73" t="str">
        <f t="shared" si="71"/>
        <v/>
      </c>
      <c r="V224" s="73" t="str">
        <f t="shared" si="71"/>
        <v/>
      </c>
      <c r="W224" s="73" t="str">
        <f t="shared" si="71"/>
        <v/>
      </c>
      <c r="X224" s="73" t="str">
        <f t="shared" si="71"/>
        <v/>
      </c>
      <c r="Y224" s="73" t="str">
        <f t="shared" si="71"/>
        <v/>
      </c>
      <c r="Z224" s="73" t="str">
        <f t="shared" si="71"/>
        <v/>
      </c>
      <c r="AA224" s="73" t="str">
        <f t="shared" ref="R224:AB247" si="82">IF($C224="","",IF(SUM(AA$307*$G224)&gt;$F224,$F224,SUM(AA$307*$G224)))</f>
        <v/>
      </c>
      <c r="AB224" s="74" t="str">
        <f t="shared" si="82"/>
        <v/>
      </c>
      <c r="AC224" s="35" t="str">
        <f t="shared" si="73"/>
        <v/>
      </c>
      <c r="AD224" s="40" t="str">
        <f t="shared" si="74"/>
        <v/>
      </c>
      <c r="AE224" s="37" t="str">
        <f t="shared" si="75"/>
        <v/>
      </c>
      <c r="AF224" s="40" t="str">
        <f t="shared" si="76"/>
        <v/>
      </c>
      <c r="AG224" s="37" t="str">
        <f t="shared" si="77"/>
        <v/>
      </c>
      <c r="AH224" s="40" t="str">
        <f t="shared" si="78"/>
        <v/>
      </c>
      <c r="AI224" s="37" t="str">
        <f t="shared" si="79"/>
        <v/>
      </c>
      <c r="AJ224" s="40" t="str">
        <f t="shared" si="80"/>
        <v/>
      </c>
      <c r="AK224" s="33" t="str">
        <f>IF(SEM!AK224="","",SEM!AK224)</f>
        <v/>
      </c>
      <c r="AL224" s="6"/>
      <c r="AM224" s="79" t="str">
        <f t="shared" si="69"/>
        <v/>
      </c>
      <c r="AR224" s="5"/>
      <c r="AU224" s="198"/>
      <c r="AV224" s="198"/>
      <c r="AW224" s="198"/>
      <c r="AX224" s="198"/>
    </row>
    <row r="225" spans="2:50" ht="17.25" customHeight="1" x14ac:dyDescent="0.2">
      <c r="B225" s="6"/>
      <c r="C225" s="49" t="str">
        <f>IF(SEM!C225="","",SEM!C225)</f>
        <v/>
      </c>
      <c r="D225" s="220" t="str">
        <f>IF(C225="","",VLOOKUP(SEM!C225,FROTA!$B$5:$C$305,2,0))</f>
        <v/>
      </c>
      <c r="E225" s="24" t="str">
        <f>IF(C225="","",VLOOKUP(C225,FROTA!$B$5:$N$305,7,0))</f>
        <v/>
      </c>
      <c r="F225" s="38" t="str">
        <f t="shared" si="60"/>
        <v/>
      </c>
      <c r="G225" s="71" t="str">
        <f t="shared" si="70"/>
        <v/>
      </c>
      <c r="H225" s="32" t="str">
        <f t="shared" si="81"/>
        <v/>
      </c>
      <c r="I225" s="73" t="str">
        <f t="shared" si="81"/>
        <v/>
      </c>
      <c r="J225" s="73" t="str">
        <f t="shared" si="81"/>
        <v/>
      </c>
      <c r="K225" s="73" t="str">
        <f t="shared" si="72"/>
        <v/>
      </c>
      <c r="L225" s="73" t="str">
        <f t="shared" si="72"/>
        <v/>
      </c>
      <c r="M225" s="73" t="str">
        <f t="shared" si="72"/>
        <v/>
      </c>
      <c r="N225" s="73" t="str">
        <f t="shared" si="72"/>
        <v/>
      </c>
      <c r="O225" s="73" t="str">
        <f t="shared" si="72"/>
        <v/>
      </c>
      <c r="P225" s="73" t="str">
        <f t="shared" si="72"/>
        <v/>
      </c>
      <c r="Q225" s="73" t="str">
        <f t="shared" si="72"/>
        <v/>
      </c>
      <c r="R225" s="73" t="str">
        <f t="shared" si="82"/>
        <v/>
      </c>
      <c r="S225" s="73" t="str">
        <f t="shared" si="82"/>
        <v/>
      </c>
      <c r="T225" s="73" t="str">
        <f t="shared" si="82"/>
        <v/>
      </c>
      <c r="U225" s="73" t="str">
        <f t="shared" si="82"/>
        <v/>
      </c>
      <c r="V225" s="73" t="str">
        <f t="shared" si="82"/>
        <v/>
      </c>
      <c r="W225" s="73" t="str">
        <f t="shared" si="82"/>
        <v/>
      </c>
      <c r="X225" s="73" t="str">
        <f t="shared" si="82"/>
        <v/>
      </c>
      <c r="Y225" s="73" t="str">
        <f t="shared" si="82"/>
        <v/>
      </c>
      <c r="Z225" s="73" t="str">
        <f t="shared" si="82"/>
        <v/>
      </c>
      <c r="AA225" s="73" t="str">
        <f t="shared" si="82"/>
        <v/>
      </c>
      <c r="AB225" s="74" t="str">
        <f t="shared" si="82"/>
        <v/>
      </c>
      <c r="AC225" s="35" t="str">
        <f t="shared" si="73"/>
        <v/>
      </c>
      <c r="AD225" s="40" t="str">
        <f t="shared" si="74"/>
        <v/>
      </c>
      <c r="AE225" s="37" t="str">
        <f t="shared" si="75"/>
        <v/>
      </c>
      <c r="AF225" s="40" t="str">
        <f t="shared" si="76"/>
        <v/>
      </c>
      <c r="AG225" s="37" t="str">
        <f t="shared" si="77"/>
        <v/>
      </c>
      <c r="AH225" s="40" t="str">
        <f t="shared" si="78"/>
        <v/>
      </c>
      <c r="AI225" s="37" t="str">
        <f t="shared" si="79"/>
        <v/>
      </c>
      <c r="AJ225" s="40" t="str">
        <f t="shared" si="80"/>
        <v/>
      </c>
      <c r="AK225" s="33" t="str">
        <f>IF(SEM!AK225="","",SEM!AK225)</f>
        <v/>
      </c>
      <c r="AL225" s="6"/>
      <c r="AM225" s="79" t="str">
        <f t="shared" si="69"/>
        <v/>
      </c>
      <c r="AR225" s="5"/>
      <c r="AU225" s="198"/>
      <c r="AV225" s="198"/>
      <c r="AW225" s="198"/>
      <c r="AX225" s="198"/>
    </row>
    <row r="226" spans="2:50" ht="17.25" customHeight="1" x14ac:dyDescent="0.2">
      <c r="B226" s="6"/>
      <c r="C226" s="49" t="str">
        <f>IF(SEM!C226="","",SEM!C226)</f>
        <v/>
      </c>
      <c r="D226" s="220" t="str">
        <f>IF(C226="","",VLOOKUP(SEM!C226,FROTA!$B$5:$C$305,2,0))</f>
        <v/>
      </c>
      <c r="E226" s="24" t="str">
        <f>IF(C226="","",VLOOKUP(C226,FROTA!$B$5:$N$305,7,0))</f>
        <v/>
      </c>
      <c r="F226" s="38" t="str">
        <f t="shared" si="60"/>
        <v/>
      </c>
      <c r="G226" s="71" t="str">
        <f t="shared" si="70"/>
        <v/>
      </c>
      <c r="H226" s="32" t="str">
        <f t="shared" si="81"/>
        <v/>
      </c>
      <c r="I226" s="73" t="str">
        <f t="shared" si="81"/>
        <v/>
      </c>
      <c r="J226" s="73" t="str">
        <f t="shared" si="81"/>
        <v/>
      </c>
      <c r="K226" s="73" t="str">
        <f t="shared" si="72"/>
        <v/>
      </c>
      <c r="L226" s="73" t="str">
        <f t="shared" si="72"/>
        <v/>
      </c>
      <c r="M226" s="73" t="str">
        <f t="shared" si="72"/>
        <v/>
      </c>
      <c r="N226" s="73" t="str">
        <f t="shared" si="72"/>
        <v/>
      </c>
      <c r="O226" s="73" t="str">
        <f t="shared" si="72"/>
        <v/>
      </c>
      <c r="P226" s="73" t="str">
        <f t="shared" si="72"/>
        <v/>
      </c>
      <c r="Q226" s="73" t="str">
        <f t="shared" si="72"/>
        <v/>
      </c>
      <c r="R226" s="73" t="str">
        <f t="shared" si="82"/>
        <v/>
      </c>
      <c r="S226" s="73" t="str">
        <f t="shared" si="82"/>
        <v/>
      </c>
      <c r="T226" s="73" t="str">
        <f t="shared" si="82"/>
        <v/>
      </c>
      <c r="U226" s="73" t="str">
        <f t="shared" si="82"/>
        <v/>
      </c>
      <c r="V226" s="73" t="str">
        <f t="shared" si="82"/>
        <v/>
      </c>
      <c r="W226" s="73" t="str">
        <f t="shared" si="82"/>
        <v/>
      </c>
      <c r="X226" s="73" t="str">
        <f t="shared" si="82"/>
        <v/>
      </c>
      <c r="Y226" s="73" t="str">
        <f t="shared" si="82"/>
        <v/>
      </c>
      <c r="Z226" s="73" t="str">
        <f t="shared" si="82"/>
        <v/>
      </c>
      <c r="AA226" s="73" t="str">
        <f t="shared" si="82"/>
        <v/>
      </c>
      <c r="AB226" s="74" t="str">
        <f t="shared" si="82"/>
        <v/>
      </c>
      <c r="AC226" s="35" t="str">
        <f t="shared" si="73"/>
        <v/>
      </c>
      <c r="AD226" s="40" t="str">
        <f t="shared" si="74"/>
        <v/>
      </c>
      <c r="AE226" s="37" t="str">
        <f t="shared" si="75"/>
        <v/>
      </c>
      <c r="AF226" s="40" t="str">
        <f t="shared" si="76"/>
        <v/>
      </c>
      <c r="AG226" s="37" t="str">
        <f t="shared" si="77"/>
        <v/>
      </c>
      <c r="AH226" s="40" t="str">
        <f t="shared" si="78"/>
        <v/>
      </c>
      <c r="AI226" s="37" t="str">
        <f t="shared" si="79"/>
        <v/>
      </c>
      <c r="AJ226" s="40" t="str">
        <f t="shared" si="80"/>
        <v/>
      </c>
      <c r="AK226" s="33" t="str">
        <f>IF(SEM!AK226="","",SEM!AK226)</f>
        <v/>
      </c>
      <c r="AL226" s="6"/>
      <c r="AM226" s="79" t="str">
        <f t="shared" si="69"/>
        <v/>
      </c>
      <c r="AR226" s="5"/>
      <c r="AU226" s="198"/>
      <c r="AV226" s="198"/>
      <c r="AW226" s="198"/>
      <c r="AX226" s="198"/>
    </row>
    <row r="227" spans="2:50" ht="17.25" customHeight="1" x14ac:dyDescent="0.2">
      <c r="B227" s="6"/>
      <c r="C227" s="49" t="str">
        <f>IF(SEM!C227="","",SEM!C227)</f>
        <v/>
      </c>
      <c r="D227" s="220" t="str">
        <f>IF(C227="","",VLOOKUP(SEM!C227,FROTA!$B$5:$C$305,2,0))</f>
        <v/>
      </c>
      <c r="E227" s="24" t="str">
        <f>IF(C227="","",VLOOKUP(C227,FROTA!$B$5:$N$305,7,0))</f>
        <v/>
      </c>
      <c r="F227" s="38" t="str">
        <f t="shared" si="60"/>
        <v/>
      </c>
      <c r="G227" s="71" t="str">
        <f t="shared" si="70"/>
        <v/>
      </c>
      <c r="H227" s="32" t="str">
        <f t="shared" si="81"/>
        <v/>
      </c>
      <c r="I227" s="73" t="str">
        <f t="shared" si="81"/>
        <v/>
      </c>
      <c r="J227" s="73" t="str">
        <f t="shared" si="81"/>
        <v/>
      </c>
      <c r="K227" s="73" t="str">
        <f t="shared" si="72"/>
        <v/>
      </c>
      <c r="L227" s="73" t="str">
        <f t="shared" si="72"/>
        <v/>
      </c>
      <c r="M227" s="73" t="str">
        <f t="shared" si="72"/>
        <v/>
      </c>
      <c r="N227" s="73" t="str">
        <f t="shared" si="72"/>
        <v/>
      </c>
      <c r="O227" s="73" t="str">
        <f t="shared" si="72"/>
        <v/>
      </c>
      <c r="P227" s="73" t="str">
        <f t="shared" si="72"/>
        <v/>
      </c>
      <c r="Q227" s="73" t="str">
        <f t="shared" si="72"/>
        <v/>
      </c>
      <c r="R227" s="73" t="str">
        <f t="shared" si="82"/>
        <v/>
      </c>
      <c r="S227" s="73" t="str">
        <f t="shared" si="82"/>
        <v/>
      </c>
      <c r="T227" s="73" t="str">
        <f t="shared" si="82"/>
        <v/>
      </c>
      <c r="U227" s="73" t="str">
        <f t="shared" si="82"/>
        <v/>
      </c>
      <c r="V227" s="73" t="str">
        <f t="shared" si="82"/>
        <v/>
      </c>
      <c r="W227" s="73" t="str">
        <f t="shared" si="82"/>
        <v/>
      </c>
      <c r="X227" s="73" t="str">
        <f t="shared" si="82"/>
        <v/>
      </c>
      <c r="Y227" s="73" t="str">
        <f t="shared" si="82"/>
        <v/>
      </c>
      <c r="Z227" s="73" t="str">
        <f t="shared" si="82"/>
        <v/>
      </c>
      <c r="AA227" s="73" t="str">
        <f t="shared" si="82"/>
        <v/>
      </c>
      <c r="AB227" s="74" t="str">
        <f t="shared" si="82"/>
        <v/>
      </c>
      <c r="AC227" s="35" t="str">
        <f t="shared" si="73"/>
        <v/>
      </c>
      <c r="AD227" s="40" t="str">
        <f t="shared" si="74"/>
        <v/>
      </c>
      <c r="AE227" s="37" t="str">
        <f t="shared" si="75"/>
        <v/>
      </c>
      <c r="AF227" s="40" t="str">
        <f t="shared" si="76"/>
        <v/>
      </c>
      <c r="AG227" s="37" t="str">
        <f t="shared" si="77"/>
        <v/>
      </c>
      <c r="AH227" s="40" t="str">
        <f t="shared" si="78"/>
        <v/>
      </c>
      <c r="AI227" s="37" t="str">
        <f t="shared" si="79"/>
        <v/>
      </c>
      <c r="AJ227" s="40" t="str">
        <f t="shared" si="80"/>
        <v/>
      </c>
      <c r="AK227" s="33" t="str">
        <f>IF(SEM!AK227="","",SEM!AK227)</f>
        <v/>
      </c>
      <c r="AL227" s="6"/>
      <c r="AM227" s="79" t="str">
        <f t="shared" si="69"/>
        <v/>
      </c>
      <c r="AR227" s="5"/>
      <c r="AU227" s="198"/>
      <c r="AV227" s="198"/>
      <c r="AW227" s="198"/>
      <c r="AX227" s="198"/>
    </row>
    <row r="228" spans="2:50" ht="17.25" customHeight="1" x14ac:dyDescent="0.2">
      <c r="B228" s="6"/>
      <c r="C228" s="49" t="str">
        <f>IF(SEM!C228="","",SEM!C228)</f>
        <v/>
      </c>
      <c r="D228" s="220" t="str">
        <f>IF(C228="","",VLOOKUP(SEM!C228,FROTA!$B$5:$C$305,2,0))</f>
        <v/>
      </c>
      <c r="E228" s="24" t="str">
        <f>IF(C228="","",VLOOKUP(C228,FROTA!$B$5:$N$305,7,0))</f>
        <v/>
      </c>
      <c r="F228" s="38" t="str">
        <f t="shared" si="60"/>
        <v/>
      </c>
      <c r="G228" s="71" t="str">
        <f t="shared" si="70"/>
        <v/>
      </c>
      <c r="H228" s="32" t="str">
        <f t="shared" si="81"/>
        <v/>
      </c>
      <c r="I228" s="73" t="str">
        <f t="shared" si="81"/>
        <v/>
      </c>
      <c r="J228" s="73" t="str">
        <f t="shared" si="81"/>
        <v/>
      </c>
      <c r="K228" s="73" t="str">
        <f t="shared" si="72"/>
        <v/>
      </c>
      <c r="L228" s="73" t="str">
        <f t="shared" si="72"/>
        <v/>
      </c>
      <c r="M228" s="73" t="str">
        <f t="shared" si="72"/>
        <v/>
      </c>
      <c r="N228" s="73" t="str">
        <f t="shared" si="72"/>
        <v/>
      </c>
      <c r="O228" s="73" t="str">
        <f t="shared" si="72"/>
        <v/>
      </c>
      <c r="P228" s="73" t="str">
        <f t="shared" si="72"/>
        <v/>
      </c>
      <c r="Q228" s="73" t="str">
        <f t="shared" si="72"/>
        <v/>
      </c>
      <c r="R228" s="73" t="str">
        <f t="shared" si="82"/>
        <v/>
      </c>
      <c r="S228" s="73" t="str">
        <f t="shared" si="82"/>
        <v/>
      </c>
      <c r="T228" s="73" t="str">
        <f t="shared" si="82"/>
        <v/>
      </c>
      <c r="U228" s="73" t="str">
        <f t="shared" si="82"/>
        <v/>
      </c>
      <c r="V228" s="73" t="str">
        <f t="shared" si="82"/>
        <v/>
      </c>
      <c r="W228" s="73" t="str">
        <f t="shared" si="82"/>
        <v/>
      </c>
      <c r="X228" s="73" t="str">
        <f t="shared" si="82"/>
        <v/>
      </c>
      <c r="Y228" s="73" t="str">
        <f t="shared" si="82"/>
        <v/>
      </c>
      <c r="Z228" s="73" t="str">
        <f t="shared" si="82"/>
        <v/>
      </c>
      <c r="AA228" s="73" t="str">
        <f t="shared" si="82"/>
        <v/>
      </c>
      <c r="AB228" s="74" t="str">
        <f t="shared" si="82"/>
        <v/>
      </c>
      <c r="AC228" s="35" t="str">
        <f t="shared" si="73"/>
        <v/>
      </c>
      <c r="AD228" s="40" t="str">
        <f t="shared" si="74"/>
        <v/>
      </c>
      <c r="AE228" s="37" t="str">
        <f t="shared" si="75"/>
        <v/>
      </c>
      <c r="AF228" s="40" t="str">
        <f t="shared" si="76"/>
        <v/>
      </c>
      <c r="AG228" s="37" t="str">
        <f t="shared" si="77"/>
        <v/>
      </c>
      <c r="AH228" s="40" t="str">
        <f t="shared" si="78"/>
        <v/>
      </c>
      <c r="AI228" s="37" t="str">
        <f t="shared" si="79"/>
        <v/>
      </c>
      <c r="AJ228" s="40" t="str">
        <f t="shared" si="80"/>
        <v/>
      </c>
      <c r="AK228" s="33" t="str">
        <f>IF(SEM!AK228="","",SEM!AK228)</f>
        <v/>
      </c>
      <c r="AL228" s="6"/>
      <c r="AM228" s="79" t="str">
        <f t="shared" si="69"/>
        <v/>
      </c>
      <c r="AR228" s="5"/>
      <c r="AU228" s="198"/>
      <c r="AV228" s="198"/>
      <c r="AW228" s="198"/>
      <c r="AX228" s="198"/>
    </row>
    <row r="229" spans="2:50" ht="17.25" customHeight="1" x14ac:dyDescent="0.2">
      <c r="B229" s="6"/>
      <c r="C229" s="49" t="str">
        <f>IF(SEM!C229="","",SEM!C229)</f>
        <v/>
      </c>
      <c r="D229" s="220" t="str">
        <f>IF(C229="","",VLOOKUP(SEM!C229,FROTA!$B$5:$C$305,2,0))</f>
        <v/>
      </c>
      <c r="E229" s="24" t="str">
        <f>IF(C229="","",VLOOKUP(C229,FROTA!$B$5:$N$305,7,0))</f>
        <v/>
      </c>
      <c r="F229" s="38" t="str">
        <f t="shared" si="60"/>
        <v/>
      </c>
      <c r="G229" s="71" t="str">
        <f t="shared" si="70"/>
        <v/>
      </c>
      <c r="H229" s="32" t="str">
        <f t="shared" si="81"/>
        <v/>
      </c>
      <c r="I229" s="73" t="str">
        <f t="shared" si="81"/>
        <v/>
      </c>
      <c r="J229" s="73" t="str">
        <f t="shared" si="81"/>
        <v/>
      </c>
      <c r="K229" s="73" t="str">
        <f t="shared" si="72"/>
        <v/>
      </c>
      <c r="L229" s="73" t="str">
        <f t="shared" si="72"/>
        <v/>
      </c>
      <c r="M229" s="73" t="str">
        <f t="shared" si="72"/>
        <v/>
      </c>
      <c r="N229" s="73" t="str">
        <f t="shared" si="72"/>
        <v/>
      </c>
      <c r="O229" s="73" t="str">
        <f t="shared" si="72"/>
        <v/>
      </c>
      <c r="P229" s="73" t="str">
        <f t="shared" si="72"/>
        <v/>
      </c>
      <c r="Q229" s="73" t="str">
        <f t="shared" si="72"/>
        <v/>
      </c>
      <c r="R229" s="73" t="str">
        <f t="shared" si="82"/>
        <v/>
      </c>
      <c r="S229" s="73" t="str">
        <f t="shared" si="82"/>
        <v/>
      </c>
      <c r="T229" s="73" t="str">
        <f t="shared" si="82"/>
        <v/>
      </c>
      <c r="U229" s="73" t="str">
        <f t="shared" si="82"/>
        <v/>
      </c>
      <c r="V229" s="73" t="str">
        <f t="shared" si="82"/>
        <v/>
      </c>
      <c r="W229" s="73" t="str">
        <f t="shared" si="82"/>
        <v/>
      </c>
      <c r="X229" s="73" t="str">
        <f t="shared" si="82"/>
        <v/>
      </c>
      <c r="Y229" s="73" t="str">
        <f t="shared" si="82"/>
        <v/>
      </c>
      <c r="Z229" s="73" t="str">
        <f t="shared" si="82"/>
        <v/>
      </c>
      <c r="AA229" s="73" t="str">
        <f t="shared" si="82"/>
        <v/>
      </c>
      <c r="AB229" s="74" t="str">
        <f t="shared" si="82"/>
        <v/>
      </c>
      <c r="AC229" s="35" t="str">
        <f t="shared" si="73"/>
        <v/>
      </c>
      <c r="AD229" s="40" t="str">
        <f t="shared" si="74"/>
        <v/>
      </c>
      <c r="AE229" s="37" t="str">
        <f t="shared" si="75"/>
        <v/>
      </c>
      <c r="AF229" s="40" t="str">
        <f t="shared" si="76"/>
        <v/>
      </c>
      <c r="AG229" s="37" t="str">
        <f t="shared" si="77"/>
        <v/>
      </c>
      <c r="AH229" s="40" t="str">
        <f t="shared" si="78"/>
        <v/>
      </c>
      <c r="AI229" s="37" t="str">
        <f t="shared" si="79"/>
        <v/>
      </c>
      <c r="AJ229" s="40" t="str">
        <f t="shared" si="80"/>
        <v/>
      </c>
      <c r="AK229" s="33" t="str">
        <f>IF(SEM!AK229="","",SEM!AK229)</f>
        <v/>
      </c>
      <c r="AL229" s="6"/>
      <c r="AM229" s="79" t="str">
        <f t="shared" si="69"/>
        <v/>
      </c>
      <c r="AR229" s="5"/>
      <c r="AU229" s="198"/>
      <c r="AV229" s="198"/>
      <c r="AW229" s="198"/>
      <c r="AX229" s="198"/>
    </row>
    <row r="230" spans="2:50" ht="17.25" customHeight="1" x14ac:dyDescent="0.2">
      <c r="B230" s="6"/>
      <c r="C230" s="49" t="str">
        <f>IF(SEM!C230="","",SEM!C230)</f>
        <v/>
      </c>
      <c r="D230" s="220" t="str">
        <f>IF(C230="","",VLOOKUP(SEM!C230,FROTA!$B$5:$C$305,2,0))</f>
        <v/>
      </c>
      <c r="E230" s="24" t="str">
        <f>IF(C230="","",VLOOKUP(C230,FROTA!$B$5:$N$305,7,0))</f>
        <v/>
      </c>
      <c r="F230" s="38" t="str">
        <f t="shared" si="60"/>
        <v/>
      </c>
      <c r="G230" s="71" t="str">
        <f t="shared" si="70"/>
        <v/>
      </c>
      <c r="H230" s="32" t="str">
        <f t="shared" si="81"/>
        <v/>
      </c>
      <c r="I230" s="73" t="str">
        <f t="shared" si="81"/>
        <v/>
      </c>
      <c r="J230" s="73" t="str">
        <f t="shared" si="81"/>
        <v/>
      </c>
      <c r="K230" s="73" t="str">
        <f t="shared" si="72"/>
        <v/>
      </c>
      <c r="L230" s="73" t="str">
        <f t="shared" si="72"/>
        <v/>
      </c>
      <c r="M230" s="73" t="str">
        <f t="shared" si="72"/>
        <v/>
      </c>
      <c r="N230" s="73" t="str">
        <f t="shared" si="72"/>
        <v/>
      </c>
      <c r="O230" s="73" t="str">
        <f t="shared" si="72"/>
        <v/>
      </c>
      <c r="P230" s="73" t="str">
        <f t="shared" si="72"/>
        <v/>
      </c>
      <c r="Q230" s="73" t="str">
        <f t="shared" si="72"/>
        <v/>
      </c>
      <c r="R230" s="73" t="str">
        <f t="shared" si="82"/>
        <v/>
      </c>
      <c r="S230" s="73" t="str">
        <f t="shared" si="82"/>
        <v/>
      </c>
      <c r="T230" s="73" t="str">
        <f t="shared" si="82"/>
        <v/>
      </c>
      <c r="U230" s="73" t="str">
        <f t="shared" si="82"/>
        <v/>
      </c>
      <c r="V230" s="73" t="str">
        <f t="shared" si="82"/>
        <v/>
      </c>
      <c r="W230" s="73" t="str">
        <f t="shared" si="82"/>
        <v/>
      </c>
      <c r="X230" s="73" t="str">
        <f t="shared" si="82"/>
        <v/>
      </c>
      <c r="Y230" s="73" t="str">
        <f t="shared" si="82"/>
        <v/>
      </c>
      <c r="Z230" s="73" t="str">
        <f t="shared" si="82"/>
        <v/>
      </c>
      <c r="AA230" s="73" t="str">
        <f t="shared" si="82"/>
        <v/>
      </c>
      <c r="AB230" s="74" t="str">
        <f t="shared" si="82"/>
        <v/>
      </c>
      <c r="AC230" s="35" t="str">
        <f t="shared" si="73"/>
        <v/>
      </c>
      <c r="AD230" s="40" t="str">
        <f t="shared" si="74"/>
        <v/>
      </c>
      <c r="AE230" s="37" t="str">
        <f t="shared" si="75"/>
        <v/>
      </c>
      <c r="AF230" s="40" t="str">
        <f t="shared" si="76"/>
        <v/>
      </c>
      <c r="AG230" s="37" t="str">
        <f t="shared" si="77"/>
        <v/>
      </c>
      <c r="AH230" s="40" t="str">
        <f t="shared" si="78"/>
        <v/>
      </c>
      <c r="AI230" s="37" t="str">
        <f t="shared" si="79"/>
        <v/>
      </c>
      <c r="AJ230" s="40" t="str">
        <f t="shared" si="80"/>
        <v/>
      </c>
      <c r="AK230" s="33" t="str">
        <f>IF(SEM!AK230="","",SEM!AK230)</f>
        <v/>
      </c>
      <c r="AL230" s="6"/>
      <c r="AM230" s="79" t="str">
        <f t="shared" si="69"/>
        <v/>
      </c>
      <c r="AR230" s="5"/>
      <c r="AU230" s="198"/>
      <c r="AV230" s="198"/>
      <c r="AW230" s="198"/>
      <c r="AX230" s="198"/>
    </row>
    <row r="231" spans="2:50" ht="17.25" customHeight="1" x14ac:dyDescent="0.2">
      <c r="B231" s="6"/>
      <c r="C231" s="49" t="str">
        <f>IF(SEM!C231="","",SEM!C231)</f>
        <v/>
      </c>
      <c r="D231" s="220" t="str">
        <f>IF(C231="","",VLOOKUP(SEM!C231,FROTA!$B$5:$C$305,2,0))</f>
        <v/>
      </c>
      <c r="E231" s="24" t="str">
        <f>IF(C231="","",VLOOKUP(C231,FROTA!$B$5:$N$305,7,0))</f>
        <v/>
      </c>
      <c r="F231" s="38" t="str">
        <f t="shared" si="60"/>
        <v/>
      </c>
      <c r="G231" s="71" t="str">
        <f t="shared" si="70"/>
        <v/>
      </c>
      <c r="H231" s="32" t="str">
        <f t="shared" si="81"/>
        <v/>
      </c>
      <c r="I231" s="73" t="str">
        <f t="shared" si="81"/>
        <v/>
      </c>
      <c r="J231" s="73" t="str">
        <f t="shared" si="81"/>
        <v/>
      </c>
      <c r="K231" s="73" t="str">
        <f t="shared" si="72"/>
        <v/>
      </c>
      <c r="L231" s="73" t="str">
        <f t="shared" si="72"/>
        <v/>
      </c>
      <c r="M231" s="73" t="str">
        <f t="shared" si="72"/>
        <v/>
      </c>
      <c r="N231" s="73" t="str">
        <f t="shared" si="72"/>
        <v/>
      </c>
      <c r="O231" s="73" t="str">
        <f t="shared" si="72"/>
        <v/>
      </c>
      <c r="P231" s="73" t="str">
        <f t="shared" si="72"/>
        <v/>
      </c>
      <c r="Q231" s="73" t="str">
        <f t="shared" si="72"/>
        <v/>
      </c>
      <c r="R231" s="73" t="str">
        <f t="shared" si="82"/>
        <v/>
      </c>
      <c r="S231" s="73" t="str">
        <f t="shared" si="82"/>
        <v/>
      </c>
      <c r="T231" s="73" t="str">
        <f t="shared" si="82"/>
        <v/>
      </c>
      <c r="U231" s="73" t="str">
        <f t="shared" si="82"/>
        <v/>
      </c>
      <c r="V231" s="73" t="str">
        <f t="shared" si="82"/>
        <v/>
      </c>
      <c r="W231" s="73" t="str">
        <f t="shared" si="82"/>
        <v/>
      </c>
      <c r="X231" s="73" t="str">
        <f t="shared" si="82"/>
        <v/>
      </c>
      <c r="Y231" s="73" t="str">
        <f t="shared" si="82"/>
        <v/>
      </c>
      <c r="Z231" s="73" t="str">
        <f t="shared" si="82"/>
        <v/>
      </c>
      <c r="AA231" s="73" t="str">
        <f t="shared" si="82"/>
        <v/>
      </c>
      <c r="AB231" s="74" t="str">
        <f t="shared" si="82"/>
        <v/>
      </c>
      <c r="AC231" s="35" t="str">
        <f t="shared" si="73"/>
        <v/>
      </c>
      <c r="AD231" s="40" t="str">
        <f t="shared" si="74"/>
        <v/>
      </c>
      <c r="AE231" s="37" t="str">
        <f t="shared" si="75"/>
        <v/>
      </c>
      <c r="AF231" s="40" t="str">
        <f t="shared" si="76"/>
        <v/>
      </c>
      <c r="AG231" s="37" t="str">
        <f t="shared" si="77"/>
        <v/>
      </c>
      <c r="AH231" s="40" t="str">
        <f t="shared" si="78"/>
        <v/>
      </c>
      <c r="AI231" s="37" t="str">
        <f t="shared" si="79"/>
        <v/>
      </c>
      <c r="AJ231" s="40" t="str">
        <f t="shared" si="80"/>
        <v/>
      </c>
      <c r="AK231" s="33" t="str">
        <f>IF(SEM!AK231="","",SEM!AK231)</f>
        <v/>
      </c>
      <c r="AL231" s="6"/>
      <c r="AM231" s="79" t="str">
        <f t="shared" si="69"/>
        <v/>
      </c>
      <c r="AR231" s="5"/>
      <c r="AU231" s="198"/>
      <c r="AV231" s="198"/>
      <c r="AW231" s="198"/>
      <c r="AX231" s="198"/>
    </row>
    <row r="232" spans="2:50" ht="17.25" customHeight="1" x14ac:dyDescent="0.2">
      <c r="B232" s="6"/>
      <c r="C232" s="49" t="str">
        <f>IF(SEM!C232="","",SEM!C232)</f>
        <v/>
      </c>
      <c r="D232" s="220" t="str">
        <f>IF(C232="","",VLOOKUP(SEM!C232,FROTA!$B$5:$C$305,2,0))</f>
        <v/>
      </c>
      <c r="E232" s="24" t="str">
        <f>IF(C232="","",VLOOKUP(C232,FROTA!$B$5:$N$305,7,0))</f>
        <v/>
      </c>
      <c r="F232" s="38" t="str">
        <f t="shared" si="60"/>
        <v/>
      </c>
      <c r="G232" s="71" t="str">
        <f t="shared" si="70"/>
        <v/>
      </c>
      <c r="H232" s="32" t="str">
        <f t="shared" si="81"/>
        <v/>
      </c>
      <c r="I232" s="73" t="str">
        <f t="shared" si="81"/>
        <v/>
      </c>
      <c r="J232" s="73" t="str">
        <f t="shared" si="81"/>
        <v/>
      </c>
      <c r="K232" s="73" t="str">
        <f t="shared" si="72"/>
        <v/>
      </c>
      <c r="L232" s="73" t="str">
        <f t="shared" si="72"/>
        <v/>
      </c>
      <c r="M232" s="73" t="str">
        <f t="shared" si="72"/>
        <v/>
      </c>
      <c r="N232" s="73" t="str">
        <f t="shared" si="72"/>
        <v/>
      </c>
      <c r="O232" s="73" t="str">
        <f t="shared" si="72"/>
        <v/>
      </c>
      <c r="P232" s="73" t="str">
        <f t="shared" si="72"/>
        <v/>
      </c>
      <c r="Q232" s="73" t="str">
        <f t="shared" si="72"/>
        <v/>
      </c>
      <c r="R232" s="73" t="str">
        <f t="shared" si="82"/>
        <v/>
      </c>
      <c r="S232" s="73" t="str">
        <f t="shared" si="82"/>
        <v/>
      </c>
      <c r="T232" s="73" t="str">
        <f t="shared" si="82"/>
        <v/>
      </c>
      <c r="U232" s="73" t="str">
        <f t="shared" si="82"/>
        <v/>
      </c>
      <c r="V232" s="73" t="str">
        <f t="shared" si="82"/>
        <v/>
      </c>
      <c r="W232" s="73" t="str">
        <f t="shared" si="82"/>
        <v/>
      </c>
      <c r="X232" s="73" t="str">
        <f t="shared" si="82"/>
        <v/>
      </c>
      <c r="Y232" s="73" t="str">
        <f t="shared" si="82"/>
        <v/>
      </c>
      <c r="Z232" s="73" t="str">
        <f t="shared" si="82"/>
        <v/>
      </c>
      <c r="AA232" s="73" t="str">
        <f t="shared" si="82"/>
        <v/>
      </c>
      <c r="AB232" s="74" t="str">
        <f t="shared" si="82"/>
        <v/>
      </c>
      <c r="AC232" s="35" t="str">
        <f t="shared" si="73"/>
        <v/>
      </c>
      <c r="AD232" s="40" t="str">
        <f t="shared" si="74"/>
        <v/>
      </c>
      <c r="AE232" s="37" t="str">
        <f t="shared" si="75"/>
        <v/>
      </c>
      <c r="AF232" s="40" t="str">
        <f t="shared" si="76"/>
        <v/>
      </c>
      <c r="AG232" s="37" t="str">
        <f t="shared" si="77"/>
        <v/>
      </c>
      <c r="AH232" s="40" t="str">
        <f t="shared" si="78"/>
        <v/>
      </c>
      <c r="AI232" s="37" t="str">
        <f t="shared" si="79"/>
        <v/>
      </c>
      <c r="AJ232" s="40" t="str">
        <f t="shared" si="80"/>
        <v/>
      </c>
      <c r="AK232" s="33" t="str">
        <f>IF(SEM!AK232="","",SEM!AK232)</f>
        <v/>
      </c>
      <c r="AL232" s="6"/>
      <c r="AM232" s="79" t="str">
        <f t="shared" si="69"/>
        <v/>
      </c>
      <c r="AR232" s="5"/>
      <c r="AU232" s="198"/>
      <c r="AV232" s="198"/>
      <c r="AW232" s="198"/>
      <c r="AX232" s="198"/>
    </row>
    <row r="233" spans="2:50" ht="17.25" customHeight="1" x14ac:dyDescent="0.2">
      <c r="B233" s="6"/>
      <c r="C233" s="49" t="str">
        <f>IF(SEM!C233="","",SEM!C233)</f>
        <v/>
      </c>
      <c r="D233" s="220" t="str">
        <f>IF(C233="","",VLOOKUP(SEM!C233,FROTA!$B$5:$C$305,2,0))</f>
        <v/>
      </c>
      <c r="E233" s="24" t="str">
        <f>IF(C233="","",VLOOKUP(C233,FROTA!$B$5:$N$305,7,0))</f>
        <v/>
      </c>
      <c r="F233" s="38" t="str">
        <f t="shared" si="60"/>
        <v/>
      </c>
      <c r="G233" s="71" t="str">
        <f t="shared" si="70"/>
        <v/>
      </c>
      <c r="H233" s="32" t="str">
        <f t="shared" si="81"/>
        <v/>
      </c>
      <c r="I233" s="73" t="str">
        <f t="shared" si="81"/>
        <v/>
      </c>
      <c r="J233" s="73" t="str">
        <f t="shared" si="81"/>
        <v/>
      </c>
      <c r="K233" s="73" t="str">
        <f t="shared" si="72"/>
        <v/>
      </c>
      <c r="L233" s="73" t="str">
        <f t="shared" si="72"/>
        <v/>
      </c>
      <c r="M233" s="73" t="str">
        <f t="shared" si="72"/>
        <v/>
      </c>
      <c r="N233" s="73" t="str">
        <f t="shared" si="72"/>
        <v/>
      </c>
      <c r="O233" s="73" t="str">
        <f t="shared" si="72"/>
        <v/>
      </c>
      <c r="P233" s="73" t="str">
        <f t="shared" si="72"/>
        <v/>
      </c>
      <c r="Q233" s="73" t="str">
        <f t="shared" si="72"/>
        <v/>
      </c>
      <c r="R233" s="73" t="str">
        <f t="shared" si="82"/>
        <v/>
      </c>
      <c r="S233" s="73" t="str">
        <f t="shared" si="82"/>
        <v/>
      </c>
      <c r="T233" s="73" t="str">
        <f t="shared" si="82"/>
        <v/>
      </c>
      <c r="U233" s="73" t="str">
        <f t="shared" si="82"/>
        <v/>
      </c>
      <c r="V233" s="73" t="str">
        <f t="shared" si="82"/>
        <v/>
      </c>
      <c r="W233" s="73" t="str">
        <f t="shared" si="82"/>
        <v/>
      </c>
      <c r="X233" s="73" t="str">
        <f t="shared" si="82"/>
        <v/>
      </c>
      <c r="Y233" s="73" t="str">
        <f t="shared" si="82"/>
        <v/>
      </c>
      <c r="Z233" s="73" t="str">
        <f t="shared" si="82"/>
        <v/>
      </c>
      <c r="AA233" s="73" t="str">
        <f t="shared" si="82"/>
        <v/>
      </c>
      <c r="AB233" s="74" t="str">
        <f t="shared" si="82"/>
        <v/>
      </c>
      <c r="AC233" s="35" t="str">
        <f t="shared" si="73"/>
        <v/>
      </c>
      <c r="AD233" s="40" t="str">
        <f t="shared" si="74"/>
        <v/>
      </c>
      <c r="AE233" s="37" t="str">
        <f t="shared" si="75"/>
        <v/>
      </c>
      <c r="AF233" s="40" t="str">
        <f t="shared" si="76"/>
        <v/>
      </c>
      <c r="AG233" s="37" t="str">
        <f t="shared" si="77"/>
        <v/>
      </c>
      <c r="AH233" s="40" t="str">
        <f t="shared" si="78"/>
        <v/>
      </c>
      <c r="AI233" s="37" t="str">
        <f t="shared" si="79"/>
        <v/>
      </c>
      <c r="AJ233" s="40" t="str">
        <f t="shared" si="80"/>
        <v/>
      </c>
      <c r="AK233" s="33" t="str">
        <f>IF(SEM!AK233="","",SEM!AK233)</f>
        <v/>
      </c>
      <c r="AL233" s="6"/>
      <c r="AM233" s="79" t="str">
        <f t="shared" si="69"/>
        <v/>
      </c>
      <c r="AR233" s="5"/>
      <c r="AU233" s="198"/>
      <c r="AV233" s="198"/>
      <c r="AW233" s="198"/>
      <c r="AX233" s="198"/>
    </row>
    <row r="234" spans="2:50" ht="17.25" customHeight="1" x14ac:dyDescent="0.2">
      <c r="B234" s="6"/>
      <c r="C234" s="49" t="str">
        <f>IF(SEM!C234="","",SEM!C234)</f>
        <v/>
      </c>
      <c r="D234" s="220" t="str">
        <f>IF(C234="","",VLOOKUP(SEM!C234,FROTA!$B$5:$C$305,2,0))</f>
        <v/>
      </c>
      <c r="E234" s="24" t="str">
        <f>IF(C234="","",VLOOKUP(C234,FROTA!$B$5:$N$305,7,0))</f>
        <v/>
      </c>
      <c r="F234" s="38" t="str">
        <f t="shared" si="60"/>
        <v/>
      </c>
      <c r="G234" s="71" t="str">
        <f t="shared" si="70"/>
        <v/>
      </c>
      <c r="H234" s="32" t="str">
        <f t="shared" si="81"/>
        <v/>
      </c>
      <c r="I234" s="73" t="str">
        <f t="shared" si="81"/>
        <v/>
      </c>
      <c r="J234" s="73" t="str">
        <f t="shared" si="81"/>
        <v/>
      </c>
      <c r="K234" s="73" t="str">
        <f t="shared" si="72"/>
        <v/>
      </c>
      <c r="L234" s="73" t="str">
        <f t="shared" si="72"/>
        <v/>
      </c>
      <c r="M234" s="73" t="str">
        <f t="shared" si="72"/>
        <v/>
      </c>
      <c r="N234" s="73" t="str">
        <f t="shared" si="72"/>
        <v/>
      </c>
      <c r="O234" s="73" t="str">
        <f t="shared" si="72"/>
        <v/>
      </c>
      <c r="P234" s="73" t="str">
        <f t="shared" si="72"/>
        <v/>
      </c>
      <c r="Q234" s="73" t="str">
        <f t="shared" si="72"/>
        <v/>
      </c>
      <c r="R234" s="73" t="str">
        <f t="shared" si="82"/>
        <v/>
      </c>
      <c r="S234" s="73" t="str">
        <f t="shared" si="82"/>
        <v/>
      </c>
      <c r="T234" s="73" t="str">
        <f t="shared" si="82"/>
        <v/>
      </c>
      <c r="U234" s="73" t="str">
        <f t="shared" si="82"/>
        <v/>
      </c>
      <c r="V234" s="73" t="str">
        <f t="shared" si="82"/>
        <v/>
      </c>
      <c r="W234" s="73" t="str">
        <f t="shared" si="82"/>
        <v/>
      </c>
      <c r="X234" s="73" t="str">
        <f t="shared" si="82"/>
        <v/>
      </c>
      <c r="Y234" s="73" t="str">
        <f t="shared" si="82"/>
        <v/>
      </c>
      <c r="Z234" s="73" t="str">
        <f t="shared" si="82"/>
        <v/>
      </c>
      <c r="AA234" s="73" t="str">
        <f t="shared" si="82"/>
        <v/>
      </c>
      <c r="AB234" s="74" t="str">
        <f t="shared" si="82"/>
        <v/>
      </c>
      <c r="AC234" s="35" t="str">
        <f t="shared" si="73"/>
        <v/>
      </c>
      <c r="AD234" s="40" t="str">
        <f t="shared" si="74"/>
        <v/>
      </c>
      <c r="AE234" s="37" t="str">
        <f t="shared" si="75"/>
        <v/>
      </c>
      <c r="AF234" s="40" t="str">
        <f t="shared" si="76"/>
        <v/>
      </c>
      <c r="AG234" s="37" t="str">
        <f t="shared" si="77"/>
        <v/>
      </c>
      <c r="AH234" s="40" t="str">
        <f t="shared" si="78"/>
        <v/>
      </c>
      <c r="AI234" s="37" t="str">
        <f t="shared" si="79"/>
        <v/>
      </c>
      <c r="AJ234" s="40" t="str">
        <f t="shared" si="80"/>
        <v/>
      </c>
      <c r="AK234" s="33" t="str">
        <f>IF(SEM!AK234="","",SEM!AK234)</f>
        <v/>
      </c>
      <c r="AL234" s="6"/>
      <c r="AM234" s="79" t="str">
        <f t="shared" si="69"/>
        <v/>
      </c>
      <c r="AR234" s="5"/>
      <c r="AU234" s="198"/>
      <c r="AV234" s="198"/>
      <c r="AW234" s="198"/>
      <c r="AX234" s="198"/>
    </row>
    <row r="235" spans="2:50" ht="17.25" customHeight="1" x14ac:dyDescent="0.2">
      <c r="B235" s="6"/>
      <c r="C235" s="49" t="str">
        <f>IF(SEM!C235="","",SEM!C235)</f>
        <v/>
      </c>
      <c r="D235" s="220" t="str">
        <f>IF(C235="","",VLOOKUP(SEM!C235,FROTA!$B$5:$C$305,2,0))</f>
        <v/>
      </c>
      <c r="E235" s="24" t="str">
        <f>IF(C235="","",VLOOKUP(C235,FROTA!$B$5:$N$305,7,0))</f>
        <v/>
      </c>
      <c r="F235" s="38" t="str">
        <f t="shared" si="60"/>
        <v/>
      </c>
      <c r="G235" s="71" t="str">
        <f t="shared" si="70"/>
        <v/>
      </c>
      <c r="H235" s="32" t="str">
        <f t="shared" si="81"/>
        <v/>
      </c>
      <c r="I235" s="73" t="str">
        <f t="shared" si="81"/>
        <v/>
      </c>
      <c r="J235" s="73" t="str">
        <f t="shared" si="81"/>
        <v/>
      </c>
      <c r="K235" s="73" t="str">
        <f t="shared" si="72"/>
        <v/>
      </c>
      <c r="L235" s="73" t="str">
        <f t="shared" si="72"/>
        <v/>
      </c>
      <c r="M235" s="73" t="str">
        <f t="shared" si="72"/>
        <v/>
      </c>
      <c r="N235" s="73" t="str">
        <f t="shared" si="72"/>
        <v/>
      </c>
      <c r="O235" s="73" t="str">
        <f t="shared" si="72"/>
        <v/>
      </c>
      <c r="P235" s="73" t="str">
        <f t="shared" si="72"/>
        <v/>
      </c>
      <c r="Q235" s="73" t="str">
        <f t="shared" si="72"/>
        <v/>
      </c>
      <c r="R235" s="73" t="str">
        <f t="shared" si="82"/>
        <v/>
      </c>
      <c r="S235" s="73" t="str">
        <f t="shared" si="82"/>
        <v/>
      </c>
      <c r="T235" s="73" t="str">
        <f t="shared" si="82"/>
        <v/>
      </c>
      <c r="U235" s="73" t="str">
        <f t="shared" si="82"/>
        <v/>
      </c>
      <c r="V235" s="73" t="str">
        <f t="shared" si="82"/>
        <v/>
      </c>
      <c r="W235" s="73" t="str">
        <f t="shared" si="82"/>
        <v/>
      </c>
      <c r="X235" s="73" t="str">
        <f t="shared" si="82"/>
        <v/>
      </c>
      <c r="Y235" s="73" t="str">
        <f t="shared" si="82"/>
        <v/>
      </c>
      <c r="Z235" s="73" t="str">
        <f t="shared" si="82"/>
        <v/>
      </c>
      <c r="AA235" s="73" t="str">
        <f t="shared" si="82"/>
        <v/>
      </c>
      <c r="AB235" s="74" t="str">
        <f t="shared" si="82"/>
        <v/>
      </c>
      <c r="AC235" s="35" t="str">
        <f t="shared" si="73"/>
        <v/>
      </c>
      <c r="AD235" s="40" t="str">
        <f t="shared" si="74"/>
        <v/>
      </c>
      <c r="AE235" s="37" t="str">
        <f t="shared" si="75"/>
        <v/>
      </c>
      <c r="AF235" s="40" t="str">
        <f t="shared" si="76"/>
        <v/>
      </c>
      <c r="AG235" s="37" t="str">
        <f t="shared" si="77"/>
        <v/>
      </c>
      <c r="AH235" s="40" t="str">
        <f t="shared" si="78"/>
        <v/>
      </c>
      <c r="AI235" s="37" t="str">
        <f t="shared" si="79"/>
        <v/>
      </c>
      <c r="AJ235" s="40" t="str">
        <f t="shared" si="80"/>
        <v/>
      </c>
      <c r="AK235" s="33" t="str">
        <f>IF(SEM!AK235="","",SEM!AK235)</f>
        <v/>
      </c>
      <c r="AL235" s="6"/>
      <c r="AM235" s="79" t="str">
        <f t="shared" si="69"/>
        <v/>
      </c>
      <c r="AR235" s="5"/>
      <c r="AU235" s="198"/>
      <c r="AV235" s="198"/>
      <c r="AW235" s="198"/>
      <c r="AX235" s="198"/>
    </row>
    <row r="236" spans="2:50" ht="17.25" customHeight="1" x14ac:dyDescent="0.2">
      <c r="B236" s="6"/>
      <c r="C236" s="49" t="str">
        <f>IF(SEM!C236="","",SEM!C236)</f>
        <v/>
      </c>
      <c r="D236" s="220" t="str">
        <f>IF(C236="","",VLOOKUP(SEM!C236,FROTA!$B$5:$C$305,2,0))</f>
        <v/>
      </c>
      <c r="E236" s="24" t="str">
        <f>IF(C236="","",VLOOKUP(C236,FROTA!$B$5:$N$305,7,0))</f>
        <v/>
      </c>
      <c r="F236" s="38" t="str">
        <f t="shared" si="60"/>
        <v/>
      </c>
      <c r="G236" s="71" t="str">
        <f t="shared" si="70"/>
        <v/>
      </c>
      <c r="H236" s="32" t="str">
        <f t="shared" si="81"/>
        <v/>
      </c>
      <c r="I236" s="73" t="str">
        <f t="shared" si="81"/>
        <v/>
      </c>
      <c r="J236" s="73" t="str">
        <f t="shared" si="81"/>
        <v/>
      </c>
      <c r="K236" s="73" t="str">
        <f t="shared" si="72"/>
        <v/>
      </c>
      <c r="L236" s="73" t="str">
        <f t="shared" si="72"/>
        <v/>
      </c>
      <c r="M236" s="73" t="str">
        <f t="shared" si="72"/>
        <v/>
      </c>
      <c r="N236" s="73" t="str">
        <f t="shared" si="72"/>
        <v/>
      </c>
      <c r="O236" s="73" t="str">
        <f t="shared" si="72"/>
        <v/>
      </c>
      <c r="P236" s="73" t="str">
        <f t="shared" si="72"/>
        <v/>
      </c>
      <c r="Q236" s="73" t="str">
        <f t="shared" si="72"/>
        <v/>
      </c>
      <c r="R236" s="73" t="str">
        <f t="shared" si="82"/>
        <v/>
      </c>
      <c r="S236" s="73" t="str">
        <f t="shared" si="82"/>
        <v/>
      </c>
      <c r="T236" s="73" t="str">
        <f t="shared" si="82"/>
        <v/>
      </c>
      <c r="U236" s="73" t="str">
        <f t="shared" si="82"/>
        <v/>
      </c>
      <c r="V236" s="73" t="str">
        <f t="shared" si="82"/>
        <v/>
      </c>
      <c r="W236" s="73" t="str">
        <f t="shared" si="82"/>
        <v/>
      </c>
      <c r="X236" s="73" t="str">
        <f t="shared" si="82"/>
        <v/>
      </c>
      <c r="Y236" s="73" t="str">
        <f t="shared" si="82"/>
        <v/>
      </c>
      <c r="Z236" s="73" t="str">
        <f t="shared" si="82"/>
        <v/>
      </c>
      <c r="AA236" s="73" t="str">
        <f t="shared" si="82"/>
        <v/>
      </c>
      <c r="AB236" s="74" t="str">
        <f t="shared" si="82"/>
        <v/>
      </c>
      <c r="AC236" s="35" t="str">
        <f t="shared" si="73"/>
        <v/>
      </c>
      <c r="AD236" s="40" t="str">
        <f t="shared" si="74"/>
        <v/>
      </c>
      <c r="AE236" s="37" t="str">
        <f t="shared" si="75"/>
        <v/>
      </c>
      <c r="AF236" s="40" t="str">
        <f t="shared" si="76"/>
        <v/>
      </c>
      <c r="AG236" s="37" t="str">
        <f t="shared" si="77"/>
        <v/>
      </c>
      <c r="AH236" s="40" t="str">
        <f t="shared" si="78"/>
        <v/>
      </c>
      <c r="AI236" s="37" t="str">
        <f t="shared" si="79"/>
        <v/>
      </c>
      <c r="AJ236" s="40" t="str">
        <f t="shared" si="80"/>
        <v/>
      </c>
      <c r="AK236" s="33" t="str">
        <f>IF(SEM!AK236="","",SEM!AK236)</f>
        <v/>
      </c>
      <c r="AL236" s="6"/>
      <c r="AM236" s="79" t="str">
        <f t="shared" si="69"/>
        <v/>
      </c>
      <c r="AR236" s="5"/>
      <c r="AU236" s="198"/>
      <c r="AV236" s="198"/>
      <c r="AW236" s="198"/>
      <c r="AX236" s="198"/>
    </row>
    <row r="237" spans="2:50" ht="17.25" customHeight="1" x14ac:dyDescent="0.2">
      <c r="B237" s="6"/>
      <c r="C237" s="49" t="str">
        <f>IF(SEM!C237="","",SEM!C237)</f>
        <v/>
      </c>
      <c r="D237" s="220" t="str">
        <f>IF(C237="","",VLOOKUP(SEM!C237,FROTA!$B$5:$C$305,2,0))</f>
        <v/>
      </c>
      <c r="E237" s="24" t="str">
        <f>IF(C237="","",VLOOKUP(C237,FROTA!$B$5:$N$305,7,0))</f>
        <v/>
      </c>
      <c r="F237" s="38" t="str">
        <f t="shared" si="60"/>
        <v/>
      </c>
      <c r="G237" s="71" t="str">
        <f t="shared" si="70"/>
        <v/>
      </c>
      <c r="H237" s="32" t="str">
        <f t="shared" si="81"/>
        <v/>
      </c>
      <c r="I237" s="73" t="str">
        <f t="shared" si="81"/>
        <v/>
      </c>
      <c r="J237" s="73" t="str">
        <f t="shared" si="81"/>
        <v/>
      </c>
      <c r="K237" s="73" t="str">
        <f t="shared" si="72"/>
        <v/>
      </c>
      <c r="L237" s="73" t="str">
        <f t="shared" si="72"/>
        <v/>
      </c>
      <c r="M237" s="73" t="str">
        <f t="shared" si="72"/>
        <v/>
      </c>
      <c r="N237" s="73" t="str">
        <f t="shared" si="72"/>
        <v/>
      </c>
      <c r="O237" s="73" t="str">
        <f t="shared" si="72"/>
        <v/>
      </c>
      <c r="P237" s="73" t="str">
        <f t="shared" si="72"/>
        <v/>
      </c>
      <c r="Q237" s="73" t="str">
        <f t="shared" si="72"/>
        <v/>
      </c>
      <c r="R237" s="73" t="str">
        <f t="shared" si="82"/>
        <v/>
      </c>
      <c r="S237" s="73" t="str">
        <f t="shared" si="82"/>
        <v/>
      </c>
      <c r="T237" s="73" t="str">
        <f t="shared" si="82"/>
        <v/>
      </c>
      <c r="U237" s="73" t="str">
        <f t="shared" si="82"/>
        <v/>
      </c>
      <c r="V237" s="73" t="str">
        <f t="shared" si="82"/>
        <v/>
      </c>
      <c r="W237" s="73" t="str">
        <f t="shared" si="82"/>
        <v/>
      </c>
      <c r="X237" s="73" t="str">
        <f t="shared" si="82"/>
        <v/>
      </c>
      <c r="Y237" s="73" t="str">
        <f t="shared" si="82"/>
        <v/>
      </c>
      <c r="Z237" s="73" t="str">
        <f t="shared" si="82"/>
        <v/>
      </c>
      <c r="AA237" s="73" t="str">
        <f t="shared" si="82"/>
        <v/>
      </c>
      <c r="AB237" s="74" t="str">
        <f t="shared" si="82"/>
        <v/>
      </c>
      <c r="AC237" s="35" t="str">
        <f t="shared" si="73"/>
        <v/>
      </c>
      <c r="AD237" s="40" t="str">
        <f t="shared" si="74"/>
        <v/>
      </c>
      <c r="AE237" s="37" t="str">
        <f t="shared" si="75"/>
        <v/>
      </c>
      <c r="AF237" s="40" t="str">
        <f t="shared" si="76"/>
        <v/>
      </c>
      <c r="AG237" s="37" t="str">
        <f t="shared" si="77"/>
        <v/>
      </c>
      <c r="AH237" s="40" t="str">
        <f t="shared" si="78"/>
        <v/>
      </c>
      <c r="AI237" s="37" t="str">
        <f t="shared" si="79"/>
        <v/>
      </c>
      <c r="AJ237" s="40" t="str">
        <f t="shared" si="80"/>
        <v/>
      </c>
      <c r="AK237" s="33" t="str">
        <f>IF(SEM!AK237="","",SEM!AK237)</f>
        <v/>
      </c>
      <c r="AL237" s="6"/>
      <c r="AM237" s="79" t="str">
        <f t="shared" si="69"/>
        <v/>
      </c>
      <c r="AR237" s="5"/>
      <c r="AU237" s="198"/>
      <c r="AV237" s="198"/>
      <c r="AW237" s="198"/>
      <c r="AX237" s="198"/>
    </row>
    <row r="238" spans="2:50" ht="17.25" customHeight="1" x14ac:dyDescent="0.2">
      <c r="B238" s="6"/>
      <c r="C238" s="49" t="str">
        <f>IF(SEM!C238="","",SEM!C238)</f>
        <v/>
      </c>
      <c r="D238" s="220" t="str">
        <f>IF(C238="","",VLOOKUP(SEM!C238,FROTA!$B$5:$C$305,2,0))</f>
        <v/>
      </c>
      <c r="E238" s="24" t="str">
        <f>IF(C238="","",VLOOKUP(C238,FROTA!$B$5:$N$305,7,0))</f>
        <v/>
      </c>
      <c r="F238" s="38" t="str">
        <f t="shared" si="60"/>
        <v/>
      </c>
      <c r="G238" s="71" t="str">
        <f t="shared" si="70"/>
        <v/>
      </c>
      <c r="H238" s="32" t="str">
        <f t="shared" si="81"/>
        <v/>
      </c>
      <c r="I238" s="73" t="str">
        <f t="shared" si="81"/>
        <v/>
      </c>
      <c r="J238" s="73" t="str">
        <f t="shared" si="81"/>
        <v/>
      </c>
      <c r="K238" s="73" t="str">
        <f t="shared" si="72"/>
        <v/>
      </c>
      <c r="L238" s="73" t="str">
        <f t="shared" si="72"/>
        <v/>
      </c>
      <c r="M238" s="73" t="str">
        <f t="shared" si="72"/>
        <v/>
      </c>
      <c r="N238" s="73" t="str">
        <f t="shared" si="72"/>
        <v/>
      </c>
      <c r="O238" s="73" t="str">
        <f t="shared" si="72"/>
        <v/>
      </c>
      <c r="P238" s="73" t="str">
        <f t="shared" si="72"/>
        <v/>
      </c>
      <c r="Q238" s="73" t="str">
        <f t="shared" si="72"/>
        <v/>
      </c>
      <c r="R238" s="73" t="str">
        <f t="shared" si="82"/>
        <v/>
      </c>
      <c r="S238" s="73" t="str">
        <f t="shared" si="82"/>
        <v/>
      </c>
      <c r="T238" s="73" t="str">
        <f t="shared" si="82"/>
        <v/>
      </c>
      <c r="U238" s="73" t="str">
        <f t="shared" si="82"/>
        <v/>
      </c>
      <c r="V238" s="73" t="str">
        <f t="shared" si="82"/>
        <v/>
      </c>
      <c r="W238" s="73" t="str">
        <f t="shared" si="82"/>
        <v/>
      </c>
      <c r="X238" s="73" t="str">
        <f t="shared" si="82"/>
        <v/>
      </c>
      <c r="Y238" s="73" t="str">
        <f t="shared" si="82"/>
        <v/>
      </c>
      <c r="Z238" s="73" t="str">
        <f t="shared" si="82"/>
        <v/>
      </c>
      <c r="AA238" s="73" t="str">
        <f t="shared" si="82"/>
        <v/>
      </c>
      <c r="AB238" s="74" t="str">
        <f t="shared" si="82"/>
        <v/>
      </c>
      <c r="AC238" s="35" t="str">
        <f t="shared" si="73"/>
        <v/>
      </c>
      <c r="AD238" s="40" t="str">
        <f t="shared" si="74"/>
        <v/>
      </c>
      <c r="AE238" s="37" t="str">
        <f t="shared" si="75"/>
        <v/>
      </c>
      <c r="AF238" s="40" t="str">
        <f t="shared" si="76"/>
        <v/>
      </c>
      <c r="AG238" s="37" t="str">
        <f t="shared" si="77"/>
        <v/>
      </c>
      <c r="AH238" s="40" t="str">
        <f t="shared" si="78"/>
        <v/>
      </c>
      <c r="AI238" s="37" t="str">
        <f t="shared" si="79"/>
        <v/>
      </c>
      <c r="AJ238" s="40" t="str">
        <f t="shared" si="80"/>
        <v/>
      </c>
      <c r="AK238" s="33" t="str">
        <f>IF(SEM!AK238="","",SEM!AK238)</f>
        <v/>
      </c>
      <c r="AL238" s="6"/>
      <c r="AM238" s="79" t="str">
        <f t="shared" si="69"/>
        <v/>
      </c>
      <c r="AR238" s="5"/>
      <c r="AU238" s="198"/>
      <c r="AV238" s="198"/>
      <c r="AW238" s="198"/>
      <c r="AX238" s="198"/>
    </row>
    <row r="239" spans="2:50" ht="17.25" customHeight="1" x14ac:dyDescent="0.2">
      <c r="B239" s="6"/>
      <c r="C239" s="49" t="str">
        <f>IF(SEM!C239="","",SEM!C239)</f>
        <v/>
      </c>
      <c r="D239" s="220" t="str">
        <f>IF(C239="","",VLOOKUP(SEM!C239,FROTA!$B$5:$C$305,2,0))</f>
        <v/>
      </c>
      <c r="E239" s="24" t="str">
        <f>IF(C239="","",VLOOKUP(C239,FROTA!$B$5:$N$305,7,0))</f>
        <v/>
      </c>
      <c r="F239" s="38" t="str">
        <f t="shared" si="60"/>
        <v/>
      </c>
      <c r="G239" s="71" t="str">
        <f t="shared" si="70"/>
        <v/>
      </c>
      <c r="H239" s="32" t="str">
        <f t="shared" si="81"/>
        <v/>
      </c>
      <c r="I239" s="73" t="str">
        <f t="shared" si="81"/>
        <v/>
      </c>
      <c r="J239" s="73" t="str">
        <f t="shared" si="81"/>
        <v/>
      </c>
      <c r="K239" s="73" t="str">
        <f t="shared" si="72"/>
        <v/>
      </c>
      <c r="L239" s="73" t="str">
        <f t="shared" si="72"/>
        <v/>
      </c>
      <c r="M239" s="73" t="str">
        <f t="shared" si="72"/>
        <v/>
      </c>
      <c r="N239" s="73" t="str">
        <f t="shared" si="72"/>
        <v/>
      </c>
      <c r="O239" s="73" t="str">
        <f t="shared" si="72"/>
        <v/>
      </c>
      <c r="P239" s="73" t="str">
        <f t="shared" si="72"/>
        <v/>
      </c>
      <c r="Q239" s="73" t="str">
        <f t="shared" si="72"/>
        <v/>
      </c>
      <c r="R239" s="73" t="str">
        <f t="shared" si="82"/>
        <v/>
      </c>
      <c r="S239" s="73" t="str">
        <f t="shared" si="82"/>
        <v/>
      </c>
      <c r="T239" s="73" t="str">
        <f t="shared" si="82"/>
        <v/>
      </c>
      <c r="U239" s="73" t="str">
        <f t="shared" si="82"/>
        <v/>
      </c>
      <c r="V239" s="73" t="str">
        <f t="shared" si="82"/>
        <v/>
      </c>
      <c r="W239" s="73" t="str">
        <f t="shared" si="82"/>
        <v/>
      </c>
      <c r="X239" s="73" t="str">
        <f t="shared" si="82"/>
        <v/>
      </c>
      <c r="Y239" s="73" t="str">
        <f t="shared" si="82"/>
        <v/>
      </c>
      <c r="Z239" s="73" t="str">
        <f t="shared" si="82"/>
        <v/>
      </c>
      <c r="AA239" s="73" t="str">
        <f t="shared" si="82"/>
        <v/>
      </c>
      <c r="AB239" s="74" t="str">
        <f t="shared" si="82"/>
        <v/>
      </c>
      <c r="AC239" s="35" t="str">
        <f t="shared" si="73"/>
        <v/>
      </c>
      <c r="AD239" s="40" t="str">
        <f t="shared" si="74"/>
        <v/>
      </c>
      <c r="AE239" s="37" t="str">
        <f t="shared" si="75"/>
        <v/>
      </c>
      <c r="AF239" s="40" t="str">
        <f t="shared" si="76"/>
        <v/>
      </c>
      <c r="AG239" s="37" t="str">
        <f t="shared" si="77"/>
        <v/>
      </c>
      <c r="AH239" s="40" t="str">
        <f t="shared" si="78"/>
        <v/>
      </c>
      <c r="AI239" s="37" t="str">
        <f t="shared" si="79"/>
        <v/>
      </c>
      <c r="AJ239" s="40" t="str">
        <f t="shared" si="80"/>
        <v/>
      </c>
      <c r="AK239" s="33" t="str">
        <f>IF(SEM!AK239="","",SEM!AK239)</f>
        <v/>
      </c>
      <c r="AL239" s="6"/>
      <c r="AM239" s="79" t="str">
        <f t="shared" si="69"/>
        <v/>
      </c>
      <c r="AR239" s="5"/>
      <c r="AU239" s="198"/>
      <c r="AV239" s="198"/>
      <c r="AW239" s="198"/>
      <c r="AX239" s="198"/>
    </row>
    <row r="240" spans="2:50" ht="17.25" customHeight="1" x14ac:dyDescent="0.2">
      <c r="B240" s="6"/>
      <c r="C240" s="49" t="str">
        <f>IF(SEM!C240="","",SEM!C240)</f>
        <v/>
      </c>
      <c r="D240" s="220" t="str">
        <f>IF(C240="","",VLOOKUP(SEM!C240,FROTA!$B$5:$C$305,2,0))</f>
        <v/>
      </c>
      <c r="E240" s="24" t="str">
        <f>IF(C240="","",VLOOKUP(C240,FROTA!$B$5:$N$305,7,0))</f>
        <v/>
      </c>
      <c r="F240" s="38" t="str">
        <f t="shared" si="60"/>
        <v/>
      </c>
      <c r="G240" s="71" t="str">
        <f t="shared" si="70"/>
        <v/>
      </c>
      <c r="H240" s="32" t="str">
        <f t="shared" si="81"/>
        <v/>
      </c>
      <c r="I240" s="73" t="str">
        <f t="shared" si="81"/>
        <v/>
      </c>
      <c r="J240" s="73" t="str">
        <f t="shared" si="81"/>
        <v/>
      </c>
      <c r="K240" s="73" t="str">
        <f t="shared" si="72"/>
        <v/>
      </c>
      <c r="L240" s="73" t="str">
        <f t="shared" si="72"/>
        <v/>
      </c>
      <c r="M240" s="73" t="str">
        <f t="shared" si="72"/>
        <v/>
      </c>
      <c r="N240" s="73" t="str">
        <f t="shared" si="72"/>
        <v/>
      </c>
      <c r="O240" s="73" t="str">
        <f t="shared" ref="K240:Q276" si="83">IF($C240="","",IF(SUM(O$307*$G240)&gt;$F240,$F240,SUM(O$307*$G240)))</f>
        <v/>
      </c>
      <c r="P240" s="73" t="str">
        <f t="shared" si="83"/>
        <v/>
      </c>
      <c r="Q240" s="73" t="str">
        <f t="shared" si="83"/>
        <v/>
      </c>
      <c r="R240" s="73" t="str">
        <f t="shared" si="82"/>
        <v/>
      </c>
      <c r="S240" s="73" t="str">
        <f t="shared" si="82"/>
        <v/>
      </c>
      <c r="T240" s="73" t="str">
        <f t="shared" si="82"/>
        <v/>
      </c>
      <c r="U240" s="73" t="str">
        <f t="shared" si="82"/>
        <v/>
      </c>
      <c r="V240" s="73" t="str">
        <f t="shared" si="82"/>
        <v/>
      </c>
      <c r="W240" s="73" t="str">
        <f t="shared" si="82"/>
        <v/>
      </c>
      <c r="X240" s="73" t="str">
        <f t="shared" si="82"/>
        <v/>
      </c>
      <c r="Y240" s="73" t="str">
        <f t="shared" si="82"/>
        <v/>
      </c>
      <c r="Z240" s="73" t="str">
        <f t="shared" si="82"/>
        <v/>
      </c>
      <c r="AA240" s="73" t="str">
        <f t="shared" si="82"/>
        <v/>
      </c>
      <c r="AB240" s="74" t="str">
        <f t="shared" si="82"/>
        <v/>
      </c>
      <c r="AC240" s="35" t="str">
        <f t="shared" si="73"/>
        <v/>
      </c>
      <c r="AD240" s="40" t="str">
        <f t="shared" si="74"/>
        <v/>
      </c>
      <c r="AE240" s="37" t="str">
        <f t="shared" si="75"/>
        <v/>
      </c>
      <c r="AF240" s="40" t="str">
        <f t="shared" si="76"/>
        <v/>
      </c>
      <c r="AG240" s="37" t="str">
        <f t="shared" si="77"/>
        <v/>
      </c>
      <c r="AH240" s="40" t="str">
        <f t="shared" si="78"/>
        <v/>
      </c>
      <c r="AI240" s="37" t="str">
        <f t="shared" si="79"/>
        <v/>
      </c>
      <c r="AJ240" s="40" t="str">
        <f t="shared" si="80"/>
        <v/>
      </c>
      <c r="AK240" s="33" t="str">
        <f>IF(SEM!AK240="","",SEM!AK240)</f>
        <v/>
      </c>
      <c r="AL240" s="6"/>
      <c r="AM240" s="79" t="str">
        <f t="shared" si="69"/>
        <v/>
      </c>
      <c r="AR240" s="5"/>
      <c r="AU240" s="198"/>
      <c r="AV240" s="198"/>
      <c r="AW240" s="198"/>
      <c r="AX240" s="198"/>
    </row>
    <row r="241" spans="2:50" ht="17.25" customHeight="1" x14ac:dyDescent="0.2">
      <c r="B241" s="6"/>
      <c r="C241" s="49" t="str">
        <f>IF(SEM!C241="","",SEM!C241)</f>
        <v/>
      </c>
      <c r="D241" s="220" t="str">
        <f>IF(C241="","",VLOOKUP(SEM!C241,FROTA!$B$5:$C$305,2,0))</f>
        <v/>
      </c>
      <c r="E241" s="24" t="str">
        <f>IF(C241="","",VLOOKUP(C241,FROTA!$B$5:$N$305,7,0))</f>
        <v/>
      </c>
      <c r="F241" s="38" t="str">
        <f t="shared" si="60"/>
        <v/>
      </c>
      <c r="G241" s="71" t="str">
        <f t="shared" si="70"/>
        <v/>
      </c>
      <c r="H241" s="32" t="str">
        <f t="shared" si="81"/>
        <v/>
      </c>
      <c r="I241" s="73" t="str">
        <f t="shared" si="81"/>
        <v/>
      </c>
      <c r="J241" s="73" t="str">
        <f t="shared" si="81"/>
        <v/>
      </c>
      <c r="K241" s="73" t="str">
        <f t="shared" si="83"/>
        <v/>
      </c>
      <c r="L241" s="73" t="str">
        <f t="shared" si="83"/>
        <v/>
      </c>
      <c r="M241" s="73" t="str">
        <f t="shared" si="83"/>
        <v/>
      </c>
      <c r="N241" s="73" t="str">
        <f t="shared" si="83"/>
        <v/>
      </c>
      <c r="O241" s="73" t="str">
        <f t="shared" si="83"/>
        <v/>
      </c>
      <c r="P241" s="73" t="str">
        <f t="shared" si="83"/>
        <v/>
      </c>
      <c r="Q241" s="73" t="str">
        <f t="shared" si="83"/>
        <v/>
      </c>
      <c r="R241" s="73" t="str">
        <f t="shared" si="82"/>
        <v/>
      </c>
      <c r="S241" s="73" t="str">
        <f t="shared" si="82"/>
        <v/>
      </c>
      <c r="T241" s="73" t="str">
        <f t="shared" si="82"/>
        <v/>
      </c>
      <c r="U241" s="73" t="str">
        <f t="shared" si="82"/>
        <v/>
      </c>
      <c r="V241" s="73" t="str">
        <f t="shared" si="82"/>
        <v/>
      </c>
      <c r="W241" s="73" t="str">
        <f t="shared" si="82"/>
        <v/>
      </c>
      <c r="X241" s="73" t="str">
        <f t="shared" si="82"/>
        <v/>
      </c>
      <c r="Y241" s="73" t="str">
        <f t="shared" si="82"/>
        <v/>
      </c>
      <c r="Z241" s="73" t="str">
        <f t="shared" si="82"/>
        <v/>
      </c>
      <c r="AA241" s="73" t="str">
        <f t="shared" si="82"/>
        <v/>
      </c>
      <c r="AB241" s="74" t="str">
        <f t="shared" si="82"/>
        <v/>
      </c>
      <c r="AC241" s="35" t="str">
        <f t="shared" si="73"/>
        <v/>
      </c>
      <c r="AD241" s="40" t="str">
        <f t="shared" si="74"/>
        <v/>
      </c>
      <c r="AE241" s="37" t="str">
        <f t="shared" si="75"/>
        <v/>
      </c>
      <c r="AF241" s="40" t="str">
        <f t="shared" si="76"/>
        <v/>
      </c>
      <c r="AG241" s="37" t="str">
        <f t="shared" si="77"/>
        <v/>
      </c>
      <c r="AH241" s="40" t="str">
        <f t="shared" si="78"/>
        <v/>
      </c>
      <c r="AI241" s="37" t="str">
        <f t="shared" si="79"/>
        <v/>
      </c>
      <c r="AJ241" s="40" t="str">
        <f t="shared" si="80"/>
        <v/>
      </c>
      <c r="AK241" s="33" t="str">
        <f>IF(SEM!AK241="","",SEM!AK241)</f>
        <v/>
      </c>
      <c r="AL241" s="6"/>
      <c r="AM241" s="79" t="str">
        <f t="shared" si="69"/>
        <v/>
      </c>
      <c r="AR241" s="5"/>
      <c r="AU241" s="198"/>
      <c r="AV241" s="198"/>
      <c r="AW241" s="198"/>
      <c r="AX241" s="198"/>
    </row>
    <row r="242" spans="2:50" ht="17.25" customHeight="1" x14ac:dyDescent="0.2">
      <c r="B242" s="6"/>
      <c r="C242" s="49" t="str">
        <f>IF(SEM!C242="","",SEM!C242)</f>
        <v/>
      </c>
      <c r="D242" s="220" t="str">
        <f>IF(C242="","",VLOOKUP(SEM!C242,FROTA!$B$5:$C$305,2,0))</f>
        <v/>
      </c>
      <c r="E242" s="24" t="str">
        <f>IF(C242="","",VLOOKUP(C242,FROTA!$B$5:$N$305,7,0))</f>
        <v/>
      </c>
      <c r="F242" s="38" t="str">
        <f t="shared" si="60"/>
        <v/>
      </c>
      <c r="G242" s="71" t="str">
        <f t="shared" si="70"/>
        <v/>
      </c>
      <c r="H242" s="32" t="str">
        <f t="shared" si="81"/>
        <v/>
      </c>
      <c r="I242" s="73" t="str">
        <f t="shared" si="81"/>
        <v/>
      </c>
      <c r="J242" s="73" t="str">
        <f t="shared" si="81"/>
        <v/>
      </c>
      <c r="K242" s="73" t="str">
        <f t="shared" si="83"/>
        <v/>
      </c>
      <c r="L242" s="73" t="str">
        <f t="shared" si="83"/>
        <v/>
      </c>
      <c r="M242" s="73" t="str">
        <f t="shared" si="83"/>
        <v/>
      </c>
      <c r="N242" s="73" t="str">
        <f t="shared" si="83"/>
        <v/>
      </c>
      <c r="O242" s="73" t="str">
        <f t="shared" si="83"/>
        <v/>
      </c>
      <c r="P242" s="73" t="str">
        <f t="shared" si="83"/>
        <v/>
      </c>
      <c r="Q242" s="73" t="str">
        <f t="shared" si="83"/>
        <v/>
      </c>
      <c r="R242" s="73" t="str">
        <f t="shared" si="82"/>
        <v/>
      </c>
      <c r="S242" s="73" t="str">
        <f t="shared" si="82"/>
        <v/>
      </c>
      <c r="T242" s="73" t="str">
        <f t="shared" si="82"/>
        <v/>
      </c>
      <c r="U242" s="73" t="str">
        <f t="shared" si="82"/>
        <v/>
      </c>
      <c r="V242" s="73" t="str">
        <f t="shared" si="82"/>
        <v/>
      </c>
      <c r="W242" s="73" t="str">
        <f t="shared" si="82"/>
        <v/>
      </c>
      <c r="X242" s="73" t="str">
        <f t="shared" si="82"/>
        <v/>
      </c>
      <c r="Y242" s="73" t="str">
        <f t="shared" si="82"/>
        <v/>
      </c>
      <c r="Z242" s="73" t="str">
        <f t="shared" si="82"/>
        <v/>
      </c>
      <c r="AA242" s="73" t="str">
        <f t="shared" si="82"/>
        <v/>
      </c>
      <c r="AB242" s="74" t="str">
        <f t="shared" si="82"/>
        <v/>
      </c>
      <c r="AC242" s="35" t="str">
        <f t="shared" si="73"/>
        <v/>
      </c>
      <c r="AD242" s="40" t="str">
        <f t="shared" si="74"/>
        <v/>
      </c>
      <c r="AE242" s="37" t="str">
        <f t="shared" si="75"/>
        <v/>
      </c>
      <c r="AF242" s="40" t="str">
        <f t="shared" si="76"/>
        <v/>
      </c>
      <c r="AG242" s="37" t="str">
        <f t="shared" si="77"/>
        <v/>
      </c>
      <c r="AH242" s="40" t="str">
        <f t="shared" si="78"/>
        <v/>
      </c>
      <c r="AI242" s="37" t="str">
        <f t="shared" si="79"/>
        <v/>
      </c>
      <c r="AJ242" s="40" t="str">
        <f t="shared" si="80"/>
        <v/>
      </c>
      <c r="AK242" s="33" t="str">
        <f>IF(SEM!AK242="","",SEM!AK242)</f>
        <v/>
      </c>
      <c r="AL242" s="6"/>
      <c r="AM242" s="79" t="str">
        <f t="shared" si="69"/>
        <v/>
      </c>
      <c r="AR242" s="5"/>
      <c r="AU242" s="198"/>
      <c r="AV242" s="198"/>
      <c r="AW242" s="198"/>
      <c r="AX242" s="198"/>
    </row>
    <row r="243" spans="2:50" ht="17.25" customHeight="1" x14ac:dyDescent="0.2">
      <c r="B243" s="6"/>
      <c r="C243" s="49" t="str">
        <f>IF(SEM!C243="","",SEM!C243)</f>
        <v/>
      </c>
      <c r="D243" s="220" t="str">
        <f>IF(C243="","",VLOOKUP(SEM!C243,FROTA!$B$5:$C$305,2,0))</f>
        <v/>
      </c>
      <c r="E243" s="24" t="str">
        <f>IF(C243="","",VLOOKUP(C243,FROTA!$B$5:$N$305,7,0))</f>
        <v/>
      </c>
      <c r="F243" s="38" t="str">
        <f t="shared" si="60"/>
        <v/>
      </c>
      <c r="G243" s="71" t="str">
        <f t="shared" si="70"/>
        <v/>
      </c>
      <c r="H243" s="32" t="str">
        <f t="shared" si="81"/>
        <v/>
      </c>
      <c r="I243" s="73" t="str">
        <f t="shared" si="81"/>
        <v/>
      </c>
      <c r="J243" s="73" t="str">
        <f t="shared" si="81"/>
        <v/>
      </c>
      <c r="K243" s="73" t="str">
        <f t="shared" si="83"/>
        <v/>
      </c>
      <c r="L243" s="73" t="str">
        <f t="shared" si="83"/>
        <v/>
      </c>
      <c r="M243" s="73" t="str">
        <f t="shared" si="83"/>
        <v/>
      </c>
      <c r="N243" s="73" t="str">
        <f t="shared" si="83"/>
        <v/>
      </c>
      <c r="O243" s="73" t="str">
        <f t="shared" si="83"/>
        <v/>
      </c>
      <c r="P243" s="73" t="str">
        <f t="shared" si="83"/>
        <v/>
      </c>
      <c r="Q243" s="73" t="str">
        <f t="shared" si="83"/>
        <v/>
      </c>
      <c r="R243" s="73" t="str">
        <f t="shared" si="82"/>
        <v/>
      </c>
      <c r="S243" s="73" t="str">
        <f t="shared" si="82"/>
        <v/>
      </c>
      <c r="T243" s="73" t="str">
        <f t="shared" si="82"/>
        <v/>
      </c>
      <c r="U243" s="73" t="str">
        <f t="shared" si="82"/>
        <v/>
      </c>
      <c r="V243" s="73" t="str">
        <f t="shared" si="82"/>
        <v/>
      </c>
      <c r="W243" s="73" t="str">
        <f t="shared" si="82"/>
        <v/>
      </c>
      <c r="X243" s="73" t="str">
        <f t="shared" si="82"/>
        <v/>
      </c>
      <c r="Y243" s="73" t="str">
        <f t="shared" si="82"/>
        <v/>
      </c>
      <c r="Z243" s="73" t="str">
        <f t="shared" si="82"/>
        <v/>
      </c>
      <c r="AA243" s="73" t="str">
        <f t="shared" si="82"/>
        <v/>
      </c>
      <c r="AB243" s="74" t="str">
        <f t="shared" si="82"/>
        <v/>
      </c>
      <c r="AC243" s="35" t="str">
        <f t="shared" si="73"/>
        <v/>
      </c>
      <c r="AD243" s="40" t="str">
        <f t="shared" si="74"/>
        <v/>
      </c>
      <c r="AE243" s="37" t="str">
        <f t="shared" si="75"/>
        <v/>
      </c>
      <c r="AF243" s="40" t="str">
        <f t="shared" si="76"/>
        <v/>
      </c>
      <c r="AG243" s="37" t="str">
        <f t="shared" si="77"/>
        <v/>
      </c>
      <c r="AH243" s="40" t="str">
        <f t="shared" si="78"/>
        <v/>
      </c>
      <c r="AI243" s="37" t="str">
        <f t="shared" si="79"/>
        <v/>
      </c>
      <c r="AJ243" s="40" t="str">
        <f t="shared" si="80"/>
        <v/>
      </c>
      <c r="AK243" s="33" t="str">
        <f>IF(SEM!AK243="","",SEM!AK243)</f>
        <v/>
      </c>
      <c r="AL243" s="6"/>
      <c r="AM243" s="79" t="str">
        <f t="shared" si="69"/>
        <v/>
      </c>
      <c r="AR243" s="5"/>
      <c r="AU243" s="198"/>
      <c r="AV243" s="198"/>
      <c r="AW243" s="198"/>
      <c r="AX243" s="198"/>
    </row>
    <row r="244" spans="2:50" ht="17.25" customHeight="1" x14ac:dyDescent="0.2">
      <c r="B244" s="6"/>
      <c r="C244" s="49" t="str">
        <f>IF(SEM!C244="","",SEM!C244)</f>
        <v/>
      </c>
      <c r="D244" s="220" t="str">
        <f>IF(C244="","",VLOOKUP(SEM!C244,FROTA!$B$5:$C$305,2,0))</f>
        <v/>
      </c>
      <c r="E244" s="24" t="str">
        <f>IF(C244="","",VLOOKUP(C244,FROTA!$B$5:$N$305,7,0))</f>
        <v/>
      </c>
      <c r="F244" s="38" t="str">
        <f t="shared" si="60"/>
        <v/>
      </c>
      <c r="G244" s="71" t="str">
        <f t="shared" si="70"/>
        <v/>
      </c>
      <c r="H244" s="32" t="str">
        <f t="shared" si="81"/>
        <v/>
      </c>
      <c r="I244" s="73" t="str">
        <f t="shared" si="81"/>
        <v/>
      </c>
      <c r="J244" s="73" t="str">
        <f t="shared" si="81"/>
        <v/>
      </c>
      <c r="K244" s="73" t="str">
        <f t="shared" si="83"/>
        <v/>
      </c>
      <c r="L244" s="73" t="str">
        <f t="shared" si="83"/>
        <v/>
      </c>
      <c r="M244" s="73" t="str">
        <f t="shared" si="83"/>
        <v/>
      </c>
      <c r="N244" s="73" t="str">
        <f t="shared" si="83"/>
        <v/>
      </c>
      <c r="O244" s="73" t="str">
        <f t="shared" si="83"/>
        <v/>
      </c>
      <c r="P244" s="73" t="str">
        <f t="shared" si="83"/>
        <v/>
      </c>
      <c r="Q244" s="73" t="str">
        <f t="shared" si="83"/>
        <v/>
      </c>
      <c r="R244" s="73" t="str">
        <f t="shared" si="82"/>
        <v/>
      </c>
      <c r="S244" s="73" t="str">
        <f t="shared" si="82"/>
        <v/>
      </c>
      <c r="T244" s="73" t="str">
        <f t="shared" si="82"/>
        <v/>
      </c>
      <c r="U244" s="73" t="str">
        <f t="shared" si="82"/>
        <v/>
      </c>
      <c r="V244" s="73" t="str">
        <f t="shared" si="82"/>
        <v/>
      </c>
      <c r="W244" s="73" t="str">
        <f t="shared" si="82"/>
        <v/>
      </c>
      <c r="X244" s="73" t="str">
        <f t="shared" si="82"/>
        <v/>
      </c>
      <c r="Y244" s="73" t="str">
        <f t="shared" si="82"/>
        <v/>
      </c>
      <c r="Z244" s="73" t="str">
        <f t="shared" si="82"/>
        <v/>
      </c>
      <c r="AA244" s="73" t="str">
        <f t="shared" si="82"/>
        <v/>
      </c>
      <c r="AB244" s="74" t="str">
        <f t="shared" si="82"/>
        <v/>
      </c>
      <c r="AC244" s="35" t="str">
        <f t="shared" si="73"/>
        <v/>
      </c>
      <c r="AD244" s="40" t="str">
        <f t="shared" si="74"/>
        <v/>
      </c>
      <c r="AE244" s="37" t="str">
        <f t="shared" si="75"/>
        <v/>
      </c>
      <c r="AF244" s="40" t="str">
        <f t="shared" si="76"/>
        <v/>
      </c>
      <c r="AG244" s="37" t="str">
        <f t="shared" si="77"/>
        <v/>
      </c>
      <c r="AH244" s="40" t="str">
        <f t="shared" si="78"/>
        <v/>
      </c>
      <c r="AI244" s="37" t="str">
        <f t="shared" si="79"/>
        <v/>
      </c>
      <c r="AJ244" s="40" t="str">
        <f t="shared" si="80"/>
        <v/>
      </c>
      <c r="AK244" s="33" t="str">
        <f>IF(SEM!AK244="","",SEM!AK244)</f>
        <v/>
      </c>
      <c r="AL244" s="6"/>
      <c r="AM244" s="79" t="str">
        <f t="shared" si="69"/>
        <v/>
      </c>
      <c r="AR244" s="5"/>
      <c r="AU244" s="198"/>
      <c r="AV244" s="198"/>
      <c r="AW244" s="198"/>
      <c r="AX244" s="198"/>
    </row>
    <row r="245" spans="2:50" ht="17.25" customHeight="1" x14ac:dyDescent="0.2">
      <c r="B245" s="6"/>
      <c r="C245" s="49" t="str">
        <f>IF(SEM!C245="","",SEM!C245)</f>
        <v/>
      </c>
      <c r="D245" s="220" t="str">
        <f>IF(C245="","",VLOOKUP(SEM!C245,FROTA!$B$5:$C$305,2,0))</f>
        <v/>
      </c>
      <c r="E245" s="24" t="str">
        <f>IF(C245="","",VLOOKUP(C245,FROTA!$B$5:$N$305,7,0))</f>
        <v/>
      </c>
      <c r="F245" s="38" t="str">
        <f t="shared" si="60"/>
        <v/>
      </c>
      <c r="G245" s="71" t="str">
        <f t="shared" si="70"/>
        <v/>
      </c>
      <c r="H245" s="32" t="str">
        <f t="shared" si="81"/>
        <v/>
      </c>
      <c r="I245" s="73" t="str">
        <f t="shared" si="81"/>
        <v/>
      </c>
      <c r="J245" s="73" t="str">
        <f t="shared" si="81"/>
        <v/>
      </c>
      <c r="K245" s="73" t="str">
        <f t="shared" si="83"/>
        <v/>
      </c>
      <c r="L245" s="73" t="str">
        <f t="shared" si="83"/>
        <v/>
      </c>
      <c r="M245" s="73" t="str">
        <f t="shared" si="83"/>
        <v/>
      </c>
      <c r="N245" s="73" t="str">
        <f t="shared" si="83"/>
        <v/>
      </c>
      <c r="O245" s="73" t="str">
        <f t="shared" si="83"/>
        <v/>
      </c>
      <c r="P245" s="73" t="str">
        <f t="shared" si="83"/>
        <v/>
      </c>
      <c r="Q245" s="73" t="str">
        <f t="shared" si="83"/>
        <v/>
      </c>
      <c r="R245" s="73" t="str">
        <f t="shared" si="82"/>
        <v/>
      </c>
      <c r="S245" s="73" t="str">
        <f t="shared" si="82"/>
        <v/>
      </c>
      <c r="T245" s="73" t="str">
        <f t="shared" si="82"/>
        <v/>
      </c>
      <c r="U245" s="73" t="str">
        <f t="shared" si="82"/>
        <v/>
      </c>
      <c r="V245" s="73" t="str">
        <f t="shared" si="82"/>
        <v/>
      </c>
      <c r="W245" s="73" t="str">
        <f t="shared" si="82"/>
        <v/>
      </c>
      <c r="X245" s="73" t="str">
        <f t="shared" si="82"/>
        <v/>
      </c>
      <c r="Y245" s="73" t="str">
        <f t="shared" si="82"/>
        <v/>
      </c>
      <c r="Z245" s="73" t="str">
        <f t="shared" si="82"/>
        <v/>
      </c>
      <c r="AA245" s="73" t="str">
        <f t="shared" si="82"/>
        <v/>
      </c>
      <c r="AB245" s="74" t="str">
        <f t="shared" si="82"/>
        <v/>
      </c>
      <c r="AC245" s="35" t="str">
        <f t="shared" si="73"/>
        <v/>
      </c>
      <c r="AD245" s="40" t="str">
        <f t="shared" si="74"/>
        <v/>
      </c>
      <c r="AE245" s="37" t="str">
        <f t="shared" si="75"/>
        <v/>
      </c>
      <c r="AF245" s="40" t="str">
        <f t="shared" si="76"/>
        <v/>
      </c>
      <c r="AG245" s="37" t="str">
        <f t="shared" si="77"/>
        <v/>
      </c>
      <c r="AH245" s="40" t="str">
        <f t="shared" si="78"/>
        <v/>
      </c>
      <c r="AI245" s="37" t="str">
        <f t="shared" si="79"/>
        <v/>
      </c>
      <c r="AJ245" s="40" t="str">
        <f t="shared" si="80"/>
        <v/>
      </c>
      <c r="AK245" s="33" t="str">
        <f>IF(SEM!AK245="","",SEM!AK245)</f>
        <v/>
      </c>
      <c r="AL245" s="6"/>
      <c r="AM245" s="79" t="str">
        <f t="shared" si="69"/>
        <v/>
      </c>
      <c r="AR245" s="5"/>
      <c r="AU245" s="198"/>
      <c r="AV245" s="198"/>
      <c r="AW245" s="198"/>
      <c r="AX245" s="198"/>
    </row>
    <row r="246" spans="2:50" ht="17.25" customHeight="1" x14ac:dyDescent="0.2">
      <c r="B246" s="6"/>
      <c r="C246" s="49" t="str">
        <f>IF(SEM!C246="","",SEM!C246)</f>
        <v/>
      </c>
      <c r="D246" s="220" t="str">
        <f>IF(C246="","",VLOOKUP(SEM!C246,FROTA!$B$5:$C$305,2,0))</f>
        <v/>
      </c>
      <c r="E246" s="24" t="str">
        <f>IF(C246="","",VLOOKUP(C246,FROTA!$B$5:$N$305,7,0))</f>
        <v/>
      </c>
      <c r="F246" s="38" t="str">
        <f t="shared" si="60"/>
        <v/>
      </c>
      <c r="G246" s="71" t="str">
        <f t="shared" si="70"/>
        <v/>
      </c>
      <c r="H246" s="32" t="str">
        <f t="shared" si="81"/>
        <v/>
      </c>
      <c r="I246" s="73" t="str">
        <f t="shared" si="81"/>
        <v/>
      </c>
      <c r="J246" s="73" t="str">
        <f t="shared" si="81"/>
        <v/>
      </c>
      <c r="K246" s="73" t="str">
        <f t="shared" si="83"/>
        <v/>
      </c>
      <c r="L246" s="73" t="str">
        <f t="shared" si="83"/>
        <v/>
      </c>
      <c r="M246" s="73" t="str">
        <f t="shared" si="83"/>
        <v/>
      </c>
      <c r="N246" s="73" t="str">
        <f t="shared" si="83"/>
        <v/>
      </c>
      <c r="O246" s="73" t="str">
        <f t="shared" si="83"/>
        <v/>
      </c>
      <c r="P246" s="73" t="str">
        <f t="shared" si="83"/>
        <v/>
      </c>
      <c r="Q246" s="73" t="str">
        <f t="shared" si="83"/>
        <v/>
      </c>
      <c r="R246" s="73" t="str">
        <f t="shared" si="82"/>
        <v/>
      </c>
      <c r="S246" s="73" t="str">
        <f t="shared" si="82"/>
        <v/>
      </c>
      <c r="T246" s="73" t="str">
        <f t="shared" si="82"/>
        <v/>
      </c>
      <c r="U246" s="73" t="str">
        <f t="shared" si="82"/>
        <v/>
      </c>
      <c r="V246" s="73" t="str">
        <f t="shared" si="82"/>
        <v/>
      </c>
      <c r="W246" s="73" t="str">
        <f t="shared" si="82"/>
        <v/>
      </c>
      <c r="X246" s="73" t="str">
        <f t="shared" si="82"/>
        <v/>
      </c>
      <c r="Y246" s="73" t="str">
        <f t="shared" si="82"/>
        <v/>
      </c>
      <c r="Z246" s="73" t="str">
        <f t="shared" si="82"/>
        <v/>
      </c>
      <c r="AA246" s="73" t="str">
        <f t="shared" si="82"/>
        <v/>
      </c>
      <c r="AB246" s="74" t="str">
        <f t="shared" si="82"/>
        <v/>
      </c>
      <c r="AC246" s="35" t="str">
        <f t="shared" si="73"/>
        <v/>
      </c>
      <c r="AD246" s="40" t="str">
        <f t="shared" si="74"/>
        <v/>
      </c>
      <c r="AE246" s="37" t="str">
        <f t="shared" si="75"/>
        <v/>
      </c>
      <c r="AF246" s="40" t="str">
        <f t="shared" si="76"/>
        <v/>
      </c>
      <c r="AG246" s="37" t="str">
        <f t="shared" si="77"/>
        <v/>
      </c>
      <c r="AH246" s="40" t="str">
        <f t="shared" si="78"/>
        <v/>
      </c>
      <c r="AI246" s="37" t="str">
        <f t="shared" si="79"/>
        <v/>
      </c>
      <c r="AJ246" s="40" t="str">
        <f t="shared" si="80"/>
        <v/>
      </c>
      <c r="AK246" s="33" t="str">
        <f>IF(SEM!AK246="","",SEM!AK246)</f>
        <v/>
      </c>
      <c r="AL246" s="6"/>
      <c r="AM246" s="79" t="str">
        <f t="shared" si="69"/>
        <v/>
      </c>
      <c r="AR246" s="5"/>
      <c r="AU246" s="198"/>
      <c r="AV246" s="198"/>
      <c r="AW246" s="198"/>
      <c r="AX246" s="198"/>
    </row>
    <row r="247" spans="2:50" ht="17.25" customHeight="1" x14ac:dyDescent="0.2">
      <c r="B247" s="6"/>
      <c r="C247" s="49" t="str">
        <f>IF(SEM!C247="","",SEM!C247)</f>
        <v/>
      </c>
      <c r="D247" s="220" t="str">
        <f>IF(C247="","",VLOOKUP(SEM!C247,FROTA!$B$5:$C$305,2,0))</f>
        <v/>
      </c>
      <c r="E247" s="24" t="str">
        <f>IF(C247="","",VLOOKUP(C247,FROTA!$B$5:$N$305,7,0))</f>
        <v/>
      </c>
      <c r="F247" s="38" t="str">
        <f t="shared" si="60"/>
        <v/>
      </c>
      <c r="G247" s="71" t="str">
        <f t="shared" si="70"/>
        <v/>
      </c>
      <c r="H247" s="32" t="str">
        <f t="shared" si="81"/>
        <v/>
      </c>
      <c r="I247" s="73" t="str">
        <f t="shared" si="81"/>
        <v/>
      </c>
      <c r="J247" s="73" t="str">
        <f t="shared" si="81"/>
        <v/>
      </c>
      <c r="K247" s="73" t="str">
        <f t="shared" si="83"/>
        <v/>
      </c>
      <c r="L247" s="73" t="str">
        <f t="shared" si="83"/>
        <v/>
      </c>
      <c r="M247" s="73" t="str">
        <f t="shared" si="83"/>
        <v/>
      </c>
      <c r="N247" s="73" t="str">
        <f t="shared" si="83"/>
        <v/>
      </c>
      <c r="O247" s="73" t="str">
        <f t="shared" si="83"/>
        <v/>
      </c>
      <c r="P247" s="73" t="str">
        <f t="shared" si="83"/>
        <v/>
      </c>
      <c r="Q247" s="73" t="str">
        <f t="shared" si="83"/>
        <v/>
      </c>
      <c r="R247" s="73" t="str">
        <f t="shared" si="82"/>
        <v/>
      </c>
      <c r="S247" s="73" t="str">
        <f t="shared" si="82"/>
        <v/>
      </c>
      <c r="T247" s="73" t="str">
        <f t="shared" si="82"/>
        <v/>
      </c>
      <c r="U247" s="73" t="str">
        <f t="shared" si="82"/>
        <v/>
      </c>
      <c r="V247" s="73" t="str">
        <f t="shared" si="82"/>
        <v/>
      </c>
      <c r="W247" s="73" t="str">
        <f t="shared" si="82"/>
        <v/>
      </c>
      <c r="X247" s="73" t="str">
        <f t="shared" si="82"/>
        <v/>
      </c>
      <c r="Y247" s="73" t="str">
        <f t="shared" si="82"/>
        <v/>
      </c>
      <c r="Z247" s="73" t="str">
        <f t="shared" si="82"/>
        <v/>
      </c>
      <c r="AA247" s="73" t="str">
        <f t="shared" si="82"/>
        <v/>
      </c>
      <c r="AB247" s="74" t="str">
        <f t="shared" si="82"/>
        <v/>
      </c>
      <c r="AC247" s="35" t="str">
        <f t="shared" si="73"/>
        <v/>
      </c>
      <c r="AD247" s="40" t="str">
        <f t="shared" si="74"/>
        <v/>
      </c>
      <c r="AE247" s="37" t="str">
        <f t="shared" si="75"/>
        <v/>
      </c>
      <c r="AF247" s="40" t="str">
        <f t="shared" si="76"/>
        <v/>
      </c>
      <c r="AG247" s="37" t="str">
        <f t="shared" si="77"/>
        <v/>
      </c>
      <c r="AH247" s="40" t="str">
        <f t="shared" si="78"/>
        <v/>
      </c>
      <c r="AI247" s="37" t="str">
        <f t="shared" si="79"/>
        <v/>
      </c>
      <c r="AJ247" s="40" t="str">
        <f t="shared" si="80"/>
        <v/>
      </c>
      <c r="AK247" s="33" t="str">
        <f>IF(SEM!AK247="","",SEM!AK247)</f>
        <v/>
      </c>
      <c r="AL247" s="6"/>
      <c r="AM247" s="79" t="str">
        <f t="shared" si="69"/>
        <v/>
      </c>
      <c r="AR247" s="5"/>
      <c r="AU247" s="198"/>
      <c r="AV247" s="198"/>
      <c r="AW247" s="198"/>
      <c r="AX247" s="198"/>
    </row>
    <row r="248" spans="2:50" ht="17.25" customHeight="1" x14ac:dyDescent="0.2">
      <c r="B248" s="6"/>
      <c r="C248" s="49" t="str">
        <f>IF(SEM!C248="","",SEM!C248)</f>
        <v/>
      </c>
      <c r="D248" s="220" t="str">
        <f>IF(C248="","",VLOOKUP(SEM!C248,FROTA!$B$5:$C$305,2,0))</f>
        <v/>
      </c>
      <c r="E248" s="24" t="str">
        <f>IF(C248="","",VLOOKUP(C248,FROTA!$B$5:$N$305,7,0))</f>
        <v/>
      </c>
      <c r="F248" s="38" t="str">
        <f t="shared" si="60"/>
        <v/>
      </c>
      <c r="G248" s="71" t="str">
        <f t="shared" si="70"/>
        <v/>
      </c>
      <c r="H248" s="32" t="str">
        <f t="shared" si="81"/>
        <v/>
      </c>
      <c r="I248" s="73" t="str">
        <f t="shared" si="81"/>
        <v/>
      </c>
      <c r="J248" s="73" t="str">
        <f t="shared" si="81"/>
        <v/>
      </c>
      <c r="K248" s="73" t="str">
        <f t="shared" si="83"/>
        <v/>
      </c>
      <c r="L248" s="73" t="str">
        <f t="shared" si="83"/>
        <v/>
      </c>
      <c r="M248" s="73" t="str">
        <f t="shared" si="83"/>
        <v/>
      </c>
      <c r="N248" s="73" t="str">
        <f t="shared" si="83"/>
        <v/>
      </c>
      <c r="O248" s="73" t="str">
        <f t="shared" si="83"/>
        <v/>
      </c>
      <c r="P248" s="73" t="str">
        <f t="shared" si="83"/>
        <v/>
      </c>
      <c r="Q248" s="73" t="str">
        <f t="shared" si="83"/>
        <v/>
      </c>
      <c r="R248" s="73" t="str">
        <f t="shared" ref="R248:AB271" si="84">IF($C248="","",IF(SUM(R$307*$G248)&gt;$F248,$F248,SUM(R$307*$G248)))</f>
        <v/>
      </c>
      <c r="S248" s="73" t="str">
        <f t="shared" si="84"/>
        <v/>
      </c>
      <c r="T248" s="73" t="str">
        <f t="shared" si="84"/>
        <v/>
      </c>
      <c r="U248" s="73" t="str">
        <f t="shared" si="84"/>
        <v/>
      </c>
      <c r="V248" s="73" t="str">
        <f t="shared" si="84"/>
        <v/>
      </c>
      <c r="W248" s="73" t="str">
        <f t="shared" si="84"/>
        <v/>
      </c>
      <c r="X248" s="73" t="str">
        <f t="shared" si="84"/>
        <v/>
      </c>
      <c r="Y248" s="73" t="str">
        <f t="shared" si="84"/>
        <v/>
      </c>
      <c r="Z248" s="73" t="str">
        <f t="shared" si="84"/>
        <v/>
      </c>
      <c r="AA248" s="73" t="str">
        <f t="shared" si="84"/>
        <v/>
      </c>
      <c r="AB248" s="74" t="str">
        <f t="shared" si="84"/>
        <v/>
      </c>
      <c r="AC248" s="35" t="str">
        <f t="shared" si="73"/>
        <v/>
      </c>
      <c r="AD248" s="40" t="str">
        <f t="shared" si="74"/>
        <v/>
      </c>
      <c r="AE248" s="37" t="str">
        <f t="shared" si="75"/>
        <v/>
      </c>
      <c r="AF248" s="40" t="str">
        <f t="shared" si="76"/>
        <v/>
      </c>
      <c r="AG248" s="37" t="str">
        <f t="shared" si="77"/>
        <v/>
      </c>
      <c r="AH248" s="40" t="str">
        <f t="shared" si="78"/>
        <v/>
      </c>
      <c r="AI248" s="37" t="str">
        <f t="shared" si="79"/>
        <v/>
      </c>
      <c r="AJ248" s="40" t="str">
        <f t="shared" si="80"/>
        <v/>
      </c>
      <c r="AK248" s="33" t="str">
        <f>IF(SEM!AK248="","",SEM!AK248)</f>
        <v/>
      </c>
      <c r="AL248" s="6"/>
      <c r="AM248" s="79" t="str">
        <f t="shared" si="69"/>
        <v/>
      </c>
      <c r="AR248" s="5"/>
      <c r="AU248" s="198"/>
      <c r="AV248" s="198"/>
      <c r="AW248" s="198"/>
      <c r="AX248" s="198"/>
    </row>
    <row r="249" spans="2:50" ht="17.25" customHeight="1" x14ac:dyDescent="0.2">
      <c r="B249" s="6"/>
      <c r="C249" s="49" t="str">
        <f>IF(SEM!C249="","",SEM!C249)</f>
        <v/>
      </c>
      <c r="D249" s="220" t="str">
        <f>IF(C249="","",VLOOKUP(SEM!C249,FROTA!$B$5:$C$305,2,0))</f>
        <v/>
      </c>
      <c r="E249" s="24" t="str">
        <f>IF(C249="","",VLOOKUP(C249,FROTA!$B$5:$N$305,7,0))</f>
        <v/>
      </c>
      <c r="F249" s="38" t="str">
        <f t="shared" si="60"/>
        <v/>
      </c>
      <c r="G249" s="71" t="str">
        <f t="shared" si="70"/>
        <v/>
      </c>
      <c r="H249" s="32" t="str">
        <f t="shared" si="81"/>
        <v/>
      </c>
      <c r="I249" s="73" t="str">
        <f t="shared" si="81"/>
        <v/>
      </c>
      <c r="J249" s="73" t="str">
        <f t="shared" si="81"/>
        <v/>
      </c>
      <c r="K249" s="73" t="str">
        <f t="shared" si="83"/>
        <v/>
      </c>
      <c r="L249" s="73" t="str">
        <f t="shared" si="83"/>
        <v/>
      </c>
      <c r="M249" s="73" t="str">
        <f t="shared" si="83"/>
        <v/>
      </c>
      <c r="N249" s="73" t="str">
        <f t="shared" si="83"/>
        <v/>
      </c>
      <c r="O249" s="73" t="str">
        <f t="shared" si="83"/>
        <v/>
      </c>
      <c r="P249" s="73" t="str">
        <f t="shared" si="83"/>
        <v/>
      </c>
      <c r="Q249" s="73" t="str">
        <f t="shared" si="83"/>
        <v/>
      </c>
      <c r="R249" s="73" t="str">
        <f t="shared" si="84"/>
        <v/>
      </c>
      <c r="S249" s="73" t="str">
        <f t="shared" si="84"/>
        <v/>
      </c>
      <c r="T249" s="73" t="str">
        <f t="shared" si="84"/>
        <v/>
      </c>
      <c r="U249" s="73" t="str">
        <f t="shared" si="84"/>
        <v/>
      </c>
      <c r="V249" s="73" t="str">
        <f t="shared" si="84"/>
        <v/>
      </c>
      <c r="W249" s="73" t="str">
        <f t="shared" si="84"/>
        <v/>
      </c>
      <c r="X249" s="73" t="str">
        <f t="shared" si="84"/>
        <v/>
      </c>
      <c r="Y249" s="73" t="str">
        <f t="shared" si="84"/>
        <v/>
      </c>
      <c r="Z249" s="73" t="str">
        <f t="shared" si="84"/>
        <v/>
      </c>
      <c r="AA249" s="73" t="str">
        <f t="shared" si="84"/>
        <v/>
      </c>
      <c r="AB249" s="74" t="str">
        <f t="shared" si="84"/>
        <v/>
      </c>
      <c r="AC249" s="35" t="str">
        <f t="shared" si="73"/>
        <v/>
      </c>
      <c r="AD249" s="40" t="str">
        <f t="shared" si="74"/>
        <v/>
      </c>
      <c r="AE249" s="37" t="str">
        <f t="shared" si="75"/>
        <v/>
      </c>
      <c r="AF249" s="40" t="str">
        <f t="shared" si="76"/>
        <v/>
      </c>
      <c r="AG249" s="37" t="str">
        <f t="shared" si="77"/>
        <v/>
      </c>
      <c r="AH249" s="40" t="str">
        <f t="shared" si="78"/>
        <v/>
      </c>
      <c r="AI249" s="37" t="str">
        <f t="shared" si="79"/>
        <v/>
      </c>
      <c r="AJ249" s="40" t="str">
        <f t="shared" si="80"/>
        <v/>
      </c>
      <c r="AK249" s="33" t="str">
        <f>IF(SEM!AK249="","",SEM!AK249)</f>
        <v/>
      </c>
      <c r="AL249" s="6"/>
      <c r="AM249" s="79" t="str">
        <f t="shared" si="69"/>
        <v/>
      </c>
      <c r="AR249" s="5"/>
      <c r="AU249" s="198"/>
      <c r="AV249" s="198"/>
      <c r="AW249" s="198"/>
      <c r="AX249" s="198"/>
    </row>
    <row r="250" spans="2:50" ht="17.25" customHeight="1" x14ac:dyDescent="0.2">
      <c r="B250" s="6"/>
      <c r="C250" s="49" t="str">
        <f>IF(SEM!C250="","",SEM!C250)</f>
        <v/>
      </c>
      <c r="D250" s="220" t="str">
        <f>IF(C250="","",VLOOKUP(SEM!C250,FROTA!$B$5:$C$305,2,0))</f>
        <v/>
      </c>
      <c r="E250" s="24" t="str">
        <f>IF(C250="","",VLOOKUP(C250,FROTA!$B$5:$N$305,7,0))</f>
        <v/>
      </c>
      <c r="F250" s="38" t="str">
        <f t="shared" si="60"/>
        <v/>
      </c>
      <c r="G250" s="71" t="str">
        <f t="shared" si="70"/>
        <v/>
      </c>
      <c r="H250" s="32" t="str">
        <f t="shared" si="81"/>
        <v/>
      </c>
      <c r="I250" s="73" t="str">
        <f t="shared" si="81"/>
        <v/>
      </c>
      <c r="J250" s="73" t="str">
        <f t="shared" si="81"/>
        <v/>
      </c>
      <c r="K250" s="73" t="str">
        <f t="shared" si="83"/>
        <v/>
      </c>
      <c r="L250" s="73" t="str">
        <f t="shared" si="83"/>
        <v/>
      </c>
      <c r="M250" s="73" t="str">
        <f t="shared" si="83"/>
        <v/>
      </c>
      <c r="N250" s="73" t="str">
        <f t="shared" si="83"/>
        <v/>
      </c>
      <c r="O250" s="73" t="str">
        <f t="shared" si="83"/>
        <v/>
      </c>
      <c r="P250" s="73" t="str">
        <f t="shared" si="83"/>
        <v/>
      </c>
      <c r="Q250" s="73" t="str">
        <f t="shared" si="83"/>
        <v/>
      </c>
      <c r="R250" s="73" t="str">
        <f t="shared" si="84"/>
        <v/>
      </c>
      <c r="S250" s="73" t="str">
        <f t="shared" si="84"/>
        <v/>
      </c>
      <c r="T250" s="73" t="str">
        <f t="shared" si="84"/>
        <v/>
      </c>
      <c r="U250" s="73" t="str">
        <f t="shared" si="84"/>
        <v/>
      </c>
      <c r="V250" s="73" t="str">
        <f t="shared" si="84"/>
        <v/>
      </c>
      <c r="W250" s="73" t="str">
        <f t="shared" si="84"/>
        <v/>
      </c>
      <c r="X250" s="73" t="str">
        <f t="shared" si="84"/>
        <v/>
      </c>
      <c r="Y250" s="73" t="str">
        <f t="shared" si="84"/>
        <v/>
      </c>
      <c r="Z250" s="73" t="str">
        <f t="shared" si="84"/>
        <v/>
      </c>
      <c r="AA250" s="73" t="str">
        <f t="shared" si="84"/>
        <v/>
      </c>
      <c r="AB250" s="74" t="str">
        <f t="shared" si="84"/>
        <v/>
      </c>
      <c r="AC250" s="35" t="str">
        <f t="shared" si="73"/>
        <v/>
      </c>
      <c r="AD250" s="40" t="str">
        <f t="shared" si="74"/>
        <v/>
      </c>
      <c r="AE250" s="37" t="str">
        <f t="shared" si="75"/>
        <v/>
      </c>
      <c r="AF250" s="40" t="str">
        <f t="shared" si="76"/>
        <v/>
      </c>
      <c r="AG250" s="37" t="str">
        <f t="shared" si="77"/>
        <v/>
      </c>
      <c r="AH250" s="40" t="str">
        <f t="shared" si="78"/>
        <v/>
      </c>
      <c r="AI250" s="37" t="str">
        <f t="shared" si="79"/>
        <v/>
      </c>
      <c r="AJ250" s="40" t="str">
        <f t="shared" si="80"/>
        <v/>
      </c>
      <c r="AK250" s="33" t="str">
        <f>IF(SEM!AK250="","",SEM!AK250)</f>
        <v/>
      </c>
      <c r="AL250" s="6"/>
      <c r="AM250" s="79" t="str">
        <f t="shared" si="69"/>
        <v/>
      </c>
      <c r="AR250" s="5"/>
      <c r="AU250" s="198"/>
      <c r="AV250" s="198"/>
      <c r="AW250" s="198"/>
      <c r="AX250" s="198"/>
    </row>
    <row r="251" spans="2:50" ht="17.25" customHeight="1" x14ac:dyDescent="0.2">
      <c r="B251" s="6"/>
      <c r="C251" s="49" t="str">
        <f>IF(SEM!C251="","",SEM!C251)</f>
        <v/>
      </c>
      <c r="D251" s="220" t="str">
        <f>IF(C251="","",VLOOKUP(SEM!C251,FROTA!$B$5:$C$305,2,0))</f>
        <v/>
      </c>
      <c r="E251" s="24" t="str">
        <f>IF(C251="","",VLOOKUP(C251,FROTA!$B$5:$N$305,7,0))</f>
        <v/>
      </c>
      <c r="F251" s="38" t="str">
        <f t="shared" si="60"/>
        <v/>
      </c>
      <c r="G251" s="71" t="str">
        <f t="shared" si="70"/>
        <v/>
      </c>
      <c r="H251" s="32" t="str">
        <f t="shared" si="81"/>
        <v/>
      </c>
      <c r="I251" s="73" t="str">
        <f t="shared" si="81"/>
        <v/>
      </c>
      <c r="J251" s="73" t="str">
        <f t="shared" si="81"/>
        <v/>
      </c>
      <c r="K251" s="73" t="str">
        <f t="shared" si="83"/>
        <v/>
      </c>
      <c r="L251" s="73" t="str">
        <f t="shared" si="83"/>
        <v/>
      </c>
      <c r="M251" s="73" t="str">
        <f t="shared" si="83"/>
        <v/>
      </c>
      <c r="N251" s="73" t="str">
        <f t="shared" si="83"/>
        <v/>
      </c>
      <c r="O251" s="73" t="str">
        <f t="shared" si="83"/>
        <v/>
      </c>
      <c r="P251" s="73" t="str">
        <f t="shared" si="83"/>
        <v/>
      </c>
      <c r="Q251" s="73" t="str">
        <f t="shared" si="83"/>
        <v/>
      </c>
      <c r="R251" s="73" t="str">
        <f t="shared" si="84"/>
        <v/>
      </c>
      <c r="S251" s="73" t="str">
        <f t="shared" si="84"/>
        <v/>
      </c>
      <c r="T251" s="73" t="str">
        <f t="shared" si="84"/>
        <v/>
      </c>
      <c r="U251" s="73" t="str">
        <f t="shared" si="84"/>
        <v/>
      </c>
      <c r="V251" s="73" t="str">
        <f t="shared" si="84"/>
        <v/>
      </c>
      <c r="W251" s="73" t="str">
        <f t="shared" si="84"/>
        <v/>
      </c>
      <c r="X251" s="73" t="str">
        <f t="shared" si="84"/>
        <v/>
      </c>
      <c r="Y251" s="73" t="str">
        <f t="shared" si="84"/>
        <v/>
      </c>
      <c r="Z251" s="73" t="str">
        <f t="shared" si="84"/>
        <v/>
      </c>
      <c r="AA251" s="73" t="str">
        <f t="shared" si="84"/>
        <v/>
      </c>
      <c r="AB251" s="74" t="str">
        <f t="shared" si="84"/>
        <v/>
      </c>
      <c r="AC251" s="35" t="str">
        <f t="shared" si="73"/>
        <v/>
      </c>
      <c r="AD251" s="40" t="str">
        <f t="shared" si="74"/>
        <v/>
      </c>
      <c r="AE251" s="37" t="str">
        <f t="shared" si="75"/>
        <v/>
      </c>
      <c r="AF251" s="40" t="str">
        <f t="shared" si="76"/>
        <v/>
      </c>
      <c r="AG251" s="37" t="str">
        <f t="shared" si="77"/>
        <v/>
      </c>
      <c r="AH251" s="40" t="str">
        <f t="shared" si="78"/>
        <v/>
      </c>
      <c r="AI251" s="37" t="str">
        <f t="shared" si="79"/>
        <v/>
      </c>
      <c r="AJ251" s="40" t="str">
        <f t="shared" si="80"/>
        <v/>
      </c>
      <c r="AK251" s="33" t="str">
        <f>IF(SEM!AK251="","",SEM!AK251)</f>
        <v/>
      </c>
      <c r="AL251" s="6"/>
      <c r="AM251" s="79" t="str">
        <f t="shared" si="69"/>
        <v/>
      </c>
      <c r="AR251" s="5"/>
      <c r="AU251" s="198"/>
      <c r="AV251" s="198"/>
      <c r="AW251" s="198"/>
      <c r="AX251" s="198"/>
    </row>
    <row r="252" spans="2:50" ht="17.25" customHeight="1" x14ac:dyDescent="0.2">
      <c r="B252" s="6"/>
      <c r="C252" s="49" t="str">
        <f>IF(SEM!C252="","",SEM!C252)</f>
        <v/>
      </c>
      <c r="D252" s="220" t="str">
        <f>IF(C252="","",VLOOKUP(SEM!C252,FROTA!$B$5:$C$305,2,0))</f>
        <v/>
      </c>
      <c r="E252" s="24" t="str">
        <f>IF(C252="","",VLOOKUP(C252,FROTA!$B$5:$N$305,7,0))</f>
        <v/>
      </c>
      <c r="F252" s="38" t="str">
        <f t="shared" si="60"/>
        <v/>
      </c>
      <c r="G252" s="71" t="str">
        <f t="shared" si="70"/>
        <v/>
      </c>
      <c r="H252" s="32" t="str">
        <f t="shared" si="81"/>
        <v/>
      </c>
      <c r="I252" s="73" t="str">
        <f t="shared" si="81"/>
        <v/>
      </c>
      <c r="J252" s="73" t="str">
        <f t="shared" si="81"/>
        <v/>
      </c>
      <c r="K252" s="73" t="str">
        <f t="shared" si="83"/>
        <v/>
      </c>
      <c r="L252" s="73" t="str">
        <f t="shared" si="83"/>
        <v/>
      </c>
      <c r="M252" s="73" t="str">
        <f t="shared" si="83"/>
        <v/>
      </c>
      <c r="N252" s="73" t="str">
        <f t="shared" si="83"/>
        <v/>
      </c>
      <c r="O252" s="73" t="str">
        <f t="shared" si="83"/>
        <v/>
      </c>
      <c r="P252" s="73" t="str">
        <f t="shared" si="83"/>
        <v/>
      </c>
      <c r="Q252" s="73" t="str">
        <f t="shared" si="83"/>
        <v/>
      </c>
      <c r="R252" s="73" t="str">
        <f t="shared" si="84"/>
        <v/>
      </c>
      <c r="S252" s="73" t="str">
        <f t="shared" si="84"/>
        <v/>
      </c>
      <c r="T252" s="73" t="str">
        <f t="shared" si="84"/>
        <v/>
      </c>
      <c r="U252" s="73" t="str">
        <f t="shared" si="84"/>
        <v/>
      </c>
      <c r="V252" s="73" t="str">
        <f t="shared" si="84"/>
        <v/>
      </c>
      <c r="W252" s="73" t="str">
        <f t="shared" si="84"/>
        <v/>
      </c>
      <c r="X252" s="73" t="str">
        <f t="shared" si="84"/>
        <v/>
      </c>
      <c r="Y252" s="73" t="str">
        <f t="shared" si="84"/>
        <v/>
      </c>
      <c r="Z252" s="73" t="str">
        <f t="shared" si="84"/>
        <v/>
      </c>
      <c r="AA252" s="73" t="str">
        <f t="shared" si="84"/>
        <v/>
      </c>
      <c r="AB252" s="74" t="str">
        <f t="shared" si="84"/>
        <v/>
      </c>
      <c r="AC252" s="35" t="str">
        <f t="shared" si="73"/>
        <v/>
      </c>
      <c r="AD252" s="40" t="str">
        <f t="shared" si="74"/>
        <v/>
      </c>
      <c r="AE252" s="37" t="str">
        <f t="shared" si="75"/>
        <v/>
      </c>
      <c r="AF252" s="40" t="str">
        <f t="shared" si="76"/>
        <v/>
      </c>
      <c r="AG252" s="37" t="str">
        <f t="shared" si="77"/>
        <v/>
      </c>
      <c r="AH252" s="40" t="str">
        <f t="shared" si="78"/>
        <v/>
      </c>
      <c r="AI252" s="37" t="str">
        <f t="shared" si="79"/>
        <v/>
      </c>
      <c r="AJ252" s="40" t="str">
        <f t="shared" si="80"/>
        <v/>
      </c>
      <c r="AK252" s="33" t="str">
        <f>IF(SEM!AK252="","",SEM!AK252)</f>
        <v/>
      </c>
      <c r="AL252" s="6"/>
      <c r="AM252" s="79" t="str">
        <f t="shared" si="69"/>
        <v/>
      </c>
      <c r="AR252" s="5"/>
      <c r="AU252" s="198"/>
      <c r="AV252" s="198"/>
      <c r="AW252" s="198"/>
      <c r="AX252" s="198"/>
    </row>
    <row r="253" spans="2:50" ht="17.25" customHeight="1" x14ac:dyDescent="0.2">
      <c r="B253" s="6"/>
      <c r="C253" s="49" t="str">
        <f>IF(SEM!C253="","",SEM!C253)</f>
        <v/>
      </c>
      <c r="D253" s="220" t="str">
        <f>IF(C253="","",VLOOKUP(SEM!C253,FROTA!$B$5:$C$305,2,0))</f>
        <v/>
      </c>
      <c r="E253" s="24" t="str">
        <f>IF(C253="","",VLOOKUP(C253,FROTA!$B$5:$N$305,7,0))</f>
        <v/>
      </c>
      <c r="F253" s="38" t="str">
        <f t="shared" si="60"/>
        <v/>
      </c>
      <c r="G253" s="71" t="str">
        <f t="shared" si="70"/>
        <v/>
      </c>
      <c r="H253" s="32" t="str">
        <f t="shared" si="81"/>
        <v/>
      </c>
      <c r="I253" s="73" t="str">
        <f t="shared" si="81"/>
        <v/>
      </c>
      <c r="J253" s="73" t="str">
        <f t="shared" si="81"/>
        <v/>
      </c>
      <c r="K253" s="73" t="str">
        <f t="shared" si="83"/>
        <v/>
      </c>
      <c r="L253" s="73" t="str">
        <f t="shared" si="83"/>
        <v/>
      </c>
      <c r="M253" s="73" t="str">
        <f t="shared" si="83"/>
        <v/>
      </c>
      <c r="N253" s="73" t="str">
        <f t="shared" si="83"/>
        <v/>
      </c>
      <c r="O253" s="73" t="str">
        <f t="shared" si="83"/>
        <v/>
      </c>
      <c r="P253" s="73" t="str">
        <f t="shared" si="83"/>
        <v/>
      </c>
      <c r="Q253" s="73" t="str">
        <f t="shared" si="83"/>
        <v/>
      </c>
      <c r="R253" s="73" t="str">
        <f t="shared" si="84"/>
        <v/>
      </c>
      <c r="S253" s="73" t="str">
        <f t="shared" si="84"/>
        <v/>
      </c>
      <c r="T253" s="73" t="str">
        <f t="shared" si="84"/>
        <v/>
      </c>
      <c r="U253" s="73" t="str">
        <f t="shared" si="84"/>
        <v/>
      </c>
      <c r="V253" s="73" t="str">
        <f t="shared" si="84"/>
        <v/>
      </c>
      <c r="W253" s="73" t="str">
        <f t="shared" si="84"/>
        <v/>
      </c>
      <c r="X253" s="73" t="str">
        <f t="shared" si="84"/>
        <v/>
      </c>
      <c r="Y253" s="73" t="str">
        <f t="shared" si="84"/>
        <v/>
      </c>
      <c r="Z253" s="73" t="str">
        <f t="shared" si="84"/>
        <v/>
      </c>
      <c r="AA253" s="73" t="str">
        <f t="shared" si="84"/>
        <v/>
      </c>
      <c r="AB253" s="74" t="str">
        <f t="shared" si="84"/>
        <v/>
      </c>
      <c r="AC253" s="35" t="str">
        <f t="shared" si="73"/>
        <v/>
      </c>
      <c r="AD253" s="40" t="str">
        <f t="shared" si="74"/>
        <v/>
      </c>
      <c r="AE253" s="37" t="str">
        <f t="shared" si="75"/>
        <v/>
      </c>
      <c r="AF253" s="40" t="str">
        <f t="shared" si="76"/>
        <v/>
      </c>
      <c r="AG253" s="37" t="str">
        <f t="shared" si="77"/>
        <v/>
      </c>
      <c r="AH253" s="40" t="str">
        <f t="shared" si="78"/>
        <v/>
      </c>
      <c r="AI253" s="37" t="str">
        <f t="shared" si="79"/>
        <v/>
      </c>
      <c r="AJ253" s="40" t="str">
        <f t="shared" si="80"/>
        <v/>
      </c>
      <c r="AK253" s="33" t="str">
        <f>IF(SEM!AK253="","",SEM!AK253)</f>
        <v/>
      </c>
      <c r="AL253" s="6"/>
      <c r="AM253" s="79" t="str">
        <f t="shared" si="69"/>
        <v/>
      </c>
      <c r="AR253" s="5"/>
      <c r="AU253" s="198"/>
      <c r="AV253" s="198"/>
      <c r="AW253" s="198"/>
      <c r="AX253" s="198"/>
    </row>
    <row r="254" spans="2:50" ht="17.25" customHeight="1" x14ac:dyDescent="0.2">
      <c r="B254" s="6"/>
      <c r="C254" s="49" t="str">
        <f>IF(SEM!C254="","",SEM!C254)</f>
        <v/>
      </c>
      <c r="D254" s="220" t="str">
        <f>IF(C254="","",VLOOKUP(SEM!C254,FROTA!$B$5:$C$305,2,0))</f>
        <v/>
      </c>
      <c r="E254" s="24" t="str">
        <f>IF(C254="","",VLOOKUP(C254,FROTA!$B$5:$N$305,7,0))</f>
        <v/>
      </c>
      <c r="F254" s="38" t="str">
        <f t="shared" si="60"/>
        <v/>
      </c>
      <c r="G254" s="71" t="str">
        <f t="shared" si="70"/>
        <v/>
      </c>
      <c r="H254" s="32" t="str">
        <f t="shared" si="81"/>
        <v/>
      </c>
      <c r="I254" s="73" t="str">
        <f t="shared" si="81"/>
        <v/>
      </c>
      <c r="J254" s="73" t="str">
        <f t="shared" si="81"/>
        <v/>
      </c>
      <c r="K254" s="73" t="str">
        <f t="shared" si="83"/>
        <v/>
      </c>
      <c r="L254" s="73" t="str">
        <f t="shared" si="83"/>
        <v/>
      </c>
      <c r="M254" s="73" t="str">
        <f t="shared" si="83"/>
        <v/>
      </c>
      <c r="N254" s="73" t="str">
        <f t="shared" si="83"/>
        <v/>
      </c>
      <c r="O254" s="73" t="str">
        <f t="shared" si="83"/>
        <v/>
      </c>
      <c r="P254" s="73" t="str">
        <f t="shared" si="83"/>
        <v/>
      </c>
      <c r="Q254" s="73" t="str">
        <f t="shared" si="83"/>
        <v/>
      </c>
      <c r="R254" s="73" t="str">
        <f t="shared" si="84"/>
        <v/>
      </c>
      <c r="S254" s="73" t="str">
        <f t="shared" si="84"/>
        <v/>
      </c>
      <c r="T254" s="73" t="str">
        <f t="shared" si="84"/>
        <v/>
      </c>
      <c r="U254" s="73" t="str">
        <f t="shared" si="84"/>
        <v/>
      </c>
      <c r="V254" s="73" t="str">
        <f t="shared" si="84"/>
        <v/>
      </c>
      <c r="W254" s="73" t="str">
        <f t="shared" si="84"/>
        <v/>
      </c>
      <c r="X254" s="73" t="str">
        <f t="shared" si="84"/>
        <v/>
      </c>
      <c r="Y254" s="73" t="str">
        <f t="shared" si="84"/>
        <v/>
      </c>
      <c r="Z254" s="73" t="str">
        <f t="shared" si="84"/>
        <v/>
      </c>
      <c r="AA254" s="73" t="str">
        <f t="shared" si="84"/>
        <v/>
      </c>
      <c r="AB254" s="74" t="str">
        <f t="shared" si="84"/>
        <v/>
      </c>
      <c r="AC254" s="35" t="str">
        <f t="shared" si="73"/>
        <v/>
      </c>
      <c r="AD254" s="40" t="str">
        <f t="shared" si="74"/>
        <v/>
      </c>
      <c r="AE254" s="37" t="str">
        <f t="shared" si="75"/>
        <v/>
      </c>
      <c r="AF254" s="40" t="str">
        <f t="shared" si="76"/>
        <v/>
      </c>
      <c r="AG254" s="37" t="str">
        <f t="shared" si="77"/>
        <v/>
      </c>
      <c r="AH254" s="40" t="str">
        <f t="shared" si="78"/>
        <v/>
      </c>
      <c r="AI254" s="37" t="str">
        <f t="shared" si="79"/>
        <v/>
      </c>
      <c r="AJ254" s="40" t="str">
        <f t="shared" si="80"/>
        <v/>
      </c>
      <c r="AK254" s="33" t="str">
        <f>IF(SEM!AK254="","",SEM!AK254)</f>
        <v/>
      </c>
      <c r="AL254" s="6"/>
      <c r="AM254" s="79" t="str">
        <f t="shared" si="69"/>
        <v/>
      </c>
      <c r="AR254" s="5"/>
      <c r="AU254" s="198"/>
      <c r="AV254" s="198"/>
      <c r="AW254" s="198"/>
      <c r="AX254" s="198"/>
    </row>
    <row r="255" spans="2:50" ht="17.25" customHeight="1" x14ac:dyDescent="0.2">
      <c r="B255" s="6"/>
      <c r="C255" s="49" t="str">
        <f>IF(SEM!C255="","",SEM!C255)</f>
        <v/>
      </c>
      <c r="D255" s="220" t="str">
        <f>IF(C255="","",VLOOKUP(SEM!C255,FROTA!$B$5:$C$305,2,0))</f>
        <v/>
      </c>
      <c r="E255" s="24" t="str">
        <f>IF(C255="","",VLOOKUP(C255,FROTA!$B$5:$N$305,7,0))</f>
        <v/>
      </c>
      <c r="F255" s="38" t="str">
        <f t="shared" si="60"/>
        <v/>
      </c>
      <c r="G255" s="71" t="str">
        <f t="shared" si="70"/>
        <v/>
      </c>
      <c r="H255" s="32" t="str">
        <f t="shared" si="81"/>
        <v/>
      </c>
      <c r="I255" s="73" t="str">
        <f t="shared" si="81"/>
        <v/>
      </c>
      <c r="J255" s="73" t="str">
        <f t="shared" si="81"/>
        <v/>
      </c>
      <c r="K255" s="73" t="str">
        <f t="shared" si="83"/>
        <v/>
      </c>
      <c r="L255" s="73" t="str">
        <f t="shared" si="83"/>
        <v/>
      </c>
      <c r="M255" s="73" t="str">
        <f t="shared" si="83"/>
        <v/>
      </c>
      <c r="N255" s="73" t="str">
        <f t="shared" si="83"/>
        <v/>
      </c>
      <c r="O255" s="73" t="str">
        <f t="shared" si="83"/>
        <v/>
      </c>
      <c r="P255" s="73" t="str">
        <f t="shared" si="83"/>
        <v/>
      </c>
      <c r="Q255" s="73" t="str">
        <f t="shared" si="83"/>
        <v/>
      </c>
      <c r="R255" s="73" t="str">
        <f t="shared" si="84"/>
        <v/>
      </c>
      <c r="S255" s="73" t="str">
        <f t="shared" si="84"/>
        <v/>
      </c>
      <c r="T255" s="73" t="str">
        <f t="shared" si="84"/>
        <v/>
      </c>
      <c r="U255" s="73" t="str">
        <f t="shared" si="84"/>
        <v/>
      </c>
      <c r="V255" s="73" t="str">
        <f t="shared" si="84"/>
        <v/>
      </c>
      <c r="W255" s="73" t="str">
        <f t="shared" si="84"/>
        <v/>
      </c>
      <c r="X255" s="73" t="str">
        <f t="shared" si="84"/>
        <v/>
      </c>
      <c r="Y255" s="73" t="str">
        <f t="shared" si="84"/>
        <v/>
      </c>
      <c r="Z255" s="73" t="str">
        <f t="shared" si="84"/>
        <v/>
      </c>
      <c r="AA255" s="73" t="str">
        <f t="shared" si="84"/>
        <v/>
      </c>
      <c r="AB255" s="74" t="str">
        <f t="shared" si="84"/>
        <v/>
      </c>
      <c r="AC255" s="35" t="str">
        <f t="shared" si="73"/>
        <v/>
      </c>
      <c r="AD255" s="40" t="str">
        <f t="shared" si="74"/>
        <v/>
      </c>
      <c r="AE255" s="37" t="str">
        <f t="shared" si="75"/>
        <v/>
      </c>
      <c r="AF255" s="40" t="str">
        <f t="shared" si="76"/>
        <v/>
      </c>
      <c r="AG255" s="37" t="str">
        <f t="shared" si="77"/>
        <v/>
      </c>
      <c r="AH255" s="40" t="str">
        <f t="shared" si="78"/>
        <v/>
      </c>
      <c r="AI255" s="37" t="str">
        <f t="shared" si="79"/>
        <v/>
      </c>
      <c r="AJ255" s="40" t="str">
        <f t="shared" si="80"/>
        <v/>
      </c>
      <c r="AK255" s="33" t="str">
        <f>IF(SEM!AK255="","",SEM!AK255)</f>
        <v/>
      </c>
      <c r="AL255" s="6"/>
      <c r="AM255" s="79" t="str">
        <f t="shared" si="69"/>
        <v/>
      </c>
      <c r="AR255" s="5"/>
      <c r="AU255" s="198"/>
      <c r="AV255" s="198"/>
      <c r="AW255" s="198"/>
      <c r="AX255" s="198"/>
    </row>
    <row r="256" spans="2:50" ht="17.25" customHeight="1" x14ac:dyDescent="0.2">
      <c r="B256" s="6"/>
      <c r="C256" s="49" t="str">
        <f>IF(SEM!C256="","",SEM!C256)</f>
        <v/>
      </c>
      <c r="D256" s="220" t="str">
        <f>IF(C256="","",VLOOKUP(SEM!C256,FROTA!$B$5:$C$305,2,0))</f>
        <v/>
      </c>
      <c r="E256" s="24" t="str">
        <f>IF(C256="","",VLOOKUP(C256,FROTA!$B$5:$N$305,7,0))</f>
        <v/>
      </c>
      <c r="F256" s="38" t="str">
        <f t="shared" si="60"/>
        <v/>
      </c>
      <c r="G256" s="71" t="str">
        <f t="shared" si="70"/>
        <v/>
      </c>
      <c r="H256" s="32" t="str">
        <f t="shared" si="81"/>
        <v/>
      </c>
      <c r="I256" s="73" t="str">
        <f t="shared" si="81"/>
        <v/>
      </c>
      <c r="J256" s="73" t="str">
        <f t="shared" si="81"/>
        <v/>
      </c>
      <c r="K256" s="73" t="str">
        <f t="shared" si="83"/>
        <v/>
      </c>
      <c r="L256" s="73" t="str">
        <f t="shared" si="83"/>
        <v/>
      </c>
      <c r="M256" s="73" t="str">
        <f t="shared" si="83"/>
        <v/>
      </c>
      <c r="N256" s="73" t="str">
        <f t="shared" si="83"/>
        <v/>
      </c>
      <c r="O256" s="73" t="str">
        <f t="shared" si="83"/>
        <v/>
      </c>
      <c r="P256" s="73" t="str">
        <f t="shared" si="83"/>
        <v/>
      </c>
      <c r="Q256" s="73" t="str">
        <f t="shared" si="83"/>
        <v/>
      </c>
      <c r="R256" s="73" t="str">
        <f t="shared" si="84"/>
        <v/>
      </c>
      <c r="S256" s="73" t="str">
        <f t="shared" si="84"/>
        <v/>
      </c>
      <c r="T256" s="73" t="str">
        <f t="shared" si="84"/>
        <v/>
      </c>
      <c r="U256" s="73" t="str">
        <f t="shared" si="84"/>
        <v/>
      </c>
      <c r="V256" s="73" t="str">
        <f t="shared" si="84"/>
        <v/>
      </c>
      <c r="W256" s="73" t="str">
        <f t="shared" si="84"/>
        <v/>
      </c>
      <c r="X256" s="73" t="str">
        <f t="shared" si="84"/>
        <v/>
      </c>
      <c r="Y256" s="73" t="str">
        <f t="shared" si="84"/>
        <v/>
      </c>
      <c r="Z256" s="73" t="str">
        <f t="shared" si="84"/>
        <v/>
      </c>
      <c r="AA256" s="73" t="str">
        <f t="shared" si="84"/>
        <v/>
      </c>
      <c r="AB256" s="74" t="str">
        <f t="shared" si="84"/>
        <v/>
      </c>
      <c r="AC256" s="35" t="str">
        <f t="shared" si="73"/>
        <v/>
      </c>
      <c r="AD256" s="40" t="str">
        <f t="shared" si="74"/>
        <v/>
      </c>
      <c r="AE256" s="37" t="str">
        <f t="shared" si="75"/>
        <v/>
      </c>
      <c r="AF256" s="40" t="str">
        <f t="shared" si="76"/>
        <v/>
      </c>
      <c r="AG256" s="37" t="str">
        <f t="shared" si="77"/>
        <v/>
      </c>
      <c r="AH256" s="40" t="str">
        <f t="shared" si="78"/>
        <v/>
      </c>
      <c r="AI256" s="37" t="str">
        <f t="shared" si="79"/>
        <v/>
      </c>
      <c r="AJ256" s="40" t="str">
        <f t="shared" si="80"/>
        <v/>
      </c>
      <c r="AK256" s="33" t="str">
        <f>IF(SEM!AK256="","",SEM!AK256)</f>
        <v/>
      </c>
      <c r="AL256" s="6"/>
      <c r="AM256" s="79" t="str">
        <f t="shared" si="69"/>
        <v/>
      </c>
      <c r="AR256" s="5"/>
      <c r="AU256" s="198"/>
      <c r="AV256" s="198"/>
      <c r="AW256" s="198"/>
      <c r="AX256" s="198"/>
    </row>
    <row r="257" spans="2:50" ht="17.25" customHeight="1" x14ac:dyDescent="0.2">
      <c r="B257" s="6"/>
      <c r="C257" s="49" t="str">
        <f>IF(SEM!C257="","",SEM!C257)</f>
        <v/>
      </c>
      <c r="D257" s="220" t="str">
        <f>IF(C257="","",VLOOKUP(SEM!C257,FROTA!$B$5:$C$305,2,0))</f>
        <v/>
      </c>
      <c r="E257" s="24" t="str">
        <f>IF(C257="","",VLOOKUP(C257,FROTA!$B$5:$N$305,7,0))</f>
        <v/>
      </c>
      <c r="F257" s="38" t="str">
        <f t="shared" si="60"/>
        <v/>
      </c>
      <c r="G257" s="71" t="str">
        <f t="shared" si="70"/>
        <v/>
      </c>
      <c r="H257" s="32" t="str">
        <f t="shared" si="81"/>
        <v/>
      </c>
      <c r="I257" s="73" t="str">
        <f t="shared" si="81"/>
        <v/>
      </c>
      <c r="J257" s="73" t="str">
        <f t="shared" si="81"/>
        <v/>
      </c>
      <c r="K257" s="73" t="str">
        <f t="shared" si="83"/>
        <v/>
      </c>
      <c r="L257" s="73" t="str">
        <f t="shared" si="83"/>
        <v/>
      </c>
      <c r="M257" s="73" t="str">
        <f t="shared" si="83"/>
        <v/>
      </c>
      <c r="N257" s="73" t="str">
        <f t="shared" si="83"/>
        <v/>
      </c>
      <c r="O257" s="73" t="str">
        <f t="shared" si="83"/>
        <v/>
      </c>
      <c r="P257" s="73" t="str">
        <f t="shared" si="83"/>
        <v/>
      </c>
      <c r="Q257" s="73" t="str">
        <f t="shared" si="83"/>
        <v/>
      </c>
      <c r="R257" s="73" t="str">
        <f t="shared" si="84"/>
        <v/>
      </c>
      <c r="S257" s="73" t="str">
        <f t="shared" si="84"/>
        <v/>
      </c>
      <c r="T257" s="73" t="str">
        <f t="shared" si="84"/>
        <v/>
      </c>
      <c r="U257" s="73" t="str">
        <f t="shared" si="84"/>
        <v/>
      </c>
      <c r="V257" s="73" t="str">
        <f t="shared" si="84"/>
        <v/>
      </c>
      <c r="W257" s="73" t="str">
        <f t="shared" si="84"/>
        <v/>
      </c>
      <c r="X257" s="73" t="str">
        <f t="shared" si="84"/>
        <v/>
      </c>
      <c r="Y257" s="73" t="str">
        <f t="shared" si="84"/>
        <v/>
      </c>
      <c r="Z257" s="73" t="str">
        <f t="shared" si="84"/>
        <v/>
      </c>
      <c r="AA257" s="73" t="str">
        <f t="shared" si="84"/>
        <v/>
      </c>
      <c r="AB257" s="74" t="str">
        <f t="shared" si="84"/>
        <v/>
      </c>
      <c r="AC257" s="35" t="str">
        <f t="shared" si="73"/>
        <v/>
      </c>
      <c r="AD257" s="40" t="str">
        <f t="shared" si="74"/>
        <v/>
      </c>
      <c r="AE257" s="37" t="str">
        <f t="shared" si="75"/>
        <v/>
      </c>
      <c r="AF257" s="40" t="str">
        <f t="shared" si="76"/>
        <v/>
      </c>
      <c r="AG257" s="37" t="str">
        <f t="shared" si="77"/>
        <v/>
      </c>
      <c r="AH257" s="40" t="str">
        <f t="shared" si="78"/>
        <v/>
      </c>
      <c r="AI257" s="37" t="str">
        <f t="shared" si="79"/>
        <v/>
      </c>
      <c r="AJ257" s="40" t="str">
        <f t="shared" si="80"/>
        <v/>
      </c>
      <c r="AK257" s="33" t="str">
        <f>IF(SEM!AK257="","",SEM!AK257)</f>
        <v/>
      </c>
      <c r="AL257" s="6"/>
      <c r="AM257" s="79" t="str">
        <f t="shared" si="69"/>
        <v/>
      </c>
      <c r="AR257" s="5"/>
      <c r="AU257" s="198"/>
      <c r="AV257" s="198"/>
      <c r="AW257" s="198"/>
      <c r="AX257" s="198"/>
    </row>
    <row r="258" spans="2:50" ht="17.25" customHeight="1" x14ac:dyDescent="0.2">
      <c r="B258" s="6"/>
      <c r="C258" s="49" t="str">
        <f>IF(SEM!C258="","",SEM!C258)</f>
        <v/>
      </c>
      <c r="D258" s="220" t="str">
        <f>IF(C258="","",VLOOKUP(SEM!C258,FROTA!$B$5:$C$305,2,0))</f>
        <v/>
      </c>
      <c r="E258" s="24" t="str">
        <f>IF(C258="","",VLOOKUP(C258,FROTA!$B$5:$N$305,7,0))</f>
        <v/>
      </c>
      <c r="F258" s="38" t="str">
        <f t="shared" si="60"/>
        <v/>
      </c>
      <c r="G258" s="71" t="str">
        <f t="shared" si="70"/>
        <v/>
      </c>
      <c r="H258" s="32" t="str">
        <f t="shared" si="81"/>
        <v/>
      </c>
      <c r="I258" s="73" t="str">
        <f t="shared" si="81"/>
        <v/>
      </c>
      <c r="J258" s="73" t="str">
        <f t="shared" si="81"/>
        <v/>
      </c>
      <c r="K258" s="73" t="str">
        <f t="shared" si="83"/>
        <v/>
      </c>
      <c r="L258" s="73" t="str">
        <f t="shared" si="83"/>
        <v/>
      </c>
      <c r="M258" s="73" t="str">
        <f t="shared" si="83"/>
        <v/>
      </c>
      <c r="N258" s="73" t="str">
        <f t="shared" si="83"/>
        <v/>
      </c>
      <c r="O258" s="73" t="str">
        <f t="shared" si="83"/>
        <v/>
      </c>
      <c r="P258" s="73" t="str">
        <f t="shared" si="83"/>
        <v/>
      </c>
      <c r="Q258" s="73" t="str">
        <f t="shared" si="83"/>
        <v/>
      </c>
      <c r="R258" s="73" t="str">
        <f t="shared" si="84"/>
        <v/>
      </c>
      <c r="S258" s="73" t="str">
        <f t="shared" si="84"/>
        <v/>
      </c>
      <c r="T258" s="73" t="str">
        <f t="shared" si="84"/>
        <v/>
      </c>
      <c r="U258" s="73" t="str">
        <f t="shared" si="84"/>
        <v/>
      </c>
      <c r="V258" s="73" t="str">
        <f t="shared" si="84"/>
        <v/>
      </c>
      <c r="W258" s="73" t="str">
        <f t="shared" si="84"/>
        <v/>
      </c>
      <c r="X258" s="73" t="str">
        <f t="shared" si="84"/>
        <v/>
      </c>
      <c r="Y258" s="73" t="str">
        <f t="shared" si="84"/>
        <v/>
      </c>
      <c r="Z258" s="73" t="str">
        <f t="shared" si="84"/>
        <v/>
      </c>
      <c r="AA258" s="73" t="str">
        <f t="shared" si="84"/>
        <v/>
      </c>
      <c r="AB258" s="74" t="str">
        <f t="shared" si="84"/>
        <v/>
      </c>
      <c r="AC258" s="35" t="str">
        <f t="shared" si="73"/>
        <v/>
      </c>
      <c r="AD258" s="40" t="str">
        <f t="shared" si="74"/>
        <v/>
      </c>
      <c r="AE258" s="37" t="str">
        <f t="shared" si="75"/>
        <v/>
      </c>
      <c r="AF258" s="40" t="str">
        <f t="shared" si="76"/>
        <v/>
      </c>
      <c r="AG258" s="37" t="str">
        <f t="shared" si="77"/>
        <v/>
      </c>
      <c r="AH258" s="40" t="str">
        <f t="shared" si="78"/>
        <v/>
      </c>
      <c r="AI258" s="37" t="str">
        <f t="shared" si="79"/>
        <v/>
      </c>
      <c r="AJ258" s="40" t="str">
        <f t="shared" si="80"/>
        <v/>
      </c>
      <c r="AK258" s="33" t="str">
        <f>IF(SEM!AK258="","",SEM!AK258)</f>
        <v/>
      </c>
      <c r="AL258" s="6"/>
      <c r="AM258" s="79" t="str">
        <f t="shared" si="69"/>
        <v/>
      </c>
      <c r="AR258" s="5"/>
      <c r="AU258" s="198"/>
      <c r="AV258" s="198"/>
      <c r="AW258" s="198"/>
      <c r="AX258" s="198"/>
    </row>
    <row r="259" spans="2:50" ht="17.25" customHeight="1" x14ac:dyDescent="0.2">
      <c r="B259" s="6"/>
      <c r="C259" s="49" t="str">
        <f>IF(SEM!C259="","",SEM!C259)</f>
        <v/>
      </c>
      <c r="D259" s="220" t="str">
        <f>IF(C259="","",VLOOKUP(SEM!C259,FROTA!$B$5:$C$305,2,0))</f>
        <v/>
      </c>
      <c r="E259" s="24" t="str">
        <f>IF(C259="","",VLOOKUP(C259,FROTA!$B$5:$N$305,7,0))</f>
        <v/>
      </c>
      <c r="F259" s="38" t="str">
        <f t="shared" si="60"/>
        <v/>
      </c>
      <c r="G259" s="71" t="str">
        <f t="shared" si="70"/>
        <v/>
      </c>
      <c r="H259" s="32" t="str">
        <f t="shared" si="81"/>
        <v/>
      </c>
      <c r="I259" s="73" t="str">
        <f t="shared" si="81"/>
        <v/>
      </c>
      <c r="J259" s="73" t="str">
        <f t="shared" si="81"/>
        <v/>
      </c>
      <c r="K259" s="73" t="str">
        <f t="shared" si="83"/>
        <v/>
      </c>
      <c r="L259" s="73" t="str">
        <f t="shared" si="83"/>
        <v/>
      </c>
      <c r="M259" s="73" t="str">
        <f t="shared" si="83"/>
        <v/>
      </c>
      <c r="N259" s="73" t="str">
        <f t="shared" si="83"/>
        <v/>
      </c>
      <c r="O259" s="73" t="str">
        <f t="shared" si="83"/>
        <v/>
      </c>
      <c r="P259" s="73" t="str">
        <f t="shared" si="83"/>
        <v/>
      </c>
      <c r="Q259" s="73" t="str">
        <f t="shared" si="83"/>
        <v/>
      </c>
      <c r="R259" s="73" t="str">
        <f t="shared" si="84"/>
        <v/>
      </c>
      <c r="S259" s="73" t="str">
        <f t="shared" si="84"/>
        <v/>
      </c>
      <c r="T259" s="73" t="str">
        <f t="shared" si="84"/>
        <v/>
      </c>
      <c r="U259" s="73" t="str">
        <f t="shared" si="84"/>
        <v/>
      </c>
      <c r="V259" s="73" t="str">
        <f t="shared" si="84"/>
        <v/>
      </c>
      <c r="W259" s="73" t="str">
        <f t="shared" si="84"/>
        <v/>
      </c>
      <c r="X259" s="73" t="str">
        <f t="shared" si="84"/>
        <v/>
      </c>
      <c r="Y259" s="73" t="str">
        <f t="shared" si="84"/>
        <v/>
      </c>
      <c r="Z259" s="73" t="str">
        <f t="shared" si="84"/>
        <v/>
      </c>
      <c r="AA259" s="73" t="str">
        <f t="shared" si="84"/>
        <v/>
      </c>
      <c r="AB259" s="74" t="str">
        <f t="shared" si="84"/>
        <v/>
      </c>
      <c r="AC259" s="35" t="str">
        <f t="shared" si="73"/>
        <v/>
      </c>
      <c r="AD259" s="40" t="str">
        <f t="shared" si="74"/>
        <v/>
      </c>
      <c r="AE259" s="37" t="str">
        <f t="shared" si="75"/>
        <v/>
      </c>
      <c r="AF259" s="40" t="str">
        <f t="shared" si="76"/>
        <v/>
      </c>
      <c r="AG259" s="37" t="str">
        <f t="shared" si="77"/>
        <v/>
      </c>
      <c r="AH259" s="40" t="str">
        <f t="shared" si="78"/>
        <v/>
      </c>
      <c r="AI259" s="37" t="str">
        <f t="shared" si="79"/>
        <v/>
      </c>
      <c r="AJ259" s="40" t="str">
        <f t="shared" si="80"/>
        <v/>
      </c>
      <c r="AK259" s="33" t="str">
        <f>IF(SEM!AK259="","",SEM!AK259)</f>
        <v/>
      </c>
      <c r="AL259" s="6"/>
      <c r="AM259" s="79" t="str">
        <f t="shared" si="69"/>
        <v/>
      </c>
      <c r="AR259" s="5"/>
      <c r="AU259" s="198"/>
      <c r="AV259" s="198"/>
      <c r="AW259" s="198"/>
      <c r="AX259" s="198"/>
    </row>
    <row r="260" spans="2:50" ht="17.25" customHeight="1" x14ac:dyDescent="0.2">
      <c r="B260" s="6"/>
      <c r="C260" s="49" t="str">
        <f>IF(SEM!C260="","",SEM!C260)</f>
        <v/>
      </c>
      <c r="D260" s="220" t="str">
        <f>IF(C260="","",VLOOKUP(SEM!C260,FROTA!$B$5:$C$305,2,0))</f>
        <v/>
      </c>
      <c r="E260" s="24" t="str">
        <f>IF(C260="","",VLOOKUP(C260,FROTA!$B$5:$N$305,7,0))</f>
        <v/>
      </c>
      <c r="F260" s="38" t="str">
        <f t="shared" si="60"/>
        <v/>
      </c>
      <c r="G260" s="71" t="str">
        <f t="shared" si="70"/>
        <v/>
      </c>
      <c r="H260" s="32" t="str">
        <f t="shared" si="81"/>
        <v/>
      </c>
      <c r="I260" s="73" t="str">
        <f t="shared" si="81"/>
        <v/>
      </c>
      <c r="J260" s="73" t="str">
        <f t="shared" si="81"/>
        <v/>
      </c>
      <c r="K260" s="73" t="str">
        <f t="shared" si="83"/>
        <v/>
      </c>
      <c r="L260" s="73" t="str">
        <f t="shared" si="83"/>
        <v/>
      </c>
      <c r="M260" s="73" t="str">
        <f t="shared" si="83"/>
        <v/>
      </c>
      <c r="N260" s="73" t="str">
        <f t="shared" si="83"/>
        <v/>
      </c>
      <c r="O260" s="73" t="str">
        <f t="shared" si="83"/>
        <v/>
      </c>
      <c r="P260" s="73" t="str">
        <f t="shared" si="83"/>
        <v/>
      </c>
      <c r="Q260" s="73" t="str">
        <f t="shared" si="83"/>
        <v/>
      </c>
      <c r="R260" s="73" t="str">
        <f t="shared" si="84"/>
        <v/>
      </c>
      <c r="S260" s="73" t="str">
        <f t="shared" si="84"/>
        <v/>
      </c>
      <c r="T260" s="73" t="str">
        <f t="shared" si="84"/>
        <v/>
      </c>
      <c r="U260" s="73" t="str">
        <f t="shared" si="84"/>
        <v/>
      </c>
      <c r="V260" s="73" t="str">
        <f t="shared" si="84"/>
        <v/>
      </c>
      <c r="W260" s="73" t="str">
        <f t="shared" si="84"/>
        <v/>
      </c>
      <c r="X260" s="73" t="str">
        <f t="shared" si="84"/>
        <v/>
      </c>
      <c r="Y260" s="73" t="str">
        <f t="shared" si="84"/>
        <v/>
      </c>
      <c r="Z260" s="73" t="str">
        <f t="shared" si="84"/>
        <v/>
      </c>
      <c r="AA260" s="73" t="str">
        <f t="shared" si="84"/>
        <v/>
      </c>
      <c r="AB260" s="74" t="str">
        <f t="shared" si="84"/>
        <v/>
      </c>
      <c r="AC260" s="35" t="str">
        <f t="shared" si="73"/>
        <v/>
      </c>
      <c r="AD260" s="40" t="str">
        <f t="shared" si="74"/>
        <v/>
      </c>
      <c r="AE260" s="37" t="str">
        <f t="shared" si="75"/>
        <v/>
      </c>
      <c r="AF260" s="40" t="str">
        <f t="shared" si="76"/>
        <v/>
      </c>
      <c r="AG260" s="37" t="str">
        <f t="shared" si="77"/>
        <v/>
      </c>
      <c r="AH260" s="40" t="str">
        <f t="shared" si="78"/>
        <v/>
      </c>
      <c r="AI260" s="37" t="str">
        <f t="shared" si="79"/>
        <v/>
      </c>
      <c r="AJ260" s="40" t="str">
        <f t="shared" si="80"/>
        <v/>
      </c>
      <c r="AK260" s="33" t="str">
        <f>IF(SEM!AK260="","",SEM!AK260)</f>
        <v/>
      </c>
      <c r="AL260" s="6"/>
      <c r="AM260" s="79" t="str">
        <f t="shared" si="69"/>
        <v/>
      </c>
      <c r="AR260" s="5"/>
      <c r="AU260" s="198"/>
      <c r="AV260" s="198"/>
      <c r="AW260" s="198"/>
      <c r="AX260" s="198"/>
    </row>
    <row r="261" spans="2:50" ht="17.25" customHeight="1" x14ac:dyDescent="0.2">
      <c r="B261" s="6"/>
      <c r="C261" s="49" t="str">
        <f>IF(SEM!C261="","",SEM!C261)</f>
        <v/>
      </c>
      <c r="D261" s="220" t="str">
        <f>IF(C261="","",VLOOKUP(SEM!C261,FROTA!$B$5:$C$305,2,0))</f>
        <v/>
      </c>
      <c r="E261" s="24" t="str">
        <f>IF(C261="","",VLOOKUP(C261,FROTA!$B$5:$N$305,7,0))</f>
        <v/>
      </c>
      <c r="F261" s="38" t="str">
        <f t="shared" si="60"/>
        <v/>
      </c>
      <c r="G261" s="71" t="str">
        <f t="shared" si="70"/>
        <v/>
      </c>
      <c r="H261" s="32" t="str">
        <f t="shared" si="81"/>
        <v/>
      </c>
      <c r="I261" s="73" t="str">
        <f t="shared" si="81"/>
        <v/>
      </c>
      <c r="J261" s="73" t="str">
        <f t="shared" si="81"/>
        <v/>
      </c>
      <c r="K261" s="73" t="str">
        <f t="shared" si="83"/>
        <v/>
      </c>
      <c r="L261" s="73" t="str">
        <f t="shared" si="83"/>
        <v/>
      </c>
      <c r="M261" s="73" t="str">
        <f t="shared" si="83"/>
        <v/>
      </c>
      <c r="N261" s="73" t="str">
        <f t="shared" si="83"/>
        <v/>
      </c>
      <c r="O261" s="73" t="str">
        <f t="shared" si="83"/>
        <v/>
      </c>
      <c r="P261" s="73" t="str">
        <f t="shared" si="83"/>
        <v/>
      </c>
      <c r="Q261" s="73" t="str">
        <f t="shared" si="83"/>
        <v/>
      </c>
      <c r="R261" s="73" t="str">
        <f t="shared" si="84"/>
        <v/>
      </c>
      <c r="S261" s="73" t="str">
        <f t="shared" si="84"/>
        <v/>
      </c>
      <c r="T261" s="73" t="str">
        <f t="shared" si="84"/>
        <v/>
      </c>
      <c r="U261" s="73" t="str">
        <f t="shared" si="84"/>
        <v/>
      </c>
      <c r="V261" s="73" t="str">
        <f t="shared" si="84"/>
        <v/>
      </c>
      <c r="W261" s="73" t="str">
        <f t="shared" si="84"/>
        <v/>
      </c>
      <c r="X261" s="73" t="str">
        <f t="shared" si="84"/>
        <v/>
      </c>
      <c r="Y261" s="73" t="str">
        <f t="shared" si="84"/>
        <v/>
      </c>
      <c r="Z261" s="73" t="str">
        <f t="shared" si="84"/>
        <v/>
      </c>
      <c r="AA261" s="73" t="str">
        <f t="shared" si="84"/>
        <v/>
      </c>
      <c r="AB261" s="74" t="str">
        <f t="shared" si="84"/>
        <v/>
      </c>
      <c r="AC261" s="35" t="str">
        <f t="shared" si="73"/>
        <v/>
      </c>
      <c r="AD261" s="40" t="str">
        <f t="shared" si="74"/>
        <v/>
      </c>
      <c r="AE261" s="37" t="str">
        <f t="shared" si="75"/>
        <v/>
      </c>
      <c r="AF261" s="40" t="str">
        <f t="shared" si="76"/>
        <v/>
      </c>
      <c r="AG261" s="37" t="str">
        <f t="shared" si="77"/>
        <v/>
      </c>
      <c r="AH261" s="40" t="str">
        <f t="shared" si="78"/>
        <v/>
      </c>
      <c r="AI261" s="37" t="str">
        <f t="shared" si="79"/>
        <v/>
      </c>
      <c r="AJ261" s="40" t="str">
        <f t="shared" si="80"/>
        <v/>
      </c>
      <c r="AK261" s="33" t="str">
        <f>IF(SEM!AK261="","",SEM!AK261)</f>
        <v/>
      </c>
      <c r="AL261" s="6"/>
      <c r="AM261" s="79" t="str">
        <f t="shared" si="69"/>
        <v/>
      </c>
      <c r="AR261" s="5"/>
      <c r="AU261" s="198"/>
      <c r="AV261" s="198"/>
      <c r="AW261" s="198"/>
      <c r="AX261" s="198"/>
    </row>
    <row r="262" spans="2:50" ht="17.25" customHeight="1" x14ac:dyDescent="0.2">
      <c r="B262" s="6"/>
      <c r="C262" s="49" t="str">
        <f>IF(SEM!C262="","",SEM!C262)</f>
        <v/>
      </c>
      <c r="D262" s="220" t="str">
        <f>IF(C262="","",VLOOKUP(SEM!C262,FROTA!$B$5:$C$305,2,0))</f>
        <v/>
      </c>
      <c r="E262" s="24" t="str">
        <f>IF(C262="","",VLOOKUP(C262,FROTA!$B$5:$N$305,7,0))</f>
        <v/>
      </c>
      <c r="F262" s="38" t="str">
        <f t="shared" si="60"/>
        <v/>
      </c>
      <c r="G262" s="71" t="str">
        <f t="shared" si="70"/>
        <v/>
      </c>
      <c r="H262" s="32" t="str">
        <f t="shared" si="81"/>
        <v/>
      </c>
      <c r="I262" s="73" t="str">
        <f t="shared" si="81"/>
        <v/>
      </c>
      <c r="J262" s="73" t="str">
        <f t="shared" si="81"/>
        <v/>
      </c>
      <c r="K262" s="73" t="str">
        <f t="shared" si="83"/>
        <v/>
      </c>
      <c r="L262" s="73" t="str">
        <f t="shared" si="83"/>
        <v/>
      </c>
      <c r="M262" s="73" t="str">
        <f t="shared" si="83"/>
        <v/>
      </c>
      <c r="N262" s="73" t="str">
        <f t="shared" si="83"/>
        <v/>
      </c>
      <c r="O262" s="73" t="str">
        <f t="shared" si="83"/>
        <v/>
      </c>
      <c r="P262" s="73" t="str">
        <f t="shared" si="83"/>
        <v/>
      </c>
      <c r="Q262" s="73" t="str">
        <f t="shared" si="83"/>
        <v/>
      </c>
      <c r="R262" s="73" t="str">
        <f t="shared" si="84"/>
        <v/>
      </c>
      <c r="S262" s="73" t="str">
        <f t="shared" si="84"/>
        <v/>
      </c>
      <c r="T262" s="73" t="str">
        <f t="shared" si="84"/>
        <v/>
      </c>
      <c r="U262" s="73" t="str">
        <f t="shared" si="84"/>
        <v/>
      </c>
      <c r="V262" s="73" t="str">
        <f t="shared" si="84"/>
        <v/>
      </c>
      <c r="W262" s="73" t="str">
        <f t="shared" si="84"/>
        <v/>
      </c>
      <c r="X262" s="73" t="str">
        <f t="shared" si="84"/>
        <v/>
      </c>
      <c r="Y262" s="73" t="str">
        <f t="shared" si="84"/>
        <v/>
      </c>
      <c r="Z262" s="73" t="str">
        <f t="shared" si="84"/>
        <v/>
      </c>
      <c r="AA262" s="73" t="str">
        <f t="shared" si="84"/>
        <v/>
      </c>
      <c r="AB262" s="74" t="str">
        <f t="shared" si="84"/>
        <v/>
      </c>
      <c r="AC262" s="35" t="str">
        <f t="shared" si="73"/>
        <v/>
      </c>
      <c r="AD262" s="40" t="str">
        <f t="shared" si="74"/>
        <v/>
      </c>
      <c r="AE262" s="37" t="str">
        <f t="shared" si="75"/>
        <v/>
      </c>
      <c r="AF262" s="40" t="str">
        <f t="shared" si="76"/>
        <v/>
      </c>
      <c r="AG262" s="37" t="str">
        <f t="shared" si="77"/>
        <v/>
      </c>
      <c r="AH262" s="40" t="str">
        <f t="shared" si="78"/>
        <v/>
      </c>
      <c r="AI262" s="37" t="str">
        <f t="shared" si="79"/>
        <v/>
      </c>
      <c r="AJ262" s="40" t="str">
        <f t="shared" si="80"/>
        <v/>
      </c>
      <c r="AK262" s="33" t="str">
        <f>IF(SEM!AK262="","",SEM!AK262)</f>
        <v/>
      </c>
      <c r="AL262" s="6"/>
      <c r="AM262" s="79" t="str">
        <f t="shared" si="69"/>
        <v/>
      </c>
      <c r="AR262" s="5"/>
      <c r="AU262" s="198"/>
      <c r="AV262" s="198"/>
      <c r="AW262" s="198"/>
      <c r="AX262" s="198"/>
    </row>
    <row r="263" spans="2:50" ht="17.25" customHeight="1" x14ac:dyDescent="0.2">
      <c r="B263" s="6"/>
      <c r="C263" s="49" t="str">
        <f>IF(SEM!C263="","",SEM!C263)</f>
        <v/>
      </c>
      <c r="D263" s="220" t="str">
        <f>IF(C263="","",VLOOKUP(SEM!C263,FROTA!$B$5:$C$305,2,0))</f>
        <v/>
      </c>
      <c r="E263" s="24" t="str">
        <f>IF(C263="","",VLOOKUP(C263,FROTA!$B$5:$N$305,7,0))</f>
        <v/>
      </c>
      <c r="F263" s="38" t="str">
        <f t="shared" ref="F263:F305" si="85">IF(E263="","",VLOOKUP(E263,$AP$5:$AQ$18,2,0))</f>
        <v/>
      </c>
      <c r="G263" s="71" t="str">
        <f t="shared" si="70"/>
        <v/>
      </c>
      <c r="H263" s="32" t="str">
        <f t="shared" si="81"/>
        <v/>
      </c>
      <c r="I263" s="73" t="str">
        <f t="shared" si="81"/>
        <v/>
      </c>
      <c r="J263" s="73" t="str">
        <f t="shared" si="81"/>
        <v/>
      </c>
      <c r="K263" s="73" t="str">
        <f t="shared" si="83"/>
        <v/>
      </c>
      <c r="L263" s="73" t="str">
        <f t="shared" si="83"/>
        <v/>
      </c>
      <c r="M263" s="73" t="str">
        <f t="shared" si="83"/>
        <v/>
      </c>
      <c r="N263" s="73" t="str">
        <f t="shared" si="83"/>
        <v/>
      </c>
      <c r="O263" s="73" t="str">
        <f t="shared" si="83"/>
        <v/>
      </c>
      <c r="P263" s="73" t="str">
        <f t="shared" si="83"/>
        <v/>
      </c>
      <c r="Q263" s="73" t="str">
        <f t="shared" si="83"/>
        <v/>
      </c>
      <c r="R263" s="73" t="str">
        <f t="shared" si="84"/>
        <v/>
      </c>
      <c r="S263" s="73" t="str">
        <f t="shared" si="84"/>
        <v/>
      </c>
      <c r="T263" s="73" t="str">
        <f t="shared" si="84"/>
        <v/>
      </c>
      <c r="U263" s="73" t="str">
        <f t="shared" si="84"/>
        <v/>
      </c>
      <c r="V263" s="73" t="str">
        <f t="shared" si="84"/>
        <v/>
      </c>
      <c r="W263" s="73" t="str">
        <f t="shared" si="84"/>
        <v/>
      </c>
      <c r="X263" s="73" t="str">
        <f t="shared" si="84"/>
        <v/>
      </c>
      <c r="Y263" s="73" t="str">
        <f t="shared" si="84"/>
        <v/>
      </c>
      <c r="Z263" s="73" t="str">
        <f t="shared" si="84"/>
        <v/>
      </c>
      <c r="AA263" s="73" t="str">
        <f t="shared" si="84"/>
        <v/>
      </c>
      <c r="AB263" s="74" t="str">
        <f t="shared" si="84"/>
        <v/>
      </c>
      <c r="AC263" s="35" t="str">
        <f t="shared" si="73"/>
        <v/>
      </c>
      <c r="AD263" s="40" t="str">
        <f t="shared" si="74"/>
        <v/>
      </c>
      <c r="AE263" s="37" t="str">
        <f t="shared" si="75"/>
        <v/>
      </c>
      <c r="AF263" s="40" t="str">
        <f t="shared" si="76"/>
        <v/>
      </c>
      <c r="AG263" s="37" t="str">
        <f t="shared" si="77"/>
        <v/>
      </c>
      <c r="AH263" s="40" t="str">
        <f t="shared" si="78"/>
        <v/>
      </c>
      <c r="AI263" s="37" t="str">
        <f t="shared" si="79"/>
        <v/>
      </c>
      <c r="AJ263" s="40" t="str">
        <f t="shared" si="80"/>
        <v/>
      </c>
      <c r="AK263" s="33" t="str">
        <f>IF(SEM!AK263="","",SEM!AK263)</f>
        <v/>
      </c>
      <c r="AL263" s="6"/>
      <c r="AM263" s="79" t="str">
        <f t="shared" ref="AM263:AM305" si="86">IF(C263="","",SUM(H263:AB263))</f>
        <v/>
      </c>
      <c r="AR263" s="5"/>
      <c r="AU263" s="198"/>
      <c r="AV263" s="198"/>
      <c r="AW263" s="198"/>
      <c r="AX263" s="198"/>
    </row>
    <row r="264" spans="2:50" ht="17.25" customHeight="1" x14ac:dyDescent="0.2">
      <c r="B264" s="6"/>
      <c r="C264" s="49" t="str">
        <f>IF(SEM!C264="","",SEM!C264)</f>
        <v/>
      </c>
      <c r="D264" s="220" t="str">
        <f>IF(C264="","",VLOOKUP(SEM!C264,FROTA!$B$5:$C$305,2,0))</f>
        <v/>
      </c>
      <c r="E264" s="24" t="str">
        <f>IF(C264="","",VLOOKUP(C264,FROTA!$B$5:$N$305,7,0))</f>
        <v/>
      </c>
      <c r="F264" s="38" t="str">
        <f t="shared" si="85"/>
        <v/>
      </c>
      <c r="G264" s="71" t="str">
        <f t="shared" si="70"/>
        <v/>
      </c>
      <c r="H264" s="32" t="str">
        <f t="shared" si="81"/>
        <v/>
      </c>
      <c r="I264" s="73" t="str">
        <f t="shared" si="81"/>
        <v/>
      </c>
      <c r="J264" s="73" t="str">
        <f t="shared" si="81"/>
        <v/>
      </c>
      <c r="K264" s="73" t="str">
        <f t="shared" si="83"/>
        <v/>
      </c>
      <c r="L264" s="73" t="str">
        <f t="shared" si="83"/>
        <v/>
      </c>
      <c r="M264" s="73" t="str">
        <f t="shared" si="83"/>
        <v/>
      </c>
      <c r="N264" s="73" t="str">
        <f t="shared" si="83"/>
        <v/>
      </c>
      <c r="O264" s="73" t="str">
        <f t="shared" si="83"/>
        <v/>
      </c>
      <c r="P264" s="73" t="str">
        <f t="shared" si="83"/>
        <v/>
      </c>
      <c r="Q264" s="73" t="str">
        <f t="shared" si="83"/>
        <v/>
      </c>
      <c r="R264" s="73" t="str">
        <f t="shared" si="84"/>
        <v/>
      </c>
      <c r="S264" s="73" t="str">
        <f t="shared" si="84"/>
        <v/>
      </c>
      <c r="T264" s="73" t="str">
        <f t="shared" si="84"/>
        <v/>
      </c>
      <c r="U264" s="73" t="str">
        <f t="shared" si="84"/>
        <v/>
      </c>
      <c r="V264" s="73" t="str">
        <f t="shared" si="84"/>
        <v/>
      </c>
      <c r="W264" s="73" t="str">
        <f t="shared" si="84"/>
        <v/>
      </c>
      <c r="X264" s="73" t="str">
        <f t="shared" si="84"/>
        <v/>
      </c>
      <c r="Y264" s="73" t="str">
        <f t="shared" si="84"/>
        <v/>
      </c>
      <c r="Z264" s="73" t="str">
        <f t="shared" si="84"/>
        <v/>
      </c>
      <c r="AA264" s="73" t="str">
        <f t="shared" si="84"/>
        <v/>
      </c>
      <c r="AB264" s="74" t="str">
        <f t="shared" si="84"/>
        <v/>
      </c>
      <c r="AC264" s="35" t="str">
        <f t="shared" si="73"/>
        <v/>
      </c>
      <c r="AD264" s="40" t="str">
        <f t="shared" si="74"/>
        <v/>
      </c>
      <c r="AE264" s="37" t="str">
        <f t="shared" si="75"/>
        <v/>
      </c>
      <c r="AF264" s="40" t="str">
        <f t="shared" si="76"/>
        <v/>
      </c>
      <c r="AG264" s="37" t="str">
        <f t="shared" si="77"/>
        <v/>
      </c>
      <c r="AH264" s="40" t="str">
        <f t="shared" si="78"/>
        <v/>
      </c>
      <c r="AI264" s="37" t="str">
        <f t="shared" si="79"/>
        <v/>
      </c>
      <c r="AJ264" s="40" t="str">
        <f t="shared" si="80"/>
        <v/>
      </c>
      <c r="AK264" s="33" t="str">
        <f>IF(SEM!AK264="","",SEM!AK264)</f>
        <v/>
      </c>
      <c r="AL264" s="6"/>
      <c r="AM264" s="79" t="str">
        <f t="shared" si="86"/>
        <v/>
      </c>
      <c r="AR264" s="5"/>
      <c r="AU264" s="198"/>
      <c r="AV264" s="198"/>
      <c r="AW264" s="198"/>
      <c r="AX264" s="198"/>
    </row>
    <row r="265" spans="2:50" ht="17.25" customHeight="1" x14ac:dyDescent="0.2">
      <c r="B265" s="6"/>
      <c r="C265" s="49" t="str">
        <f>IF(SEM!C265="","",SEM!C265)</f>
        <v/>
      </c>
      <c r="D265" s="220" t="str">
        <f>IF(C265="","",VLOOKUP(SEM!C265,FROTA!$B$5:$C$305,2,0))</f>
        <v/>
      </c>
      <c r="E265" s="24" t="str">
        <f>IF(C265="","",VLOOKUP(C265,FROTA!$B$5:$N$305,7,0))</f>
        <v/>
      </c>
      <c r="F265" s="38" t="str">
        <f t="shared" si="85"/>
        <v/>
      </c>
      <c r="G265" s="71" t="str">
        <f t="shared" ref="G265:G305" si="87">IF(C265="","",F265/$F$307)</f>
        <v/>
      </c>
      <c r="H265" s="32" t="str">
        <f t="shared" si="81"/>
        <v/>
      </c>
      <c r="I265" s="73" t="str">
        <f t="shared" si="81"/>
        <v/>
      </c>
      <c r="J265" s="73" t="str">
        <f t="shared" si="81"/>
        <v/>
      </c>
      <c r="K265" s="73" t="str">
        <f t="shared" si="83"/>
        <v/>
      </c>
      <c r="L265" s="73" t="str">
        <f t="shared" si="83"/>
        <v/>
      </c>
      <c r="M265" s="73" t="str">
        <f t="shared" si="83"/>
        <v/>
      </c>
      <c r="N265" s="73" t="str">
        <f t="shared" si="83"/>
        <v/>
      </c>
      <c r="O265" s="73" t="str">
        <f t="shared" si="83"/>
        <v/>
      </c>
      <c r="P265" s="73" t="str">
        <f t="shared" si="83"/>
        <v/>
      </c>
      <c r="Q265" s="73" t="str">
        <f t="shared" si="83"/>
        <v/>
      </c>
      <c r="R265" s="73" t="str">
        <f t="shared" si="84"/>
        <v/>
      </c>
      <c r="S265" s="73" t="str">
        <f t="shared" si="84"/>
        <v/>
      </c>
      <c r="T265" s="73" t="str">
        <f t="shared" si="84"/>
        <v/>
      </c>
      <c r="U265" s="73" t="str">
        <f t="shared" si="84"/>
        <v/>
      </c>
      <c r="V265" s="73" t="str">
        <f t="shared" si="84"/>
        <v/>
      </c>
      <c r="W265" s="73" t="str">
        <f t="shared" si="84"/>
        <v/>
      </c>
      <c r="X265" s="73" t="str">
        <f t="shared" si="84"/>
        <v/>
      </c>
      <c r="Y265" s="73" t="str">
        <f t="shared" si="84"/>
        <v/>
      </c>
      <c r="Z265" s="73" t="str">
        <f t="shared" si="84"/>
        <v/>
      </c>
      <c r="AA265" s="73" t="str">
        <f t="shared" si="84"/>
        <v/>
      </c>
      <c r="AB265" s="74" t="str">
        <f t="shared" si="84"/>
        <v/>
      </c>
      <c r="AC265" s="35" t="str">
        <f t="shared" si="73"/>
        <v/>
      </c>
      <c r="AD265" s="40" t="str">
        <f t="shared" si="74"/>
        <v/>
      </c>
      <c r="AE265" s="37" t="str">
        <f t="shared" si="75"/>
        <v/>
      </c>
      <c r="AF265" s="40" t="str">
        <f t="shared" si="76"/>
        <v/>
      </c>
      <c r="AG265" s="37" t="str">
        <f t="shared" si="77"/>
        <v/>
      </c>
      <c r="AH265" s="40" t="str">
        <f t="shared" si="78"/>
        <v/>
      </c>
      <c r="AI265" s="37" t="str">
        <f t="shared" si="79"/>
        <v/>
      </c>
      <c r="AJ265" s="40" t="str">
        <f t="shared" si="80"/>
        <v/>
      </c>
      <c r="AK265" s="33" t="str">
        <f>IF(SEM!AK265="","",SEM!AK265)</f>
        <v/>
      </c>
      <c r="AL265" s="6"/>
      <c r="AM265" s="79" t="str">
        <f t="shared" si="86"/>
        <v/>
      </c>
      <c r="AR265" s="5"/>
      <c r="AU265" s="198"/>
      <c r="AV265" s="198"/>
      <c r="AW265" s="198"/>
      <c r="AX265" s="198"/>
    </row>
    <row r="266" spans="2:50" ht="17.25" customHeight="1" x14ac:dyDescent="0.2">
      <c r="B266" s="6"/>
      <c r="C266" s="49" t="str">
        <f>IF(SEM!C266="","",SEM!C266)</f>
        <v/>
      </c>
      <c r="D266" s="220" t="str">
        <f>IF(C266="","",VLOOKUP(SEM!C266,FROTA!$B$5:$C$305,2,0))</f>
        <v/>
      </c>
      <c r="E266" s="24" t="str">
        <f>IF(C266="","",VLOOKUP(C266,FROTA!$B$5:$N$305,7,0))</f>
        <v/>
      </c>
      <c r="F266" s="38" t="str">
        <f t="shared" si="85"/>
        <v/>
      </c>
      <c r="G266" s="71" t="str">
        <f t="shared" si="87"/>
        <v/>
      </c>
      <c r="H266" s="32" t="str">
        <f t="shared" si="81"/>
        <v/>
      </c>
      <c r="I266" s="73" t="str">
        <f t="shared" si="81"/>
        <v/>
      </c>
      <c r="J266" s="73" t="str">
        <f t="shared" si="81"/>
        <v/>
      </c>
      <c r="K266" s="73" t="str">
        <f t="shared" si="83"/>
        <v/>
      </c>
      <c r="L266" s="73" t="str">
        <f t="shared" si="83"/>
        <v/>
      </c>
      <c r="M266" s="73" t="str">
        <f t="shared" si="83"/>
        <v/>
      </c>
      <c r="N266" s="73" t="str">
        <f t="shared" si="83"/>
        <v/>
      </c>
      <c r="O266" s="73" t="str">
        <f t="shared" si="83"/>
        <v/>
      </c>
      <c r="P266" s="73" t="str">
        <f t="shared" si="83"/>
        <v/>
      </c>
      <c r="Q266" s="73" t="str">
        <f t="shared" si="83"/>
        <v/>
      </c>
      <c r="R266" s="73" t="str">
        <f t="shared" si="84"/>
        <v/>
      </c>
      <c r="S266" s="73" t="str">
        <f t="shared" si="84"/>
        <v/>
      </c>
      <c r="T266" s="73" t="str">
        <f t="shared" si="84"/>
        <v/>
      </c>
      <c r="U266" s="73" t="str">
        <f t="shared" si="84"/>
        <v/>
      </c>
      <c r="V266" s="73" t="str">
        <f t="shared" si="84"/>
        <v/>
      </c>
      <c r="W266" s="73" t="str">
        <f t="shared" si="84"/>
        <v/>
      </c>
      <c r="X266" s="73" t="str">
        <f t="shared" si="84"/>
        <v/>
      </c>
      <c r="Y266" s="73" t="str">
        <f t="shared" si="84"/>
        <v/>
      </c>
      <c r="Z266" s="73" t="str">
        <f t="shared" si="84"/>
        <v/>
      </c>
      <c r="AA266" s="73" t="str">
        <f t="shared" si="84"/>
        <v/>
      </c>
      <c r="AB266" s="74" t="str">
        <f t="shared" si="84"/>
        <v/>
      </c>
      <c r="AC266" s="35" t="str">
        <f t="shared" si="73"/>
        <v/>
      </c>
      <c r="AD266" s="40" t="str">
        <f t="shared" si="74"/>
        <v/>
      </c>
      <c r="AE266" s="37" t="str">
        <f t="shared" si="75"/>
        <v/>
      </c>
      <c r="AF266" s="40" t="str">
        <f t="shared" si="76"/>
        <v/>
      </c>
      <c r="AG266" s="37" t="str">
        <f t="shared" si="77"/>
        <v/>
      </c>
      <c r="AH266" s="40" t="str">
        <f t="shared" si="78"/>
        <v/>
      </c>
      <c r="AI266" s="37" t="str">
        <f t="shared" si="79"/>
        <v/>
      </c>
      <c r="AJ266" s="40" t="str">
        <f t="shared" si="80"/>
        <v/>
      </c>
      <c r="AK266" s="33" t="str">
        <f>IF(SEM!AK266="","",SEM!AK266)</f>
        <v/>
      </c>
      <c r="AL266" s="6"/>
      <c r="AM266" s="79" t="str">
        <f t="shared" si="86"/>
        <v/>
      </c>
      <c r="AR266" s="5"/>
      <c r="AU266" s="198"/>
      <c r="AV266" s="198"/>
      <c r="AW266" s="198"/>
      <c r="AX266" s="198"/>
    </row>
    <row r="267" spans="2:50" ht="17.25" customHeight="1" x14ac:dyDescent="0.2">
      <c r="B267" s="6"/>
      <c r="C267" s="49" t="str">
        <f>IF(SEM!C267="","",SEM!C267)</f>
        <v/>
      </c>
      <c r="D267" s="220" t="str">
        <f>IF(C267="","",VLOOKUP(SEM!C267,FROTA!$B$5:$C$305,2,0))</f>
        <v/>
      </c>
      <c r="E267" s="24" t="str">
        <f>IF(C267="","",VLOOKUP(C267,FROTA!$B$5:$N$305,7,0))</f>
        <v/>
      </c>
      <c r="F267" s="38" t="str">
        <f t="shared" si="85"/>
        <v/>
      </c>
      <c r="G267" s="71" t="str">
        <f t="shared" si="87"/>
        <v/>
      </c>
      <c r="H267" s="32" t="str">
        <f t="shared" si="81"/>
        <v/>
      </c>
      <c r="I267" s="73" t="str">
        <f t="shared" si="81"/>
        <v/>
      </c>
      <c r="J267" s="73" t="str">
        <f t="shared" si="81"/>
        <v/>
      </c>
      <c r="K267" s="73" t="str">
        <f t="shared" si="83"/>
        <v/>
      </c>
      <c r="L267" s="73" t="str">
        <f t="shared" si="83"/>
        <v/>
      </c>
      <c r="M267" s="73" t="str">
        <f t="shared" si="83"/>
        <v/>
      </c>
      <c r="N267" s="73" t="str">
        <f t="shared" si="83"/>
        <v/>
      </c>
      <c r="O267" s="73" t="str">
        <f t="shared" si="83"/>
        <v/>
      </c>
      <c r="P267" s="73" t="str">
        <f t="shared" si="83"/>
        <v/>
      </c>
      <c r="Q267" s="73" t="str">
        <f t="shared" si="83"/>
        <v/>
      </c>
      <c r="R267" s="73" t="str">
        <f t="shared" si="84"/>
        <v/>
      </c>
      <c r="S267" s="73" t="str">
        <f t="shared" si="84"/>
        <v/>
      </c>
      <c r="T267" s="73" t="str">
        <f t="shared" si="84"/>
        <v/>
      </c>
      <c r="U267" s="73" t="str">
        <f t="shared" si="84"/>
        <v/>
      </c>
      <c r="V267" s="73" t="str">
        <f t="shared" si="84"/>
        <v/>
      </c>
      <c r="W267" s="73" t="str">
        <f t="shared" si="84"/>
        <v/>
      </c>
      <c r="X267" s="73" t="str">
        <f t="shared" si="84"/>
        <v/>
      </c>
      <c r="Y267" s="73" t="str">
        <f t="shared" si="84"/>
        <v/>
      </c>
      <c r="Z267" s="73" t="str">
        <f t="shared" si="84"/>
        <v/>
      </c>
      <c r="AA267" s="73" t="str">
        <f t="shared" si="84"/>
        <v/>
      </c>
      <c r="AB267" s="74" t="str">
        <f t="shared" si="84"/>
        <v/>
      </c>
      <c r="AC267" s="35" t="str">
        <f t="shared" si="73"/>
        <v/>
      </c>
      <c r="AD267" s="40" t="str">
        <f t="shared" si="74"/>
        <v/>
      </c>
      <c r="AE267" s="37" t="str">
        <f t="shared" si="75"/>
        <v/>
      </c>
      <c r="AF267" s="40" t="str">
        <f t="shared" si="76"/>
        <v/>
      </c>
      <c r="AG267" s="37" t="str">
        <f t="shared" si="77"/>
        <v/>
      </c>
      <c r="AH267" s="40" t="str">
        <f t="shared" si="78"/>
        <v/>
      </c>
      <c r="AI267" s="37" t="str">
        <f t="shared" si="79"/>
        <v/>
      </c>
      <c r="AJ267" s="40" t="str">
        <f t="shared" si="80"/>
        <v/>
      </c>
      <c r="AK267" s="33" t="str">
        <f>IF(SEM!AK267="","",SEM!AK267)</f>
        <v/>
      </c>
      <c r="AL267" s="6"/>
      <c r="AM267" s="79" t="str">
        <f t="shared" si="86"/>
        <v/>
      </c>
      <c r="AR267" s="5"/>
      <c r="AU267" s="198"/>
      <c r="AV267" s="198"/>
      <c r="AW267" s="198"/>
      <c r="AX267" s="198"/>
    </row>
    <row r="268" spans="2:50" ht="17.25" customHeight="1" x14ac:dyDescent="0.2">
      <c r="B268" s="6"/>
      <c r="C268" s="49" t="str">
        <f>IF(SEM!C268="","",SEM!C268)</f>
        <v/>
      </c>
      <c r="D268" s="220" t="str">
        <f>IF(C268="","",VLOOKUP(SEM!C268,FROTA!$B$5:$C$305,2,0))</f>
        <v/>
      </c>
      <c r="E268" s="24" t="str">
        <f>IF(C268="","",VLOOKUP(C268,FROTA!$B$5:$N$305,7,0))</f>
        <v/>
      </c>
      <c r="F268" s="38" t="str">
        <f t="shared" si="85"/>
        <v/>
      </c>
      <c r="G268" s="71" t="str">
        <f t="shared" si="87"/>
        <v/>
      </c>
      <c r="H268" s="32" t="str">
        <f t="shared" si="81"/>
        <v/>
      </c>
      <c r="I268" s="73" t="str">
        <f t="shared" si="81"/>
        <v/>
      </c>
      <c r="J268" s="73" t="str">
        <f t="shared" si="81"/>
        <v/>
      </c>
      <c r="K268" s="73" t="str">
        <f t="shared" si="83"/>
        <v/>
      </c>
      <c r="L268" s="73" t="str">
        <f t="shared" si="83"/>
        <v/>
      </c>
      <c r="M268" s="73" t="str">
        <f t="shared" si="83"/>
        <v/>
      </c>
      <c r="N268" s="73" t="str">
        <f t="shared" si="83"/>
        <v/>
      </c>
      <c r="O268" s="73" t="str">
        <f t="shared" si="83"/>
        <v/>
      </c>
      <c r="P268" s="73" t="str">
        <f t="shared" si="83"/>
        <v/>
      </c>
      <c r="Q268" s="73" t="str">
        <f t="shared" si="83"/>
        <v/>
      </c>
      <c r="R268" s="73" t="str">
        <f t="shared" si="84"/>
        <v/>
      </c>
      <c r="S268" s="73" t="str">
        <f t="shared" si="84"/>
        <v/>
      </c>
      <c r="T268" s="73" t="str">
        <f t="shared" si="84"/>
        <v/>
      </c>
      <c r="U268" s="73" t="str">
        <f t="shared" si="84"/>
        <v/>
      </c>
      <c r="V268" s="73" t="str">
        <f t="shared" si="84"/>
        <v/>
      </c>
      <c r="W268" s="73" t="str">
        <f t="shared" si="84"/>
        <v/>
      </c>
      <c r="X268" s="73" t="str">
        <f t="shared" si="84"/>
        <v/>
      </c>
      <c r="Y268" s="73" t="str">
        <f t="shared" si="84"/>
        <v/>
      </c>
      <c r="Z268" s="73" t="str">
        <f t="shared" si="84"/>
        <v/>
      </c>
      <c r="AA268" s="73" t="str">
        <f t="shared" si="84"/>
        <v/>
      </c>
      <c r="AB268" s="74" t="str">
        <f t="shared" si="84"/>
        <v/>
      </c>
      <c r="AC268" s="35" t="str">
        <f t="shared" si="73"/>
        <v/>
      </c>
      <c r="AD268" s="40" t="str">
        <f t="shared" si="74"/>
        <v/>
      </c>
      <c r="AE268" s="37" t="str">
        <f t="shared" si="75"/>
        <v/>
      </c>
      <c r="AF268" s="40" t="str">
        <f t="shared" si="76"/>
        <v/>
      </c>
      <c r="AG268" s="37" t="str">
        <f t="shared" si="77"/>
        <v/>
      </c>
      <c r="AH268" s="40" t="str">
        <f t="shared" si="78"/>
        <v/>
      </c>
      <c r="AI268" s="37" t="str">
        <f t="shared" si="79"/>
        <v/>
      </c>
      <c r="AJ268" s="40" t="str">
        <f t="shared" si="80"/>
        <v/>
      </c>
      <c r="AK268" s="33" t="str">
        <f>IF(SEM!AK268="","",SEM!AK268)</f>
        <v/>
      </c>
      <c r="AL268" s="6"/>
      <c r="AM268" s="79" t="str">
        <f t="shared" si="86"/>
        <v/>
      </c>
      <c r="AR268" s="5"/>
      <c r="AU268" s="198"/>
      <c r="AV268" s="198"/>
      <c r="AW268" s="198"/>
      <c r="AX268" s="198"/>
    </row>
    <row r="269" spans="2:50" ht="17.25" customHeight="1" x14ac:dyDescent="0.2">
      <c r="B269" s="6"/>
      <c r="C269" s="49" t="str">
        <f>IF(SEM!C269="","",SEM!C269)</f>
        <v/>
      </c>
      <c r="D269" s="220" t="str">
        <f>IF(C269="","",VLOOKUP(SEM!C269,FROTA!$B$5:$C$305,2,0))</f>
        <v/>
      </c>
      <c r="E269" s="24" t="str">
        <f>IF(C269="","",VLOOKUP(C269,FROTA!$B$5:$N$305,7,0))</f>
        <v/>
      </c>
      <c r="F269" s="38" t="str">
        <f t="shared" si="85"/>
        <v/>
      </c>
      <c r="G269" s="71" t="str">
        <f t="shared" si="87"/>
        <v/>
      </c>
      <c r="H269" s="32" t="str">
        <f t="shared" si="81"/>
        <v/>
      </c>
      <c r="I269" s="73" t="str">
        <f t="shared" si="81"/>
        <v/>
      </c>
      <c r="J269" s="73" t="str">
        <f t="shared" si="81"/>
        <v/>
      </c>
      <c r="K269" s="73" t="str">
        <f t="shared" si="83"/>
        <v/>
      </c>
      <c r="L269" s="73" t="str">
        <f t="shared" si="83"/>
        <v/>
      </c>
      <c r="M269" s="73" t="str">
        <f t="shared" si="83"/>
        <v/>
      </c>
      <c r="N269" s="73" t="str">
        <f t="shared" si="83"/>
        <v/>
      </c>
      <c r="O269" s="73" t="str">
        <f t="shared" si="83"/>
        <v/>
      </c>
      <c r="P269" s="73" t="str">
        <f t="shared" si="83"/>
        <v/>
      </c>
      <c r="Q269" s="73" t="str">
        <f t="shared" si="83"/>
        <v/>
      </c>
      <c r="R269" s="73" t="str">
        <f t="shared" si="84"/>
        <v/>
      </c>
      <c r="S269" s="73" t="str">
        <f t="shared" si="84"/>
        <v/>
      </c>
      <c r="T269" s="73" t="str">
        <f t="shared" si="84"/>
        <v/>
      </c>
      <c r="U269" s="73" t="str">
        <f t="shared" si="84"/>
        <v/>
      </c>
      <c r="V269" s="73" t="str">
        <f t="shared" si="84"/>
        <v/>
      </c>
      <c r="W269" s="73" t="str">
        <f t="shared" si="84"/>
        <v/>
      </c>
      <c r="X269" s="73" t="str">
        <f t="shared" si="84"/>
        <v/>
      </c>
      <c r="Y269" s="73" t="str">
        <f t="shared" si="84"/>
        <v/>
      </c>
      <c r="Z269" s="73" t="str">
        <f t="shared" si="84"/>
        <v/>
      </c>
      <c r="AA269" s="73" t="str">
        <f t="shared" si="84"/>
        <v/>
      </c>
      <c r="AB269" s="74" t="str">
        <f t="shared" si="84"/>
        <v/>
      </c>
      <c r="AC269" s="35" t="str">
        <f t="shared" ref="AC269:AC305" si="88">IF(C269="","",SUM(H269:AB269)*AK269)</f>
        <v/>
      </c>
      <c r="AD269" s="40" t="str">
        <f t="shared" ref="AD269:AD305" si="89">IF(C269="","",SUM(H269:AB269))</f>
        <v/>
      </c>
      <c r="AE269" s="37" t="str">
        <f t="shared" ref="AE269:AE305" si="90">IF(C269="","",SUM(H269:R269)*AK269)</f>
        <v/>
      </c>
      <c r="AF269" s="40" t="str">
        <f t="shared" ref="AF269:AF305" si="91">IF(C269="","",SUM(H269:Q269))</f>
        <v/>
      </c>
      <c r="AG269" s="37" t="str">
        <f t="shared" ref="AG269:AG305" si="92">IF(C269="","",SUM(R269:AB269)*AK269)</f>
        <v/>
      </c>
      <c r="AH269" s="40" t="str">
        <f t="shared" ref="AH269:AH305" si="93">IF(C269="","",SUM(R269:AB269))</f>
        <v/>
      </c>
      <c r="AI269" s="37" t="str">
        <f t="shared" ref="AI269:AI305" si="94">IF(C269="","",SUM(J269:M269,T269:W269)*AK269)</f>
        <v/>
      </c>
      <c r="AJ269" s="40" t="str">
        <f t="shared" ref="AJ269:AJ305" si="95">IF(C269="","",SUM(J269:M269,T269:W269))</f>
        <v/>
      </c>
      <c r="AK269" s="33" t="str">
        <f>IF(SEM!AK269="","",SEM!AK269)</f>
        <v/>
      </c>
      <c r="AL269" s="6"/>
      <c r="AM269" s="79" t="str">
        <f t="shared" si="86"/>
        <v/>
      </c>
      <c r="AR269" s="5"/>
      <c r="AU269" s="198"/>
      <c r="AV269" s="198"/>
      <c r="AW269" s="198"/>
      <c r="AX269" s="198"/>
    </row>
    <row r="270" spans="2:50" ht="17.25" customHeight="1" x14ac:dyDescent="0.2">
      <c r="B270" s="6"/>
      <c r="C270" s="49" t="str">
        <f>IF(SEM!C270="","",SEM!C270)</f>
        <v/>
      </c>
      <c r="D270" s="220" t="str">
        <f>IF(C270="","",VLOOKUP(SEM!C270,FROTA!$B$5:$C$305,2,0))</f>
        <v/>
      </c>
      <c r="E270" s="24" t="str">
        <f>IF(C270="","",VLOOKUP(C270,FROTA!$B$5:$N$305,7,0))</f>
        <v/>
      </c>
      <c r="F270" s="38" t="str">
        <f t="shared" si="85"/>
        <v/>
      </c>
      <c r="G270" s="71" t="str">
        <f t="shared" si="87"/>
        <v/>
      </c>
      <c r="H270" s="32" t="str">
        <f t="shared" si="81"/>
        <v/>
      </c>
      <c r="I270" s="73" t="str">
        <f t="shared" si="81"/>
        <v/>
      </c>
      <c r="J270" s="73" t="str">
        <f t="shared" si="81"/>
        <v/>
      </c>
      <c r="K270" s="73" t="str">
        <f t="shared" si="83"/>
        <v/>
      </c>
      <c r="L270" s="73" t="str">
        <f t="shared" si="83"/>
        <v/>
      </c>
      <c r="M270" s="73" t="str">
        <f t="shared" si="83"/>
        <v/>
      </c>
      <c r="N270" s="73" t="str">
        <f t="shared" si="83"/>
        <v/>
      </c>
      <c r="O270" s="73" t="str">
        <f t="shared" si="83"/>
        <v/>
      </c>
      <c r="P270" s="73" t="str">
        <f t="shared" si="83"/>
        <v/>
      </c>
      <c r="Q270" s="73" t="str">
        <f t="shared" si="83"/>
        <v/>
      </c>
      <c r="R270" s="73" t="str">
        <f t="shared" si="84"/>
        <v/>
      </c>
      <c r="S270" s="73" t="str">
        <f t="shared" si="84"/>
        <v/>
      </c>
      <c r="T270" s="73" t="str">
        <f t="shared" si="84"/>
        <v/>
      </c>
      <c r="U270" s="73" t="str">
        <f t="shared" si="84"/>
        <v/>
      </c>
      <c r="V270" s="73" t="str">
        <f t="shared" si="84"/>
        <v/>
      </c>
      <c r="W270" s="73" t="str">
        <f t="shared" si="84"/>
        <v/>
      </c>
      <c r="X270" s="73" t="str">
        <f t="shared" si="84"/>
        <v/>
      </c>
      <c r="Y270" s="73" t="str">
        <f t="shared" si="84"/>
        <v/>
      </c>
      <c r="Z270" s="73" t="str">
        <f t="shared" si="84"/>
        <v/>
      </c>
      <c r="AA270" s="73" t="str">
        <f t="shared" si="84"/>
        <v/>
      </c>
      <c r="AB270" s="74" t="str">
        <f t="shared" si="84"/>
        <v/>
      </c>
      <c r="AC270" s="35" t="str">
        <f t="shared" si="88"/>
        <v/>
      </c>
      <c r="AD270" s="40" t="str">
        <f t="shared" si="89"/>
        <v/>
      </c>
      <c r="AE270" s="37" t="str">
        <f t="shared" si="90"/>
        <v/>
      </c>
      <c r="AF270" s="40" t="str">
        <f t="shared" si="91"/>
        <v/>
      </c>
      <c r="AG270" s="37" t="str">
        <f t="shared" si="92"/>
        <v/>
      </c>
      <c r="AH270" s="40" t="str">
        <f t="shared" si="93"/>
        <v/>
      </c>
      <c r="AI270" s="37" t="str">
        <f t="shared" si="94"/>
        <v/>
      </c>
      <c r="AJ270" s="40" t="str">
        <f t="shared" si="95"/>
        <v/>
      </c>
      <c r="AK270" s="33" t="str">
        <f>IF(SEM!AK270="","",SEM!AK270)</f>
        <v/>
      </c>
      <c r="AL270" s="6"/>
      <c r="AM270" s="79" t="str">
        <f t="shared" si="86"/>
        <v/>
      </c>
      <c r="AR270" s="5"/>
      <c r="AU270" s="198"/>
      <c r="AV270" s="198"/>
      <c r="AW270" s="198"/>
      <c r="AX270" s="198"/>
    </row>
    <row r="271" spans="2:50" ht="17.25" customHeight="1" x14ac:dyDescent="0.2">
      <c r="B271" s="6"/>
      <c r="C271" s="49" t="str">
        <f>IF(SEM!C271="","",SEM!C271)</f>
        <v/>
      </c>
      <c r="D271" s="220" t="str">
        <f>IF(C271="","",VLOOKUP(SEM!C271,FROTA!$B$5:$C$305,2,0))</f>
        <v/>
      </c>
      <c r="E271" s="24" t="str">
        <f>IF(C271="","",VLOOKUP(C271,FROTA!$B$5:$N$305,7,0))</f>
        <v/>
      </c>
      <c r="F271" s="38" t="str">
        <f t="shared" si="85"/>
        <v/>
      </c>
      <c r="G271" s="71" t="str">
        <f t="shared" si="87"/>
        <v/>
      </c>
      <c r="H271" s="32" t="str">
        <f t="shared" si="81"/>
        <v/>
      </c>
      <c r="I271" s="73" t="str">
        <f t="shared" si="81"/>
        <v/>
      </c>
      <c r="J271" s="73" t="str">
        <f t="shared" si="81"/>
        <v/>
      </c>
      <c r="K271" s="73" t="str">
        <f t="shared" si="83"/>
        <v/>
      </c>
      <c r="L271" s="73" t="str">
        <f t="shared" si="83"/>
        <v/>
      </c>
      <c r="M271" s="73" t="str">
        <f t="shared" si="83"/>
        <v/>
      </c>
      <c r="N271" s="73" t="str">
        <f t="shared" si="83"/>
        <v/>
      </c>
      <c r="O271" s="73" t="str">
        <f t="shared" si="83"/>
        <v/>
      </c>
      <c r="P271" s="73" t="str">
        <f t="shared" si="83"/>
        <v/>
      </c>
      <c r="Q271" s="73" t="str">
        <f t="shared" si="83"/>
        <v/>
      </c>
      <c r="R271" s="73" t="str">
        <f t="shared" si="84"/>
        <v/>
      </c>
      <c r="S271" s="73" t="str">
        <f t="shared" si="84"/>
        <v/>
      </c>
      <c r="T271" s="73" t="str">
        <f t="shared" ref="R271:AB294" si="96">IF($C271="","",IF(SUM(T$307*$G271)&gt;$F271,$F271,SUM(T$307*$G271)))</f>
        <v/>
      </c>
      <c r="U271" s="73" t="str">
        <f t="shared" si="96"/>
        <v/>
      </c>
      <c r="V271" s="73" t="str">
        <f t="shared" si="96"/>
        <v/>
      </c>
      <c r="W271" s="73" t="str">
        <f t="shared" si="96"/>
        <v/>
      </c>
      <c r="X271" s="73" t="str">
        <f t="shared" si="96"/>
        <v/>
      </c>
      <c r="Y271" s="73" t="str">
        <f t="shared" si="96"/>
        <v/>
      </c>
      <c r="Z271" s="73" t="str">
        <f t="shared" si="96"/>
        <v/>
      </c>
      <c r="AA271" s="73" t="str">
        <f t="shared" si="96"/>
        <v/>
      </c>
      <c r="AB271" s="74" t="str">
        <f t="shared" si="96"/>
        <v/>
      </c>
      <c r="AC271" s="35" t="str">
        <f t="shared" si="88"/>
        <v/>
      </c>
      <c r="AD271" s="40" t="str">
        <f t="shared" si="89"/>
        <v/>
      </c>
      <c r="AE271" s="37" t="str">
        <f t="shared" si="90"/>
        <v/>
      </c>
      <c r="AF271" s="40" t="str">
        <f t="shared" si="91"/>
        <v/>
      </c>
      <c r="AG271" s="37" t="str">
        <f t="shared" si="92"/>
        <v/>
      </c>
      <c r="AH271" s="40" t="str">
        <f t="shared" si="93"/>
        <v/>
      </c>
      <c r="AI271" s="37" t="str">
        <f t="shared" si="94"/>
        <v/>
      </c>
      <c r="AJ271" s="40" t="str">
        <f t="shared" si="95"/>
        <v/>
      </c>
      <c r="AK271" s="33" t="str">
        <f>IF(SEM!AK271="","",SEM!AK271)</f>
        <v/>
      </c>
      <c r="AL271" s="6"/>
      <c r="AM271" s="79" t="str">
        <f t="shared" si="86"/>
        <v/>
      </c>
      <c r="AR271" s="5"/>
      <c r="AU271" s="198"/>
      <c r="AV271" s="198"/>
      <c r="AW271" s="198"/>
      <c r="AX271" s="198"/>
    </row>
    <row r="272" spans="2:50" ht="17.25" customHeight="1" x14ac:dyDescent="0.2">
      <c r="B272" s="6"/>
      <c r="C272" s="49" t="str">
        <f>IF(SEM!C272="","",SEM!C272)</f>
        <v/>
      </c>
      <c r="D272" s="220" t="str">
        <f>IF(C272="","",VLOOKUP(SEM!C272,FROTA!$B$5:$C$305,2,0))</f>
        <v/>
      </c>
      <c r="E272" s="24" t="str">
        <f>IF(C272="","",VLOOKUP(C272,FROTA!$B$5:$N$305,7,0))</f>
        <v/>
      </c>
      <c r="F272" s="38" t="str">
        <f t="shared" si="85"/>
        <v/>
      </c>
      <c r="G272" s="71" t="str">
        <f t="shared" si="87"/>
        <v/>
      </c>
      <c r="H272" s="32" t="str">
        <f t="shared" si="81"/>
        <v/>
      </c>
      <c r="I272" s="73" t="str">
        <f t="shared" si="81"/>
        <v/>
      </c>
      <c r="J272" s="73" t="str">
        <f t="shared" si="81"/>
        <v/>
      </c>
      <c r="K272" s="73" t="str">
        <f t="shared" si="83"/>
        <v/>
      </c>
      <c r="L272" s="73" t="str">
        <f t="shared" si="83"/>
        <v/>
      </c>
      <c r="M272" s="73" t="str">
        <f t="shared" si="83"/>
        <v/>
      </c>
      <c r="N272" s="73" t="str">
        <f t="shared" si="83"/>
        <v/>
      </c>
      <c r="O272" s="73" t="str">
        <f t="shared" si="83"/>
        <v/>
      </c>
      <c r="P272" s="73" t="str">
        <f t="shared" si="83"/>
        <v/>
      </c>
      <c r="Q272" s="73" t="str">
        <f t="shared" si="83"/>
        <v/>
      </c>
      <c r="R272" s="73" t="str">
        <f t="shared" si="96"/>
        <v/>
      </c>
      <c r="S272" s="73" t="str">
        <f t="shared" si="96"/>
        <v/>
      </c>
      <c r="T272" s="73" t="str">
        <f t="shared" si="96"/>
        <v/>
      </c>
      <c r="U272" s="73" t="str">
        <f t="shared" si="96"/>
        <v/>
      </c>
      <c r="V272" s="73" t="str">
        <f t="shared" si="96"/>
        <v/>
      </c>
      <c r="W272" s="73" t="str">
        <f t="shared" si="96"/>
        <v/>
      </c>
      <c r="X272" s="73" t="str">
        <f t="shared" si="96"/>
        <v/>
      </c>
      <c r="Y272" s="73" t="str">
        <f t="shared" si="96"/>
        <v/>
      </c>
      <c r="Z272" s="73" t="str">
        <f t="shared" si="96"/>
        <v/>
      </c>
      <c r="AA272" s="73" t="str">
        <f t="shared" si="96"/>
        <v/>
      </c>
      <c r="AB272" s="74" t="str">
        <f t="shared" si="96"/>
        <v/>
      </c>
      <c r="AC272" s="35" t="str">
        <f t="shared" si="88"/>
        <v/>
      </c>
      <c r="AD272" s="40" t="str">
        <f t="shared" si="89"/>
        <v/>
      </c>
      <c r="AE272" s="37" t="str">
        <f t="shared" si="90"/>
        <v/>
      </c>
      <c r="AF272" s="40" t="str">
        <f t="shared" si="91"/>
        <v/>
      </c>
      <c r="AG272" s="37" t="str">
        <f t="shared" si="92"/>
        <v/>
      </c>
      <c r="AH272" s="40" t="str">
        <f t="shared" si="93"/>
        <v/>
      </c>
      <c r="AI272" s="37" t="str">
        <f t="shared" si="94"/>
        <v/>
      </c>
      <c r="AJ272" s="40" t="str">
        <f t="shared" si="95"/>
        <v/>
      </c>
      <c r="AK272" s="33" t="str">
        <f>IF(SEM!AK272="","",SEM!AK272)</f>
        <v/>
      </c>
      <c r="AL272" s="6"/>
      <c r="AM272" s="79" t="str">
        <f t="shared" si="86"/>
        <v/>
      </c>
      <c r="AR272" s="5"/>
      <c r="AU272" s="198"/>
      <c r="AV272" s="198"/>
      <c r="AW272" s="198"/>
      <c r="AX272" s="198"/>
    </row>
    <row r="273" spans="2:50" ht="17.25" customHeight="1" x14ac:dyDescent="0.2">
      <c r="B273" s="6"/>
      <c r="C273" s="49" t="str">
        <f>IF(SEM!C273="","",SEM!C273)</f>
        <v/>
      </c>
      <c r="D273" s="220" t="str">
        <f>IF(C273="","",VLOOKUP(SEM!C273,FROTA!$B$5:$C$305,2,0))</f>
        <v/>
      </c>
      <c r="E273" s="24" t="str">
        <f>IF(C273="","",VLOOKUP(C273,FROTA!$B$5:$N$305,7,0))</f>
        <v/>
      </c>
      <c r="F273" s="38" t="str">
        <f t="shared" si="85"/>
        <v/>
      </c>
      <c r="G273" s="71" t="str">
        <f t="shared" si="87"/>
        <v/>
      </c>
      <c r="H273" s="32" t="str">
        <f t="shared" si="81"/>
        <v/>
      </c>
      <c r="I273" s="73" t="str">
        <f t="shared" si="81"/>
        <v/>
      </c>
      <c r="J273" s="73" t="str">
        <f t="shared" si="81"/>
        <v/>
      </c>
      <c r="K273" s="73" t="str">
        <f t="shared" si="83"/>
        <v/>
      </c>
      <c r="L273" s="73" t="str">
        <f t="shared" si="83"/>
        <v/>
      </c>
      <c r="M273" s="73" t="str">
        <f t="shared" si="83"/>
        <v/>
      </c>
      <c r="N273" s="73" t="str">
        <f t="shared" si="83"/>
        <v/>
      </c>
      <c r="O273" s="73" t="str">
        <f t="shared" si="83"/>
        <v/>
      </c>
      <c r="P273" s="73" t="str">
        <f t="shared" si="83"/>
        <v/>
      </c>
      <c r="Q273" s="73" t="str">
        <f t="shared" si="83"/>
        <v/>
      </c>
      <c r="R273" s="73" t="str">
        <f t="shared" si="96"/>
        <v/>
      </c>
      <c r="S273" s="73" t="str">
        <f t="shared" si="96"/>
        <v/>
      </c>
      <c r="T273" s="73" t="str">
        <f t="shared" si="96"/>
        <v/>
      </c>
      <c r="U273" s="73" t="str">
        <f t="shared" si="96"/>
        <v/>
      </c>
      <c r="V273" s="73" t="str">
        <f t="shared" si="96"/>
        <v/>
      </c>
      <c r="W273" s="73" t="str">
        <f t="shared" si="96"/>
        <v/>
      </c>
      <c r="X273" s="73" t="str">
        <f t="shared" si="96"/>
        <v/>
      </c>
      <c r="Y273" s="73" t="str">
        <f t="shared" si="96"/>
        <v/>
      </c>
      <c r="Z273" s="73" t="str">
        <f t="shared" si="96"/>
        <v/>
      </c>
      <c r="AA273" s="73" t="str">
        <f t="shared" si="96"/>
        <v/>
      </c>
      <c r="AB273" s="74" t="str">
        <f t="shared" si="96"/>
        <v/>
      </c>
      <c r="AC273" s="35" t="str">
        <f t="shared" si="88"/>
        <v/>
      </c>
      <c r="AD273" s="40" t="str">
        <f t="shared" si="89"/>
        <v/>
      </c>
      <c r="AE273" s="37" t="str">
        <f t="shared" si="90"/>
        <v/>
      </c>
      <c r="AF273" s="40" t="str">
        <f t="shared" si="91"/>
        <v/>
      </c>
      <c r="AG273" s="37" t="str">
        <f t="shared" si="92"/>
        <v/>
      </c>
      <c r="AH273" s="40" t="str">
        <f t="shared" si="93"/>
        <v/>
      </c>
      <c r="AI273" s="37" t="str">
        <f t="shared" si="94"/>
        <v/>
      </c>
      <c r="AJ273" s="40" t="str">
        <f t="shared" si="95"/>
        <v/>
      </c>
      <c r="AK273" s="33" t="str">
        <f>IF(SEM!AK273="","",SEM!AK273)</f>
        <v/>
      </c>
      <c r="AL273" s="6"/>
      <c r="AM273" s="79" t="str">
        <f t="shared" si="86"/>
        <v/>
      </c>
      <c r="AR273" s="5"/>
      <c r="AU273" s="198"/>
      <c r="AV273" s="198"/>
      <c r="AW273" s="198"/>
      <c r="AX273" s="198"/>
    </row>
    <row r="274" spans="2:50" ht="17.25" customHeight="1" x14ac:dyDescent="0.2">
      <c r="B274" s="6"/>
      <c r="C274" s="49" t="str">
        <f>IF(SEM!C274="","",SEM!C274)</f>
        <v/>
      </c>
      <c r="D274" s="220" t="str">
        <f>IF(C274="","",VLOOKUP(SEM!C274,FROTA!$B$5:$C$305,2,0))</f>
        <v/>
      </c>
      <c r="E274" s="24" t="str">
        <f>IF(C274="","",VLOOKUP(C274,FROTA!$B$5:$N$305,7,0))</f>
        <v/>
      </c>
      <c r="F274" s="38" t="str">
        <f t="shared" si="85"/>
        <v/>
      </c>
      <c r="G274" s="71" t="str">
        <f t="shared" si="87"/>
        <v/>
      </c>
      <c r="H274" s="32" t="str">
        <f t="shared" si="81"/>
        <v/>
      </c>
      <c r="I274" s="73" t="str">
        <f t="shared" si="81"/>
        <v/>
      </c>
      <c r="J274" s="73" t="str">
        <f t="shared" si="81"/>
        <v/>
      </c>
      <c r="K274" s="73" t="str">
        <f t="shared" si="83"/>
        <v/>
      </c>
      <c r="L274" s="73" t="str">
        <f t="shared" si="83"/>
        <v/>
      </c>
      <c r="M274" s="73" t="str">
        <f t="shared" si="83"/>
        <v/>
      </c>
      <c r="N274" s="73" t="str">
        <f t="shared" si="83"/>
        <v/>
      </c>
      <c r="O274" s="73" t="str">
        <f t="shared" si="83"/>
        <v/>
      </c>
      <c r="P274" s="73" t="str">
        <f t="shared" si="83"/>
        <v/>
      </c>
      <c r="Q274" s="73" t="str">
        <f t="shared" si="83"/>
        <v/>
      </c>
      <c r="R274" s="73" t="str">
        <f t="shared" si="96"/>
        <v/>
      </c>
      <c r="S274" s="73" t="str">
        <f t="shared" si="96"/>
        <v/>
      </c>
      <c r="T274" s="73" t="str">
        <f t="shared" si="96"/>
        <v/>
      </c>
      <c r="U274" s="73" t="str">
        <f t="shared" si="96"/>
        <v/>
      </c>
      <c r="V274" s="73" t="str">
        <f t="shared" si="96"/>
        <v/>
      </c>
      <c r="W274" s="73" t="str">
        <f t="shared" si="96"/>
        <v/>
      </c>
      <c r="X274" s="73" t="str">
        <f t="shared" si="96"/>
        <v/>
      </c>
      <c r="Y274" s="73" t="str">
        <f t="shared" si="96"/>
        <v/>
      </c>
      <c r="Z274" s="73" t="str">
        <f t="shared" si="96"/>
        <v/>
      </c>
      <c r="AA274" s="73" t="str">
        <f t="shared" si="96"/>
        <v/>
      </c>
      <c r="AB274" s="74" t="str">
        <f t="shared" si="96"/>
        <v/>
      </c>
      <c r="AC274" s="35" t="str">
        <f t="shared" si="88"/>
        <v/>
      </c>
      <c r="AD274" s="40" t="str">
        <f t="shared" si="89"/>
        <v/>
      </c>
      <c r="AE274" s="37" t="str">
        <f t="shared" si="90"/>
        <v/>
      </c>
      <c r="AF274" s="40" t="str">
        <f t="shared" si="91"/>
        <v/>
      </c>
      <c r="AG274" s="37" t="str">
        <f t="shared" si="92"/>
        <v/>
      </c>
      <c r="AH274" s="40" t="str">
        <f t="shared" si="93"/>
        <v/>
      </c>
      <c r="AI274" s="37" t="str">
        <f t="shared" si="94"/>
        <v/>
      </c>
      <c r="AJ274" s="40" t="str">
        <f t="shared" si="95"/>
        <v/>
      </c>
      <c r="AK274" s="33" t="str">
        <f>IF(SEM!AK274="","",SEM!AK274)</f>
        <v/>
      </c>
      <c r="AL274" s="6"/>
      <c r="AM274" s="79" t="str">
        <f t="shared" si="86"/>
        <v/>
      </c>
      <c r="AR274" s="5"/>
      <c r="AU274" s="198"/>
      <c r="AV274" s="198"/>
      <c r="AW274" s="198"/>
      <c r="AX274" s="198"/>
    </row>
    <row r="275" spans="2:50" ht="17.25" customHeight="1" x14ac:dyDescent="0.2">
      <c r="B275" s="6"/>
      <c r="C275" s="49" t="str">
        <f>IF(SEM!C275="","",SEM!C275)</f>
        <v/>
      </c>
      <c r="D275" s="220" t="str">
        <f>IF(C275="","",VLOOKUP(SEM!C275,FROTA!$B$5:$C$305,2,0))</f>
        <v/>
      </c>
      <c r="E275" s="24" t="str">
        <f>IF(C275="","",VLOOKUP(C275,FROTA!$B$5:$N$305,7,0))</f>
        <v/>
      </c>
      <c r="F275" s="38" t="str">
        <f t="shared" si="85"/>
        <v/>
      </c>
      <c r="G275" s="71" t="str">
        <f t="shared" si="87"/>
        <v/>
      </c>
      <c r="H275" s="32" t="str">
        <f t="shared" si="81"/>
        <v/>
      </c>
      <c r="I275" s="73" t="str">
        <f t="shared" si="81"/>
        <v/>
      </c>
      <c r="J275" s="73" t="str">
        <f t="shared" si="81"/>
        <v/>
      </c>
      <c r="K275" s="73" t="str">
        <f t="shared" si="83"/>
        <v/>
      </c>
      <c r="L275" s="73" t="str">
        <f t="shared" si="83"/>
        <v/>
      </c>
      <c r="M275" s="73" t="str">
        <f t="shared" si="83"/>
        <v/>
      </c>
      <c r="N275" s="73" t="str">
        <f t="shared" si="83"/>
        <v/>
      </c>
      <c r="O275" s="73" t="str">
        <f t="shared" si="83"/>
        <v/>
      </c>
      <c r="P275" s="73" t="str">
        <f t="shared" si="83"/>
        <v/>
      </c>
      <c r="Q275" s="73" t="str">
        <f t="shared" si="83"/>
        <v/>
      </c>
      <c r="R275" s="73" t="str">
        <f t="shared" si="96"/>
        <v/>
      </c>
      <c r="S275" s="73" t="str">
        <f t="shared" si="96"/>
        <v/>
      </c>
      <c r="T275" s="73" t="str">
        <f t="shared" si="96"/>
        <v/>
      </c>
      <c r="U275" s="73" t="str">
        <f t="shared" si="96"/>
        <v/>
      </c>
      <c r="V275" s="73" t="str">
        <f t="shared" si="96"/>
        <v/>
      </c>
      <c r="W275" s="73" t="str">
        <f t="shared" si="96"/>
        <v/>
      </c>
      <c r="X275" s="73" t="str">
        <f t="shared" si="96"/>
        <v/>
      </c>
      <c r="Y275" s="73" t="str">
        <f t="shared" si="96"/>
        <v/>
      </c>
      <c r="Z275" s="73" t="str">
        <f t="shared" si="96"/>
        <v/>
      </c>
      <c r="AA275" s="73" t="str">
        <f t="shared" si="96"/>
        <v/>
      </c>
      <c r="AB275" s="74" t="str">
        <f t="shared" si="96"/>
        <v/>
      </c>
      <c r="AC275" s="35" t="str">
        <f t="shared" si="88"/>
        <v/>
      </c>
      <c r="AD275" s="40" t="str">
        <f t="shared" si="89"/>
        <v/>
      </c>
      <c r="AE275" s="37" t="str">
        <f t="shared" si="90"/>
        <v/>
      </c>
      <c r="AF275" s="40" t="str">
        <f t="shared" si="91"/>
        <v/>
      </c>
      <c r="AG275" s="37" t="str">
        <f t="shared" si="92"/>
        <v/>
      </c>
      <c r="AH275" s="40" t="str">
        <f t="shared" si="93"/>
        <v/>
      </c>
      <c r="AI275" s="37" t="str">
        <f t="shared" si="94"/>
        <v/>
      </c>
      <c r="AJ275" s="40" t="str">
        <f t="shared" si="95"/>
        <v/>
      </c>
      <c r="AK275" s="33" t="str">
        <f>IF(SEM!AK275="","",SEM!AK275)</f>
        <v/>
      </c>
      <c r="AL275" s="6"/>
      <c r="AM275" s="79" t="str">
        <f t="shared" si="86"/>
        <v/>
      </c>
      <c r="AR275" s="5"/>
      <c r="AU275" s="198"/>
      <c r="AV275" s="198"/>
      <c r="AW275" s="198"/>
      <c r="AX275" s="198"/>
    </row>
    <row r="276" spans="2:50" ht="17.25" customHeight="1" x14ac:dyDescent="0.2">
      <c r="B276" s="6"/>
      <c r="C276" s="49" t="str">
        <f>IF(SEM!C276="","",SEM!C276)</f>
        <v/>
      </c>
      <c r="D276" s="220" t="str">
        <f>IF(C276="","",VLOOKUP(SEM!C276,FROTA!$B$5:$C$305,2,0))</f>
        <v/>
      </c>
      <c r="E276" s="24" t="str">
        <f>IF(C276="","",VLOOKUP(C276,FROTA!$B$5:$N$305,7,0))</f>
        <v/>
      </c>
      <c r="F276" s="38" t="str">
        <f t="shared" si="85"/>
        <v/>
      </c>
      <c r="G276" s="71" t="str">
        <f t="shared" si="87"/>
        <v/>
      </c>
      <c r="H276" s="32" t="str">
        <f t="shared" si="81"/>
        <v/>
      </c>
      <c r="I276" s="73" t="str">
        <f t="shared" si="81"/>
        <v/>
      </c>
      <c r="J276" s="73" t="str">
        <f t="shared" si="81"/>
        <v/>
      </c>
      <c r="K276" s="73" t="str">
        <f t="shared" si="83"/>
        <v/>
      </c>
      <c r="L276" s="73" t="str">
        <f t="shared" si="83"/>
        <v/>
      </c>
      <c r="M276" s="73" t="str">
        <f t="shared" si="83"/>
        <v/>
      </c>
      <c r="N276" s="73" t="str">
        <f t="shared" si="83"/>
        <v/>
      </c>
      <c r="O276" s="73" t="str">
        <f t="shared" si="83"/>
        <v/>
      </c>
      <c r="P276" s="73" t="str">
        <f t="shared" si="83"/>
        <v/>
      </c>
      <c r="Q276" s="73" t="str">
        <f t="shared" si="83"/>
        <v/>
      </c>
      <c r="R276" s="73" t="str">
        <f t="shared" si="96"/>
        <v/>
      </c>
      <c r="S276" s="73" t="str">
        <f t="shared" si="96"/>
        <v/>
      </c>
      <c r="T276" s="73" t="str">
        <f t="shared" si="96"/>
        <v/>
      </c>
      <c r="U276" s="73" t="str">
        <f t="shared" si="96"/>
        <v/>
      </c>
      <c r="V276" s="73" t="str">
        <f t="shared" si="96"/>
        <v/>
      </c>
      <c r="W276" s="73" t="str">
        <f t="shared" si="96"/>
        <v/>
      </c>
      <c r="X276" s="73" t="str">
        <f t="shared" si="96"/>
        <v/>
      </c>
      <c r="Y276" s="73" t="str">
        <f t="shared" si="96"/>
        <v/>
      </c>
      <c r="Z276" s="73" t="str">
        <f t="shared" si="96"/>
        <v/>
      </c>
      <c r="AA276" s="73" t="str">
        <f t="shared" si="96"/>
        <v/>
      </c>
      <c r="AB276" s="74" t="str">
        <f t="shared" si="96"/>
        <v/>
      </c>
      <c r="AC276" s="35" t="str">
        <f t="shared" si="88"/>
        <v/>
      </c>
      <c r="AD276" s="40" t="str">
        <f t="shared" si="89"/>
        <v/>
      </c>
      <c r="AE276" s="37" t="str">
        <f t="shared" si="90"/>
        <v/>
      </c>
      <c r="AF276" s="40" t="str">
        <f t="shared" si="91"/>
        <v/>
      </c>
      <c r="AG276" s="37" t="str">
        <f t="shared" si="92"/>
        <v/>
      </c>
      <c r="AH276" s="40" t="str">
        <f t="shared" si="93"/>
        <v/>
      </c>
      <c r="AI276" s="37" t="str">
        <f t="shared" si="94"/>
        <v/>
      </c>
      <c r="AJ276" s="40" t="str">
        <f t="shared" si="95"/>
        <v/>
      </c>
      <c r="AK276" s="33" t="str">
        <f>IF(SEM!AK276="","",SEM!AK276)</f>
        <v/>
      </c>
      <c r="AL276" s="6"/>
      <c r="AM276" s="79" t="str">
        <f t="shared" si="86"/>
        <v/>
      </c>
      <c r="AR276" s="5"/>
      <c r="AU276" s="198"/>
      <c r="AV276" s="198"/>
      <c r="AW276" s="198"/>
      <c r="AX276" s="198"/>
    </row>
    <row r="277" spans="2:50" ht="17.25" customHeight="1" x14ac:dyDescent="0.2">
      <c r="B277" s="6"/>
      <c r="C277" s="49" t="str">
        <f>IF(SEM!C277="","",SEM!C277)</f>
        <v/>
      </c>
      <c r="D277" s="220" t="str">
        <f>IF(C277="","",VLOOKUP(SEM!C277,FROTA!$B$5:$C$305,2,0))</f>
        <v/>
      </c>
      <c r="E277" s="24" t="str">
        <f>IF(C277="","",VLOOKUP(C277,FROTA!$B$5:$N$305,7,0))</f>
        <v/>
      </c>
      <c r="F277" s="38" t="str">
        <f t="shared" si="85"/>
        <v/>
      </c>
      <c r="G277" s="71" t="str">
        <f t="shared" si="87"/>
        <v/>
      </c>
      <c r="H277" s="32" t="str">
        <f t="shared" si="81"/>
        <v/>
      </c>
      <c r="I277" s="73" t="str">
        <f t="shared" si="81"/>
        <v/>
      </c>
      <c r="J277" s="73" t="str">
        <f t="shared" si="81"/>
        <v/>
      </c>
      <c r="K277" s="73" t="str">
        <f t="shared" ref="K277:Q305" si="97">IF($C277="","",IF(SUM(K$307*$G277)&gt;$F277,$F277,SUM(K$307*$G277)))</f>
        <v/>
      </c>
      <c r="L277" s="73" t="str">
        <f t="shared" si="97"/>
        <v/>
      </c>
      <c r="M277" s="73" t="str">
        <f t="shared" si="97"/>
        <v/>
      </c>
      <c r="N277" s="73" t="str">
        <f t="shared" si="97"/>
        <v/>
      </c>
      <c r="O277" s="73" t="str">
        <f t="shared" si="97"/>
        <v/>
      </c>
      <c r="P277" s="73" t="str">
        <f t="shared" si="97"/>
        <v/>
      </c>
      <c r="Q277" s="73" t="str">
        <f t="shared" si="97"/>
        <v/>
      </c>
      <c r="R277" s="73" t="str">
        <f t="shared" si="96"/>
        <v/>
      </c>
      <c r="S277" s="73" t="str">
        <f t="shared" si="96"/>
        <v/>
      </c>
      <c r="T277" s="73" t="str">
        <f t="shared" si="96"/>
        <v/>
      </c>
      <c r="U277" s="73" t="str">
        <f t="shared" si="96"/>
        <v/>
      </c>
      <c r="V277" s="73" t="str">
        <f t="shared" si="96"/>
        <v/>
      </c>
      <c r="W277" s="73" t="str">
        <f t="shared" si="96"/>
        <v/>
      </c>
      <c r="X277" s="73" t="str">
        <f t="shared" si="96"/>
        <v/>
      </c>
      <c r="Y277" s="73" t="str">
        <f t="shared" si="96"/>
        <v/>
      </c>
      <c r="Z277" s="73" t="str">
        <f t="shared" si="96"/>
        <v/>
      </c>
      <c r="AA277" s="73" t="str">
        <f t="shared" si="96"/>
        <v/>
      </c>
      <c r="AB277" s="74" t="str">
        <f t="shared" si="96"/>
        <v/>
      </c>
      <c r="AC277" s="35" t="str">
        <f t="shared" si="88"/>
        <v/>
      </c>
      <c r="AD277" s="40" t="str">
        <f t="shared" si="89"/>
        <v/>
      </c>
      <c r="AE277" s="37" t="str">
        <f t="shared" si="90"/>
        <v/>
      </c>
      <c r="AF277" s="40" t="str">
        <f t="shared" si="91"/>
        <v/>
      </c>
      <c r="AG277" s="37" t="str">
        <f t="shared" si="92"/>
        <v/>
      </c>
      <c r="AH277" s="40" t="str">
        <f t="shared" si="93"/>
        <v/>
      </c>
      <c r="AI277" s="37" t="str">
        <f t="shared" si="94"/>
        <v/>
      </c>
      <c r="AJ277" s="40" t="str">
        <f t="shared" si="95"/>
        <v/>
      </c>
      <c r="AK277" s="33" t="str">
        <f>IF(SEM!AK277="","",SEM!AK277)</f>
        <v/>
      </c>
      <c r="AL277" s="6"/>
      <c r="AM277" s="79" t="str">
        <f t="shared" si="86"/>
        <v/>
      </c>
      <c r="AR277" s="5"/>
      <c r="AU277" s="198"/>
      <c r="AV277" s="198"/>
      <c r="AW277" s="198"/>
      <c r="AX277" s="198"/>
    </row>
    <row r="278" spans="2:50" ht="17.25" customHeight="1" x14ac:dyDescent="0.2">
      <c r="B278" s="6"/>
      <c r="C278" s="49" t="str">
        <f>IF(SEM!C278="","",SEM!C278)</f>
        <v/>
      </c>
      <c r="D278" s="220" t="str">
        <f>IF(C278="","",VLOOKUP(SEM!C278,FROTA!$B$5:$C$305,2,0))</f>
        <v/>
      </c>
      <c r="E278" s="24" t="str">
        <f>IF(C278="","",VLOOKUP(C278,FROTA!$B$5:$N$305,7,0))</f>
        <v/>
      </c>
      <c r="F278" s="38" t="str">
        <f t="shared" si="85"/>
        <v/>
      </c>
      <c r="G278" s="71" t="str">
        <f t="shared" si="87"/>
        <v/>
      </c>
      <c r="H278" s="32" t="str">
        <f t="shared" si="81"/>
        <v/>
      </c>
      <c r="I278" s="73" t="str">
        <f t="shared" si="81"/>
        <v/>
      </c>
      <c r="J278" s="73" t="str">
        <f t="shared" si="81"/>
        <v/>
      </c>
      <c r="K278" s="73" t="str">
        <f t="shared" si="97"/>
        <v/>
      </c>
      <c r="L278" s="73" t="str">
        <f t="shared" si="97"/>
        <v/>
      </c>
      <c r="M278" s="73" t="str">
        <f t="shared" si="97"/>
        <v/>
      </c>
      <c r="N278" s="73" t="str">
        <f t="shared" si="97"/>
        <v/>
      </c>
      <c r="O278" s="73" t="str">
        <f t="shared" si="97"/>
        <v/>
      </c>
      <c r="P278" s="73" t="str">
        <f t="shared" si="97"/>
        <v/>
      </c>
      <c r="Q278" s="73" t="str">
        <f t="shared" si="97"/>
        <v/>
      </c>
      <c r="R278" s="73" t="str">
        <f t="shared" si="96"/>
        <v/>
      </c>
      <c r="S278" s="73" t="str">
        <f t="shared" si="96"/>
        <v/>
      </c>
      <c r="T278" s="73" t="str">
        <f t="shared" si="96"/>
        <v/>
      </c>
      <c r="U278" s="73" t="str">
        <f t="shared" si="96"/>
        <v/>
      </c>
      <c r="V278" s="73" t="str">
        <f t="shared" si="96"/>
        <v/>
      </c>
      <c r="W278" s="73" t="str">
        <f t="shared" si="96"/>
        <v/>
      </c>
      <c r="X278" s="73" t="str">
        <f t="shared" si="96"/>
        <v/>
      </c>
      <c r="Y278" s="73" t="str">
        <f t="shared" si="96"/>
        <v/>
      </c>
      <c r="Z278" s="73" t="str">
        <f t="shared" si="96"/>
        <v/>
      </c>
      <c r="AA278" s="73" t="str">
        <f t="shared" si="96"/>
        <v/>
      </c>
      <c r="AB278" s="74" t="str">
        <f t="shared" si="96"/>
        <v/>
      </c>
      <c r="AC278" s="35" t="str">
        <f t="shared" si="88"/>
        <v/>
      </c>
      <c r="AD278" s="40" t="str">
        <f t="shared" si="89"/>
        <v/>
      </c>
      <c r="AE278" s="37" t="str">
        <f t="shared" si="90"/>
        <v/>
      </c>
      <c r="AF278" s="40" t="str">
        <f t="shared" si="91"/>
        <v/>
      </c>
      <c r="AG278" s="37" t="str">
        <f t="shared" si="92"/>
        <v/>
      </c>
      <c r="AH278" s="40" t="str">
        <f t="shared" si="93"/>
        <v/>
      </c>
      <c r="AI278" s="37" t="str">
        <f t="shared" si="94"/>
        <v/>
      </c>
      <c r="AJ278" s="40" t="str">
        <f t="shared" si="95"/>
        <v/>
      </c>
      <c r="AK278" s="33" t="str">
        <f>IF(SEM!AK278="","",SEM!AK278)</f>
        <v/>
      </c>
      <c r="AL278" s="6"/>
      <c r="AM278" s="79" t="str">
        <f t="shared" si="86"/>
        <v/>
      </c>
      <c r="AR278" s="5"/>
      <c r="AU278" s="198"/>
      <c r="AV278" s="198"/>
      <c r="AW278" s="198"/>
      <c r="AX278" s="198"/>
    </row>
    <row r="279" spans="2:50" ht="17.25" customHeight="1" x14ac:dyDescent="0.2">
      <c r="B279" s="6"/>
      <c r="C279" s="49" t="str">
        <f>IF(SEM!C279="","",SEM!C279)</f>
        <v/>
      </c>
      <c r="D279" s="220" t="str">
        <f>IF(C279="","",VLOOKUP(SEM!C279,FROTA!$B$5:$C$305,2,0))</f>
        <v/>
      </c>
      <c r="E279" s="24" t="str">
        <f>IF(C279="","",VLOOKUP(C279,FROTA!$B$5:$N$305,7,0))</f>
        <v/>
      </c>
      <c r="F279" s="38" t="str">
        <f t="shared" si="85"/>
        <v/>
      </c>
      <c r="G279" s="71" t="str">
        <f t="shared" si="87"/>
        <v/>
      </c>
      <c r="H279" s="32" t="str">
        <f t="shared" ref="H279:J305" si="98">IF($C279="","",IF(SUM(H$307*$G279)&gt;$F279,$F279,SUM(H$307*$G279)))</f>
        <v/>
      </c>
      <c r="I279" s="73" t="str">
        <f t="shared" si="98"/>
        <v/>
      </c>
      <c r="J279" s="73" t="str">
        <f t="shared" si="98"/>
        <v/>
      </c>
      <c r="K279" s="73" t="str">
        <f t="shared" si="97"/>
        <v/>
      </c>
      <c r="L279" s="73" t="str">
        <f t="shared" si="97"/>
        <v/>
      </c>
      <c r="M279" s="73" t="str">
        <f t="shared" si="97"/>
        <v/>
      </c>
      <c r="N279" s="73" t="str">
        <f t="shared" si="97"/>
        <v/>
      </c>
      <c r="O279" s="73" t="str">
        <f t="shared" si="97"/>
        <v/>
      </c>
      <c r="P279" s="73" t="str">
        <f t="shared" si="97"/>
        <v/>
      </c>
      <c r="Q279" s="73" t="str">
        <f t="shared" si="97"/>
        <v/>
      </c>
      <c r="R279" s="73" t="str">
        <f t="shared" si="96"/>
        <v/>
      </c>
      <c r="S279" s="73" t="str">
        <f t="shared" si="96"/>
        <v/>
      </c>
      <c r="T279" s="73" t="str">
        <f t="shared" si="96"/>
        <v/>
      </c>
      <c r="U279" s="73" t="str">
        <f t="shared" si="96"/>
        <v/>
      </c>
      <c r="V279" s="73" t="str">
        <f t="shared" si="96"/>
        <v/>
      </c>
      <c r="W279" s="73" t="str">
        <f t="shared" si="96"/>
        <v/>
      </c>
      <c r="X279" s="73" t="str">
        <f t="shared" si="96"/>
        <v/>
      </c>
      <c r="Y279" s="73" t="str">
        <f t="shared" si="96"/>
        <v/>
      </c>
      <c r="Z279" s="73" t="str">
        <f t="shared" si="96"/>
        <v/>
      </c>
      <c r="AA279" s="73" t="str">
        <f t="shared" si="96"/>
        <v/>
      </c>
      <c r="AB279" s="74" t="str">
        <f t="shared" si="96"/>
        <v/>
      </c>
      <c r="AC279" s="35" t="str">
        <f t="shared" si="88"/>
        <v/>
      </c>
      <c r="AD279" s="40" t="str">
        <f t="shared" si="89"/>
        <v/>
      </c>
      <c r="AE279" s="37" t="str">
        <f t="shared" si="90"/>
        <v/>
      </c>
      <c r="AF279" s="40" t="str">
        <f t="shared" si="91"/>
        <v/>
      </c>
      <c r="AG279" s="37" t="str">
        <f t="shared" si="92"/>
        <v/>
      </c>
      <c r="AH279" s="40" t="str">
        <f t="shared" si="93"/>
        <v/>
      </c>
      <c r="AI279" s="37" t="str">
        <f t="shared" si="94"/>
        <v/>
      </c>
      <c r="AJ279" s="40" t="str">
        <f t="shared" si="95"/>
        <v/>
      </c>
      <c r="AK279" s="33" t="str">
        <f>IF(SEM!AK279="","",SEM!AK279)</f>
        <v/>
      </c>
      <c r="AL279" s="6"/>
      <c r="AM279" s="79" t="str">
        <f t="shared" si="86"/>
        <v/>
      </c>
      <c r="AR279" s="5"/>
      <c r="AU279" s="198"/>
      <c r="AV279" s="198"/>
      <c r="AW279" s="198"/>
      <c r="AX279" s="198"/>
    </row>
    <row r="280" spans="2:50" ht="17.25" customHeight="1" x14ac:dyDescent="0.2">
      <c r="B280" s="6"/>
      <c r="C280" s="49" t="str">
        <f>IF(SEM!C280="","",SEM!C280)</f>
        <v/>
      </c>
      <c r="D280" s="220" t="str">
        <f>IF(C280="","",VLOOKUP(SEM!C280,FROTA!$B$5:$C$305,2,0))</f>
        <v/>
      </c>
      <c r="E280" s="24" t="str">
        <f>IF(C280="","",VLOOKUP(C280,FROTA!$B$5:$N$305,7,0))</f>
        <v/>
      </c>
      <c r="F280" s="38" t="str">
        <f t="shared" si="85"/>
        <v/>
      </c>
      <c r="G280" s="71" t="str">
        <f t="shared" si="87"/>
        <v/>
      </c>
      <c r="H280" s="32" t="str">
        <f t="shared" si="98"/>
        <v/>
      </c>
      <c r="I280" s="73" t="str">
        <f t="shared" si="98"/>
        <v/>
      </c>
      <c r="J280" s="73" t="str">
        <f t="shared" si="98"/>
        <v/>
      </c>
      <c r="K280" s="73" t="str">
        <f t="shared" si="97"/>
        <v/>
      </c>
      <c r="L280" s="73" t="str">
        <f t="shared" si="97"/>
        <v/>
      </c>
      <c r="M280" s="73" t="str">
        <f t="shared" si="97"/>
        <v/>
      </c>
      <c r="N280" s="73" t="str">
        <f t="shared" si="97"/>
        <v/>
      </c>
      <c r="O280" s="73" t="str">
        <f t="shared" si="97"/>
        <v/>
      </c>
      <c r="P280" s="73" t="str">
        <f t="shared" si="97"/>
        <v/>
      </c>
      <c r="Q280" s="73" t="str">
        <f t="shared" si="97"/>
        <v/>
      </c>
      <c r="R280" s="73" t="str">
        <f t="shared" si="96"/>
        <v/>
      </c>
      <c r="S280" s="73" t="str">
        <f t="shared" si="96"/>
        <v/>
      </c>
      <c r="T280" s="73" t="str">
        <f t="shared" si="96"/>
        <v/>
      </c>
      <c r="U280" s="73" t="str">
        <f t="shared" si="96"/>
        <v/>
      </c>
      <c r="V280" s="73" t="str">
        <f t="shared" si="96"/>
        <v/>
      </c>
      <c r="W280" s="73" t="str">
        <f t="shared" si="96"/>
        <v/>
      </c>
      <c r="X280" s="73" t="str">
        <f t="shared" si="96"/>
        <v/>
      </c>
      <c r="Y280" s="73" t="str">
        <f t="shared" si="96"/>
        <v/>
      </c>
      <c r="Z280" s="73" t="str">
        <f t="shared" si="96"/>
        <v/>
      </c>
      <c r="AA280" s="73" t="str">
        <f t="shared" si="96"/>
        <v/>
      </c>
      <c r="AB280" s="74" t="str">
        <f t="shared" si="96"/>
        <v/>
      </c>
      <c r="AC280" s="35" t="str">
        <f t="shared" si="88"/>
        <v/>
      </c>
      <c r="AD280" s="40" t="str">
        <f t="shared" si="89"/>
        <v/>
      </c>
      <c r="AE280" s="37" t="str">
        <f t="shared" si="90"/>
        <v/>
      </c>
      <c r="AF280" s="40" t="str">
        <f t="shared" si="91"/>
        <v/>
      </c>
      <c r="AG280" s="37" t="str">
        <f t="shared" si="92"/>
        <v/>
      </c>
      <c r="AH280" s="40" t="str">
        <f t="shared" si="93"/>
        <v/>
      </c>
      <c r="AI280" s="37" t="str">
        <f t="shared" si="94"/>
        <v/>
      </c>
      <c r="AJ280" s="40" t="str">
        <f t="shared" si="95"/>
        <v/>
      </c>
      <c r="AK280" s="33" t="str">
        <f>IF(SEM!AK280="","",SEM!AK280)</f>
        <v/>
      </c>
      <c r="AL280" s="6"/>
      <c r="AM280" s="79" t="str">
        <f t="shared" si="86"/>
        <v/>
      </c>
      <c r="AR280" s="5"/>
      <c r="AU280" s="198"/>
      <c r="AV280" s="198"/>
      <c r="AW280" s="198"/>
      <c r="AX280" s="198"/>
    </row>
    <row r="281" spans="2:50" ht="17.25" customHeight="1" x14ac:dyDescent="0.2">
      <c r="B281" s="6"/>
      <c r="C281" s="49" t="str">
        <f>IF(SEM!C281="","",SEM!C281)</f>
        <v/>
      </c>
      <c r="D281" s="220" t="str">
        <f>IF(C281="","",VLOOKUP(SEM!C281,FROTA!$B$5:$C$305,2,0))</f>
        <v/>
      </c>
      <c r="E281" s="24" t="str">
        <f>IF(C281="","",VLOOKUP(C281,FROTA!$B$5:$N$305,7,0))</f>
        <v/>
      </c>
      <c r="F281" s="38" t="str">
        <f t="shared" si="85"/>
        <v/>
      </c>
      <c r="G281" s="71" t="str">
        <f t="shared" si="87"/>
        <v/>
      </c>
      <c r="H281" s="32" t="str">
        <f t="shared" si="98"/>
        <v/>
      </c>
      <c r="I281" s="73" t="str">
        <f t="shared" si="98"/>
        <v/>
      </c>
      <c r="J281" s="73" t="str">
        <f t="shared" si="98"/>
        <v/>
      </c>
      <c r="K281" s="73" t="str">
        <f t="shared" si="97"/>
        <v/>
      </c>
      <c r="L281" s="73" t="str">
        <f t="shared" si="97"/>
        <v/>
      </c>
      <c r="M281" s="73" t="str">
        <f t="shared" si="97"/>
        <v/>
      </c>
      <c r="N281" s="73" t="str">
        <f t="shared" si="97"/>
        <v/>
      </c>
      <c r="O281" s="73" t="str">
        <f t="shared" si="97"/>
        <v/>
      </c>
      <c r="P281" s="73" t="str">
        <f t="shared" si="97"/>
        <v/>
      </c>
      <c r="Q281" s="73" t="str">
        <f t="shared" si="97"/>
        <v/>
      </c>
      <c r="R281" s="73" t="str">
        <f t="shared" si="96"/>
        <v/>
      </c>
      <c r="S281" s="73" t="str">
        <f t="shared" si="96"/>
        <v/>
      </c>
      <c r="T281" s="73" t="str">
        <f t="shared" si="96"/>
        <v/>
      </c>
      <c r="U281" s="73" t="str">
        <f t="shared" si="96"/>
        <v/>
      </c>
      <c r="V281" s="73" t="str">
        <f t="shared" si="96"/>
        <v/>
      </c>
      <c r="W281" s="73" t="str">
        <f t="shared" si="96"/>
        <v/>
      </c>
      <c r="X281" s="73" t="str">
        <f t="shared" si="96"/>
        <v/>
      </c>
      <c r="Y281" s="73" t="str">
        <f t="shared" si="96"/>
        <v/>
      </c>
      <c r="Z281" s="73" t="str">
        <f t="shared" si="96"/>
        <v/>
      </c>
      <c r="AA281" s="73" t="str">
        <f t="shared" si="96"/>
        <v/>
      </c>
      <c r="AB281" s="74" t="str">
        <f t="shared" si="96"/>
        <v/>
      </c>
      <c r="AC281" s="35" t="str">
        <f t="shared" si="88"/>
        <v/>
      </c>
      <c r="AD281" s="40" t="str">
        <f t="shared" si="89"/>
        <v/>
      </c>
      <c r="AE281" s="37" t="str">
        <f t="shared" si="90"/>
        <v/>
      </c>
      <c r="AF281" s="40" t="str">
        <f t="shared" si="91"/>
        <v/>
      </c>
      <c r="AG281" s="37" t="str">
        <f t="shared" si="92"/>
        <v/>
      </c>
      <c r="AH281" s="40" t="str">
        <f t="shared" si="93"/>
        <v/>
      </c>
      <c r="AI281" s="37" t="str">
        <f t="shared" si="94"/>
        <v/>
      </c>
      <c r="AJ281" s="40" t="str">
        <f t="shared" si="95"/>
        <v/>
      </c>
      <c r="AK281" s="33" t="str">
        <f>IF(SEM!AK281="","",SEM!AK281)</f>
        <v/>
      </c>
      <c r="AL281" s="6"/>
      <c r="AM281" s="79" t="str">
        <f t="shared" si="86"/>
        <v/>
      </c>
      <c r="AR281" s="5"/>
      <c r="AU281" s="198"/>
      <c r="AV281" s="198"/>
      <c r="AW281" s="198"/>
      <c r="AX281" s="198"/>
    </row>
    <row r="282" spans="2:50" ht="17.25" customHeight="1" x14ac:dyDescent="0.2">
      <c r="B282" s="6"/>
      <c r="C282" s="49" t="str">
        <f>IF(SEM!C282="","",SEM!C282)</f>
        <v/>
      </c>
      <c r="D282" s="220" t="str">
        <f>IF(C282="","",VLOOKUP(SEM!C282,FROTA!$B$5:$C$305,2,0))</f>
        <v/>
      </c>
      <c r="E282" s="24" t="str">
        <f>IF(C282="","",VLOOKUP(C282,FROTA!$B$5:$N$305,7,0))</f>
        <v/>
      </c>
      <c r="F282" s="38" t="str">
        <f t="shared" si="85"/>
        <v/>
      </c>
      <c r="G282" s="71" t="str">
        <f t="shared" si="87"/>
        <v/>
      </c>
      <c r="H282" s="32" t="str">
        <f t="shared" si="98"/>
        <v/>
      </c>
      <c r="I282" s="73" t="str">
        <f t="shared" si="98"/>
        <v/>
      </c>
      <c r="J282" s="73" t="str">
        <f t="shared" si="98"/>
        <v/>
      </c>
      <c r="K282" s="73" t="str">
        <f t="shared" si="97"/>
        <v/>
      </c>
      <c r="L282" s="73" t="str">
        <f t="shared" si="97"/>
        <v/>
      </c>
      <c r="M282" s="73" t="str">
        <f t="shared" si="97"/>
        <v/>
      </c>
      <c r="N282" s="73" t="str">
        <f t="shared" si="97"/>
        <v/>
      </c>
      <c r="O282" s="73" t="str">
        <f t="shared" si="97"/>
        <v/>
      </c>
      <c r="P282" s="73" t="str">
        <f t="shared" si="97"/>
        <v/>
      </c>
      <c r="Q282" s="73" t="str">
        <f t="shared" si="97"/>
        <v/>
      </c>
      <c r="R282" s="73" t="str">
        <f t="shared" si="96"/>
        <v/>
      </c>
      <c r="S282" s="73" t="str">
        <f t="shared" si="96"/>
        <v/>
      </c>
      <c r="T282" s="73" t="str">
        <f t="shared" si="96"/>
        <v/>
      </c>
      <c r="U282" s="73" t="str">
        <f t="shared" si="96"/>
        <v/>
      </c>
      <c r="V282" s="73" t="str">
        <f t="shared" si="96"/>
        <v/>
      </c>
      <c r="W282" s="73" t="str">
        <f t="shared" si="96"/>
        <v/>
      </c>
      <c r="X282" s="73" t="str">
        <f t="shared" si="96"/>
        <v/>
      </c>
      <c r="Y282" s="73" t="str">
        <f t="shared" si="96"/>
        <v/>
      </c>
      <c r="Z282" s="73" t="str">
        <f t="shared" si="96"/>
        <v/>
      </c>
      <c r="AA282" s="73" t="str">
        <f t="shared" si="96"/>
        <v/>
      </c>
      <c r="AB282" s="74" t="str">
        <f t="shared" si="96"/>
        <v/>
      </c>
      <c r="AC282" s="35" t="str">
        <f t="shared" si="88"/>
        <v/>
      </c>
      <c r="AD282" s="40" t="str">
        <f t="shared" si="89"/>
        <v/>
      </c>
      <c r="AE282" s="37" t="str">
        <f t="shared" si="90"/>
        <v/>
      </c>
      <c r="AF282" s="40" t="str">
        <f t="shared" si="91"/>
        <v/>
      </c>
      <c r="AG282" s="37" t="str">
        <f t="shared" si="92"/>
        <v/>
      </c>
      <c r="AH282" s="40" t="str">
        <f t="shared" si="93"/>
        <v/>
      </c>
      <c r="AI282" s="37" t="str">
        <f t="shared" si="94"/>
        <v/>
      </c>
      <c r="AJ282" s="40" t="str">
        <f t="shared" si="95"/>
        <v/>
      </c>
      <c r="AK282" s="33" t="str">
        <f>IF(SEM!AK282="","",SEM!AK282)</f>
        <v/>
      </c>
      <c r="AL282" s="6"/>
      <c r="AM282" s="79" t="str">
        <f t="shared" si="86"/>
        <v/>
      </c>
      <c r="AR282" s="5"/>
      <c r="AU282" s="198"/>
      <c r="AV282" s="198"/>
      <c r="AW282" s="198"/>
      <c r="AX282" s="198"/>
    </row>
    <row r="283" spans="2:50" ht="17.25" customHeight="1" x14ac:dyDescent="0.2">
      <c r="B283" s="6"/>
      <c r="C283" s="49" t="str">
        <f>IF(SEM!C283="","",SEM!C283)</f>
        <v/>
      </c>
      <c r="D283" s="220" t="str">
        <f>IF(C283="","",VLOOKUP(SEM!C283,FROTA!$B$5:$C$305,2,0))</f>
        <v/>
      </c>
      <c r="E283" s="24" t="str">
        <f>IF(C283="","",VLOOKUP(C283,FROTA!$B$5:$N$305,7,0))</f>
        <v/>
      </c>
      <c r="F283" s="38" t="str">
        <f t="shared" si="85"/>
        <v/>
      </c>
      <c r="G283" s="71" t="str">
        <f t="shared" si="87"/>
        <v/>
      </c>
      <c r="H283" s="32" t="str">
        <f t="shared" si="98"/>
        <v/>
      </c>
      <c r="I283" s="73" t="str">
        <f t="shared" si="98"/>
        <v/>
      </c>
      <c r="J283" s="73" t="str">
        <f t="shared" si="98"/>
        <v/>
      </c>
      <c r="K283" s="73" t="str">
        <f t="shared" si="97"/>
        <v/>
      </c>
      <c r="L283" s="73" t="str">
        <f t="shared" si="97"/>
        <v/>
      </c>
      <c r="M283" s="73" t="str">
        <f t="shared" si="97"/>
        <v/>
      </c>
      <c r="N283" s="73" t="str">
        <f t="shared" si="97"/>
        <v/>
      </c>
      <c r="O283" s="73" t="str">
        <f t="shared" si="97"/>
        <v/>
      </c>
      <c r="P283" s="73" t="str">
        <f t="shared" si="97"/>
        <v/>
      </c>
      <c r="Q283" s="73" t="str">
        <f t="shared" si="97"/>
        <v/>
      </c>
      <c r="R283" s="73" t="str">
        <f t="shared" si="96"/>
        <v/>
      </c>
      <c r="S283" s="73" t="str">
        <f t="shared" si="96"/>
        <v/>
      </c>
      <c r="T283" s="73" t="str">
        <f t="shared" si="96"/>
        <v/>
      </c>
      <c r="U283" s="73" t="str">
        <f t="shared" si="96"/>
        <v/>
      </c>
      <c r="V283" s="73" t="str">
        <f t="shared" si="96"/>
        <v/>
      </c>
      <c r="W283" s="73" t="str">
        <f t="shared" si="96"/>
        <v/>
      </c>
      <c r="X283" s="73" t="str">
        <f t="shared" si="96"/>
        <v/>
      </c>
      <c r="Y283" s="73" t="str">
        <f t="shared" si="96"/>
        <v/>
      </c>
      <c r="Z283" s="73" t="str">
        <f t="shared" si="96"/>
        <v/>
      </c>
      <c r="AA283" s="73" t="str">
        <f t="shared" si="96"/>
        <v/>
      </c>
      <c r="AB283" s="74" t="str">
        <f t="shared" si="96"/>
        <v/>
      </c>
      <c r="AC283" s="35" t="str">
        <f t="shared" si="88"/>
        <v/>
      </c>
      <c r="AD283" s="40" t="str">
        <f t="shared" si="89"/>
        <v/>
      </c>
      <c r="AE283" s="37" t="str">
        <f t="shared" si="90"/>
        <v/>
      </c>
      <c r="AF283" s="40" t="str">
        <f t="shared" si="91"/>
        <v/>
      </c>
      <c r="AG283" s="37" t="str">
        <f t="shared" si="92"/>
        <v/>
      </c>
      <c r="AH283" s="40" t="str">
        <f t="shared" si="93"/>
        <v/>
      </c>
      <c r="AI283" s="37" t="str">
        <f t="shared" si="94"/>
        <v/>
      </c>
      <c r="AJ283" s="40" t="str">
        <f t="shared" si="95"/>
        <v/>
      </c>
      <c r="AK283" s="33" t="str">
        <f>IF(SEM!AK283="","",SEM!AK283)</f>
        <v/>
      </c>
      <c r="AL283" s="6"/>
      <c r="AM283" s="79" t="str">
        <f t="shared" si="86"/>
        <v/>
      </c>
      <c r="AR283" s="5"/>
      <c r="AU283" s="198"/>
      <c r="AV283" s="198"/>
      <c r="AW283" s="198"/>
      <c r="AX283" s="198"/>
    </row>
    <row r="284" spans="2:50" ht="17.25" customHeight="1" x14ac:dyDescent="0.2">
      <c r="B284" s="6"/>
      <c r="C284" s="49" t="str">
        <f>IF(SEM!C284="","",SEM!C284)</f>
        <v/>
      </c>
      <c r="D284" s="220" t="str">
        <f>IF(C284="","",VLOOKUP(SEM!C284,FROTA!$B$5:$C$305,2,0))</f>
        <v/>
      </c>
      <c r="E284" s="24" t="str">
        <f>IF(C284="","",VLOOKUP(C284,FROTA!$B$5:$N$305,7,0))</f>
        <v/>
      </c>
      <c r="F284" s="38" t="str">
        <f t="shared" si="85"/>
        <v/>
      </c>
      <c r="G284" s="71" t="str">
        <f t="shared" si="87"/>
        <v/>
      </c>
      <c r="H284" s="32" t="str">
        <f t="shared" si="98"/>
        <v/>
      </c>
      <c r="I284" s="73" t="str">
        <f t="shared" si="98"/>
        <v/>
      </c>
      <c r="J284" s="73" t="str">
        <f t="shared" si="98"/>
        <v/>
      </c>
      <c r="K284" s="73" t="str">
        <f t="shared" si="97"/>
        <v/>
      </c>
      <c r="L284" s="73" t="str">
        <f t="shared" si="97"/>
        <v/>
      </c>
      <c r="M284" s="73" t="str">
        <f t="shared" si="97"/>
        <v/>
      </c>
      <c r="N284" s="73" t="str">
        <f t="shared" si="97"/>
        <v/>
      </c>
      <c r="O284" s="73" t="str">
        <f t="shared" si="97"/>
        <v/>
      </c>
      <c r="P284" s="73" t="str">
        <f t="shared" si="97"/>
        <v/>
      </c>
      <c r="Q284" s="73" t="str">
        <f t="shared" si="97"/>
        <v/>
      </c>
      <c r="R284" s="73" t="str">
        <f t="shared" si="96"/>
        <v/>
      </c>
      <c r="S284" s="73" t="str">
        <f t="shared" si="96"/>
        <v/>
      </c>
      <c r="T284" s="73" t="str">
        <f t="shared" si="96"/>
        <v/>
      </c>
      <c r="U284" s="73" t="str">
        <f t="shared" si="96"/>
        <v/>
      </c>
      <c r="V284" s="73" t="str">
        <f t="shared" si="96"/>
        <v/>
      </c>
      <c r="W284" s="73" t="str">
        <f t="shared" si="96"/>
        <v/>
      </c>
      <c r="X284" s="73" t="str">
        <f t="shared" si="96"/>
        <v/>
      </c>
      <c r="Y284" s="73" t="str">
        <f t="shared" si="96"/>
        <v/>
      </c>
      <c r="Z284" s="73" t="str">
        <f t="shared" si="96"/>
        <v/>
      </c>
      <c r="AA284" s="73" t="str">
        <f t="shared" si="96"/>
        <v/>
      </c>
      <c r="AB284" s="74" t="str">
        <f t="shared" si="96"/>
        <v/>
      </c>
      <c r="AC284" s="35" t="str">
        <f t="shared" si="88"/>
        <v/>
      </c>
      <c r="AD284" s="40" t="str">
        <f t="shared" si="89"/>
        <v/>
      </c>
      <c r="AE284" s="37" t="str">
        <f t="shared" si="90"/>
        <v/>
      </c>
      <c r="AF284" s="40" t="str">
        <f t="shared" si="91"/>
        <v/>
      </c>
      <c r="AG284" s="37" t="str">
        <f t="shared" si="92"/>
        <v/>
      </c>
      <c r="AH284" s="40" t="str">
        <f t="shared" si="93"/>
        <v/>
      </c>
      <c r="AI284" s="37" t="str">
        <f t="shared" si="94"/>
        <v/>
      </c>
      <c r="AJ284" s="40" t="str">
        <f t="shared" si="95"/>
        <v/>
      </c>
      <c r="AK284" s="33" t="str">
        <f>IF(SEM!AK284="","",SEM!AK284)</f>
        <v/>
      </c>
      <c r="AL284" s="6"/>
      <c r="AM284" s="79" t="str">
        <f t="shared" si="86"/>
        <v/>
      </c>
      <c r="AR284" s="5"/>
      <c r="AU284" s="198"/>
      <c r="AV284" s="198"/>
      <c r="AW284" s="198"/>
      <c r="AX284" s="198"/>
    </row>
    <row r="285" spans="2:50" ht="17.25" customHeight="1" x14ac:dyDescent="0.2">
      <c r="B285" s="6"/>
      <c r="C285" s="49" t="str">
        <f>IF(SEM!C285="","",SEM!C285)</f>
        <v/>
      </c>
      <c r="D285" s="220" t="str">
        <f>IF(C285="","",VLOOKUP(SEM!C285,FROTA!$B$5:$C$305,2,0))</f>
        <v/>
      </c>
      <c r="E285" s="24" t="str">
        <f>IF(C285="","",VLOOKUP(C285,FROTA!$B$5:$N$305,7,0))</f>
        <v/>
      </c>
      <c r="F285" s="38" t="str">
        <f t="shared" si="85"/>
        <v/>
      </c>
      <c r="G285" s="71" t="str">
        <f t="shared" si="87"/>
        <v/>
      </c>
      <c r="H285" s="32" t="str">
        <f t="shared" si="98"/>
        <v/>
      </c>
      <c r="I285" s="73" t="str">
        <f t="shared" si="98"/>
        <v/>
      </c>
      <c r="J285" s="73" t="str">
        <f t="shared" si="98"/>
        <v/>
      </c>
      <c r="K285" s="73" t="str">
        <f t="shared" si="97"/>
        <v/>
      </c>
      <c r="L285" s="73" t="str">
        <f t="shared" si="97"/>
        <v/>
      </c>
      <c r="M285" s="73" t="str">
        <f t="shared" si="97"/>
        <v/>
      </c>
      <c r="N285" s="73" t="str">
        <f t="shared" si="97"/>
        <v/>
      </c>
      <c r="O285" s="73" t="str">
        <f t="shared" si="97"/>
        <v/>
      </c>
      <c r="P285" s="73" t="str">
        <f t="shared" si="97"/>
        <v/>
      </c>
      <c r="Q285" s="73" t="str">
        <f t="shared" si="97"/>
        <v/>
      </c>
      <c r="R285" s="73" t="str">
        <f t="shared" si="96"/>
        <v/>
      </c>
      <c r="S285" s="73" t="str">
        <f t="shared" si="96"/>
        <v/>
      </c>
      <c r="T285" s="73" t="str">
        <f t="shared" si="96"/>
        <v/>
      </c>
      <c r="U285" s="73" t="str">
        <f t="shared" si="96"/>
        <v/>
      </c>
      <c r="V285" s="73" t="str">
        <f t="shared" si="96"/>
        <v/>
      </c>
      <c r="W285" s="73" t="str">
        <f t="shared" si="96"/>
        <v/>
      </c>
      <c r="X285" s="73" t="str">
        <f t="shared" si="96"/>
        <v/>
      </c>
      <c r="Y285" s="73" t="str">
        <f t="shared" si="96"/>
        <v/>
      </c>
      <c r="Z285" s="73" t="str">
        <f t="shared" si="96"/>
        <v/>
      </c>
      <c r="AA285" s="73" t="str">
        <f t="shared" si="96"/>
        <v/>
      </c>
      <c r="AB285" s="74" t="str">
        <f t="shared" si="96"/>
        <v/>
      </c>
      <c r="AC285" s="35" t="str">
        <f t="shared" si="88"/>
        <v/>
      </c>
      <c r="AD285" s="40" t="str">
        <f t="shared" si="89"/>
        <v/>
      </c>
      <c r="AE285" s="37" t="str">
        <f t="shared" si="90"/>
        <v/>
      </c>
      <c r="AF285" s="40" t="str">
        <f t="shared" si="91"/>
        <v/>
      </c>
      <c r="AG285" s="37" t="str">
        <f t="shared" si="92"/>
        <v/>
      </c>
      <c r="AH285" s="40" t="str">
        <f t="shared" si="93"/>
        <v/>
      </c>
      <c r="AI285" s="37" t="str">
        <f t="shared" si="94"/>
        <v/>
      </c>
      <c r="AJ285" s="40" t="str">
        <f t="shared" si="95"/>
        <v/>
      </c>
      <c r="AK285" s="33" t="str">
        <f>IF(SEM!AK285="","",SEM!AK285)</f>
        <v/>
      </c>
      <c r="AL285" s="6"/>
      <c r="AM285" s="79" t="str">
        <f t="shared" si="86"/>
        <v/>
      </c>
      <c r="AR285" s="5"/>
      <c r="AU285" s="198"/>
      <c r="AV285" s="198"/>
      <c r="AW285" s="198"/>
      <c r="AX285" s="198"/>
    </row>
    <row r="286" spans="2:50" ht="17.25" customHeight="1" x14ac:dyDescent="0.2">
      <c r="B286" s="6"/>
      <c r="C286" s="49" t="str">
        <f>IF(SEM!C286="","",SEM!C286)</f>
        <v/>
      </c>
      <c r="D286" s="220" t="str">
        <f>IF(C286="","",VLOOKUP(SEM!C286,FROTA!$B$5:$C$305,2,0))</f>
        <v/>
      </c>
      <c r="E286" s="24" t="str">
        <f>IF(C286="","",VLOOKUP(C286,FROTA!$B$5:$N$305,7,0))</f>
        <v/>
      </c>
      <c r="F286" s="38" t="str">
        <f t="shared" si="85"/>
        <v/>
      </c>
      <c r="G286" s="71" t="str">
        <f t="shared" si="87"/>
        <v/>
      </c>
      <c r="H286" s="32" t="str">
        <f t="shared" si="98"/>
        <v/>
      </c>
      <c r="I286" s="73" t="str">
        <f t="shared" si="98"/>
        <v/>
      </c>
      <c r="J286" s="73" t="str">
        <f t="shared" si="98"/>
        <v/>
      </c>
      <c r="K286" s="73" t="str">
        <f t="shared" si="97"/>
        <v/>
      </c>
      <c r="L286" s="73" t="str">
        <f t="shared" si="97"/>
        <v/>
      </c>
      <c r="M286" s="73" t="str">
        <f t="shared" si="97"/>
        <v/>
      </c>
      <c r="N286" s="73" t="str">
        <f t="shared" si="97"/>
        <v/>
      </c>
      <c r="O286" s="73" t="str">
        <f t="shared" si="97"/>
        <v/>
      </c>
      <c r="P286" s="73" t="str">
        <f t="shared" si="97"/>
        <v/>
      </c>
      <c r="Q286" s="73" t="str">
        <f t="shared" si="97"/>
        <v/>
      </c>
      <c r="R286" s="73" t="str">
        <f t="shared" si="96"/>
        <v/>
      </c>
      <c r="S286" s="73" t="str">
        <f t="shared" si="96"/>
        <v/>
      </c>
      <c r="T286" s="73" t="str">
        <f t="shared" si="96"/>
        <v/>
      </c>
      <c r="U286" s="73" t="str">
        <f t="shared" si="96"/>
        <v/>
      </c>
      <c r="V286" s="73" t="str">
        <f t="shared" si="96"/>
        <v/>
      </c>
      <c r="W286" s="73" t="str">
        <f t="shared" si="96"/>
        <v/>
      </c>
      <c r="X286" s="73" t="str">
        <f t="shared" si="96"/>
        <v/>
      </c>
      <c r="Y286" s="73" t="str">
        <f t="shared" si="96"/>
        <v/>
      </c>
      <c r="Z286" s="73" t="str">
        <f t="shared" si="96"/>
        <v/>
      </c>
      <c r="AA286" s="73" t="str">
        <f t="shared" si="96"/>
        <v/>
      </c>
      <c r="AB286" s="74" t="str">
        <f t="shared" si="96"/>
        <v/>
      </c>
      <c r="AC286" s="35" t="str">
        <f t="shared" si="88"/>
        <v/>
      </c>
      <c r="AD286" s="40" t="str">
        <f t="shared" si="89"/>
        <v/>
      </c>
      <c r="AE286" s="37" t="str">
        <f t="shared" si="90"/>
        <v/>
      </c>
      <c r="AF286" s="40" t="str">
        <f t="shared" si="91"/>
        <v/>
      </c>
      <c r="AG286" s="37" t="str">
        <f t="shared" si="92"/>
        <v/>
      </c>
      <c r="AH286" s="40" t="str">
        <f t="shared" si="93"/>
        <v/>
      </c>
      <c r="AI286" s="37" t="str">
        <f t="shared" si="94"/>
        <v/>
      </c>
      <c r="AJ286" s="40" t="str">
        <f t="shared" si="95"/>
        <v/>
      </c>
      <c r="AK286" s="33" t="str">
        <f>IF(SEM!AK286="","",SEM!AK286)</f>
        <v/>
      </c>
      <c r="AL286" s="6"/>
      <c r="AM286" s="79" t="str">
        <f t="shared" si="86"/>
        <v/>
      </c>
      <c r="AR286" s="5"/>
      <c r="AU286" s="198"/>
      <c r="AV286" s="198"/>
      <c r="AW286" s="198"/>
      <c r="AX286" s="198"/>
    </row>
    <row r="287" spans="2:50" ht="17.25" customHeight="1" x14ac:dyDescent="0.2">
      <c r="B287" s="6"/>
      <c r="C287" s="49" t="str">
        <f>IF(SEM!C287="","",SEM!C287)</f>
        <v/>
      </c>
      <c r="D287" s="220" t="str">
        <f>IF(C287="","",VLOOKUP(SEM!C287,FROTA!$B$5:$C$305,2,0))</f>
        <v/>
      </c>
      <c r="E287" s="24" t="str">
        <f>IF(C287="","",VLOOKUP(C287,FROTA!$B$5:$N$305,7,0))</f>
        <v/>
      </c>
      <c r="F287" s="38" t="str">
        <f t="shared" si="85"/>
        <v/>
      </c>
      <c r="G287" s="71" t="str">
        <f t="shared" si="87"/>
        <v/>
      </c>
      <c r="H287" s="32" t="str">
        <f t="shared" si="98"/>
        <v/>
      </c>
      <c r="I287" s="73" t="str">
        <f t="shared" si="98"/>
        <v/>
      </c>
      <c r="J287" s="73" t="str">
        <f t="shared" si="98"/>
        <v/>
      </c>
      <c r="K287" s="73" t="str">
        <f t="shared" si="97"/>
        <v/>
      </c>
      <c r="L287" s="73" t="str">
        <f t="shared" si="97"/>
        <v/>
      </c>
      <c r="M287" s="73" t="str">
        <f t="shared" si="97"/>
        <v/>
      </c>
      <c r="N287" s="73" t="str">
        <f t="shared" si="97"/>
        <v/>
      </c>
      <c r="O287" s="73" t="str">
        <f t="shared" si="97"/>
        <v/>
      </c>
      <c r="P287" s="73" t="str">
        <f t="shared" si="97"/>
        <v/>
      </c>
      <c r="Q287" s="73" t="str">
        <f t="shared" si="97"/>
        <v/>
      </c>
      <c r="R287" s="73" t="str">
        <f t="shared" si="96"/>
        <v/>
      </c>
      <c r="S287" s="73" t="str">
        <f t="shared" si="96"/>
        <v/>
      </c>
      <c r="T287" s="73" t="str">
        <f t="shared" si="96"/>
        <v/>
      </c>
      <c r="U287" s="73" t="str">
        <f t="shared" si="96"/>
        <v/>
      </c>
      <c r="V287" s="73" t="str">
        <f t="shared" si="96"/>
        <v/>
      </c>
      <c r="W287" s="73" t="str">
        <f t="shared" si="96"/>
        <v/>
      </c>
      <c r="X287" s="73" t="str">
        <f t="shared" si="96"/>
        <v/>
      </c>
      <c r="Y287" s="73" t="str">
        <f t="shared" si="96"/>
        <v/>
      </c>
      <c r="Z287" s="73" t="str">
        <f t="shared" si="96"/>
        <v/>
      </c>
      <c r="AA287" s="73" t="str">
        <f t="shared" si="96"/>
        <v/>
      </c>
      <c r="AB287" s="74" t="str">
        <f t="shared" si="96"/>
        <v/>
      </c>
      <c r="AC287" s="35" t="str">
        <f t="shared" si="88"/>
        <v/>
      </c>
      <c r="AD287" s="40" t="str">
        <f t="shared" si="89"/>
        <v/>
      </c>
      <c r="AE287" s="37" t="str">
        <f t="shared" si="90"/>
        <v/>
      </c>
      <c r="AF287" s="40" t="str">
        <f t="shared" si="91"/>
        <v/>
      </c>
      <c r="AG287" s="37" t="str">
        <f t="shared" si="92"/>
        <v/>
      </c>
      <c r="AH287" s="40" t="str">
        <f t="shared" si="93"/>
        <v/>
      </c>
      <c r="AI287" s="37" t="str">
        <f t="shared" si="94"/>
        <v/>
      </c>
      <c r="AJ287" s="40" t="str">
        <f t="shared" si="95"/>
        <v/>
      </c>
      <c r="AK287" s="33" t="str">
        <f>IF(SEM!AK287="","",SEM!AK287)</f>
        <v/>
      </c>
      <c r="AL287" s="6"/>
      <c r="AM287" s="79" t="str">
        <f t="shared" si="86"/>
        <v/>
      </c>
      <c r="AR287" s="5"/>
      <c r="AU287" s="198"/>
      <c r="AV287" s="198"/>
      <c r="AW287" s="198"/>
      <c r="AX287" s="198"/>
    </row>
    <row r="288" spans="2:50" ht="17.25" customHeight="1" x14ac:dyDescent="0.2">
      <c r="B288" s="6"/>
      <c r="C288" s="49" t="str">
        <f>IF(SEM!C288="","",SEM!C288)</f>
        <v/>
      </c>
      <c r="D288" s="220" t="str">
        <f>IF(C288="","",VLOOKUP(SEM!C288,FROTA!$B$5:$C$305,2,0))</f>
        <v/>
      </c>
      <c r="E288" s="24" t="str">
        <f>IF(C288="","",VLOOKUP(C288,FROTA!$B$5:$N$305,7,0))</f>
        <v/>
      </c>
      <c r="F288" s="38" t="str">
        <f t="shared" si="85"/>
        <v/>
      </c>
      <c r="G288" s="71" t="str">
        <f t="shared" si="87"/>
        <v/>
      </c>
      <c r="H288" s="32" t="str">
        <f t="shared" si="98"/>
        <v/>
      </c>
      <c r="I288" s="73" t="str">
        <f t="shared" si="98"/>
        <v/>
      </c>
      <c r="J288" s="73" t="str">
        <f t="shared" si="98"/>
        <v/>
      </c>
      <c r="K288" s="73" t="str">
        <f t="shared" si="97"/>
        <v/>
      </c>
      <c r="L288" s="73" t="str">
        <f t="shared" si="97"/>
        <v/>
      </c>
      <c r="M288" s="73" t="str">
        <f t="shared" si="97"/>
        <v/>
      </c>
      <c r="N288" s="73" t="str">
        <f t="shared" si="97"/>
        <v/>
      </c>
      <c r="O288" s="73" t="str">
        <f t="shared" si="97"/>
        <v/>
      </c>
      <c r="P288" s="73" t="str">
        <f t="shared" si="97"/>
        <v/>
      </c>
      <c r="Q288" s="73" t="str">
        <f t="shared" si="97"/>
        <v/>
      </c>
      <c r="R288" s="73" t="str">
        <f t="shared" si="96"/>
        <v/>
      </c>
      <c r="S288" s="73" t="str">
        <f t="shared" si="96"/>
        <v/>
      </c>
      <c r="T288" s="73" t="str">
        <f t="shared" si="96"/>
        <v/>
      </c>
      <c r="U288" s="73" t="str">
        <f t="shared" si="96"/>
        <v/>
      </c>
      <c r="V288" s="73" t="str">
        <f t="shared" si="96"/>
        <v/>
      </c>
      <c r="W288" s="73" t="str">
        <f t="shared" si="96"/>
        <v/>
      </c>
      <c r="X288" s="73" t="str">
        <f t="shared" si="96"/>
        <v/>
      </c>
      <c r="Y288" s="73" t="str">
        <f t="shared" si="96"/>
        <v/>
      </c>
      <c r="Z288" s="73" t="str">
        <f t="shared" si="96"/>
        <v/>
      </c>
      <c r="AA288" s="73" t="str">
        <f t="shared" si="96"/>
        <v/>
      </c>
      <c r="AB288" s="74" t="str">
        <f t="shared" si="96"/>
        <v/>
      </c>
      <c r="AC288" s="35" t="str">
        <f t="shared" si="88"/>
        <v/>
      </c>
      <c r="AD288" s="40" t="str">
        <f t="shared" si="89"/>
        <v/>
      </c>
      <c r="AE288" s="37" t="str">
        <f t="shared" si="90"/>
        <v/>
      </c>
      <c r="AF288" s="40" t="str">
        <f t="shared" si="91"/>
        <v/>
      </c>
      <c r="AG288" s="37" t="str">
        <f t="shared" si="92"/>
        <v/>
      </c>
      <c r="AH288" s="40" t="str">
        <f t="shared" si="93"/>
        <v/>
      </c>
      <c r="AI288" s="37" t="str">
        <f t="shared" si="94"/>
        <v/>
      </c>
      <c r="AJ288" s="40" t="str">
        <f t="shared" si="95"/>
        <v/>
      </c>
      <c r="AK288" s="33" t="str">
        <f>IF(SEM!AK288="","",SEM!AK288)</f>
        <v/>
      </c>
      <c r="AL288" s="6"/>
      <c r="AM288" s="79" t="str">
        <f t="shared" si="86"/>
        <v/>
      </c>
      <c r="AR288" s="5"/>
      <c r="AU288" s="198"/>
      <c r="AV288" s="198"/>
      <c r="AW288" s="198"/>
      <c r="AX288" s="198"/>
    </row>
    <row r="289" spans="2:50" ht="17.25" customHeight="1" x14ac:dyDescent="0.2">
      <c r="B289" s="6"/>
      <c r="C289" s="49" t="str">
        <f>IF(SEM!C289="","",SEM!C289)</f>
        <v/>
      </c>
      <c r="D289" s="220" t="str">
        <f>IF(C289="","",VLOOKUP(SEM!C289,FROTA!$B$5:$C$305,2,0))</f>
        <v/>
      </c>
      <c r="E289" s="24" t="str">
        <f>IF(C289="","",VLOOKUP(C289,FROTA!$B$5:$N$305,7,0))</f>
        <v/>
      </c>
      <c r="F289" s="38" t="str">
        <f t="shared" si="85"/>
        <v/>
      </c>
      <c r="G289" s="71" t="str">
        <f t="shared" si="87"/>
        <v/>
      </c>
      <c r="H289" s="32" t="str">
        <f t="shared" si="98"/>
        <v/>
      </c>
      <c r="I289" s="73" t="str">
        <f t="shared" si="98"/>
        <v/>
      </c>
      <c r="J289" s="73" t="str">
        <f t="shared" si="98"/>
        <v/>
      </c>
      <c r="K289" s="73" t="str">
        <f t="shared" si="97"/>
        <v/>
      </c>
      <c r="L289" s="73" t="str">
        <f t="shared" si="97"/>
        <v/>
      </c>
      <c r="M289" s="73" t="str">
        <f t="shared" si="97"/>
        <v/>
      </c>
      <c r="N289" s="73" t="str">
        <f t="shared" si="97"/>
        <v/>
      </c>
      <c r="O289" s="73" t="str">
        <f t="shared" si="97"/>
        <v/>
      </c>
      <c r="P289" s="73" t="str">
        <f t="shared" si="97"/>
        <v/>
      </c>
      <c r="Q289" s="73" t="str">
        <f t="shared" si="97"/>
        <v/>
      </c>
      <c r="R289" s="73" t="str">
        <f t="shared" si="96"/>
        <v/>
      </c>
      <c r="S289" s="73" t="str">
        <f t="shared" si="96"/>
        <v/>
      </c>
      <c r="T289" s="73" t="str">
        <f t="shared" si="96"/>
        <v/>
      </c>
      <c r="U289" s="73" t="str">
        <f t="shared" si="96"/>
        <v/>
      </c>
      <c r="V289" s="73" t="str">
        <f t="shared" si="96"/>
        <v/>
      </c>
      <c r="W289" s="73" t="str">
        <f t="shared" si="96"/>
        <v/>
      </c>
      <c r="X289" s="73" t="str">
        <f t="shared" si="96"/>
        <v/>
      </c>
      <c r="Y289" s="73" t="str">
        <f t="shared" si="96"/>
        <v/>
      </c>
      <c r="Z289" s="73" t="str">
        <f t="shared" si="96"/>
        <v/>
      </c>
      <c r="AA289" s="73" t="str">
        <f t="shared" si="96"/>
        <v/>
      </c>
      <c r="AB289" s="74" t="str">
        <f t="shared" si="96"/>
        <v/>
      </c>
      <c r="AC289" s="35" t="str">
        <f t="shared" si="88"/>
        <v/>
      </c>
      <c r="AD289" s="40" t="str">
        <f t="shared" si="89"/>
        <v/>
      </c>
      <c r="AE289" s="37" t="str">
        <f t="shared" si="90"/>
        <v/>
      </c>
      <c r="AF289" s="40" t="str">
        <f t="shared" si="91"/>
        <v/>
      </c>
      <c r="AG289" s="37" t="str">
        <f t="shared" si="92"/>
        <v/>
      </c>
      <c r="AH289" s="40" t="str">
        <f t="shared" si="93"/>
        <v/>
      </c>
      <c r="AI289" s="37" t="str">
        <f t="shared" si="94"/>
        <v/>
      </c>
      <c r="AJ289" s="40" t="str">
        <f t="shared" si="95"/>
        <v/>
      </c>
      <c r="AK289" s="33" t="str">
        <f>IF(SEM!AK289="","",SEM!AK289)</f>
        <v/>
      </c>
      <c r="AL289" s="6"/>
      <c r="AM289" s="79" t="str">
        <f t="shared" si="86"/>
        <v/>
      </c>
      <c r="AR289" s="5"/>
      <c r="AU289" s="198"/>
      <c r="AV289" s="198"/>
      <c r="AW289" s="198"/>
      <c r="AX289" s="198"/>
    </row>
    <row r="290" spans="2:50" ht="17.25" customHeight="1" x14ac:dyDescent="0.2">
      <c r="B290" s="6"/>
      <c r="C290" s="49" t="str">
        <f>IF(SEM!C290="","",SEM!C290)</f>
        <v/>
      </c>
      <c r="D290" s="220" t="str">
        <f>IF(C290="","",VLOOKUP(SEM!C290,FROTA!$B$5:$C$305,2,0))</f>
        <v/>
      </c>
      <c r="E290" s="24" t="str">
        <f>IF(C290="","",VLOOKUP(C290,FROTA!$B$5:$N$305,7,0))</f>
        <v/>
      </c>
      <c r="F290" s="38" t="str">
        <f t="shared" si="85"/>
        <v/>
      </c>
      <c r="G290" s="71" t="str">
        <f t="shared" si="87"/>
        <v/>
      </c>
      <c r="H290" s="32" t="str">
        <f t="shared" si="98"/>
        <v/>
      </c>
      <c r="I290" s="73" t="str">
        <f t="shared" si="98"/>
        <v/>
      </c>
      <c r="J290" s="73" t="str">
        <f t="shared" si="98"/>
        <v/>
      </c>
      <c r="K290" s="73" t="str">
        <f t="shared" si="97"/>
        <v/>
      </c>
      <c r="L290" s="73" t="str">
        <f t="shared" si="97"/>
        <v/>
      </c>
      <c r="M290" s="73" t="str">
        <f t="shared" si="97"/>
        <v/>
      </c>
      <c r="N290" s="73" t="str">
        <f t="shared" si="97"/>
        <v/>
      </c>
      <c r="O290" s="73" t="str">
        <f t="shared" si="97"/>
        <v/>
      </c>
      <c r="P290" s="73" t="str">
        <f t="shared" si="97"/>
        <v/>
      </c>
      <c r="Q290" s="73" t="str">
        <f t="shared" si="97"/>
        <v/>
      </c>
      <c r="R290" s="73" t="str">
        <f t="shared" si="96"/>
        <v/>
      </c>
      <c r="S290" s="73" t="str">
        <f t="shared" si="96"/>
        <v/>
      </c>
      <c r="T290" s="73" t="str">
        <f t="shared" si="96"/>
        <v/>
      </c>
      <c r="U290" s="73" t="str">
        <f t="shared" si="96"/>
        <v/>
      </c>
      <c r="V290" s="73" t="str">
        <f t="shared" si="96"/>
        <v/>
      </c>
      <c r="W290" s="73" t="str">
        <f t="shared" si="96"/>
        <v/>
      </c>
      <c r="X290" s="73" t="str">
        <f t="shared" si="96"/>
        <v/>
      </c>
      <c r="Y290" s="73" t="str">
        <f t="shared" si="96"/>
        <v/>
      </c>
      <c r="Z290" s="73" t="str">
        <f t="shared" si="96"/>
        <v/>
      </c>
      <c r="AA290" s="73" t="str">
        <f t="shared" si="96"/>
        <v/>
      </c>
      <c r="AB290" s="74" t="str">
        <f t="shared" si="96"/>
        <v/>
      </c>
      <c r="AC290" s="35" t="str">
        <f t="shared" si="88"/>
        <v/>
      </c>
      <c r="AD290" s="40" t="str">
        <f t="shared" si="89"/>
        <v/>
      </c>
      <c r="AE290" s="37" t="str">
        <f t="shared" si="90"/>
        <v/>
      </c>
      <c r="AF290" s="40" t="str">
        <f t="shared" si="91"/>
        <v/>
      </c>
      <c r="AG290" s="37" t="str">
        <f t="shared" si="92"/>
        <v/>
      </c>
      <c r="AH290" s="40" t="str">
        <f t="shared" si="93"/>
        <v/>
      </c>
      <c r="AI290" s="37" t="str">
        <f t="shared" si="94"/>
        <v/>
      </c>
      <c r="AJ290" s="40" t="str">
        <f t="shared" si="95"/>
        <v/>
      </c>
      <c r="AK290" s="33" t="str">
        <f>IF(SEM!AK290="","",SEM!AK290)</f>
        <v/>
      </c>
      <c r="AL290" s="6"/>
      <c r="AM290" s="79" t="str">
        <f t="shared" si="86"/>
        <v/>
      </c>
      <c r="AR290" s="5"/>
      <c r="AU290" s="198"/>
      <c r="AV290" s="198"/>
      <c r="AW290" s="198"/>
      <c r="AX290" s="198"/>
    </row>
    <row r="291" spans="2:50" ht="17.25" customHeight="1" x14ac:dyDescent="0.2">
      <c r="B291" s="6"/>
      <c r="C291" s="49" t="str">
        <f>IF(SEM!C291="","",SEM!C291)</f>
        <v/>
      </c>
      <c r="D291" s="220" t="str">
        <f>IF(C291="","",VLOOKUP(SEM!C291,FROTA!$B$5:$C$305,2,0))</f>
        <v/>
      </c>
      <c r="E291" s="24" t="str">
        <f>IF(C291="","",VLOOKUP(C291,FROTA!$B$5:$N$305,7,0))</f>
        <v/>
      </c>
      <c r="F291" s="38" t="str">
        <f t="shared" si="85"/>
        <v/>
      </c>
      <c r="G291" s="71" t="str">
        <f t="shared" si="87"/>
        <v/>
      </c>
      <c r="H291" s="32" t="str">
        <f t="shared" si="98"/>
        <v/>
      </c>
      <c r="I291" s="73" t="str">
        <f t="shared" si="98"/>
        <v/>
      </c>
      <c r="J291" s="73" t="str">
        <f t="shared" si="98"/>
        <v/>
      </c>
      <c r="K291" s="73" t="str">
        <f t="shared" si="97"/>
        <v/>
      </c>
      <c r="L291" s="73" t="str">
        <f t="shared" si="97"/>
        <v/>
      </c>
      <c r="M291" s="73" t="str">
        <f t="shared" si="97"/>
        <v/>
      </c>
      <c r="N291" s="73" t="str">
        <f t="shared" si="97"/>
        <v/>
      </c>
      <c r="O291" s="73" t="str">
        <f t="shared" si="97"/>
        <v/>
      </c>
      <c r="P291" s="73" t="str">
        <f t="shared" si="97"/>
        <v/>
      </c>
      <c r="Q291" s="73" t="str">
        <f t="shared" si="97"/>
        <v/>
      </c>
      <c r="R291" s="73" t="str">
        <f t="shared" si="96"/>
        <v/>
      </c>
      <c r="S291" s="73" t="str">
        <f t="shared" si="96"/>
        <v/>
      </c>
      <c r="T291" s="73" t="str">
        <f t="shared" si="96"/>
        <v/>
      </c>
      <c r="U291" s="73" t="str">
        <f t="shared" si="96"/>
        <v/>
      </c>
      <c r="V291" s="73" t="str">
        <f t="shared" si="96"/>
        <v/>
      </c>
      <c r="W291" s="73" t="str">
        <f t="shared" si="96"/>
        <v/>
      </c>
      <c r="X291" s="73" t="str">
        <f t="shared" si="96"/>
        <v/>
      </c>
      <c r="Y291" s="73" t="str">
        <f t="shared" si="96"/>
        <v/>
      </c>
      <c r="Z291" s="73" t="str">
        <f t="shared" si="96"/>
        <v/>
      </c>
      <c r="AA291" s="73" t="str">
        <f t="shared" si="96"/>
        <v/>
      </c>
      <c r="AB291" s="74" t="str">
        <f t="shared" si="96"/>
        <v/>
      </c>
      <c r="AC291" s="35" t="str">
        <f t="shared" si="88"/>
        <v/>
      </c>
      <c r="AD291" s="40" t="str">
        <f t="shared" si="89"/>
        <v/>
      </c>
      <c r="AE291" s="37" t="str">
        <f t="shared" si="90"/>
        <v/>
      </c>
      <c r="AF291" s="40" t="str">
        <f t="shared" si="91"/>
        <v/>
      </c>
      <c r="AG291" s="37" t="str">
        <f t="shared" si="92"/>
        <v/>
      </c>
      <c r="AH291" s="40" t="str">
        <f t="shared" si="93"/>
        <v/>
      </c>
      <c r="AI291" s="37" t="str">
        <f t="shared" si="94"/>
        <v/>
      </c>
      <c r="AJ291" s="40" t="str">
        <f t="shared" si="95"/>
        <v/>
      </c>
      <c r="AK291" s="33" t="str">
        <f>IF(SEM!AK291="","",SEM!AK291)</f>
        <v/>
      </c>
      <c r="AL291" s="6"/>
      <c r="AM291" s="79" t="str">
        <f t="shared" si="86"/>
        <v/>
      </c>
      <c r="AR291" s="5"/>
      <c r="AU291" s="198"/>
      <c r="AV291" s="198"/>
      <c r="AW291" s="198"/>
      <c r="AX291" s="198"/>
    </row>
    <row r="292" spans="2:50" ht="17.25" customHeight="1" x14ac:dyDescent="0.2">
      <c r="B292" s="6"/>
      <c r="C292" s="49" t="str">
        <f>IF(SEM!C292="","",SEM!C292)</f>
        <v/>
      </c>
      <c r="D292" s="220" t="str">
        <f>IF(C292="","",VLOOKUP(SEM!C292,FROTA!$B$5:$C$305,2,0))</f>
        <v/>
      </c>
      <c r="E292" s="24" t="str">
        <f>IF(C292="","",VLOOKUP(C292,FROTA!$B$5:$N$305,7,0))</f>
        <v/>
      </c>
      <c r="F292" s="38" t="str">
        <f t="shared" si="85"/>
        <v/>
      </c>
      <c r="G292" s="71" t="str">
        <f t="shared" si="87"/>
        <v/>
      </c>
      <c r="H292" s="32" t="str">
        <f t="shared" si="98"/>
        <v/>
      </c>
      <c r="I292" s="73" t="str">
        <f t="shared" si="98"/>
        <v/>
      </c>
      <c r="J292" s="73" t="str">
        <f t="shared" si="98"/>
        <v/>
      </c>
      <c r="K292" s="73" t="str">
        <f t="shared" si="97"/>
        <v/>
      </c>
      <c r="L292" s="73" t="str">
        <f t="shared" si="97"/>
        <v/>
      </c>
      <c r="M292" s="73" t="str">
        <f t="shared" si="97"/>
        <v/>
      </c>
      <c r="N292" s="73" t="str">
        <f t="shared" si="97"/>
        <v/>
      </c>
      <c r="O292" s="73" t="str">
        <f t="shared" si="97"/>
        <v/>
      </c>
      <c r="P292" s="73" t="str">
        <f t="shared" si="97"/>
        <v/>
      </c>
      <c r="Q292" s="73" t="str">
        <f t="shared" si="97"/>
        <v/>
      </c>
      <c r="R292" s="73" t="str">
        <f t="shared" si="96"/>
        <v/>
      </c>
      <c r="S292" s="73" t="str">
        <f t="shared" si="96"/>
        <v/>
      </c>
      <c r="T292" s="73" t="str">
        <f t="shared" si="96"/>
        <v/>
      </c>
      <c r="U292" s="73" t="str">
        <f t="shared" si="96"/>
        <v/>
      </c>
      <c r="V292" s="73" t="str">
        <f t="shared" si="96"/>
        <v/>
      </c>
      <c r="W292" s="73" t="str">
        <f t="shared" si="96"/>
        <v/>
      </c>
      <c r="X292" s="73" t="str">
        <f t="shared" si="96"/>
        <v/>
      </c>
      <c r="Y292" s="73" t="str">
        <f t="shared" si="96"/>
        <v/>
      </c>
      <c r="Z292" s="73" t="str">
        <f t="shared" si="96"/>
        <v/>
      </c>
      <c r="AA292" s="73" t="str">
        <f t="shared" si="96"/>
        <v/>
      </c>
      <c r="AB292" s="74" t="str">
        <f t="shared" si="96"/>
        <v/>
      </c>
      <c r="AC292" s="35" t="str">
        <f t="shared" si="88"/>
        <v/>
      </c>
      <c r="AD292" s="40" t="str">
        <f t="shared" si="89"/>
        <v/>
      </c>
      <c r="AE292" s="37" t="str">
        <f t="shared" si="90"/>
        <v/>
      </c>
      <c r="AF292" s="40" t="str">
        <f t="shared" si="91"/>
        <v/>
      </c>
      <c r="AG292" s="37" t="str">
        <f t="shared" si="92"/>
        <v/>
      </c>
      <c r="AH292" s="40" t="str">
        <f t="shared" si="93"/>
        <v/>
      </c>
      <c r="AI292" s="37" t="str">
        <f t="shared" si="94"/>
        <v/>
      </c>
      <c r="AJ292" s="40" t="str">
        <f t="shared" si="95"/>
        <v/>
      </c>
      <c r="AK292" s="33" t="str">
        <f>IF(SEM!AK292="","",SEM!AK292)</f>
        <v/>
      </c>
      <c r="AL292" s="6"/>
      <c r="AM292" s="79" t="str">
        <f t="shared" si="86"/>
        <v/>
      </c>
      <c r="AR292" s="5"/>
      <c r="AU292" s="198"/>
      <c r="AV292" s="198"/>
      <c r="AW292" s="198"/>
      <c r="AX292" s="198"/>
    </row>
    <row r="293" spans="2:50" ht="17.25" customHeight="1" x14ac:dyDescent="0.2">
      <c r="B293" s="6"/>
      <c r="C293" s="49" t="str">
        <f>IF(SEM!C293="","",SEM!C293)</f>
        <v/>
      </c>
      <c r="D293" s="220" t="str">
        <f>IF(C293="","",VLOOKUP(SEM!C293,FROTA!$B$5:$C$305,2,0))</f>
        <v/>
      </c>
      <c r="E293" s="24" t="str">
        <f>IF(C293="","",VLOOKUP(C293,FROTA!$B$5:$N$305,7,0))</f>
        <v/>
      </c>
      <c r="F293" s="38" t="str">
        <f t="shared" si="85"/>
        <v/>
      </c>
      <c r="G293" s="71" t="str">
        <f t="shared" si="87"/>
        <v/>
      </c>
      <c r="H293" s="32" t="str">
        <f t="shared" si="98"/>
        <v/>
      </c>
      <c r="I293" s="73" t="str">
        <f t="shared" si="98"/>
        <v/>
      </c>
      <c r="J293" s="73" t="str">
        <f t="shared" si="98"/>
        <v/>
      </c>
      <c r="K293" s="73" t="str">
        <f t="shared" si="97"/>
        <v/>
      </c>
      <c r="L293" s="73" t="str">
        <f t="shared" si="97"/>
        <v/>
      </c>
      <c r="M293" s="73" t="str">
        <f t="shared" si="97"/>
        <v/>
      </c>
      <c r="N293" s="73" t="str">
        <f t="shared" si="97"/>
        <v/>
      </c>
      <c r="O293" s="73" t="str">
        <f t="shared" si="97"/>
        <v/>
      </c>
      <c r="P293" s="73" t="str">
        <f t="shared" si="97"/>
        <v/>
      </c>
      <c r="Q293" s="73" t="str">
        <f t="shared" si="97"/>
        <v/>
      </c>
      <c r="R293" s="73" t="str">
        <f t="shared" si="96"/>
        <v/>
      </c>
      <c r="S293" s="73" t="str">
        <f t="shared" si="96"/>
        <v/>
      </c>
      <c r="T293" s="73" t="str">
        <f t="shared" si="96"/>
        <v/>
      </c>
      <c r="U293" s="73" t="str">
        <f t="shared" si="96"/>
        <v/>
      </c>
      <c r="V293" s="73" t="str">
        <f t="shared" si="96"/>
        <v/>
      </c>
      <c r="W293" s="73" t="str">
        <f t="shared" si="96"/>
        <v/>
      </c>
      <c r="X293" s="73" t="str">
        <f t="shared" si="96"/>
        <v/>
      </c>
      <c r="Y293" s="73" t="str">
        <f t="shared" si="96"/>
        <v/>
      </c>
      <c r="Z293" s="73" t="str">
        <f t="shared" si="96"/>
        <v/>
      </c>
      <c r="AA293" s="73" t="str">
        <f t="shared" si="96"/>
        <v/>
      </c>
      <c r="AB293" s="74" t="str">
        <f t="shared" si="96"/>
        <v/>
      </c>
      <c r="AC293" s="35" t="str">
        <f t="shared" si="88"/>
        <v/>
      </c>
      <c r="AD293" s="40" t="str">
        <f t="shared" si="89"/>
        <v/>
      </c>
      <c r="AE293" s="37" t="str">
        <f t="shared" si="90"/>
        <v/>
      </c>
      <c r="AF293" s="40" t="str">
        <f t="shared" si="91"/>
        <v/>
      </c>
      <c r="AG293" s="37" t="str">
        <f t="shared" si="92"/>
        <v/>
      </c>
      <c r="AH293" s="40" t="str">
        <f t="shared" si="93"/>
        <v/>
      </c>
      <c r="AI293" s="37" t="str">
        <f t="shared" si="94"/>
        <v/>
      </c>
      <c r="AJ293" s="40" t="str">
        <f t="shared" si="95"/>
        <v/>
      </c>
      <c r="AK293" s="33" t="str">
        <f>IF(SEM!AK293="","",SEM!AK293)</f>
        <v/>
      </c>
      <c r="AL293" s="6"/>
      <c r="AM293" s="79" t="str">
        <f t="shared" si="86"/>
        <v/>
      </c>
      <c r="AR293" s="5"/>
      <c r="AU293" s="198"/>
      <c r="AV293" s="198"/>
      <c r="AW293" s="198"/>
      <c r="AX293" s="198"/>
    </row>
    <row r="294" spans="2:50" ht="17.25" customHeight="1" x14ac:dyDescent="0.2">
      <c r="B294" s="6"/>
      <c r="C294" s="49" t="str">
        <f>IF(SEM!C294="","",SEM!C294)</f>
        <v/>
      </c>
      <c r="D294" s="220" t="str">
        <f>IF(C294="","",VLOOKUP(SEM!C294,FROTA!$B$5:$C$305,2,0))</f>
        <v/>
      </c>
      <c r="E294" s="24" t="str">
        <f>IF(C294="","",VLOOKUP(C294,FROTA!$B$5:$N$305,7,0))</f>
        <v/>
      </c>
      <c r="F294" s="38" t="str">
        <f t="shared" si="85"/>
        <v/>
      </c>
      <c r="G294" s="71" t="str">
        <f t="shared" si="87"/>
        <v/>
      </c>
      <c r="H294" s="32" t="str">
        <f t="shared" si="98"/>
        <v/>
      </c>
      <c r="I294" s="73" t="str">
        <f t="shared" si="98"/>
        <v/>
      </c>
      <c r="J294" s="73" t="str">
        <f t="shared" si="98"/>
        <v/>
      </c>
      <c r="K294" s="73" t="str">
        <f t="shared" si="97"/>
        <v/>
      </c>
      <c r="L294" s="73" t="str">
        <f t="shared" si="97"/>
        <v/>
      </c>
      <c r="M294" s="73" t="str">
        <f t="shared" si="97"/>
        <v/>
      </c>
      <c r="N294" s="73" t="str">
        <f t="shared" si="97"/>
        <v/>
      </c>
      <c r="O294" s="73" t="str">
        <f t="shared" si="97"/>
        <v/>
      </c>
      <c r="P294" s="73" t="str">
        <f t="shared" si="97"/>
        <v/>
      </c>
      <c r="Q294" s="73" t="str">
        <f t="shared" si="97"/>
        <v/>
      </c>
      <c r="R294" s="73" t="str">
        <f t="shared" si="96"/>
        <v/>
      </c>
      <c r="S294" s="73" t="str">
        <f t="shared" si="96"/>
        <v/>
      </c>
      <c r="T294" s="73" t="str">
        <f t="shared" si="96"/>
        <v/>
      </c>
      <c r="U294" s="73" t="str">
        <f t="shared" si="96"/>
        <v/>
      </c>
      <c r="V294" s="73" t="str">
        <f t="shared" ref="R294:AB305" si="99">IF($C294="","",IF(SUM(V$307*$G294)&gt;$F294,$F294,SUM(V$307*$G294)))</f>
        <v/>
      </c>
      <c r="W294" s="73" t="str">
        <f t="shared" si="99"/>
        <v/>
      </c>
      <c r="X294" s="73" t="str">
        <f t="shared" si="99"/>
        <v/>
      </c>
      <c r="Y294" s="73" t="str">
        <f t="shared" si="99"/>
        <v/>
      </c>
      <c r="Z294" s="73" t="str">
        <f t="shared" si="99"/>
        <v/>
      </c>
      <c r="AA294" s="73" t="str">
        <f t="shared" si="99"/>
        <v/>
      </c>
      <c r="AB294" s="74" t="str">
        <f t="shared" si="99"/>
        <v/>
      </c>
      <c r="AC294" s="35" t="str">
        <f t="shared" si="88"/>
        <v/>
      </c>
      <c r="AD294" s="40" t="str">
        <f t="shared" si="89"/>
        <v/>
      </c>
      <c r="AE294" s="37" t="str">
        <f t="shared" si="90"/>
        <v/>
      </c>
      <c r="AF294" s="40" t="str">
        <f t="shared" si="91"/>
        <v/>
      </c>
      <c r="AG294" s="37" t="str">
        <f t="shared" si="92"/>
        <v/>
      </c>
      <c r="AH294" s="40" t="str">
        <f t="shared" si="93"/>
        <v/>
      </c>
      <c r="AI294" s="37" t="str">
        <f t="shared" si="94"/>
        <v/>
      </c>
      <c r="AJ294" s="40" t="str">
        <f t="shared" si="95"/>
        <v/>
      </c>
      <c r="AK294" s="33" t="str">
        <f>IF(SEM!AK294="","",SEM!AK294)</f>
        <v/>
      </c>
      <c r="AL294" s="6"/>
      <c r="AM294" s="79" t="str">
        <f t="shared" si="86"/>
        <v/>
      </c>
      <c r="AR294" s="5"/>
      <c r="AU294" s="198"/>
      <c r="AV294" s="198"/>
      <c r="AW294" s="198"/>
      <c r="AX294" s="198"/>
    </row>
    <row r="295" spans="2:50" ht="17.25" customHeight="1" x14ac:dyDescent="0.2">
      <c r="B295" s="6"/>
      <c r="C295" s="49" t="str">
        <f>IF(SEM!C295="","",SEM!C295)</f>
        <v/>
      </c>
      <c r="D295" s="220" t="str">
        <f>IF(C295="","",VLOOKUP(SEM!C295,FROTA!$B$5:$C$305,2,0))</f>
        <v/>
      </c>
      <c r="E295" s="24" t="str">
        <f>IF(C295="","",VLOOKUP(C295,FROTA!$B$5:$N$305,7,0))</f>
        <v/>
      </c>
      <c r="F295" s="38" t="str">
        <f t="shared" si="85"/>
        <v/>
      </c>
      <c r="G295" s="71" t="str">
        <f t="shared" si="87"/>
        <v/>
      </c>
      <c r="H295" s="32" t="str">
        <f t="shared" si="98"/>
        <v/>
      </c>
      <c r="I295" s="73" t="str">
        <f t="shared" si="98"/>
        <v/>
      </c>
      <c r="J295" s="73" t="str">
        <f t="shared" si="98"/>
        <v/>
      </c>
      <c r="K295" s="73" t="str">
        <f t="shared" si="97"/>
        <v/>
      </c>
      <c r="L295" s="73" t="str">
        <f t="shared" si="97"/>
        <v/>
      </c>
      <c r="M295" s="73" t="str">
        <f t="shared" si="97"/>
        <v/>
      </c>
      <c r="N295" s="73" t="str">
        <f t="shared" si="97"/>
        <v/>
      </c>
      <c r="O295" s="73" t="str">
        <f t="shared" si="97"/>
        <v/>
      </c>
      <c r="P295" s="73" t="str">
        <f t="shared" si="97"/>
        <v/>
      </c>
      <c r="Q295" s="73" t="str">
        <f t="shared" si="97"/>
        <v/>
      </c>
      <c r="R295" s="73" t="str">
        <f t="shared" si="99"/>
        <v/>
      </c>
      <c r="S295" s="73" t="str">
        <f t="shared" si="99"/>
        <v/>
      </c>
      <c r="T295" s="73" t="str">
        <f t="shared" si="99"/>
        <v/>
      </c>
      <c r="U295" s="73" t="str">
        <f t="shared" si="99"/>
        <v/>
      </c>
      <c r="V295" s="73" t="str">
        <f t="shared" si="99"/>
        <v/>
      </c>
      <c r="W295" s="73" t="str">
        <f t="shared" si="99"/>
        <v/>
      </c>
      <c r="X295" s="73" t="str">
        <f t="shared" si="99"/>
        <v/>
      </c>
      <c r="Y295" s="73" t="str">
        <f t="shared" si="99"/>
        <v/>
      </c>
      <c r="Z295" s="73" t="str">
        <f t="shared" si="99"/>
        <v/>
      </c>
      <c r="AA295" s="73" t="str">
        <f t="shared" si="99"/>
        <v/>
      </c>
      <c r="AB295" s="74" t="str">
        <f t="shared" si="99"/>
        <v/>
      </c>
      <c r="AC295" s="35" t="str">
        <f t="shared" si="88"/>
        <v/>
      </c>
      <c r="AD295" s="40" t="str">
        <f t="shared" si="89"/>
        <v/>
      </c>
      <c r="AE295" s="37" t="str">
        <f t="shared" si="90"/>
        <v/>
      </c>
      <c r="AF295" s="40" t="str">
        <f t="shared" si="91"/>
        <v/>
      </c>
      <c r="AG295" s="37" t="str">
        <f t="shared" si="92"/>
        <v/>
      </c>
      <c r="AH295" s="40" t="str">
        <f t="shared" si="93"/>
        <v/>
      </c>
      <c r="AI295" s="37" t="str">
        <f t="shared" si="94"/>
        <v/>
      </c>
      <c r="AJ295" s="40" t="str">
        <f t="shared" si="95"/>
        <v/>
      </c>
      <c r="AK295" s="33" t="str">
        <f>IF(SEM!AK295="","",SEM!AK295)</f>
        <v/>
      </c>
      <c r="AL295" s="6"/>
      <c r="AM295" s="79" t="str">
        <f t="shared" si="86"/>
        <v/>
      </c>
      <c r="AR295" s="5"/>
      <c r="AU295" s="198"/>
      <c r="AV295" s="198"/>
      <c r="AW295" s="198"/>
      <c r="AX295" s="198"/>
    </row>
    <row r="296" spans="2:50" ht="17.25" customHeight="1" x14ac:dyDescent="0.2">
      <c r="B296" s="6"/>
      <c r="C296" s="49" t="str">
        <f>IF(SEM!C296="","",SEM!C296)</f>
        <v/>
      </c>
      <c r="D296" s="220" t="str">
        <f>IF(C296="","",VLOOKUP(SEM!C296,FROTA!$B$5:$C$305,2,0))</f>
        <v/>
      </c>
      <c r="E296" s="24" t="str">
        <f>IF(C296="","",VLOOKUP(C296,FROTA!$B$5:$N$305,7,0))</f>
        <v/>
      </c>
      <c r="F296" s="38" t="str">
        <f t="shared" si="85"/>
        <v/>
      </c>
      <c r="G296" s="71" t="str">
        <f t="shared" si="87"/>
        <v/>
      </c>
      <c r="H296" s="32" t="str">
        <f t="shared" si="98"/>
        <v/>
      </c>
      <c r="I296" s="73" t="str">
        <f t="shared" si="98"/>
        <v/>
      </c>
      <c r="J296" s="73" t="str">
        <f t="shared" si="98"/>
        <v/>
      </c>
      <c r="K296" s="73" t="str">
        <f t="shared" si="97"/>
        <v/>
      </c>
      <c r="L296" s="73" t="str">
        <f t="shared" si="97"/>
        <v/>
      </c>
      <c r="M296" s="73" t="str">
        <f t="shared" si="97"/>
        <v/>
      </c>
      <c r="N296" s="73" t="str">
        <f t="shared" si="97"/>
        <v/>
      </c>
      <c r="O296" s="73" t="str">
        <f t="shared" si="97"/>
        <v/>
      </c>
      <c r="P296" s="73" t="str">
        <f t="shared" si="97"/>
        <v/>
      </c>
      <c r="Q296" s="73" t="str">
        <f t="shared" si="97"/>
        <v/>
      </c>
      <c r="R296" s="73" t="str">
        <f t="shared" si="99"/>
        <v/>
      </c>
      <c r="S296" s="73" t="str">
        <f t="shared" si="99"/>
        <v/>
      </c>
      <c r="T296" s="73" t="str">
        <f t="shared" si="99"/>
        <v/>
      </c>
      <c r="U296" s="73" t="str">
        <f t="shared" si="99"/>
        <v/>
      </c>
      <c r="V296" s="73" t="str">
        <f t="shared" si="99"/>
        <v/>
      </c>
      <c r="W296" s="73" t="str">
        <f t="shared" si="99"/>
        <v/>
      </c>
      <c r="X296" s="73" t="str">
        <f t="shared" si="99"/>
        <v/>
      </c>
      <c r="Y296" s="73" t="str">
        <f t="shared" si="99"/>
        <v/>
      </c>
      <c r="Z296" s="73" t="str">
        <f t="shared" si="99"/>
        <v/>
      </c>
      <c r="AA296" s="73" t="str">
        <f t="shared" si="99"/>
        <v/>
      </c>
      <c r="AB296" s="74" t="str">
        <f t="shared" si="99"/>
        <v/>
      </c>
      <c r="AC296" s="35" t="str">
        <f t="shared" si="88"/>
        <v/>
      </c>
      <c r="AD296" s="40" t="str">
        <f t="shared" si="89"/>
        <v/>
      </c>
      <c r="AE296" s="37" t="str">
        <f t="shared" si="90"/>
        <v/>
      </c>
      <c r="AF296" s="40" t="str">
        <f t="shared" si="91"/>
        <v/>
      </c>
      <c r="AG296" s="37" t="str">
        <f t="shared" si="92"/>
        <v/>
      </c>
      <c r="AH296" s="40" t="str">
        <f t="shared" si="93"/>
        <v/>
      </c>
      <c r="AI296" s="37" t="str">
        <f t="shared" si="94"/>
        <v/>
      </c>
      <c r="AJ296" s="40" t="str">
        <f t="shared" si="95"/>
        <v/>
      </c>
      <c r="AK296" s="33" t="str">
        <f>IF(SEM!AK296="","",SEM!AK296)</f>
        <v/>
      </c>
      <c r="AL296" s="6"/>
      <c r="AM296" s="79" t="str">
        <f t="shared" si="86"/>
        <v/>
      </c>
      <c r="AR296" s="5"/>
      <c r="AU296" s="198"/>
      <c r="AV296" s="198"/>
      <c r="AW296" s="198"/>
      <c r="AX296" s="198"/>
    </row>
    <row r="297" spans="2:50" ht="17.25" customHeight="1" x14ac:dyDescent="0.2">
      <c r="B297" s="6"/>
      <c r="C297" s="49" t="str">
        <f>IF(SEM!C297="","",SEM!C297)</f>
        <v/>
      </c>
      <c r="D297" s="220" t="str">
        <f>IF(C297="","",VLOOKUP(SEM!C297,FROTA!$B$5:$C$305,2,0))</f>
        <v/>
      </c>
      <c r="E297" s="24" t="str">
        <f>IF(C297="","",VLOOKUP(C297,FROTA!$B$5:$N$305,7,0))</f>
        <v/>
      </c>
      <c r="F297" s="38" t="str">
        <f t="shared" si="85"/>
        <v/>
      </c>
      <c r="G297" s="71" t="str">
        <f t="shared" si="87"/>
        <v/>
      </c>
      <c r="H297" s="32" t="str">
        <f t="shared" si="98"/>
        <v/>
      </c>
      <c r="I297" s="73" t="str">
        <f t="shared" si="98"/>
        <v/>
      </c>
      <c r="J297" s="73" t="str">
        <f t="shared" si="98"/>
        <v/>
      </c>
      <c r="K297" s="73" t="str">
        <f t="shared" si="97"/>
        <v/>
      </c>
      <c r="L297" s="73" t="str">
        <f t="shared" si="97"/>
        <v/>
      </c>
      <c r="M297" s="73" t="str">
        <f t="shared" si="97"/>
        <v/>
      </c>
      <c r="N297" s="73" t="str">
        <f t="shared" si="97"/>
        <v/>
      </c>
      <c r="O297" s="73" t="str">
        <f t="shared" si="97"/>
        <v/>
      </c>
      <c r="P297" s="73" t="str">
        <f t="shared" si="97"/>
        <v/>
      </c>
      <c r="Q297" s="73" t="str">
        <f t="shared" si="97"/>
        <v/>
      </c>
      <c r="R297" s="73" t="str">
        <f t="shared" si="99"/>
        <v/>
      </c>
      <c r="S297" s="73" t="str">
        <f t="shared" si="99"/>
        <v/>
      </c>
      <c r="T297" s="73" t="str">
        <f t="shared" si="99"/>
        <v/>
      </c>
      <c r="U297" s="73" t="str">
        <f t="shared" si="99"/>
        <v/>
      </c>
      <c r="V297" s="73" t="str">
        <f t="shared" si="99"/>
        <v/>
      </c>
      <c r="W297" s="73" t="str">
        <f t="shared" si="99"/>
        <v/>
      </c>
      <c r="X297" s="73" t="str">
        <f t="shared" si="99"/>
        <v/>
      </c>
      <c r="Y297" s="73" t="str">
        <f t="shared" si="99"/>
        <v/>
      </c>
      <c r="Z297" s="73" t="str">
        <f t="shared" si="99"/>
        <v/>
      </c>
      <c r="AA297" s="73" t="str">
        <f t="shared" si="99"/>
        <v/>
      </c>
      <c r="AB297" s="74" t="str">
        <f t="shared" si="99"/>
        <v/>
      </c>
      <c r="AC297" s="35" t="str">
        <f t="shared" si="88"/>
        <v/>
      </c>
      <c r="AD297" s="40" t="str">
        <f t="shared" si="89"/>
        <v/>
      </c>
      <c r="AE297" s="37" t="str">
        <f t="shared" si="90"/>
        <v/>
      </c>
      <c r="AF297" s="40" t="str">
        <f t="shared" si="91"/>
        <v/>
      </c>
      <c r="AG297" s="37" t="str">
        <f t="shared" si="92"/>
        <v/>
      </c>
      <c r="AH297" s="40" t="str">
        <f t="shared" si="93"/>
        <v/>
      </c>
      <c r="AI297" s="37" t="str">
        <f t="shared" si="94"/>
        <v/>
      </c>
      <c r="AJ297" s="40" t="str">
        <f t="shared" si="95"/>
        <v/>
      </c>
      <c r="AK297" s="33" t="str">
        <f>IF(SEM!AK297="","",SEM!AK297)</f>
        <v/>
      </c>
      <c r="AL297" s="6"/>
      <c r="AM297" s="79" t="str">
        <f t="shared" si="86"/>
        <v/>
      </c>
      <c r="AR297" s="5"/>
      <c r="AU297" s="198"/>
      <c r="AV297" s="198"/>
      <c r="AW297" s="198"/>
      <c r="AX297" s="198"/>
    </row>
    <row r="298" spans="2:50" ht="17.25" customHeight="1" x14ac:dyDescent="0.2">
      <c r="B298" s="6"/>
      <c r="C298" s="49" t="str">
        <f>IF(SEM!C298="","",SEM!C298)</f>
        <v/>
      </c>
      <c r="D298" s="220" t="str">
        <f>IF(C298="","",VLOOKUP(SEM!C298,FROTA!$B$5:$C$305,2,0))</f>
        <v/>
      </c>
      <c r="E298" s="24" t="str">
        <f>IF(C298="","",VLOOKUP(C298,FROTA!$B$5:$N$305,7,0))</f>
        <v/>
      </c>
      <c r="F298" s="38" t="str">
        <f t="shared" si="85"/>
        <v/>
      </c>
      <c r="G298" s="71" t="str">
        <f t="shared" si="87"/>
        <v/>
      </c>
      <c r="H298" s="32" t="str">
        <f t="shared" si="98"/>
        <v/>
      </c>
      <c r="I298" s="73" t="str">
        <f t="shared" si="98"/>
        <v/>
      </c>
      <c r="J298" s="73" t="str">
        <f t="shared" si="98"/>
        <v/>
      </c>
      <c r="K298" s="73" t="str">
        <f t="shared" si="97"/>
        <v/>
      </c>
      <c r="L298" s="73" t="str">
        <f t="shared" si="97"/>
        <v/>
      </c>
      <c r="M298" s="73" t="str">
        <f t="shared" si="97"/>
        <v/>
      </c>
      <c r="N298" s="73" t="str">
        <f t="shared" si="97"/>
        <v/>
      </c>
      <c r="O298" s="73" t="str">
        <f t="shared" si="97"/>
        <v/>
      </c>
      <c r="P298" s="73" t="str">
        <f t="shared" si="97"/>
        <v/>
      </c>
      <c r="Q298" s="73" t="str">
        <f t="shared" si="97"/>
        <v/>
      </c>
      <c r="R298" s="73" t="str">
        <f t="shared" si="99"/>
        <v/>
      </c>
      <c r="S298" s="73" t="str">
        <f t="shared" si="99"/>
        <v/>
      </c>
      <c r="T298" s="73" t="str">
        <f t="shared" si="99"/>
        <v/>
      </c>
      <c r="U298" s="73" t="str">
        <f t="shared" si="99"/>
        <v/>
      </c>
      <c r="V298" s="73" t="str">
        <f t="shared" si="99"/>
        <v/>
      </c>
      <c r="W298" s="73" t="str">
        <f t="shared" si="99"/>
        <v/>
      </c>
      <c r="X298" s="73" t="str">
        <f t="shared" si="99"/>
        <v/>
      </c>
      <c r="Y298" s="73" t="str">
        <f t="shared" si="99"/>
        <v/>
      </c>
      <c r="Z298" s="73" t="str">
        <f t="shared" si="99"/>
        <v/>
      </c>
      <c r="AA298" s="73" t="str">
        <f t="shared" si="99"/>
        <v/>
      </c>
      <c r="AB298" s="74" t="str">
        <f t="shared" si="99"/>
        <v/>
      </c>
      <c r="AC298" s="35" t="str">
        <f t="shared" si="88"/>
        <v/>
      </c>
      <c r="AD298" s="40" t="str">
        <f t="shared" si="89"/>
        <v/>
      </c>
      <c r="AE298" s="37" t="str">
        <f t="shared" si="90"/>
        <v/>
      </c>
      <c r="AF298" s="40" t="str">
        <f t="shared" si="91"/>
        <v/>
      </c>
      <c r="AG298" s="37" t="str">
        <f t="shared" si="92"/>
        <v/>
      </c>
      <c r="AH298" s="40" t="str">
        <f t="shared" si="93"/>
        <v/>
      </c>
      <c r="AI298" s="37" t="str">
        <f t="shared" si="94"/>
        <v/>
      </c>
      <c r="AJ298" s="40" t="str">
        <f t="shared" si="95"/>
        <v/>
      </c>
      <c r="AK298" s="33" t="str">
        <f>IF(SEM!AK298="","",SEM!AK298)</f>
        <v/>
      </c>
      <c r="AL298" s="6"/>
      <c r="AM298" s="79" t="str">
        <f t="shared" si="86"/>
        <v/>
      </c>
      <c r="AR298" s="5"/>
      <c r="AU298" s="198"/>
      <c r="AV298" s="198"/>
      <c r="AW298" s="198"/>
      <c r="AX298" s="198"/>
    </row>
    <row r="299" spans="2:50" ht="17.25" customHeight="1" x14ac:dyDescent="0.2">
      <c r="B299" s="6"/>
      <c r="C299" s="49" t="str">
        <f>IF(SEM!C299="","",SEM!C299)</f>
        <v/>
      </c>
      <c r="D299" s="220" t="str">
        <f>IF(C299="","",VLOOKUP(SEM!C299,FROTA!$B$5:$C$305,2,0))</f>
        <v/>
      </c>
      <c r="E299" s="24" t="str">
        <f>IF(C299="","",VLOOKUP(C299,FROTA!$B$5:$N$305,7,0))</f>
        <v/>
      </c>
      <c r="F299" s="38" t="str">
        <f t="shared" si="85"/>
        <v/>
      </c>
      <c r="G299" s="71" t="str">
        <f t="shared" si="87"/>
        <v/>
      </c>
      <c r="H299" s="32" t="str">
        <f t="shared" si="98"/>
        <v/>
      </c>
      <c r="I299" s="73" t="str">
        <f t="shared" si="98"/>
        <v/>
      </c>
      <c r="J299" s="73" t="str">
        <f t="shared" si="98"/>
        <v/>
      </c>
      <c r="K299" s="73" t="str">
        <f t="shared" si="97"/>
        <v/>
      </c>
      <c r="L299" s="73" t="str">
        <f t="shared" si="97"/>
        <v/>
      </c>
      <c r="M299" s="73" t="str">
        <f t="shared" si="97"/>
        <v/>
      </c>
      <c r="N299" s="73" t="str">
        <f t="shared" si="97"/>
        <v/>
      </c>
      <c r="O299" s="73" t="str">
        <f t="shared" si="97"/>
        <v/>
      </c>
      <c r="P299" s="73" t="str">
        <f t="shared" si="97"/>
        <v/>
      </c>
      <c r="Q299" s="73" t="str">
        <f t="shared" si="97"/>
        <v/>
      </c>
      <c r="R299" s="73" t="str">
        <f t="shared" si="99"/>
        <v/>
      </c>
      <c r="S299" s="73" t="str">
        <f t="shared" si="99"/>
        <v/>
      </c>
      <c r="T299" s="73" t="str">
        <f t="shared" si="99"/>
        <v/>
      </c>
      <c r="U299" s="73" t="str">
        <f t="shared" si="99"/>
        <v/>
      </c>
      <c r="V299" s="73" t="str">
        <f t="shared" si="99"/>
        <v/>
      </c>
      <c r="W299" s="73" t="str">
        <f t="shared" si="99"/>
        <v/>
      </c>
      <c r="X299" s="73" t="str">
        <f t="shared" si="99"/>
        <v/>
      </c>
      <c r="Y299" s="73" t="str">
        <f t="shared" si="99"/>
        <v/>
      </c>
      <c r="Z299" s="73" t="str">
        <f t="shared" si="99"/>
        <v/>
      </c>
      <c r="AA299" s="73" t="str">
        <f t="shared" si="99"/>
        <v/>
      </c>
      <c r="AB299" s="74" t="str">
        <f t="shared" si="99"/>
        <v/>
      </c>
      <c r="AC299" s="35" t="str">
        <f t="shared" si="88"/>
        <v/>
      </c>
      <c r="AD299" s="40" t="str">
        <f t="shared" si="89"/>
        <v/>
      </c>
      <c r="AE299" s="37" t="str">
        <f t="shared" si="90"/>
        <v/>
      </c>
      <c r="AF299" s="40" t="str">
        <f t="shared" si="91"/>
        <v/>
      </c>
      <c r="AG299" s="37" t="str">
        <f t="shared" si="92"/>
        <v/>
      </c>
      <c r="AH299" s="40" t="str">
        <f t="shared" si="93"/>
        <v/>
      </c>
      <c r="AI299" s="37" t="str">
        <f t="shared" si="94"/>
        <v/>
      </c>
      <c r="AJ299" s="40" t="str">
        <f t="shared" si="95"/>
        <v/>
      </c>
      <c r="AK299" s="33" t="str">
        <f>IF(SEM!AK299="","",SEM!AK299)</f>
        <v/>
      </c>
      <c r="AL299" s="6"/>
      <c r="AM299" s="79" t="str">
        <f t="shared" si="86"/>
        <v/>
      </c>
      <c r="AR299" s="5"/>
      <c r="AU299" s="198"/>
      <c r="AV299" s="198"/>
      <c r="AW299" s="198"/>
      <c r="AX299" s="198"/>
    </row>
    <row r="300" spans="2:50" ht="17.25" customHeight="1" x14ac:dyDescent="0.2">
      <c r="B300" s="6"/>
      <c r="C300" s="49" t="str">
        <f>IF(SEM!C300="","",SEM!C300)</f>
        <v/>
      </c>
      <c r="D300" s="220" t="str">
        <f>IF(C300="","",VLOOKUP(SEM!C300,FROTA!$B$5:$C$305,2,0))</f>
        <v/>
      </c>
      <c r="E300" s="24" t="str">
        <f>IF(C300="","",VLOOKUP(C300,FROTA!$B$5:$N$305,7,0))</f>
        <v/>
      </c>
      <c r="F300" s="38" t="str">
        <f t="shared" si="85"/>
        <v/>
      </c>
      <c r="G300" s="71" t="str">
        <f t="shared" si="87"/>
        <v/>
      </c>
      <c r="H300" s="32" t="str">
        <f t="shared" si="98"/>
        <v/>
      </c>
      <c r="I300" s="73" t="str">
        <f t="shared" si="98"/>
        <v/>
      </c>
      <c r="J300" s="73" t="str">
        <f t="shared" si="98"/>
        <v/>
      </c>
      <c r="K300" s="73" t="str">
        <f t="shared" si="97"/>
        <v/>
      </c>
      <c r="L300" s="73" t="str">
        <f t="shared" si="97"/>
        <v/>
      </c>
      <c r="M300" s="73" t="str">
        <f t="shared" si="97"/>
        <v/>
      </c>
      <c r="N300" s="73" t="str">
        <f t="shared" si="97"/>
        <v/>
      </c>
      <c r="O300" s="73" t="str">
        <f t="shared" si="97"/>
        <v/>
      </c>
      <c r="P300" s="73" t="str">
        <f t="shared" si="97"/>
        <v/>
      </c>
      <c r="Q300" s="73" t="str">
        <f t="shared" si="97"/>
        <v/>
      </c>
      <c r="R300" s="73" t="str">
        <f t="shared" si="99"/>
        <v/>
      </c>
      <c r="S300" s="73" t="str">
        <f t="shared" si="99"/>
        <v/>
      </c>
      <c r="T300" s="73" t="str">
        <f t="shared" si="99"/>
        <v/>
      </c>
      <c r="U300" s="73" t="str">
        <f t="shared" si="99"/>
        <v/>
      </c>
      <c r="V300" s="73" t="str">
        <f t="shared" si="99"/>
        <v/>
      </c>
      <c r="W300" s="73" t="str">
        <f t="shared" si="99"/>
        <v/>
      </c>
      <c r="X300" s="73" t="str">
        <f t="shared" si="99"/>
        <v/>
      </c>
      <c r="Y300" s="73" t="str">
        <f t="shared" si="99"/>
        <v/>
      </c>
      <c r="Z300" s="73" t="str">
        <f t="shared" si="99"/>
        <v/>
      </c>
      <c r="AA300" s="73" t="str">
        <f t="shared" si="99"/>
        <v/>
      </c>
      <c r="AB300" s="74" t="str">
        <f t="shared" si="99"/>
        <v/>
      </c>
      <c r="AC300" s="35" t="str">
        <f t="shared" si="88"/>
        <v/>
      </c>
      <c r="AD300" s="40" t="str">
        <f t="shared" si="89"/>
        <v/>
      </c>
      <c r="AE300" s="37" t="str">
        <f t="shared" si="90"/>
        <v/>
      </c>
      <c r="AF300" s="40" t="str">
        <f t="shared" si="91"/>
        <v/>
      </c>
      <c r="AG300" s="37" t="str">
        <f t="shared" si="92"/>
        <v/>
      </c>
      <c r="AH300" s="40" t="str">
        <f t="shared" si="93"/>
        <v/>
      </c>
      <c r="AI300" s="37" t="str">
        <f t="shared" si="94"/>
        <v/>
      </c>
      <c r="AJ300" s="40" t="str">
        <f t="shared" si="95"/>
        <v/>
      </c>
      <c r="AK300" s="33" t="str">
        <f>IF(SEM!AK300="","",SEM!AK300)</f>
        <v/>
      </c>
      <c r="AL300" s="6"/>
      <c r="AM300" s="79" t="str">
        <f t="shared" si="86"/>
        <v/>
      </c>
      <c r="AR300" s="5"/>
      <c r="AU300" s="198"/>
      <c r="AV300" s="198"/>
      <c r="AW300" s="198"/>
      <c r="AX300" s="198"/>
    </row>
    <row r="301" spans="2:50" ht="17.25" customHeight="1" x14ac:dyDescent="0.2">
      <c r="B301" s="6"/>
      <c r="C301" s="49" t="str">
        <f>IF(SEM!C301="","",SEM!C301)</f>
        <v/>
      </c>
      <c r="D301" s="220" t="str">
        <f>IF(C301="","",VLOOKUP(SEM!C301,FROTA!$B$5:$C$305,2,0))</f>
        <v/>
      </c>
      <c r="E301" s="24" t="str">
        <f>IF(C301="","",VLOOKUP(C301,FROTA!$B$5:$N$305,7,0))</f>
        <v/>
      </c>
      <c r="F301" s="38" t="str">
        <f t="shared" si="85"/>
        <v/>
      </c>
      <c r="G301" s="71" t="str">
        <f t="shared" si="87"/>
        <v/>
      </c>
      <c r="H301" s="32" t="str">
        <f t="shared" si="98"/>
        <v/>
      </c>
      <c r="I301" s="73" t="str">
        <f t="shared" si="98"/>
        <v/>
      </c>
      <c r="J301" s="73" t="str">
        <f t="shared" si="98"/>
        <v/>
      </c>
      <c r="K301" s="73" t="str">
        <f t="shared" si="97"/>
        <v/>
      </c>
      <c r="L301" s="73" t="str">
        <f t="shared" si="97"/>
        <v/>
      </c>
      <c r="M301" s="73" t="str">
        <f t="shared" si="97"/>
        <v/>
      </c>
      <c r="N301" s="73" t="str">
        <f t="shared" si="97"/>
        <v/>
      </c>
      <c r="O301" s="73" t="str">
        <f t="shared" si="97"/>
        <v/>
      </c>
      <c r="P301" s="73" t="str">
        <f t="shared" si="97"/>
        <v/>
      </c>
      <c r="Q301" s="73" t="str">
        <f t="shared" si="97"/>
        <v/>
      </c>
      <c r="R301" s="73" t="str">
        <f t="shared" si="99"/>
        <v/>
      </c>
      <c r="S301" s="73" t="str">
        <f t="shared" si="99"/>
        <v/>
      </c>
      <c r="T301" s="73" t="str">
        <f t="shared" si="99"/>
        <v/>
      </c>
      <c r="U301" s="73" t="str">
        <f t="shared" si="99"/>
        <v/>
      </c>
      <c r="V301" s="73" t="str">
        <f t="shared" si="99"/>
        <v/>
      </c>
      <c r="W301" s="73" t="str">
        <f t="shared" si="99"/>
        <v/>
      </c>
      <c r="X301" s="73" t="str">
        <f t="shared" si="99"/>
        <v/>
      </c>
      <c r="Y301" s="73" t="str">
        <f t="shared" si="99"/>
        <v/>
      </c>
      <c r="Z301" s="73" t="str">
        <f t="shared" si="99"/>
        <v/>
      </c>
      <c r="AA301" s="73" t="str">
        <f t="shared" si="99"/>
        <v/>
      </c>
      <c r="AB301" s="74" t="str">
        <f t="shared" si="99"/>
        <v/>
      </c>
      <c r="AC301" s="35" t="str">
        <f t="shared" si="88"/>
        <v/>
      </c>
      <c r="AD301" s="40" t="str">
        <f t="shared" si="89"/>
        <v/>
      </c>
      <c r="AE301" s="37" t="str">
        <f t="shared" si="90"/>
        <v/>
      </c>
      <c r="AF301" s="40" t="str">
        <f t="shared" si="91"/>
        <v/>
      </c>
      <c r="AG301" s="37" t="str">
        <f t="shared" si="92"/>
        <v/>
      </c>
      <c r="AH301" s="40" t="str">
        <f t="shared" si="93"/>
        <v/>
      </c>
      <c r="AI301" s="37" t="str">
        <f t="shared" si="94"/>
        <v/>
      </c>
      <c r="AJ301" s="40" t="str">
        <f t="shared" si="95"/>
        <v/>
      </c>
      <c r="AK301" s="33" t="str">
        <f>IF(SEM!AK301="","",SEM!AK301)</f>
        <v/>
      </c>
      <c r="AL301" s="6"/>
      <c r="AM301" s="79" t="str">
        <f t="shared" si="86"/>
        <v/>
      </c>
      <c r="AR301" s="5"/>
      <c r="AU301" s="198"/>
      <c r="AV301" s="198"/>
      <c r="AW301" s="198"/>
      <c r="AX301" s="198"/>
    </row>
    <row r="302" spans="2:50" ht="17.25" customHeight="1" x14ac:dyDescent="0.2">
      <c r="B302" s="6"/>
      <c r="C302" s="49" t="str">
        <f>IF(SEM!C302="","",SEM!C302)</f>
        <v/>
      </c>
      <c r="D302" s="220" t="str">
        <f>IF(C302="","",VLOOKUP(SEM!C302,FROTA!$B$5:$C$305,2,0))</f>
        <v/>
      </c>
      <c r="E302" s="24" t="str">
        <f>IF(C302="","",VLOOKUP(C302,FROTA!$B$5:$N$305,7,0))</f>
        <v/>
      </c>
      <c r="F302" s="38" t="str">
        <f t="shared" si="85"/>
        <v/>
      </c>
      <c r="G302" s="71" t="str">
        <f t="shared" si="87"/>
        <v/>
      </c>
      <c r="H302" s="32" t="str">
        <f t="shared" si="98"/>
        <v/>
      </c>
      <c r="I302" s="73" t="str">
        <f t="shared" si="98"/>
        <v/>
      </c>
      <c r="J302" s="73" t="str">
        <f t="shared" si="98"/>
        <v/>
      </c>
      <c r="K302" s="73" t="str">
        <f t="shared" si="97"/>
        <v/>
      </c>
      <c r="L302" s="73" t="str">
        <f t="shared" si="97"/>
        <v/>
      </c>
      <c r="M302" s="73" t="str">
        <f t="shared" si="97"/>
        <v/>
      </c>
      <c r="N302" s="73" t="str">
        <f t="shared" si="97"/>
        <v/>
      </c>
      <c r="O302" s="73" t="str">
        <f t="shared" si="97"/>
        <v/>
      </c>
      <c r="P302" s="73" t="str">
        <f t="shared" si="97"/>
        <v/>
      </c>
      <c r="Q302" s="73" t="str">
        <f t="shared" si="97"/>
        <v/>
      </c>
      <c r="R302" s="73" t="str">
        <f t="shared" si="99"/>
        <v/>
      </c>
      <c r="S302" s="73" t="str">
        <f t="shared" si="99"/>
        <v/>
      </c>
      <c r="T302" s="73" t="str">
        <f t="shared" si="99"/>
        <v/>
      </c>
      <c r="U302" s="73" t="str">
        <f t="shared" si="99"/>
        <v/>
      </c>
      <c r="V302" s="73" t="str">
        <f t="shared" si="99"/>
        <v/>
      </c>
      <c r="W302" s="73" t="str">
        <f t="shared" si="99"/>
        <v/>
      </c>
      <c r="X302" s="73" t="str">
        <f t="shared" si="99"/>
        <v/>
      </c>
      <c r="Y302" s="73" t="str">
        <f t="shared" si="99"/>
        <v/>
      </c>
      <c r="Z302" s="73" t="str">
        <f t="shared" si="99"/>
        <v/>
      </c>
      <c r="AA302" s="73" t="str">
        <f t="shared" si="99"/>
        <v/>
      </c>
      <c r="AB302" s="74" t="str">
        <f t="shared" si="99"/>
        <v/>
      </c>
      <c r="AC302" s="35" t="str">
        <f t="shared" si="88"/>
        <v/>
      </c>
      <c r="AD302" s="40" t="str">
        <f t="shared" si="89"/>
        <v/>
      </c>
      <c r="AE302" s="37" t="str">
        <f t="shared" si="90"/>
        <v/>
      </c>
      <c r="AF302" s="40" t="str">
        <f t="shared" si="91"/>
        <v/>
      </c>
      <c r="AG302" s="37" t="str">
        <f t="shared" si="92"/>
        <v/>
      </c>
      <c r="AH302" s="40" t="str">
        <f t="shared" si="93"/>
        <v/>
      </c>
      <c r="AI302" s="37" t="str">
        <f t="shared" si="94"/>
        <v/>
      </c>
      <c r="AJ302" s="40" t="str">
        <f t="shared" si="95"/>
        <v/>
      </c>
      <c r="AK302" s="33" t="str">
        <f>IF(SEM!AK302="","",SEM!AK302)</f>
        <v/>
      </c>
      <c r="AL302" s="6"/>
      <c r="AM302" s="79" t="str">
        <f t="shared" si="86"/>
        <v/>
      </c>
      <c r="AR302" s="5"/>
      <c r="AU302" s="198"/>
      <c r="AV302" s="198"/>
      <c r="AW302" s="198"/>
      <c r="AX302" s="198"/>
    </row>
    <row r="303" spans="2:50" ht="17.25" customHeight="1" x14ac:dyDescent="0.2">
      <c r="B303" s="6"/>
      <c r="C303" s="49" t="str">
        <f>IF(SEM!C303="","",SEM!C303)</f>
        <v/>
      </c>
      <c r="D303" s="220" t="str">
        <f>IF(C303="","",VLOOKUP(SEM!C303,FROTA!$B$5:$C$305,2,0))</f>
        <v/>
      </c>
      <c r="E303" s="24" t="str">
        <f>IF(C303="","",VLOOKUP(C303,FROTA!$B$5:$N$305,7,0))</f>
        <v/>
      </c>
      <c r="F303" s="38" t="str">
        <f t="shared" si="85"/>
        <v/>
      </c>
      <c r="G303" s="71" t="str">
        <f t="shared" si="87"/>
        <v/>
      </c>
      <c r="H303" s="32" t="str">
        <f t="shared" si="98"/>
        <v/>
      </c>
      <c r="I303" s="73" t="str">
        <f t="shared" si="98"/>
        <v/>
      </c>
      <c r="J303" s="73" t="str">
        <f t="shared" si="98"/>
        <v/>
      </c>
      <c r="K303" s="73" t="str">
        <f t="shared" si="97"/>
        <v/>
      </c>
      <c r="L303" s="73" t="str">
        <f t="shared" si="97"/>
        <v/>
      </c>
      <c r="M303" s="73" t="str">
        <f t="shared" si="97"/>
        <v/>
      </c>
      <c r="N303" s="73" t="str">
        <f t="shared" si="97"/>
        <v/>
      </c>
      <c r="O303" s="73" t="str">
        <f t="shared" si="97"/>
        <v/>
      </c>
      <c r="P303" s="73" t="str">
        <f t="shared" si="97"/>
        <v/>
      </c>
      <c r="Q303" s="73" t="str">
        <f t="shared" si="97"/>
        <v/>
      </c>
      <c r="R303" s="73" t="str">
        <f t="shared" si="99"/>
        <v/>
      </c>
      <c r="S303" s="73" t="str">
        <f t="shared" si="99"/>
        <v/>
      </c>
      <c r="T303" s="73" t="str">
        <f t="shared" si="99"/>
        <v/>
      </c>
      <c r="U303" s="73" t="str">
        <f t="shared" si="99"/>
        <v/>
      </c>
      <c r="V303" s="73" t="str">
        <f t="shared" si="99"/>
        <v/>
      </c>
      <c r="W303" s="73" t="str">
        <f t="shared" si="99"/>
        <v/>
      </c>
      <c r="X303" s="73" t="str">
        <f t="shared" si="99"/>
        <v/>
      </c>
      <c r="Y303" s="73" t="str">
        <f t="shared" si="99"/>
        <v/>
      </c>
      <c r="Z303" s="73" t="str">
        <f t="shared" si="99"/>
        <v/>
      </c>
      <c r="AA303" s="73" t="str">
        <f t="shared" si="99"/>
        <v/>
      </c>
      <c r="AB303" s="74" t="str">
        <f t="shared" si="99"/>
        <v/>
      </c>
      <c r="AC303" s="35" t="str">
        <f t="shared" si="88"/>
        <v/>
      </c>
      <c r="AD303" s="40" t="str">
        <f t="shared" si="89"/>
        <v/>
      </c>
      <c r="AE303" s="37" t="str">
        <f t="shared" si="90"/>
        <v/>
      </c>
      <c r="AF303" s="40" t="str">
        <f t="shared" si="91"/>
        <v/>
      </c>
      <c r="AG303" s="37" t="str">
        <f t="shared" si="92"/>
        <v/>
      </c>
      <c r="AH303" s="40" t="str">
        <f t="shared" si="93"/>
        <v/>
      </c>
      <c r="AI303" s="37" t="str">
        <f t="shared" si="94"/>
        <v/>
      </c>
      <c r="AJ303" s="40" t="str">
        <f t="shared" si="95"/>
        <v/>
      </c>
      <c r="AK303" s="33" t="str">
        <f>IF(SEM!AK303="","",SEM!AK303)</f>
        <v/>
      </c>
      <c r="AL303" s="6"/>
      <c r="AM303" s="79" t="str">
        <f t="shared" si="86"/>
        <v/>
      </c>
      <c r="AR303" s="5"/>
      <c r="AU303" s="198"/>
      <c r="AV303" s="198"/>
      <c r="AW303" s="198"/>
      <c r="AX303" s="198"/>
    </row>
    <row r="304" spans="2:50" ht="17.25" customHeight="1" x14ac:dyDescent="0.2">
      <c r="B304" s="6"/>
      <c r="C304" s="49" t="str">
        <f>IF(SEM!C304="","",SEM!C304)</f>
        <v/>
      </c>
      <c r="D304" s="220" t="str">
        <f>IF(C304="","",VLOOKUP(SEM!C304,FROTA!$B$5:$C$305,2,0))</f>
        <v/>
      </c>
      <c r="E304" s="24" t="str">
        <f>IF(C304="","",VLOOKUP(C304,FROTA!$B$5:$N$305,7,0))</f>
        <v/>
      </c>
      <c r="F304" s="38" t="str">
        <f t="shared" si="85"/>
        <v/>
      </c>
      <c r="G304" s="71" t="str">
        <f t="shared" si="87"/>
        <v/>
      </c>
      <c r="H304" s="32" t="str">
        <f t="shared" si="98"/>
        <v/>
      </c>
      <c r="I304" s="73" t="str">
        <f t="shared" si="98"/>
        <v/>
      </c>
      <c r="J304" s="73" t="str">
        <f t="shared" si="98"/>
        <v/>
      </c>
      <c r="K304" s="73" t="str">
        <f t="shared" si="97"/>
        <v/>
      </c>
      <c r="L304" s="73" t="str">
        <f t="shared" si="97"/>
        <v/>
      </c>
      <c r="M304" s="73" t="str">
        <f t="shared" si="97"/>
        <v/>
      </c>
      <c r="N304" s="73" t="str">
        <f t="shared" si="97"/>
        <v/>
      </c>
      <c r="O304" s="73" t="str">
        <f t="shared" si="97"/>
        <v/>
      </c>
      <c r="P304" s="73" t="str">
        <f t="shared" si="97"/>
        <v/>
      </c>
      <c r="Q304" s="73" t="str">
        <f t="shared" si="97"/>
        <v/>
      </c>
      <c r="R304" s="73" t="str">
        <f t="shared" si="99"/>
        <v/>
      </c>
      <c r="S304" s="73" t="str">
        <f t="shared" si="99"/>
        <v/>
      </c>
      <c r="T304" s="73" t="str">
        <f t="shared" si="99"/>
        <v/>
      </c>
      <c r="U304" s="73" t="str">
        <f t="shared" si="99"/>
        <v/>
      </c>
      <c r="V304" s="73" t="str">
        <f t="shared" si="99"/>
        <v/>
      </c>
      <c r="W304" s="73" t="str">
        <f t="shared" si="99"/>
        <v/>
      </c>
      <c r="X304" s="73" t="str">
        <f t="shared" si="99"/>
        <v/>
      </c>
      <c r="Y304" s="73" t="str">
        <f t="shared" si="99"/>
        <v/>
      </c>
      <c r="Z304" s="73" t="str">
        <f t="shared" si="99"/>
        <v/>
      </c>
      <c r="AA304" s="73" t="str">
        <f t="shared" si="99"/>
        <v/>
      </c>
      <c r="AB304" s="74" t="str">
        <f t="shared" si="99"/>
        <v/>
      </c>
      <c r="AC304" s="35" t="str">
        <f t="shared" si="88"/>
        <v/>
      </c>
      <c r="AD304" s="40" t="str">
        <f t="shared" si="89"/>
        <v/>
      </c>
      <c r="AE304" s="37" t="str">
        <f t="shared" si="90"/>
        <v/>
      </c>
      <c r="AF304" s="40" t="str">
        <f t="shared" si="91"/>
        <v/>
      </c>
      <c r="AG304" s="37" t="str">
        <f t="shared" si="92"/>
        <v/>
      </c>
      <c r="AH304" s="40" t="str">
        <f t="shared" si="93"/>
        <v/>
      </c>
      <c r="AI304" s="37" t="str">
        <f t="shared" si="94"/>
        <v/>
      </c>
      <c r="AJ304" s="40" t="str">
        <f t="shared" si="95"/>
        <v/>
      </c>
      <c r="AK304" s="33" t="str">
        <f>IF(SEM!AK304="","",SEM!AK304)</f>
        <v/>
      </c>
      <c r="AL304" s="6"/>
      <c r="AM304" s="79" t="str">
        <f t="shared" si="86"/>
        <v/>
      </c>
      <c r="AR304" s="5"/>
      <c r="AU304" s="198"/>
      <c r="AV304" s="198"/>
      <c r="AW304" s="198"/>
      <c r="AX304" s="198"/>
    </row>
    <row r="305" spans="2:50" ht="17.25" customHeight="1" x14ac:dyDescent="0.2">
      <c r="B305" s="6"/>
      <c r="C305" s="49" t="str">
        <f>IF(SEM!C305="","",SEM!C305)</f>
        <v/>
      </c>
      <c r="D305" s="220" t="str">
        <f>IF(C305="","",VLOOKUP(SEM!C305,FROTA!$B$5:$C$305,2,0))</f>
        <v/>
      </c>
      <c r="E305" s="24" t="str">
        <f>IF(C305="","",VLOOKUP(C305,FROTA!$B$5:$N$305,7,0))</f>
        <v/>
      </c>
      <c r="F305" s="38" t="str">
        <f t="shared" si="85"/>
        <v/>
      </c>
      <c r="G305" s="71" t="str">
        <f t="shared" si="87"/>
        <v/>
      </c>
      <c r="H305" s="32" t="str">
        <f t="shared" si="98"/>
        <v/>
      </c>
      <c r="I305" s="73" t="str">
        <f t="shared" si="98"/>
        <v/>
      </c>
      <c r="J305" s="73" t="str">
        <f t="shared" si="98"/>
        <v/>
      </c>
      <c r="K305" s="73" t="str">
        <f t="shared" si="97"/>
        <v/>
      </c>
      <c r="L305" s="73" t="str">
        <f t="shared" si="97"/>
        <v/>
      </c>
      <c r="M305" s="73" t="str">
        <f t="shared" si="97"/>
        <v/>
      </c>
      <c r="N305" s="73" t="str">
        <f t="shared" si="97"/>
        <v/>
      </c>
      <c r="O305" s="73" t="str">
        <f t="shared" si="97"/>
        <v/>
      </c>
      <c r="P305" s="73" t="str">
        <f t="shared" si="97"/>
        <v/>
      </c>
      <c r="Q305" s="73" t="str">
        <f t="shared" si="97"/>
        <v/>
      </c>
      <c r="R305" s="73" t="str">
        <f t="shared" si="99"/>
        <v/>
      </c>
      <c r="S305" s="73" t="str">
        <f t="shared" si="99"/>
        <v/>
      </c>
      <c r="T305" s="73" t="str">
        <f t="shared" si="99"/>
        <v/>
      </c>
      <c r="U305" s="73" t="str">
        <f t="shared" si="99"/>
        <v/>
      </c>
      <c r="V305" s="73" t="str">
        <f t="shared" si="99"/>
        <v/>
      </c>
      <c r="W305" s="73" t="str">
        <f t="shared" si="99"/>
        <v/>
      </c>
      <c r="X305" s="73" t="str">
        <f t="shared" si="99"/>
        <v/>
      </c>
      <c r="Y305" s="73" t="str">
        <f t="shared" si="99"/>
        <v/>
      </c>
      <c r="Z305" s="73" t="str">
        <f t="shared" si="99"/>
        <v/>
      </c>
      <c r="AA305" s="73" t="str">
        <f t="shared" si="99"/>
        <v/>
      </c>
      <c r="AB305" s="74" t="str">
        <f t="shared" si="99"/>
        <v/>
      </c>
      <c r="AC305" s="35" t="str">
        <f t="shared" si="88"/>
        <v/>
      </c>
      <c r="AD305" s="40" t="str">
        <f t="shared" si="89"/>
        <v/>
      </c>
      <c r="AE305" s="37" t="str">
        <f t="shared" si="90"/>
        <v/>
      </c>
      <c r="AF305" s="40" t="str">
        <f t="shared" si="91"/>
        <v/>
      </c>
      <c r="AG305" s="37" t="str">
        <f t="shared" si="92"/>
        <v/>
      </c>
      <c r="AH305" s="40" t="str">
        <f t="shared" si="93"/>
        <v/>
      </c>
      <c r="AI305" s="37" t="str">
        <f t="shared" si="94"/>
        <v/>
      </c>
      <c r="AJ305" s="40" t="str">
        <f t="shared" si="95"/>
        <v/>
      </c>
      <c r="AK305" s="33" t="str">
        <f>IF(SEM!AK305="","",SEM!AK305)</f>
        <v/>
      </c>
      <c r="AL305" s="6"/>
      <c r="AM305" s="79" t="str">
        <f t="shared" si="86"/>
        <v/>
      </c>
      <c r="AR305" s="5"/>
      <c r="AU305" s="198"/>
      <c r="AV305" s="198"/>
      <c r="AW305" s="198"/>
      <c r="AX305" s="198"/>
    </row>
    <row r="306" spans="2:50" ht="7.5" customHeight="1" x14ac:dyDescent="0.2">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R306" s="5"/>
    </row>
    <row r="307" spans="2:50" ht="17.25" customHeight="1" x14ac:dyDescent="0.2">
      <c r="B307" s="5" t="s">
        <v>4</v>
      </c>
      <c r="F307" s="76">
        <f>SUM(F6:F305)</f>
        <v>0</v>
      </c>
      <c r="G307" s="77">
        <f>SUM(G6:G305)</f>
        <v>0</v>
      </c>
      <c r="H307" s="738" t="str">
        <f>IF(AH2="","",$AH$2*0.02/2)</f>
        <v/>
      </c>
      <c r="I307" s="738" t="str">
        <f>IF(AH2="","",$AH$2*0.02/1)</f>
        <v/>
      </c>
      <c r="J307" s="738" t="str">
        <f>IF($AH$2="","",$AH$2*0.56/8)</f>
        <v/>
      </c>
      <c r="K307" s="738" t="str">
        <f t="shared" ref="K307:Q307" si="100">IF($AH$2="","",$AH$2*0.56/8)</f>
        <v/>
      </c>
      <c r="L307" s="738" t="str">
        <f t="shared" si="100"/>
        <v/>
      </c>
      <c r="M307" s="738" t="str">
        <f t="shared" si="100"/>
        <v/>
      </c>
      <c r="N307" s="738" t="str">
        <f t="shared" si="100"/>
        <v/>
      </c>
      <c r="O307" s="738" t="str">
        <f t="shared" si="100"/>
        <v/>
      </c>
      <c r="P307" s="738" t="str">
        <f t="shared" si="100"/>
        <v/>
      </c>
      <c r="Q307" s="738" t="str">
        <f t="shared" si="100"/>
        <v/>
      </c>
      <c r="R307" s="738" t="str">
        <f>IF($AH$2="","",$AH$2*0.4/10)</f>
        <v/>
      </c>
      <c r="S307" s="738" t="str">
        <f t="shared" ref="S307:AA307" si="101">IF($AH$2="","",$AH$2*0.4/10)</f>
        <v/>
      </c>
      <c r="T307" s="738" t="str">
        <f t="shared" si="101"/>
        <v/>
      </c>
      <c r="U307" s="738" t="str">
        <f t="shared" si="101"/>
        <v/>
      </c>
      <c r="V307" s="738" t="str">
        <f t="shared" si="101"/>
        <v/>
      </c>
      <c r="W307" s="738" t="str">
        <f t="shared" si="101"/>
        <v/>
      </c>
      <c r="X307" s="738" t="str">
        <f t="shared" si="101"/>
        <v/>
      </c>
      <c r="Y307" s="738" t="str">
        <f t="shared" si="101"/>
        <v/>
      </c>
      <c r="Z307" s="738" t="str">
        <f t="shared" si="101"/>
        <v/>
      </c>
      <c r="AA307" s="738" t="str">
        <f t="shared" si="101"/>
        <v/>
      </c>
      <c r="AB307" s="738" t="str">
        <f>IF(AH2="","",$AH$2*0.02/2)</f>
        <v/>
      </c>
    </row>
    <row r="308" spans="2:50" ht="17.25" customHeight="1" x14ac:dyDescent="0.2">
      <c r="H308" s="738"/>
      <c r="I308" s="738"/>
      <c r="J308" s="738"/>
      <c r="K308" s="738"/>
      <c r="L308" s="738"/>
      <c r="M308" s="738"/>
      <c r="N308" s="738"/>
      <c r="O308" s="738"/>
      <c r="P308" s="738"/>
      <c r="Q308" s="738"/>
      <c r="R308" s="738"/>
      <c r="S308" s="738"/>
      <c r="T308" s="738"/>
      <c r="U308" s="738"/>
      <c r="V308" s="738"/>
      <c r="W308" s="738"/>
      <c r="X308" s="738"/>
      <c r="Y308" s="738"/>
      <c r="Z308" s="738"/>
      <c r="AA308" s="738"/>
      <c r="AB308" s="738"/>
    </row>
    <row r="309" spans="2:50" ht="17.25" customHeight="1" x14ac:dyDescent="0.2">
      <c r="H309" s="738"/>
      <c r="I309" s="738"/>
      <c r="J309" s="738"/>
      <c r="K309" s="738"/>
      <c r="L309" s="738"/>
      <c r="M309" s="738"/>
      <c r="N309" s="738"/>
      <c r="O309" s="738"/>
      <c r="P309" s="738"/>
      <c r="Q309" s="738"/>
      <c r="R309" s="738"/>
      <c r="S309" s="738"/>
      <c r="T309" s="738"/>
      <c r="U309" s="738"/>
      <c r="V309" s="738"/>
      <c r="W309" s="738"/>
      <c r="X309" s="738"/>
      <c r="Y309" s="738"/>
      <c r="Z309" s="738"/>
      <c r="AA309" s="738"/>
      <c r="AB309" s="738"/>
      <c r="AC309" s="81">
        <f>SUM(H307:AB311)</f>
        <v>0</v>
      </c>
    </row>
    <row r="310" spans="2:50" ht="17.25" customHeight="1" x14ac:dyDescent="0.2">
      <c r="H310" s="738"/>
      <c r="I310" s="738"/>
      <c r="J310" s="738"/>
      <c r="K310" s="738"/>
      <c r="L310" s="738"/>
      <c r="M310" s="738"/>
      <c r="N310" s="738"/>
      <c r="O310" s="738"/>
      <c r="P310" s="738"/>
      <c r="Q310" s="738"/>
      <c r="R310" s="738"/>
      <c r="S310" s="738"/>
      <c r="T310" s="738"/>
      <c r="U310" s="738"/>
      <c r="V310" s="738"/>
      <c r="W310" s="738"/>
      <c r="X310" s="738"/>
      <c r="Y310" s="738"/>
      <c r="Z310" s="738"/>
      <c r="AA310" s="738"/>
      <c r="AB310" s="738"/>
    </row>
    <row r="311" spans="2:50" ht="17.25" customHeight="1" x14ac:dyDescent="0.2">
      <c r="H311" s="738"/>
      <c r="I311" s="738"/>
      <c r="J311" s="738"/>
      <c r="K311" s="738"/>
      <c r="L311" s="738"/>
      <c r="M311" s="738"/>
      <c r="N311" s="738"/>
      <c r="O311" s="738"/>
      <c r="P311" s="738"/>
      <c r="Q311" s="738"/>
      <c r="R311" s="738"/>
      <c r="S311" s="738"/>
      <c r="T311" s="738"/>
      <c r="U311" s="738"/>
      <c r="V311" s="738"/>
      <c r="W311" s="738"/>
      <c r="X311" s="738"/>
      <c r="Y311" s="738"/>
      <c r="Z311" s="738"/>
      <c r="AA311" s="738"/>
      <c r="AB311" s="738"/>
    </row>
  </sheetData>
  <mergeCells count="27">
    <mergeCell ref="AW3:AX3"/>
    <mergeCell ref="Y307:Y311"/>
    <mergeCell ref="Z307:Z311"/>
    <mergeCell ref="AA307:AA311"/>
    <mergeCell ref="AB307:AB311"/>
    <mergeCell ref="C3:AK3"/>
    <mergeCell ref="U307:U311"/>
    <mergeCell ref="V307:V311"/>
    <mergeCell ref="W307:W311"/>
    <mergeCell ref="X307:X311"/>
    <mergeCell ref="AU3:AV3"/>
    <mergeCell ref="C2:AD2"/>
    <mergeCell ref="AE2:AG2"/>
    <mergeCell ref="AH2:AK2"/>
    <mergeCell ref="H307:H311"/>
    <mergeCell ref="I307:I311"/>
    <mergeCell ref="J307:J311"/>
    <mergeCell ref="K307:K311"/>
    <mergeCell ref="L307:L311"/>
    <mergeCell ref="M307:M311"/>
    <mergeCell ref="N307:N311"/>
    <mergeCell ref="O307:O311"/>
    <mergeCell ref="P307:P311"/>
    <mergeCell ref="Q307:Q311"/>
    <mergeCell ref="R307:R311"/>
    <mergeCell ref="S307:S311"/>
    <mergeCell ref="T307:T311"/>
  </mergeCell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8"/>
  <dimension ref="B1:AX311"/>
  <sheetViews>
    <sheetView workbookViewId="0">
      <pane ySplit="5" topLeftCell="A6" activePane="bottomLeft" state="frozen"/>
      <selection activeCell="E112" sqref="E112"/>
      <selection pane="bottomLeft" activeCell="E112" sqref="E112"/>
    </sheetView>
  </sheetViews>
  <sheetFormatPr defaultColWidth="14.42578125" defaultRowHeight="17.25" customHeight="1" x14ac:dyDescent="0.2"/>
  <cols>
    <col min="1" max="1" width="2.28515625" style="5" customWidth="1"/>
    <col min="2" max="2" width="2.85546875" style="5" customWidth="1"/>
    <col min="3" max="4" width="10.7109375" style="5" customWidth="1"/>
    <col min="5" max="5" width="15.140625" style="5" bestFit="1" customWidth="1"/>
    <col min="6" max="7" width="11.7109375" style="5" customWidth="1"/>
    <col min="8" max="28" width="3.140625" style="5" customWidth="1"/>
    <col min="29" max="29" width="10.85546875" style="5" customWidth="1"/>
    <col min="30" max="30" width="6.5703125" style="5" bestFit="1" customWidth="1"/>
    <col min="31" max="31" width="10.85546875" style="5" customWidth="1"/>
    <col min="32" max="32" width="6.5703125" style="5" bestFit="1" customWidth="1"/>
    <col min="33" max="33" width="10.85546875" style="5" customWidth="1"/>
    <col min="34" max="34" width="6.5703125" style="5" bestFit="1" customWidth="1"/>
    <col min="35" max="35" width="10.85546875" style="5" customWidth="1"/>
    <col min="36" max="36" width="6.5703125" style="5" bestFit="1" customWidth="1"/>
    <col min="37" max="37" width="15" style="5" customWidth="1"/>
    <col min="38" max="38" width="3" style="5" customWidth="1"/>
    <col min="39" max="39" width="18.140625" style="5" bestFit="1" customWidth="1"/>
    <col min="40" max="41" width="18.140625" style="5" customWidth="1"/>
    <col min="42" max="42" width="22.85546875" style="5" bestFit="1" customWidth="1"/>
    <col min="43" max="43" width="11.5703125" style="5" bestFit="1" customWidth="1"/>
    <col min="44" max="44" width="6.140625" style="12" customWidth="1"/>
    <col min="45" max="45" width="4.28515625" style="5" customWidth="1"/>
    <col min="46" max="46" width="6.85546875" style="5" bestFit="1" customWidth="1"/>
    <col min="47" max="50" width="17.85546875" style="5" customWidth="1"/>
    <col min="51" max="16384" width="14.42578125" style="5"/>
  </cols>
  <sheetData>
    <row r="1" spans="2:50" ht="7.5" customHeight="1" x14ac:dyDescent="0.2"/>
    <row r="2" spans="2:50" ht="37.5" customHeight="1" thickBot="1" x14ac:dyDescent="0.25">
      <c r="B2" s="6"/>
      <c r="C2" s="731" t="s">
        <v>188</v>
      </c>
      <c r="D2" s="731"/>
      <c r="E2" s="731"/>
      <c r="F2" s="731"/>
      <c r="G2" s="731"/>
      <c r="H2" s="731"/>
      <c r="I2" s="731"/>
      <c r="J2" s="731"/>
      <c r="K2" s="731"/>
      <c r="L2" s="731"/>
      <c r="M2" s="731"/>
      <c r="N2" s="731"/>
      <c r="O2" s="731"/>
      <c r="P2" s="731"/>
      <c r="Q2" s="731"/>
      <c r="R2" s="731"/>
      <c r="S2" s="731"/>
      <c r="T2" s="731"/>
      <c r="U2" s="731"/>
      <c r="V2" s="731"/>
      <c r="W2" s="731"/>
      <c r="X2" s="731"/>
      <c r="Y2" s="731"/>
      <c r="Z2" s="731"/>
      <c r="AA2" s="731"/>
      <c r="AB2" s="731"/>
      <c r="AC2" s="731"/>
      <c r="AD2" s="731"/>
      <c r="AE2" s="731" t="s">
        <v>239</v>
      </c>
      <c r="AF2" s="731"/>
      <c r="AG2" s="731"/>
      <c r="AH2" s="732" t="str">
        <f>IF(RECEBÍVEIS!E10="","",RECEBÍVEIS!E10*0.65)</f>
        <v/>
      </c>
      <c r="AI2" s="731"/>
      <c r="AJ2" s="731"/>
      <c r="AK2" s="731"/>
      <c r="AL2" s="18"/>
      <c r="AM2" s="12"/>
      <c r="AN2" s="12"/>
      <c r="AO2" s="12"/>
      <c r="AP2" s="12"/>
      <c r="AQ2" s="12"/>
      <c r="AR2" s="13"/>
    </row>
    <row r="3" spans="2:50" ht="33.75" customHeight="1" thickBot="1" x14ac:dyDescent="0.25">
      <c r="B3" s="6"/>
      <c r="C3" s="734" t="s">
        <v>211</v>
      </c>
      <c r="D3" s="735"/>
      <c r="E3" s="735"/>
      <c r="F3" s="735"/>
      <c r="G3" s="735"/>
      <c r="H3" s="735"/>
      <c r="I3" s="735"/>
      <c r="J3" s="735"/>
      <c r="K3" s="735"/>
      <c r="L3" s="735"/>
      <c r="M3" s="735"/>
      <c r="N3" s="735"/>
      <c r="O3" s="735"/>
      <c r="P3" s="735"/>
      <c r="Q3" s="735"/>
      <c r="R3" s="735"/>
      <c r="S3" s="735"/>
      <c r="T3" s="735"/>
      <c r="U3" s="735"/>
      <c r="V3" s="735"/>
      <c r="W3" s="735"/>
      <c r="X3" s="735"/>
      <c r="Y3" s="735"/>
      <c r="Z3" s="735"/>
      <c r="AA3" s="735"/>
      <c r="AB3" s="735"/>
      <c r="AC3" s="735"/>
      <c r="AD3" s="735"/>
      <c r="AE3" s="735"/>
      <c r="AF3" s="735"/>
      <c r="AG3" s="735"/>
      <c r="AH3" s="735"/>
      <c r="AI3" s="735"/>
      <c r="AJ3" s="735"/>
      <c r="AK3" s="736"/>
      <c r="AL3" s="18"/>
      <c r="AM3" s="79">
        <f>SUM(AM6:AM305)</f>
        <v>0</v>
      </c>
      <c r="AN3" s="12"/>
      <c r="AO3" s="12"/>
      <c r="AP3" s="12"/>
      <c r="AQ3" s="12"/>
      <c r="AR3" s="13"/>
      <c r="AU3" s="737"/>
      <c r="AV3" s="737"/>
      <c r="AW3" s="737"/>
      <c r="AX3" s="737"/>
    </row>
    <row r="4" spans="2:50" ht="7.5" customHeight="1" thickBot="1" x14ac:dyDescent="0.2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12"/>
      <c r="AN4" s="12"/>
      <c r="AO4" s="12"/>
      <c r="AP4" s="12"/>
      <c r="AQ4" s="12"/>
      <c r="AR4" s="13"/>
    </row>
    <row r="5" spans="2:50" ht="52.5" customHeight="1" thickBot="1" x14ac:dyDescent="0.25">
      <c r="B5" s="6"/>
      <c r="C5" s="7" t="s">
        <v>182</v>
      </c>
      <c r="D5" s="8" t="s">
        <v>0</v>
      </c>
      <c r="E5" s="8" t="s">
        <v>1</v>
      </c>
      <c r="F5" s="19" t="s">
        <v>185</v>
      </c>
      <c r="G5" s="70" t="s">
        <v>246</v>
      </c>
      <c r="H5" s="30" t="s">
        <v>32</v>
      </c>
      <c r="I5" s="26" t="s">
        <v>33</v>
      </c>
      <c r="J5" s="26" t="s">
        <v>34</v>
      </c>
      <c r="K5" s="26" t="s">
        <v>35</v>
      </c>
      <c r="L5" s="48" t="s">
        <v>36</v>
      </c>
      <c r="M5" s="48" t="s">
        <v>37</v>
      </c>
      <c r="N5" s="48" t="s">
        <v>38</v>
      </c>
      <c r="O5" s="48" t="s">
        <v>39</v>
      </c>
      <c r="P5" s="48" t="s">
        <v>40</v>
      </c>
      <c r="Q5" s="48" t="s">
        <v>41</v>
      </c>
      <c r="R5" s="48" t="s">
        <v>42</v>
      </c>
      <c r="S5" s="48" t="s">
        <v>43</v>
      </c>
      <c r="T5" s="48" t="s">
        <v>44</v>
      </c>
      <c r="U5" s="48" t="s">
        <v>45</v>
      </c>
      <c r="V5" s="48" t="s">
        <v>46</v>
      </c>
      <c r="W5" s="48" t="s">
        <v>47</v>
      </c>
      <c r="X5" s="48" t="s">
        <v>2</v>
      </c>
      <c r="Y5" s="26" t="s">
        <v>48</v>
      </c>
      <c r="Z5" s="26" t="s">
        <v>49</v>
      </c>
      <c r="AA5" s="26" t="s">
        <v>50</v>
      </c>
      <c r="AB5" s="31" t="s">
        <v>51</v>
      </c>
      <c r="AC5" s="34" t="str">
        <f>AO5</f>
        <v>OP. DIA TODO</v>
      </c>
      <c r="AD5" s="39" t="s">
        <v>208</v>
      </c>
      <c r="AE5" s="8" t="str">
        <f>AO6</f>
        <v>OP. MANHÃ</v>
      </c>
      <c r="AF5" s="39" t="s">
        <v>208</v>
      </c>
      <c r="AG5" s="8" t="str">
        <f>AO7</f>
        <v>OP. TARDE / NOITE</v>
      </c>
      <c r="AH5" s="39" t="s">
        <v>208</v>
      </c>
      <c r="AI5" s="8" t="str">
        <f>AO8</f>
        <v>OP. Hor. PICO</v>
      </c>
      <c r="AJ5" s="39" t="s">
        <v>208</v>
      </c>
      <c r="AK5" s="36" t="s">
        <v>31</v>
      </c>
      <c r="AL5" s="6"/>
      <c r="AM5" s="80" t="s">
        <v>251</v>
      </c>
      <c r="AN5" s="12"/>
      <c r="AO5" s="118" t="s">
        <v>183</v>
      </c>
      <c r="AP5" s="25" t="s">
        <v>178</v>
      </c>
      <c r="AQ5" s="25" t="s">
        <v>53</v>
      </c>
      <c r="AR5" s="14"/>
    </row>
    <row r="6" spans="2:50" ht="17.25" customHeight="1" x14ac:dyDescent="0.2">
      <c r="B6" s="6"/>
      <c r="C6" s="49" t="str">
        <f>IF(SEM!C6="","",SEM!C6)</f>
        <v/>
      </c>
      <c r="D6" s="220" t="str">
        <f>IF(C6="","",VLOOKUP(SEM!C6,FROTA!$B$5:$C$305,2,0))</f>
        <v/>
      </c>
      <c r="E6" s="24" t="str">
        <f>IF(C6="","",VLOOKUP(C6,FROTA!$B$5:$N$305,7,0))</f>
        <v/>
      </c>
      <c r="F6" s="38" t="str">
        <f>IF(E6="","",VLOOKUP(E6,$AP$5:$AQ$18,2,0))</f>
        <v/>
      </c>
      <c r="G6" s="71" t="str">
        <f>IF(C6="","",F6/$F$307)</f>
        <v/>
      </c>
      <c r="H6" s="88" t="str">
        <f>IF($C6="","",IF(SUM(H$307*$G6)&gt;$F6,$F6,SUM(H$307*$G6)))</f>
        <v/>
      </c>
      <c r="I6" s="89" t="str">
        <f>IF($C6="","",IF(SUM(I$307*$G6)&gt;$F6,$F6,SUM(I$307*$G6)))</f>
        <v/>
      </c>
      <c r="J6" s="89" t="str">
        <f>IF($C6="","",IF(SUM(J$307*$G6)&gt;$F6,$F6,SUM(J$307*$G6)))</f>
        <v/>
      </c>
      <c r="K6" s="89" t="str">
        <f t="shared" ref="K6:Q21" si="0">IF($C6="","",IF(SUM(K$307*$G6)&gt;$F6,$F6,SUM(K$307*$G6)))</f>
        <v/>
      </c>
      <c r="L6" s="89" t="str">
        <f t="shared" si="0"/>
        <v/>
      </c>
      <c r="M6" s="89" t="str">
        <f t="shared" si="0"/>
        <v/>
      </c>
      <c r="N6" s="89" t="str">
        <f>IF($C6="","",IF(SUM(N$307*$G6)&gt;$F6,$F6,SUM(N$307*$G6)))</f>
        <v/>
      </c>
      <c r="O6" s="89" t="str">
        <f>IF($C6="","",IF(SUM(O$307*$G6)&gt;$F6,$F6,SUM(O$307*$G6)))</f>
        <v/>
      </c>
      <c r="P6" s="89" t="str">
        <f>IF($C6="","",IF(SUM(P$307*$G6)&gt;$F6,$F6,SUM(P$307*$G6)))</f>
        <v/>
      </c>
      <c r="Q6" s="89" t="str">
        <f>IF($C6="","",IF(SUM(Q$307*$G6)&gt;$F6,$F6,SUM(Q$307*$G6)))</f>
        <v/>
      </c>
      <c r="R6" s="89" t="str">
        <f t="shared" ref="R6:AB21" si="1">IF($C6="","",IF(SUM(R$307*$G6)&gt;$F6,$F6,SUM(R$307*$G6)))</f>
        <v/>
      </c>
      <c r="S6" s="89" t="str">
        <f t="shared" si="1"/>
        <v/>
      </c>
      <c r="T6" s="89" t="str">
        <f t="shared" si="1"/>
        <v/>
      </c>
      <c r="U6" s="89" t="str">
        <f t="shared" si="1"/>
        <v/>
      </c>
      <c r="V6" s="89" t="str">
        <f t="shared" si="1"/>
        <v/>
      </c>
      <c r="W6" s="89" t="str">
        <f t="shared" si="1"/>
        <v/>
      </c>
      <c r="X6" s="89" t="str">
        <f t="shared" si="1"/>
        <v/>
      </c>
      <c r="Y6" s="89" t="str">
        <f t="shared" si="1"/>
        <v/>
      </c>
      <c r="Z6" s="89" t="str">
        <f t="shared" si="1"/>
        <v/>
      </c>
      <c r="AA6" s="89" t="str">
        <f t="shared" si="1"/>
        <v/>
      </c>
      <c r="AB6" s="90" t="str">
        <f t="shared" si="1"/>
        <v/>
      </c>
      <c r="AC6" s="35" t="str">
        <f>IF(C6="","",SUM(H6:AB6)*AK6)</f>
        <v/>
      </c>
      <c r="AD6" s="40" t="str">
        <f>IF(C6="","",SUM(H6:AB6))</f>
        <v/>
      </c>
      <c r="AE6" s="37" t="str">
        <f>IF(C6="","",SUM(H6:Q6)*AK6)</f>
        <v/>
      </c>
      <c r="AF6" s="40" t="str">
        <f>IF(C6="","",SUM(H6:Q6))</f>
        <v/>
      </c>
      <c r="AG6" s="37" t="str">
        <f>IF(C6="","",SUM(R6:AB6)*AK6)</f>
        <v/>
      </c>
      <c r="AH6" s="40" t="str">
        <f>IF(C6="","",SUM(R6:AB6))</f>
        <v/>
      </c>
      <c r="AI6" s="37" t="str">
        <f>IF(C6="","",SUM(J6:L6,T6:V6)*AK6)</f>
        <v/>
      </c>
      <c r="AJ6" s="40" t="str">
        <f>IF(C6="","",SUM(J6:L6,T6:V6))</f>
        <v/>
      </c>
      <c r="AK6" s="33" t="str">
        <f>IF(SEM!AK6="","",SEM!AK6)</f>
        <v/>
      </c>
      <c r="AL6" s="6"/>
      <c r="AM6" s="79" t="str">
        <f>IF(C6="","",SUM(H6:AB6))</f>
        <v/>
      </c>
      <c r="AN6" s="12"/>
      <c r="AO6" s="118" t="s">
        <v>187</v>
      </c>
      <c r="AP6" s="17" t="s">
        <v>54</v>
      </c>
      <c r="AQ6" s="44">
        <v>22</v>
      </c>
      <c r="AR6" s="15"/>
      <c r="AU6" s="198"/>
      <c r="AV6" s="198"/>
      <c r="AW6" s="198"/>
      <c r="AX6" s="198"/>
    </row>
    <row r="7" spans="2:50" ht="17.25" customHeight="1" x14ac:dyDescent="0.2">
      <c r="B7" s="6"/>
      <c r="C7" s="49" t="str">
        <f>IF(SEM!C7="","",SEM!C7)</f>
        <v/>
      </c>
      <c r="D7" s="220" t="str">
        <f>IF(C7="","",VLOOKUP(SEM!C7,FROTA!$B$5:$C$305,2,0))</f>
        <v/>
      </c>
      <c r="E7" s="24" t="str">
        <f>IF(C7="","",VLOOKUP(C7,FROTA!$B$5:$N$305,7,0))</f>
        <v/>
      </c>
      <c r="F7" s="38" t="str">
        <f t="shared" ref="F7:F70" si="2">IF(E7="","",VLOOKUP(E7,$AP$5:$AQ$18,2,0))</f>
        <v/>
      </c>
      <c r="G7" s="71" t="str">
        <f>IF(C7="","",F7/$F$307)</f>
        <v/>
      </c>
      <c r="H7" s="32" t="str">
        <f t="shared" ref="H7:J22" si="3">IF($C7="","",IF(SUM(H$307*$G7)&gt;$F7,$F7,SUM(H$307*$G7)))</f>
        <v/>
      </c>
      <c r="I7" s="73" t="str">
        <f t="shared" si="3"/>
        <v/>
      </c>
      <c r="J7" s="73" t="str">
        <f t="shared" si="3"/>
        <v/>
      </c>
      <c r="K7" s="73" t="str">
        <f t="shared" si="0"/>
        <v/>
      </c>
      <c r="L7" s="73" t="str">
        <f t="shared" si="0"/>
        <v/>
      </c>
      <c r="M7" s="73" t="str">
        <f t="shared" si="0"/>
        <v/>
      </c>
      <c r="N7" s="73" t="str">
        <f t="shared" si="0"/>
        <v/>
      </c>
      <c r="O7" s="73" t="str">
        <f t="shared" si="0"/>
        <v/>
      </c>
      <c r="P7" s="73" t="str">
        <f t="shared" si="0"/>
        <v/>
      </c>
      <c r="Q7" s="73" t="str">
        <f t="shared" si="0"/>
        <v/>
      </c>
      <c r="R7" s="73" t="str">
        <f t="shared" si="1"/>
        <v/>
      </c>
      <c r="S7" s="73" t="str">
        <f t="shared" si="1"/>
        <v/>
      </c>
      <c r="T7" s="73" t="str">
        <f t="shared" si="1"/>
        <v/>
      </c>
      <c r="U7" s="73" t="str">
        <f t="shared" si="1"/>
        <v/>
      </c>
      <c r="V7" s="73" t="str">
        <f t="shared" si="1"/>
        <v/>
      </c>
      <c r="W7" s="73" t="str">
        <f t="shared" si="1"/>
        <v/>
      </c>
      <c r="X7" s="73" t="str">
        <f t="shared" si="1"/>
        <v/>
      </c>
      <c r="Y7" s="73" t="str">
        <f t="shared" si="1"/>
        <v/>
      </c>
      <c r="Z7" s="73" t="str">
        <f t="shared" si="1"/>
        <v/>
      </c>
      <c r="AA7" s="73" t="str">
        <f t="shared" si="1"/>
        <v/>
      </c>
      <c r="AB7" s="74" t="str">
        <f t="shared" si="1"/>
        <v/>
      </c>
      <c r="AC7" s="35" t="str">
        <f t="shared" ref="AC7:AC15" si="4">IF(C7="","",SUM(H7:AB7)*AK7)</f>
        <v/>
      </c>
      <c r="AD7" s="40" t="str">
        <f t="shared" ref="AD7:AD15" si="5">IF(C7="","",SUM(H7:AB7))</f>
        <v/>
      </c>
      <c r="AE7" s="37" t="str">
        <f t="shared" ref="AE7:AE15" si="6">IF(C7="","",SUM(H7:Q7)*AK7)</f>
        <v/>
      </c>
      <c r="AF7" s="40" t="str">
        <f t="shared" ref="AF7:AF70" si="7">IF(C7="","",SUM(H7:Q7))</f>
        <v/>
      </c>
      <c r="AG7" s="37" t="str">
        <f t="shared" ref="AG7:AG70" si="8">IF(C7="","",SUM(R7:AB7)*AK7)</f>
        <v/>
      </c>
      <c r="AH7" s="40" t="str">
        <f t="shared" ref="AH7:AH70" si="9">IF(C7="","",SUM(R7:AB7))</f>
        <v/>
      </c>
      <c r="AI7" s="37" t="str">
        <f t="shared" ref="AI7:AI15" si="10">IF(C7="","",SUM(J7:L7,T7:V7)*AK7)</f>
        <v/>
      </c>
      <c r="AJ7" s="40" t="str">
        <f t="shared" ref="AJ7:AJ15" si="11">IF(C7="","",SUM(J7:L7,T7:V7))</f>
        <v/>
      </c>
      <c r="AK7" s="33" t="str">
        <f>IF(SEM!AK7="","",SEM!AK7)</f>
        <v/>
      </c>
      <c r="AL7" s="6"/>
      <c r="AM7" s="79" t="str">
        <f t="shared" ref="AM7:AM70" si="12">IF(C7="","",SUM(H7:AB7))</f>
        <v/>
      </c>
      <c r="AN7" s="12"/>
      <c r="AO7" s="118" t="s">
        <v>186</v>
      </c>
      <c r="AP7" s="17" t="s">
        <v>179</v>
      </c>
      <c r="AQ7" s="44">
        <v>32</v>
      </c>
      <c r="AR7" s="15"/>
      <c r="AU7" s="198"/>
      <c r="AV7" s="198"/>
      <c r="AW7" s="198"/>
      <c r="AX7" s="198"/>
    </row>
    <row r="8" spans="2:50" ht="17.25" customHeight="1" x14ac:dyDescent="0.2">
      <c r="B8" s="6"/>
      <c r="C8" s="49" t="str">
        <f>IF(SEM!C8="","",SEM!C8)</f>
        <v/>
      </c>
      <c r="D8" s="220" t="str">
        <f>IF(C8="","",VLOOKUP(SEM!C8,FROTA!$B$5:$C$305,2,0))</f>
        <v/>
      </c>
      <c r="E8" s="24" t="str">
        <f>IF(C8="","",VLOOKUP(C8,FROTA!$B$5:$N$305,7,0))</f>
        <v/>
      </c>
      <c r="F8" s="38" t="str">
        <f t="shared" si="2"/>
        <v/>
      </c>
      <c r="G8" s="71" t="str">
        <f>IF(C8="","",F8/$F$307)</f>
        <v/>
      </c>
      <c r="H8" s="32" t="str">
        <f t="shared" si="3"/>
        <v/>
      </c>
      <c r="I8" s="73" t="str">
        <f t="shared" si="3"/>
        <v/>
      </c>
      <c r="J8" s="73" t="str">
        <f t="shared" si="3"/>
        <v/>
      </c>
      <c r="K8" s="73" t="str">
        <f t="shared" si="0"/>
        <v/>
      </c>
      <c r="L8" s="73" t="str">
        <f t="shared" si="0"/>
        <v/>
      </c>
      <c r="M8" s="73" t="str">
        <f t="shared" si="0"/>
        <v/>
      </c>
      <c r="N8" s="73" t="str">
        <f t="shared" si="0"/>
        <v/>
      </c>
      <c r="O8" s="73" t="str">
        <f t="shared" si="0"/>
        <v/>
      </c>
      <c r="P8" s="73" t="str">
        <f t="shared" si="0"/>
        <v/>
      </c>
      <c r="Q8" s="73" t="str">
        <f t="shared" si="0"/>
        <v/>
      </c>
      <c r="R8" s="73" t="str">
        <f t="shared" si="1"/>
        <v/>
      </c>
      <c r="S8" s="73" t="str">
        <f t="shared" si="1"/>
        <v/>
      </c>
      <c r="T8" s="73" t="str">
        <f t="shared" si="1"/>
        <v/>
      </c>
      <c r="U8" s="73" t="str">
        <f t="shared" si="1"/>
        <v/>
      </c>
      <c r="V8" s="73" t="str">
        <f t="shared" si="1"/>
        <v/>
      </c>
      <c r="W8" s="73" t="str">
        <f t="shared" si="1"/>
        <v/>
      </c>
      <c r="X8" s="73" t="str">
        <f t="shared" si="1"/>
        <v/>
      </c>
      <c r="Y8" s="73" t="str">
        <f t="shared" si="1"/>
        <v/>
      </c>
      <c r="Z8" s="73" t="str">
        <f t="shared" si="1"/>
        <v/>
      </c>
      <c r="AA8" s="73" t="str">
        <f t="shared" si="1"/>
        <v/>
      </c>
      <c r="AB8" s="74" t="str">
        <f t="shared" si="1"/>
        <v/>
      </c>
      <c r="AC8" s="35" t="str">
        <f t="shared" si="4"/>
        <v/>
      </c>
      <c r="AD8" s="40" t="str">
        <f t="shared" si="5"/>
        <v/>
      </c>
      <c r="AE8" s="37" t="str">
        <f t="shared" si="6"/>
        <v/>
      </c>
      <c r="AF8" s="40" t="str">
        <f t="shared" si="7"/>
        <v/>
      </c>
      <c r="AG8" s="37" t="str">
        <f t="shared" si="8"/>
        <v/>
      </c>
      <c r="AH8" s="40" t="str">
        <f t="shared" si="9"/>
        <v/>
      </c>
      <c r="AI8" s="37" t="str">
        <f t="shared" si="10"/>
        <v/>
      </c>
      <c r="AJ8" s="40" t="str">
        <f t="shared" si="11"/>
        <v/>
      </c>
      <c r="AK8" s="33" t="str">
        <f>IF(SEM!AK8="","",SEM!AK8)</f>
        <v/>
      </c>
      <c r="AL8" s="6"/>
      <c r="AM8" s="79" t="str">
        <f t="shared" si="12"/>
        <v/>
      </c>
      <c r="AN8" s="12"/>
      <c r="AO8" s="118" t="s">
        <v>184</v>
      </c>
      <c r="AP8" s="17" t="s">
        <v>265</v>
      </c>
      <c r="AQ8" s="44">
        <v>67</v>
      </c>
      <c r="AR8" s="15"/>
      <c r="AU8" s="198"/>
      <c r="AV8" s="198"/>
      <c r="AW8" s="198"/>
      <c r="AX8" s="198"/>
    </row>
    <row r="9" spans="2:50" ht="17.25" customHeight="1" x14ac:dyDescent="0.2">
      <c r="B9" s="6"/>
      <c r="C9" s="49" t="str">
        <f>IF(SEM!C9="","",SEM!C9)</f>
        <v/>
      </c>
      <c r="D9" s="220" t="str">
        <f>IF(C9="","",VLOOKUP(SEM!C9,FROTA!$B$5:$C$305,2,0))</f>
        <v/>
      </c>
      <c r="E9" s="24" t="str">
        <f>IF(C9="","",VLOOKUP(C9,FROTA!$B$5:$N$305,7,0))</f>
        <v/>
      </c>
      <c r="F9" s="38" t="str">
        <f t="shared" si="2"/>
        <v/>
      </c>
      <c r="G9" s="71" t="str">
        <f t="shared" ref="G9:G72" si="13">IF(C9="","",F9/$F$307)</f>
        <v/>
      </c>
      <c r="H9" s="32" t="str">
        <f t="shared" si="3"/>
        <v/>
      </c>
      <c r="I9" s="73" t="str">
        <f t="shared" si="3"/>
        <v/>
      </c>
      <c r="J9" s="73" t="str">
        <f t="shared" si="3"/>
        <v/>
      </c>
      <c r="K9" s="73" t="str">
        <f t="shared" si="0"/>
        <v/>
      </c>
      <c r="L9" s="73" t="str">
        <f t="shared" si="0"/>
        <v/>
      </c>
      <c r="M9" s="73" t="str">
        <f t="shared" si="0"/>
        <v/>
      </c>
      <c r="N9" s="73" t="str">
        <f t="shared" si="0"/>
        <v/>
      </c>
      <c r="O9" s="73" t="str">
        <f t="shared" si="0"/>
        <v/>
      </c>
      <c r="P9" s="73" t="str">
        <f t="shared" si="0"/>
        <v/>
      </c>
      <c r="Q9" s="73" t="str">
        <f t="shared" si="0"/>
        <v/>
      </c>
      <c r="R9" s="73" t="str">
        <f t="shared" si="1"/>
        <v/>
      </c>
      <c r="S9" s="73" t="str">
        <f t="shared" si="1"/>
        <v/>
      </c>
      <c r="T9" s="73" t="str">
        <f t="shared" si="1"/>
        <v/>
      </c>
      <c r="U9" s="73" t="str">
        <f t="shared" si="1"/>
        <v/>
      </c>
      <c r="V9" s="73" t="str">
        <f t="shared" si="1"/>
        <v/>
      </c>
      <c r="W9" s="73" t="str">
        <f t="shared" si="1"/>
        <v/>
      </c>
      <c r="X9" s="73" t="str">
        <f t="shared" si="1"/>
        <v/>
      </c>
      <c r="Y9" s="73" t="str">
        <f t="shared" si="1"/>
        <v/>
      </c>
      <c r="Z9" s="73" t="str">
        <f t="shared" si="1"/>
        <v/>
      </c>
      <c r="AA9" s="73" t="str">
        <f t="shared" si="1"/>
        <v/>
      </c>
      <c r="AB9" s="74" t="str">
        <f t="shared" si="1"/>
        <v/>
      </c>
      <c r="AC9" s="35" t="str">
        <f t="shared" si="4"/>
        <v/>
      </c>
      <c r="AD9" s="40" t="str">
        <f t="shared" si="5"/>
        <v/>
      </c>
      <c r="AE9" s="37" t="str">
        <f t="shared" si="6"/>
        <v/>
      </c>
      <c r="AF9" s="40" t="str">
        <f t="shared" si="7"/>
        <v/>
      </c>
      <c r="AG9" s="37" t="str">
        <f t="shared" si="8"/>
        <v/>
      </c>
      <c r="AH9" s="40" t="str">
        <f t="shared" si="9"/>
        <v/>
      </c>
      <c r="AI9" s="37" t="str">
        <f t="shared" si="10"/>
        <v/>
      </c>
      <c r="AJ9" s="40" t="str">
        <f t="shared" si="11"/>
        <v/>
      </c>
      <c r="AK9" s="33" t="str">
        <f>IF(SEM!AK9="","",SEM!AK9)</f>
        <v/>
      </c>
      <c r="AL9" s="6"/>
      <c r="AM9" s="79" t="str">
        <f t="shared" si="12"/>
        <v/>
      </c>
      <c r="AN9" s="12"/>
      <c r="AO9" s="12"/>
      <c r="AP9" s="17" t="s">
        <v>55</v>
      </c>
      <c r="AQ9" s="44">
        <v>90</v>
      </c>
      <c r="AR9" s="15"/>
      <c r="AU9" s="198"/>
      <c r="AV9" s="198"/>
      <c r="AW9" s="198"/>
      <c r="AX9" s="198"/>
    </row>
    <row r="10" spans="2:50" ht="17.25" customHeight="1" x14ac:dyDescent="0.2">
      <c r="B10" s="6"/>
      <c r="C10" s="49" t="str">
        <f>IF(SEM!C10="","",SEM!C10)</f>
        <v/>
      </c>
      <c r="D10" s="220" t="str">
        <f>IF(C10="","",VLOOKUP(SEM!C10,FROTA!$B$5:$C$305,2,0))</f>
        <v/>
      </c>
      <c r="E10" s="24" t="str">
        <f>IF(C10="","",VLOOKUP(C10,FROTA!$B$5:$N$305,7,0))</f>
        <v/>
      </c>
      <c r="F10" s="38" t="str">
        <f t="shared" si="2"/>
        <v/>
      </c>
      <c r="G10" s="71" t="str">
        <f t="shared" si="13"/>
        <v/>
      </c>
      <c r="H10" s="32" t="str">
        <f t="shared" si="3"/>
        <v/>
      </c>
      <c r="I10" s="73" t="str">
        <f t="shared" si="3"/>
        <v/>
      </c>
      <c r="J10" s="73" t="str">
        <f t="shared" si="3"/>
        <v/>
      </c>
      <c r="K10" s="73" t="str">
        <f t="shared" si="0"/>
        <v/>
      </c>
      <c r="L10" s="73" t="str">
        <f t="shared" si="0"/>
        <v/>
      </c>
      <c r="M10" s="73" t="str">
        <f t="shared" si="0"/>
        <v/>
      </c>
      <c r="N10" s="73" t="str">
        <f t="shared" si="0"/>
        <v/>
      </c>
      <c r="O10" s="73" t="str">
        <f t="shared" si="0"/>
        <v/>
      </c>
      <c r="P10" s="73" t="str">
        <f t="shared" si="0"/>
        <v/>
      </c>
      <c r="Q10" s="73" t="str">
        <f t="shared" si="0"/>
        <v/>
      </c>
      <c r="R10" s="73" t="str">
        <f t="shared" si="1"/>
        <v/>
      </c>
      <c r="S10" s="73" t="str">
        <f t="shared" si="1"/>
        <v/>
      </c>
      <c r="T10" s="73" t="str">
        <f t="shared" si="1"/>
        <v/>
      </c>
      <c r="U10" s="73" t="str">
        <f t="shared" si="1"/>
        <v/>
      </c>
      <c r="V10" s="73" t="str">
        <f t="shared" si="1"/>
        <v/>
      </c>
      <c r="W10" s="73" t="str">
        <f t="shared" si="1"/>
        <v/>
      </c>
      <c r="X10" s="73" t="str">
        <f t="shared" si="1"/>
        <v/>
      </c>
      <c r="Y10" s="73" t="str">
        <f t="shared" si="1"/>
        <v/>
      </c>
      <c r="Z10" s="73" t="str">
        <f t="shared" si="1"/>
        <v/>
      </c>
      <c r="AA10" s="73" t="str">
        <f t="shared" si="1"/>
        <v/>
      </c>
      <c r="AB10" s="74" t="str">
        <f t="shared" si="1"/>
        <v/>
      </c>
      <c r="AC10" s="35" t="str">
        <f t="shared" si="4"/>
        <v/>
      </c>
      <c r="AD10" s="40" t="str">
        <f t="shared" si="5"/>
        <v/>
      </c>
      <c r="AE10" s="37" t="str">
        <f t="shared" si="6"/>
        <v/>
      </c>
      <c r="AF10" s="40" t="str">
        <f t="shared" si="7"/>
        <v/>
      </c>
      <c r="AG10" s="37" t="str">
        <f t="shared" si="8"/>
        <v/>
      </c>
      <c r="AH10" s="40" t="str">
        <f t="shared" si="9"/>
        <v/>
      </c>
      <c r="AI10" s="37" t="str">
        <f t="shared" si="10"/>
        <v/>
      </c>
      <c r="AJ10" s="40" t="str">
        <f t="shared" si="11"/>
        <v/>
      </c>
      <c r="AK10" s="33" t="str">
        <f>IF(SEM!AK10="","",SEM!AK10)</f>
        <v/>
      </c>
      <c r="AL10" s="6"/>
      <c r="AM10" s="79" t="str">
        <f t="shared" si="12"/>
        <v/>
      </c>
      <c r="AN10" s="12"/>
      <c r="AO10" s="12"/>
      <c r="AP10" s="17" t="s">
        <v>180</v>
      </c>
      <c r="AQ10" s="44">
        <v>105</v>
      </c>
      <c r="AR10" s="15"/>
      <c r="AU10" s="198"/>
      <c r="AV10" s="198"/>
      <c r="AW10" s="198"/>
      <c r="AX10" s="198"/>
    </row>
    <row r="11" spans="2:50" ht="17.25" customHeight="1" x14ac:dyDescent="0.2">
      <c r="B11" s="6"/>
      <c r="C11" s="49" t="str">
        <f>IF(SEM!C11="","",SEM!C11)</f>
        <v/>
      </c>
      <c r="D11" s="220" t="str">
        <f>IF(C11="","",VLOOKUP(SEM!C11,FROTA!$B$5:$C$305,2,0))</f>
        <v/>
      </c>
      <c r="E11" s="24" t="str">
        <f>IF(C11="","",VLOOKUP(C11,FROTA!$B$5:$N$305,7,0))</f>
        <v/>
      </c>
      <c r="F11" s="38" t="str">
        <f t="shared" si="2"/>
        <v/>
      </c>
      <c r="G11" s="71" t="str">
        <f t="shared" si="13"/>
        <v/>
      </c>
      <c r="H11" s="32" t="str">
        <f t="shared" si="3"/>
        <v/>
      </c>
      <c r="I11" s="73" t="str">
        <f t="shared" si="3"/>
        <v/>
      </c>
      <c r="J11" s="73" t="str">
        <f t="shared" si="3"/>
        <v/>
      </c>
      <c r="K11" s="73" t="str">
        <f t="shared" si="0"/>
        <v/>
      </c>
      <c r="L11" s="73" t="str">
        <f t="shared" si="0"/>
        <v/>
      </c>
      <c r="M11" s="73" t="str">
        <f t="shared" si="0"/>
        <v/>
      </c>
      <c r="N11" s="73" t="str">
        <f t="shared" si="0"/>
        <v/>
      </c>
      <c r="O11" s="73" t="str">
        <f t="shared" si="0"/>
        <v/>
      </c>
      <c r="P11" s="73" t="str">
        <f t="shared" si="0"/>
        <v/>
      </c>
      <c r="Q11" s="73" t="str">
        <f t="shared" si="0"/>
        <v/>
      </c>
      <c r="R11" s="73" t="str">
        <f t="shared" si="1"/>
        <v/>
      </c>
      <c r="S11" s="73" t="str">
        <f t="shared" si="1"/>
        <v/>
      </c>
      <c r="T11" s="73" t="str">
        <f t="shared" si="1"/>
        <v/>
      </c>
      <c r="U11" s="73" t="str">
        <f t="shared" si="1"/>
        <v/>
      </c>
      <c r="V11" s="73" t="str">
        <f t="shared" si="1"/>
        <v/>
      </c>
      <c r="W11" s="73" t="str">
        <f t="shared" si="1"/>
        <v/>
      </c>
      <c r="X11" s="73" t="str">
        <f t="shared" si="1"/>
        <v/>
      </c>
      <c r="Y11" s="73" t="str">
        <f t="shared" si="1"/>
        <v/>
      </c>
      <c r="Z11" s="73" t="str">
        <f t="shared" si="1"/>
        <v/>
      </c>
      <c r="AA11" s="73" t="str">
        <f t="shared" si="1"/>
        <v/>
      </c>
      <c r="AB11" s="74" t="str">
        <f t="shared" si="1"/>
        <v/>
      </c>
      <c r="AC11" s="35" t="str">
        <f t="shared" si="4"/>
        <v/>
      </c>
      <c r="AD11" s="40" t="str">
        <f t="shared" si="5"/>
        <v/>
      </c>
      <c r="AE11" s="37" t="str">
        <f t="shared" si="6"/>
        <v/>
      </c>
      <c r="AF11" s="40" t="str">
        <f t="shared" si="7"/>
        <v/>
      </c>
      <c r="AG11" s="37" t="str">
        <f t="shared" si="8"/>
        <v/>
      </c>
      <c r="AH11" s="40" t="str">
        <f t="shared" si="9"/>
        <v/>
      </c>
      <c r="AI11" s="37" t="str">
        <f t="shared" si="10"/>
        <v/>
      </c>
      <c r="AJ11" s="40" t="str">
        <f t="shared" si="11"/>
        <v/>
      </c>
      <c r="AK11" s="33" t="str">
        <f>IF(SEM!AK11="","",SEM!AK11)</f>
        <v/>
      </c>
      <c r="AL11" s="6"/>
      <c r="AM11" s="79" t="str">
        <f t="shared" si="12"/>
        <v/>
      </c>
      <c r="AN11" s="12"/>
      <c r="AO11" s="12"/>
      <c r="AP11" s="17" t="s">
        <v>56</v>
      </c>
      <c r="AQ11" s="44">
        <v>145</v>
      </c>
      <c r="AR11" s="15"/>
      <c r="AU11" s="198"/>
      <c r="AV11" s="198"/>
      <c r="AW11" s="198"/>
      <c r="AX11" s="198"/>
    </row>
    <row r="12" spans="2:50" ht="17.25" customHeight="1" x14ac:dyDescent="0.2">
      <c r="B12" s="6"/>
      <c r="C12" s="49" t="str">
        <f>IF(SEM!C12="","",SEM!C12)</f>
        <v/>
      </c>
      <c r="D12" s="220" t="str">
        <f>IF(C12="","",VLOOKUP(SEM!C12,FROTA!$B$5:$C$305,2,0))</f>
        <v/>
      </c>
      <c r="E12" s="24" t="str">
        <f>IF(C12="","",VLOOKUP(C12,FROTA!$B$5:$N$305,7,0))</f>
        <v/>
      </c>
      <c r="F12" s="38" t="str">
        <f t="shared" si="2"/>
        <v/>
      </c>
      <c r="G12" s="71" t="str">
        <f t="shared" si="13"/>
        <v/>
      </c>
      <c r="H12" s="32" t="str">
        <f t="shared" si="3"/>
        <v/>
      </c>
      <c r="I12" s="73" t="str">
        <f t="shared" si="3"/>
        <v/>
      </c>
      <c r="J12" s="73" t="str">
        <f t="shared" si="3"/>
        <v/>
      </c>
      <c r="K12" s="73" t="str">
        <f t="shared" si="0"/>
        <v/>
      </c>
      <c r="L12" s="73" t="str">
        <f t="shared" si="0"/>
        <v/>
      </c>
      <c r="M12" s="73" t="str">
        <f t="shared" si="0"/>
        <v/>
      </c>
      <c r="N12" s="73" t="str">
        <f t="shared" si="0"/>
        <v/>
      </c>
      <c r="O12" s="73" t="str">
        <f t="shared" si="0"/>
        <v/>
      </c>
      <c r="P12" s="73" t="str">
        <f t="shared" si="0"/>
        <v/>
      </c>
      <c r="Q12" s="73" t="str">
        <f t="shared" si="0"/>
        <v/>
      </c>
      <c r="R12" s="73" t="str">
        <f t="shared" si="1"/>
        <v/>
      </c>
      <c r="S12" s="73" t="str">
        <f t="shared" si="1"/>
        <v/>
      </c>
      <c r="T12" s="73" t="str">
        <f t="shared" si="1"/>
        <v/>
      </c>
      <c r="U12" s="73" t="str">
        <f t="shared" si="1"/>
        <v/>
      </c>
      <c r="V12" s="73" t="str">
        <f t="shared" si="1"/>
        <v/>
      </c>
      <c r="W12" s="73" t="str">
        <f t="shared" si="1"/>
        <v/>
      </c>
      <c r="X12" s="73" t="str">
        <f t="shared" si="1"/>
        <v/>
      </c>
      <c r="Y12" s="73" t="str">
        <f t="shared" si="1"/>
        <v/>
      </c>
      <c r="Z12" s="73" t="str">
        <f t="shared" si="1"/>
        <v/>
      </c>
      <c r="AA12" s="73" t="str">
        <f t="shared" si="1"/>
        <v/>
      </c>
      <c r="AB12" s="74" t="str">
        <f t="shared" si="1"/>
        <v/>
      </c>
      <c r="AC12" s="35" t="str">
        <f t="shared" si="4"/>
        <v/>
      </c>
      <c r="AD12" s="40" t="str">
        <f t="shared" si="5"/>
        <v/>
      </c>
      <c r="AE12" s="37" t="str">
        <f t="shared" si="6"/>
        <v/>
      </c>
      <c r="AF12" s="40" t="str">
        <f t="shared" si="7"/>
        <v/>
      </c>
      <c r="AG12" s="37" t="str">
        <f t="shared" si="8"/>
        <v/>
      </c>
      <c r="AH12" s="40" t="str">
        <f t="shared" si="9"/>
        <v/>
      </c>
      <c r="AI12" s="37" t="str">
        <f t="shared" si="10"/>
        <v/>
      </c>
      <c r="AJ12" s="40" t="str">
        <f t="shared" si="11"/>
        <v/>
      </c>
      <c r="AK12" s="33" t="str">
        <f>IF(SEM!AK12="","",SEM!AK12)</f>
        <v/>
      </c>
      <c r="AL12" s="6"/>
      <c r="AM12" s="79" t="str">
        <f t="shared" si="12"/>
        <v/>
      </c>
      <c r="AN12" s="12"/>
      <c r="AO12" s="12"/>
      <c r="AP12" s="17" t="s">
        <v>181</v>
      </c>
      <c r="AQ12" s="44">
        <v>195</v>
      </c>
      <c r="AR12" s="15"/>
      <c r="AU12" s="198"/>
      <c r="AV12" s="198"/>
      <c r="AW12" s="198"/>
      <c r="AX12" s="198"/>
    </row>
    <row r="13" spans="2:50" ht="17.25" customHeight="1" x14ac:dyDescent="0.2">
      <c r="B13" s="6"/>
      <c r="C13" s="49" t="str">
        <f>IF(SEM!C13="","",SEM!C13)</f>
        <v/>
      </c>
      <c r="D13" s="220" t="str">
        <f>IF(C13="","",VLOOKUP(SEM!C13,FROTA!$B$5:$C$305,2,0))</f>
        <v/>
      </c>
      <c r="E13" s="24" t="str">
        <f>IF(C13="","",VLOOKUP(C13,FROTA!$B$5:$N$305,7,0))</f>
        <v/>
      </c>
      <c r="F13" s="38" t="str">
        <f t="shared" si="2"/>
        <v/>
      </c>
      <c r="G13" s="71" t="str">
        <f t="shared" si="13"/>
        <v/>
      </c>
      <c r="H13" s="32" t="str">
        <f t="shared" si="3"/>
        <v/>
      </c>
      <c r="I13" s="73" t="str">
        <f t="shared" si="3"/>
        <v/>
      </c>
      <c r="J13" s="73" t="str">
        <f t="shared" si="3"/>
        <v/>
      </c>
      <c r="K13" s="73" t="str">
        <f t="shared" si="0"/>
        <v/>
      </c>
      <c r="L13" s="73" t="str">
        <f t="shared" si="0"/>
        <v/>
      </c>
      <c r="M13" s="73" t="str">
        <f t="shared" si="0"/>
        <v/>
      </c>
      <c r="N13" s="73" t="str">
        <f t="shared" si="0"/>
        <v/>
      </c>
      <c r="O13" s="73" t="str">
        <f t="shared" si="0"/>
        <v/>
      </c>
      <c r="P13" s="73" t="str">
        <f t="shared" si="0"/>
        <v/>
      </c>
      <c r="Q13" s="73" t="str">
        <f t="shared" si="0"/>
        <v/>
      </c>
      <c r="R13" s="73" t="str">
        <f t="shared" si="1"/>
        <v/>
      </c>
      <c r="S13" s="73" t="str">
        <f t="shared" si="1"/>
        <v/>
      </c>
      <c r="T13" s="73" t="str">
        <f t="shared" si="1"/>
        <v/>
      </c>
      <c r="U13" s="73" t="str">
        <f t="shared" si="1"/>
        <v/>
      </c>
      <c r="V13" s="73" t="str">
        <f t="shared" si="1"/>
        <v/>
      </c>
      <c r="W13" s="73" t="str">
        <f t="shared" si="1"/>
        <v/>
      </c>
      <c r="X13" s="73" t="str">
        <f t="shared" si="1"/>
        <v/>
      </c>
      <c r="Y13" s="73" t="str">
        <f t="shared" si="1"/>
        <v/>
      </c>
      <c r="Z13" s="73" t="str">
        <f t="shared" si="1"/>
        <v/>
      </c>
      <c r="AA13" s="73" t="str">
        <f t="shared" si="1"/>
        <v/>
      </c>
      <c r="AB13" s="74" t="str">
        <f t="shared" si="1"/>
        <v/>
      </c>
      <c r="AC13" s="35" t="str">
        <f t="shared" si="4"/>
        <v/>
      </c>
      <c r="AD13" s="40" t="str">
        <f t="shared" si="5"/>
        <v/>
      </c>
      <c r="AE13" s="37" t="str">
        <f t="shared" si="6"/>
        <v/>
      </c>
      <c r="AF13" s="40" t="str">
        <f t="shared" si="7"/>
        <v/>
      </c>
      <c r="AG13" s="37" t="str">
        <f t="shared" si="8"/>
        <v/>
      </c>
      <c r="AH13" s="40" t="str">
        <f t="shared" si="9"/>
        <v/>
      </c>
      <c r="AI13" s="37" t="str">
        <f t="shared" si="10"/>
        <v/>
      </c>
      <c r="AJ13" s="40" t="str">
        <f t="shared" si="11"/>
        <v/>
      </c>
      <c r="AK13" s="33" t="str">
        <f>IF(SEM!AK13="","",SEM!AK13)</f>
        <v/>
      </c>
      <c r="AL13" s="6"/>
      <c r="AM13" s="79" t="str">
        <f t="shared" si="12"/>
        <v/>
      </c>
      <c r="AN13" s="12"/>
      <c r="AO13" s="12"/>
      <c r="AP13" s="17" t="s">
        <v>57</v>
      </c>
      <c r="AQ13" s="44">
        <v>250</v>
      </c>
      <c r="AR13" s="15"/>
      <c r="AU13" s="198"/>
      <c r="AV13" s="198"/>
      <c r="AW13" s="198"/>
      <c r="AX13" s="198"/>
    </row>
    <row r="14" spans="2:50" ht="17.25" customHeight="1" x14ac:dyDescent="0.2">
      <c r="B14" s="6"/>
      <c r="C14" s="49" t="str">
        <f>IF(SEM!C14="","",SEM!C14)</f>
        <v/>
      </c>
      <c r="D14" s="220" t="str">
        <f>IF(C14="","",VLOOKUP(SEM!C14,FROTA!$B$5:$C$305,2,0))</f>
        <v/>
      </c>
      <c r="E14" s="24" t="str">
        <f>IF(C14="","",VLOOKUP(C14,FROTA!$B$5:$N$305,7,0))</f>
        <v/>
      </c>
      <c r="F14" s="38" t="str">
        <f t="shared" si="2"/>
        <v/>
      </c>
      <c r="G14" s="71" t="str">
        <f t="shared" si="13"/>
        <v/>
      </c>
      <c r="H14" s="32" t="str">
        <f t="shared" si="3"/>
        <v/>
      </c>
      <c r="I14" s="73" t="str">
        <f t="shared" si="3"/>
        <v/>
      </c>
      <c r="J14" s="73" t="str">
        <f t="shared" si="3"/>
        <v/>
      </c>
      <c r="K14" s="73" t="str">
        <f t="shared" si="0"/>
        <v/>
      </c>
      <c r="L14" s="73" t="str">
        <f t="shared" si="0"/>
        <v/>
      </c>
      <c r="M14" s="73" t="str">
        <f t="shared" si="0"/>
        <v/>
      </c>
      <c r="N14" s="73" t="str">
        <f t="shared" si="0"/>
        <v/>
      </c>
      <c r="O14" s="73" t="str">
        <f t="shared" si="0"/>
        <v/>
      </c>
      <c r="P14" s="73" t="str">
        <f t="shared" si="0"/>
        <v/>
      </c>
      <c r="Q14" s="73" t="str">
        <f t="shared" si="0"/>
        <v/>
      </c>
      <c r="R14" s="73" t="str">
        <f t="shared" si="1"/>
        <v/>
      </c>
      <c r="S14" s="73" t="str">
        <f t="shared" si="1"/>
        <v/>
      </c>
      <c r="T14" s="73" t="str">
        <f t="shared" si="1"/>
        <v/>
      </c>
      <c r="U14" s="73" t="str">
        <f t="shared" si="1"/>
        <v/>
      </c>
      <c r="V14" s="73" t="str">
        <f t="shared" si="1"/>
        <v/>
      </c>
      <c r="W14" s="73" t="str">
        <f t="shared" si="1"/>
        <v/>
      </c>
      <c r="X14" s="73" t="str">
        <f t="shared" si="1"/>
        <v/>
      </c>
      <c r="Y14" s="73" t="str">
        <f t="shared" si="1"/>
        <v/>
      </c>
      <c r="Z14" s="73" t="str">
        <f t="shared" si="1"/>
        <v/>
      </c>
      <c r="AA14" s="73" t="str">
        <f t="shared" si="1"/>
        <v/>
      </c>
      <c r="AB14" s="74" t="str">
        <f t="shared" si="1"/>
        <v/>
      </c>
      <c r="AC14" s="35" t="str">
        <f t="shared" si="4"/>
        <v/>
      </c>
      <c r="AD14" s="40" t="str">
        <f t="shared" si="5"/>
        <v/>
      </c>
      <c r="AE14" s="37" t="str">
        <f t="shared" si="6"/>
        <v/>
      </c>
      <c r="AF14" s="40" t="str">
        <f t="shared" si="7"/>
        <v/>
      </c>
      <c r="AG14" s="37" t="str">
        <f t="shared" si="8"/>
        <v/>
      </c>
      <c r="AH14" s="40" t="str">
        <f t="shared" si="9"/>
        <v/>
      </c>
      <c r="AI14" s="37" t="str">
        <f t="shared" si="10"/>
        <v/>
      </c>
      <c r="AJ14" s="40" t="str">
        <f t="shared" si="11"/>
        <v/>
      </c>
      <c r="AK14" s="33" t="str">
        <f>IF(SEM!AK14="","",SEM!AK14)</f>
        <v/>
      </c>
      <c r="AL14" s="6"/>
      <c r="AM14" s="79" t="str">
        <f t="shared" si="12"/>
        <v/>
      </c>
      <c r="AN14" s="12"/>
      <c r="AO14" s="12"/>
      <c r="AP14" s="203" t="s">
        <v>1019</v>
      </c>
      <c r="AQ14" s="45">
        <v>45</v>
      </c>
      <c r="AR14" s="15"/>
      <c r="AU14" s="198"/>
      <c r="AV14" s="198"/>
      <c r="AW14" s="198"/>
      <c r="AX14" s="198"/>
    </row>
    <row r="15" spans="2:50" ht="17.25" customHeight="1" x14ac:dyDescent="0.2">
      <c r="B15" s="6"/>
      <c r="C15" s="49" t="str">
        <f>IF(SEM!C15="","",SEM!C15)</f>
        <v/>
      </c>
      <c r="D15" s="220" t="str">
        <f>IF(C15="","",VLOOKUP(SEM!C15,FROTA!$B$5:$C$305,2,0))</f>
        <v/>
      </c>
      <c r="E15" s="24" t="str">
        <f>IF(C15="","",VLOOKUP(C15,FROTA!$B$5:$N$305,7,0))</f>
        <v/>
      </c>
      <c r="F15" s="38" t="str">
        <f t="shared" si="2"/>
        <v/>
      </c>
      <c r="G15" s="71" t="str">
        <f t="shared" si="13"/>
        <v/>
      </c>
      <c r="H15" s="32" t="str">
        <f t="shared" si="3"/>
        <v/>
      </c>
      <c r="I15" s="73" t="str">
        <f t="shared" si="3"/>
        <v/>
      </c>
      <c r="J15" s="73" t="str">
        <f t="shared" si="3"/>
        <v/>
      </c>
      <c r="K15" s="73" t="str">
        <f t="shared" si="0"/>
        <v/>
      </c>
      <c r="L15" s="73" t="str">
        <f t="shared" si="0"/>
        <v/>
      </c>
      <c r="M15" s="73" t="str">
        <f t="shared" si="0"/>
        <v/>
      </c>
      <c r="N15" s="73" t="str">
        <f t="shared" si="0"/>
        <v/>
      </c>
      <c r="O15" s="73" t="str">
        <f t="shared" si="0"/>
        <v/>
      </c>
      <c r="P15" s="73" t="str">
        <f t="shared" si="0"/>
        <v/>
      </c>
      <c r="Q15" s="73" t="str">
        <f t="shared" si="0"/>
        <v/>
      </c>
      <c r="R15" s="73" t="str">
        <f t="shared" si="1"/>
        <v/>
      </c>
      <c r="S15" s="73" t="str">
        <f t="shared" si="1"/>
        <v/>
      </c>
      <c r="T15" s="73" t="str">
        <f t="shared" si="1"/>
        <v/>
      </c>
      <c r="U15" s="73" t="str">
        <f t="shared" si="1"/>
        <v/>
      </c>
      <c r="V15" s="73" t="str">
        <f t="shared" si="1"/>
        <v/>
      </c>
      <c r="W15" s="73" t="str">
        <f t="shared" si="1"/>
        <v/>
      </c>
      <c r="X15" s="73" t="str">
        <f t="shared" si="1"/>
        <v/>
      </c>
      <c r="Y15" s="73" t="str">
        <f t="shared" si="1"/>
        <v/>
      </c>
      <c r="Z15" s="73" t="str">
        <f t="shared" si="1"/>
        <v/>
      </c>
      <c r="AA15" s="73" t="str">
        <f t="shared" si="1"/>
        <v/>
      </c>
      <c r="AB15" s="74" t="str">
        <f t="shared" si="1"/>
        <v/>
      </c>
      <c r="AC15" s="35" t="str">
        <f t="shared" si="4"/>
        <v/>
      </c>
      <c r="AD15" s="40" t="str">
        <f t="shared" si="5"/>
        <v/>
      </c>
      <c r="AE15" s="37" t="str">
        <f t="shared" si="6"/>
        <v/>
      </c>
      <c r="AF15" s="40" t="str">
        <f t="shared" si="7"/>
        <v/>
      </c>
      <c r="AG15" s="37" t="str">
        <f t="shared" si="8"/>
        <v/>
      </c>
      <c r="AH15" s="40" t="str">
        <f t="shared" si="9"/>
        <v/>
      </c>
      <c r="AI15" s="37" t="str">
        <f t="shared" si="10"/>
        <v/>
      </c>
      <c r="AJ15" s="40" t="str">
        <f t="shared" si="11"/>
        <v/>
      </c>
      <c r="AK15" s="33" t="str">
        <f>IF(SEM!AK15="","",SEM!AK15)</f>
        <v/>
      </c>
      <c r="AL15" s="6"/>
      <c r="AM15" s="79" t="str">
        <f t="shared" si="12"/>
        <v/>
      </c>
      <c r="AN15" s="12"/>
      <c r="AO15" s="12"/>
      <c r="AP15" s="203" t="s">
        <v>402</v>
      </c>
      <c r="AQ15" s="45">
        <v>40</v>
      </c>
      <c r="AR15" s="15"/>
      <c r="AU15" s="198"/>
      <c r="AV15" s="198"/>
      <c r="AW15" s="198"/>
      <c r="AX15" s="198"/>
    </row>
    <row r="16" spans="2:50" ht="17.25" customHeight="1" x14ac:dyDescent="0.2">
      <c r="B16" s="6"/>
      <c r="C16" s="49" t="str">
        <f>IF(SEM!C16="","",SEM!C16)</f>
        <v/>
      </c>
      <c r="D16" s="220" t="str">
        <f>IF(C16="","",VLOOKUP(SEM!C16,FROTA!$B$5:$C$305,2,0))</f>
        <v/>
      </c>
      <c r="E16" s="24" t="str">
        <f>IF(C16="","",VLOOKUP(C16,FROTA!$B$5:$N$305,7,0))</f>
        <v/>
      </c>
      <c r="F16" s="38" t="str">
        <f t="shared" si="2"/>
        <v/>
      </c>
      <c r="G16" s="71" t="str">
        <f t="shared" si="13"/>
        <v/>
      </c>
      <c r="H16" s="32" t="str">
        <f t="shared" si="3"/>
        <v/>
      </c>
      <c r="I16" s="73" t="str">
        <f t="shared" si="3"/>
        <v/>
      </c>
      <c r="J16" s="73" t="str">
        <f t="shared" si="3"/>
        <v/>
      </c>
      <c r="K16" s="73" t="str">
        <f t="shared" si="0"/>
        <v/>
      </c>
      <c r="L16" s="73" t="str">
        <f t="shared" si="0"/>
        <v/>
      </c>
      <c r="M16" s="73" t="str">
        <f t="shared" si="0"/>
        <v/>
      </c>
      <c r="N16" s="73" t="str">
        <f t="shared" si="0"/>
        <v/>
      </c>
      <c r="O16" s="73" t="str">
        <f t="shared" si="0"/>
        <v/>
      </c>
      <c r="P16" s="73" t="str">
        <f t="shared" si="0"/>
        <v/>
      </c>
      <c r="Q16" s="73" t="str">
        <f t="shared" si="0"/>
        <v/>
      </c>
      <c r="R16" s="73" t="str">
        <f t="shared" si="1"/>
        <v/>
      </c>
      <c r="S16" s="73" t="str">
        <f t="shared" si="1"/>
        <v/>
      </c>
      <c r="T16" s="73" t="str">
        <f t="shared" si="1"/>
        <v/>
      </c>
      <c r="U16" s="73" t="str">
        <f t="shared" si="1"/>
        <v/>
      </c>
      <c r="V16" s="73" t="str">
        <f t="shared" si="1"/>
        <v/>
      </c>
      <c r="W16" s="73" t="str">
        <f t="shared" si="1"/>
        <v/>
      </c>
      <c r="X16" s="73" t="str">
        <f t="shared" si="1"/>
        <v/>
      </c>
      <c r="Y16" s="73" t="str">
        <f t="shared" si="1"/>
        <v/>
      </c>
      <c r="Z16" s="73" t="str">
        <f t="shared" si="1"/>
        <v/>
      </c>
      <c r="AA16" s="73" t="str">
        <f t="shared" si="1"/>
        <v/>
      </c>
      <c r="AB16" s="74" t="str">
        <f t="shared" si="1"/>
        <v/>
      </c>
      <c r="AC16" s="35" t="str">
        <f t="shared" ref="AC16:AC79" si="14">IF(C16="","",SUM(H16:AB16)*AK16)</f>
        <v/>
      </c>
      <c r="AD16" s="40" t="str">
        <f t="shared" ref="AD16:AD79" si="15">IF(C16="","",SUM(H16:AB16))</f>
        <v/>
      </c>
      <c r="AE16" s="37" t="str">
        <f t="shared" ref="AE16:AE79" si="16">IF(C16="","",SUM(H16:R16)*AK16)</f>
        <v/>
      </c>
      <c r="AF16" s="40" t="str">
        <f t="shared" si="7"/>
        <v/>
      </c>
      <c r="AG16" s="37" t="str">
        <f t="shared" si="8"/>
        <v/>
      </c>
      <c r="AH16" s="40" t="str">
        <f t="shared" si="9"/>
        <v/>
      </c>
      <c r="AI16" s="37" t="str">
        <f t="shared" ref="AI16:AI79" si="17">IF(C16="","",SUM(J16:M16,T16:W16)*AK16)</f>
        <v/>
      </c>
      <c r="AJ16" s="40" t="str">
        <f t="shared" ref="AJ16:AJ79" si="18">IF(C16="","",SUM(J16:M16,T16:W16))</f>
        <v/>
      </c>
      <c r="AK16" s="33" t="str">
        <f>IF(SEM!AK16="","",SEM!AK16)</f>
        <v/>
      </c>
      <c r="AL16" s="6"/>
      <c r="AM16" s="79" t="str">
        <f t="shared" si="12"/>
        <v/>
      </c>
      <c r="AN16" s="12"/>
      <c r="AO16" s="12"/>
      <c r="AP16" s="203" t="s">
        <v>1022</v>
      </c>
      <c r="AQ16" s="45">
        <v>45</v>
      </c>
      <c r="AR16" s="15"/>
      <c r="AU16" s="198"/>
      <c r="AV16" s="198"/>
      <c r="AW16" s="198"/>
      <c r="AX16" s="198"/>
    </row>
    <row r="17" spans="2:50" ht="17.25" customHeight="1" x14ac:dyDescent="0.2">
      <c r="B17" s="6"/>
      <c r="C17" s="49" t="str">
        <f>IF(SEM!C17="","",SEM!C17)</f>
        <v/>
      </c>
      <c r="D17" s="220" t="str">
        <f>IF(C17="","",VLOOKUP(SEM!C17,FROTA!$B$5:$C$305,2,0))</f>
        <v/>
      </c>
      <c r="E17" s="24" t="str">
        <f>IF(C17="","",VLOOKUP(C17,FROTA!$B$5:$N$305,7,0))</f>
        <v/>
      </c>
      <c r="F17" s="38" t="str">
        <f t="shared" si="2"/>
        <v/>
      </c>
      <c r="G17" s="71" t="str">
        <f t="shared" si="13"/>
        <v/>
      </c>
      <c r="H17" s="32" t="str">
        <f t="shared" si="3"/>
        <v/>
      </c>
      <c r="I17" s="73" t="str">
        <f t="shared" si="3"/>
        <v/>
      </c>
      <c r="J17" s="73" t="str">
        <f t="shared" si="3"/>
        <v/>
      </c>
      <c r="K17" s="73" t="str">
        <f t="shared" si="0"/>
        <v/>
      </c>
      <c r="L17" s="73" t="str">
        <f t="shared" si="0"/>
        <v/>
      </c>
      <c r="M17" s="73" t="str">
        <f t="shared" si="0"/>
        <v/>
      </c>
      <c r="N17" s="73" t="str">
        <f t="shared" si="0"/>
        <v/>
      </c>
      <c r="O17" s="73" t="str">
        <f t="shared" si="0"/>
        <v/>
      </c>
      <c r="P17" s="73" t="str">
        <f t="shared" si="0"/>
        <v/>
      </c>
      <c r="Q17" s="73" t="str">
        <f t="shared" si="0"/>
        <v/>
      </c>
      <c r="R17" s="73" t="str">
        <f t="shared" si="1"/>
        <v/>
      </c>
      <c r="S17" s="73" t="str">
        <f t="shared" si="1"/>
        <v/>
      </c>
      <c r="T17" s="73" t="str">
        <f t="shared" si="1"/>
        <v/>
      </c>
      <c r="U17" s="73" t="str">
        <f t="shared" si="1"/>
        <v/>
      </c>
      <c r="V17" s="73" t="str">
        <f t="shared" si="1"/>
        <v/>
      </c>
      <c r="W17" s="73" t="str">
        <f t="shared" si="1"/>
        <v/>
      </c>
      <c r="X17" s="73" t="str">
        <f t="shared" si="1"/>
        <v/>
      </c>
      <c r="Y17" s="73" t="str">
        <f t="shared" si="1"/>
        <v/>
      </c>
      <c r="Z17" s="73" t="str">
        <f t="shared" si="1"/>
        <v/>
      </c>
      <c r="AA17" s="73" t="str">
        <f t="shared" si="1"/>
        <v/>
      </c>
      <c r="AB17" s="74" t="str">
        <f t="shared" si="1"/>
        <v/>
      </c>
      <c r="AC17" s="35" t="str">
        <f t="shared" si="14"/>
        <v/>
      </c>
      <c r="AD17" s="40" t="str">
        <f t="shared" si="15"/>
        <v/>
      </c>
      <c r="AE17" s="37" t="str">
        <f t="shared" si="16"/>
        <v/>
      </c>
      <c r="AF17" s="40" t="str">
        <f t="shared" si="7"/>
        <v/>
      </c>
      <c r="AG17" s="37" t="str">
        <f t="shared" si="8"/>
        <v/>
      </c>
      <c r="AH17" s="40" t="str">
        <f t="shared" si="9"/>
        <v/>
      </c>
      <c r="AI17" s="37" t="str">
        <f t="shared" si="17"/>
        <v/>
      </c>
      <c r="AJ17" s="40" t="str">
        <f t="shared" si="18"/>
        <v/>
      </c>
      <c r="AK17" s="33" t="str">
        <f>IF(SEM!AK17="","",SEM!AK17)</f>
        <v/>
      </c>
      <c r="AL17" s="6"/>
      <c r="AM17" s="79" t="str">
        <f t="shared" si="12"/>
        <v/>
      </c>
      <c r="AN17" s="12"/>
      <c r="AO17" s="12"/>
      <c r="AP17" s="203" t="s">
        <v>1020</v>
      </c>
      <c r="AQ17" s="45">
        <v>45</v>
      </c>
      <c r="AR17" s="15"/>
      <c r="AU17" s="198"/>
      <c r="AV17" s="198"/>
      <c r="AW17" s="198"/>
      <c r="AX17" s="198"/>
    </row>
    <row r="18" spans="2:50" ht="17.25" customHeight="1" x14ac:dyDescent="0.2">
      <c r="B18" s="6"/>
      <c r="C18" s="49" t="str">
        <f>IF(SEM!C18="","",SEM!C18)</f>
        <v/>
      </c>
      <c r="D18" s="220" t="str">
        <f>IF(C18="","",VLOOKUP(SEM!C18,FROTA!$B$5:$C$305,2,0))</f>
        <v/>
      </c>
      <c r="E18" s="24" t="str">
        <f>IF(C18="","",VLOOKUP(C18,FROTA!$B$5:$N$305,7,0))</f>
        <v/>
      </c>
      <c r="F18" s="38" t="str">
        <f t="shared" si="2"/>
        <v/>
      </c>
      <c r="G18" s="71" t="str">
        <f t="shared" si="13"/>
        <v/>
      </c>
      <c r="H18" s="32" t="str">
        <f t="shared" si="3"/>
        <v/>
      </c>
      <c r="I18" s="73" t="str">
        <f t="shared" si="3"/>
        <v/>
      </c>
      <c r="J18" s="73" t="str">
        <f t="shared" si="3"/>
        <v/>
      </c>
      <c r="K18" s="73" t="str">
        <f t="shared" si="0"/>
        <v/>
      </c>
      <c r="L18" s="73" t="str">
        <f t="shared" si="0"/>
        <v/>
      </c>
      <c r="M18" s="73" t="str">
        <f t="shared" si="0"/>
        <v/>
      </c>
      <c r="N18" s="73" t="str">
        <f t="shared" si="0"/>
        <v/>
      </c>
      <c r="O18" s="73" t="str">
        <f t="shared" si="0"/>
        <v/>
      </c>
      <c r="P18" s="73" t="str">
        <f t="shared" si="0"/>
        <v/>
      </c>
      <c r="Q18" s="73" t="str">
        <f t="shared" si="0"/>
        <v/>
      </c>
      <c r="R18" s="73" t="str">
        <f t="shared" si="1"/>
        <v/>
      </c>
      <c r="S18" s="73" t="str">
        <f t="shared" si="1"/>
        <v/>
      </c>
      <c r="T18" s="73" t="str">
        <f t="shared" si="1"/>
        <v/>
      </c>
      <c r="U18" s="73" t="str">
        <f t="shared" si="1"/>
        <v/>
      </c>
      <c r="V18" s="73" t="str">
        <f t="shared" si="1"/>
        <v/>
      </c>
      <c r="W18" s="73" t="str">
        <f t="shared" si="1"/>
        <v/>
      </c>
      <c r="X18" s="73" t="str">
        <f t="shared" si="1"/>
        <v/>
      </c>
      <c r="Y18" s="73" t="str">
        <f t="shared" si="1"/>
        <v/>
      </c>
      <c r="Z18" s="73" t="str">
        <f t="shared" si="1"/>
        <v/>
      </c>
      <c r="AA18" s="73" t="str">
        <f t="shared" si="1"/>
        <v/>
      </c>
      <c r="AB18" s="74" t="str">
        <f t="shared" si="1"/>
        <v/>
      </c>
      <c r="AC18" s="35" t="str">
        <f t="shared" si="14"/>
        <v/>
      </c>
      <c r="AD18" s="40" t="str">
        <f t="shared" si="15"/>
        <v/>
      </c>
      <c r="AE18" s="37" t="str">
        <f t="shared" si="16"/>
        <v/>
      </c>
      <c r="AF18" s="40" t="str">
        <f t="shared" si="7"/>
        <v/>
      </c>
      <c r="AG18" s="37" t="str">
        <f t="shared" si="8"/>
        <v/>
      </c>
      <c r="AH18" s="40" t="str">
        <f t="shared" si="9"/>
        <v/>
      </c>
      <c r="AI18" s="37" t="str">
        <f t="shared" si="17"/>
        <v/>
      </c>
      <c r="AJ18" s="40" t="str">
        <f t="shared" si="18"/>
        <v/>
      </c>
      <c r="AK18" s="33" t="str">
        <f>IF(SEM!AK18="","",SEM!AK18)</f>
        <v/>
      </c>
      <c r="AL18" s="6"/>
      <c r="AM18" s="79" t="str">
        <f t="shared" si="12"/>
        <v/>
      </c>
      <c r="AN18" s="12"/>
      <c r="AO18" s="12"/>
      <c r="AP18" s="203" t="s">
        <v>1021</v>
      </c>
      <c r="AQ18" s="45">
        <v>45</v>
      </c>
      <c r="AR18" s="15"/>
      <c r="AU18" s="198"/>
      <c r="AV18" s="198"/>
      <c r="AW18" s="198"/>
      <c r="AX18" s="198"/>
    </row>
    <row r="19" spans="2:50" ht="17.25" customHeight="1" x14ac:dyDescent="0.2">
      <c r="B19" s="6"/>
      <c r="C19" s="49" t="str">
        <f>IF(SEM!C19="","",SEM!C19)</f>
        <v/>
      </c>
      <c r="D19" s="220" t="str">
        <f>IF(C19="","",VLOOKUP(SEM!C19,FROTA!$B$5:$C$305,2,0))</f>
        <v/>
      </c>
      <c r="E19" s="24" t="str">
        <f>IF(C19="","",VLOOKUP(C19,FROTA!$B$5:$N$305,7,0))</f>
        <v/>
      </c>
      <c r="F19" s="38" t="str">
        <f t="shared" si="2"/>
        <v/>
      </c>
      <c r="G19" s="71" t="str">
        <f t="shared" si="13"/>
        <v/>
      </c>
      <c r="H19" s="32" t="str">
        <f t="shared" si="3"/>
        <v/>
      </c>
      <c r="I19" s="73" t="str">
        <f t="shared" si="3"/>
        <v/>
      </c>
      <c r="J19" s="73" t="str">
        <f t="shared" si="3"/>
        <v/>
      </c>
      <c r="K19" s="73" t="str">
        <f t="shared" si="0"/>
        <v/>
      </c>
      <c r="L19" s="73" t="str">
        <f t="shared" si="0"/>
        <v/>
      </c>
      <c r="M19" s="73" t="str">
        <f t="shared" si="0"/>
        <v/>
      </c>
      <c r="N19" s="73" t="str">
        <f t="shared" si="0"/>
        <v/>
      </c>
      <c r="O19" s="73" t="str">
        <f t="shared" si="0"/>
        <v/>
      </c>
      <c r="P19" s="73" t="str">
        <f t="shared" si="0"/>
        <v/>
      </c>
      <c r="Q19" s="73" t="str">
        <f t="shared" si="0"/>
        <v/>
      </c>
      <c r="R19" s="73" t="str">
        <f t="shared" si="1"/>
        <v/>
      </c>
      <c r="S19" s="73" t="str">
        <f t="shared" si="1"/>
        <v/>
      </c>
      <c r="T19" s="73" t="str">
        <f t="shared" si="1"/>
        <v/>
      </c>
      <c r="U19" s="73" t="str">
        <f t="shared" si="1"/>
        <v/>
      </c>
      <c r="V19" s="73" t="str">
        <f t="shared" si="1"/>
        <v/>
      </c>
      <c r="W19" s="73" t="str">
        <f t="shared" si="1"/>
        <v/>
      </c>
      <c r="X19" s="73" t="str">
        <f t="shared" si="1"/>
        <v/>
      </c>
      <c r="Y19" s="73" t="str">
        <f t="shared" si="1"/>
        <v/>
      </c>
      <c r="Z19" s="73" t="str">
        <f t="shared" si="1"/>
        <v/>
      </c>
      <c r="AA19" s="73" t="str">
        <f t="shared" si="1"/>
        <v/>
      </c>
      <c r="AB19" s="74" t="str">
        <f t="shared" si="1"/>
        <v/>
      </c>
      <c r="AC19" s="35" t="str">
        <f t="shared" si="14"/>
        <v/>
      </c>
      <c r="AD19" s="40" t="str">
        <f t="shared" si="15"/>
        <v/>
      </c>
      <c r="AE19" s="37" t="str">
        <f t="shared" si="16"/>
        <v/>
      </c>
      <c r="AF19" s="40" t="str">
        <f t="shared" si="7"/>
        <v/>
      </c>
      <c r="AG19" s="37" t="str">
        <f t="shared" si="8"/>
        <v/>
      </c>
      <c r="AH19" s="40" t="str">
        <f t="shared" si="9"/>
        <v/>
      </c>
      <c r="AI19" s="37" t="str">
        <f t="shared" si="17"/>
        <v/>
      </c>
      <c r="AJ19" s="40" t="str">
        <f t="shared" si="18"/>
        <v/>
      </c>
      <c r="AK19" s="33" t="str">
        <f>IF(SEM!AK19="","",SEM!AK19)</f>
        <v/>
      </c>
      <c r="AL19" s="6"/>
      <c r="AM19" s="79" t="str">
        <f t="shared" si="12"/>
        <v/>
      </c>
      <c r="AN19" s="12"/>
      <c r="AO19" s="12"/>
      <c r="AP19" s="14"/>
      <c r="AQ19" s="16"/>
      <c r="AR19" s="15"/>
      <c r="AU19" s="198"/>
      <c r="AV19" s="198"/>
      <c r="AW19" s="198"/>
      <c r="AX19" s="198"/>
    </row>
    <row r="20" spans="2:50" ht="17.25" customHeight="1" x14ac:dyDescent="0.2">
      <c r="B20" s="6"/>
      <c r="C20" s="49" t="str">
        <f>IF(SEM!C20="","",SEM!C20)</f>
        <v/>
      </c>
      <c r="D20" s="220" t="str">
        <f>IF(C20="","",VLOOKUP(SEM!C20,FROTA!$B$5:$C$305,2,0))</f>
        <v/>
      </c>
      <c r="E20" s="24" t="str">
        <f>IF(C20="","",VLOOKUP(C20,FROTA!$B$5:$N$305,7,0))</f>
        <v/>
      </c>
      <c r="F20" s="38" t="str">
        <f t="shared" si="2"/>
        <v/>
      </c>
      <c r="G20" s="71" t="str">
        <f t="shared" si="13"/>
        <v/>
      </c>
      <c r="H20" s="32" t="str">
        <f t="shared" si="3"/>
        <v/>
      </c>
      <c r="I20" s="73" t="str">
        <f t="shared" si="3"/>
        <v/>
      </c>
      <c r="J20" s="73" t="str">
        <f t="shared" si="3"/>
        <v/>
      </c>
      <c r="K20" s="73" t="str">
        <f t="shared" si="0"/>
        <v/>
      </c>
      <c r="L20" s="73" t="str">
        <f t="shared" si="0"/>
        <v/>
      </c>
      <c r="M20" s="73" t="str">
        <f t="shared" si="0"/>
        <v/>
      </c>
      <c r="N20" s="73" t="str">
        <f t="shared" si="0"/>
        <v/>
      </c>
      <c r="O20" s="73" t="str">
        <f t="shared" si="0"/>
        <v/>
      </c>
      <c r="P20" s="73" t="str">
        <f t="shared" si="0"/>
        <v/>
      </c>
      <c r="Q20" s="73" t="str">
        <f t="shared" si="0"/>
        <v/>
      </c>
      <c r="R20" s="73" t="str">
        <f t="shared" si="1"/>
        <v/>
      </c>
      <c r="S20" s="73" t="str">
        <f t="shared" si="1"/>
        <v/>
      </c>
      <c r="T20" s="73" t="str">
        <f t="shared" si="1"/>
        <v/>
      </c>
      <c r="U20" s="73" t="str">
        <f t="shared" si="1"/>
        <v/>
      </c>
      <c r="V20" s="73" t="str">
        <f t="shared" si="1"/>
        <v/>
      </c>
      <c r="W20" s="73" t="str">
        <f t="shared" si="1"/>
        <v/>
      </c>
      <c r="X20" s="73" t="str">
        <f t="shared" si="1"/>
        <v/>
      </c>
      <c r="Y20" s="73" t="str">
        <f t="shared" si="1"/>
        <v/>
      </c>
      <c r="Z20" s="73" t="str">
        <f t="shared" si="1"/>
        <v/>
      </c>
      <c r="AA20" s="73" t="str">
        <f t="shared" si="1"/>
        <v/>
      </c>
      <c r="AB20" s="74" t="str">
        <f t="shared" si="1"/>
        <v/>
      </c>
      <c r="AC20" s="35" t="str">
        <f t="shared" si="14"/>
        <v/>
      </c>
      <c r="AD20" s="40" t="str">
        <f t="shared" si="15"/>
        <v/>
      </c>
      <c r="AE20" s="37" t="str">
        <f t="shared" si="16"/>
        <v/>
      </c>
      <c r="AF20" s="40" t="str">
        <f t="shared" si="7"/>
        <v/>
      </c>
      <c r="AG20" s="37" t="str">
        <f t="shared" si="8"/>
        <v/>
      </c>
      <c r="AH20" s="40" t="str">
        <f t="shared" si="9"/>
        <v/>
      </c>
      <c r="AI20" s="37" t="str">
        <f t="shared" si="17"/>
        <v/>
      </c>
      <c r="AJ20" s="40" t="str">
        <f t="shared" si="18"/>
        <v/>
      </c>
      <c r="AK20" s="33" t="str">
        <f>IF(SEM!AK20="","",SEM!AK20)</f>
        <v/>
      </c>
      <c r="AL20" s="6"/>
      <c r="AM20" s="79" t="str">
        <f t="shared" si="12"/>
        <v/>
      </c>
      <c r="AN20" s="12"/>
      <c r="AO20" s="12"/>
      <c r="AP20" s="14"/>
      <c r="AQ20" s="16"/>
      <c r="AR20" s="15"/>
      <c r="AU20" s="198"/>
      <c r="AV20" s="198"/>
      <c r="AW20" s="198"/>
      <c r="AX20" s="198"/>
    </row>
    <row r="21" spans="2:50" ht="17.25" customHeight="1" x14ac:dyDescent="0.2">
      <c r="B21" s="6"/>
      <c r="C21" s="49" t="str">
        <f>IF(SEM!C21="","",SEM!C21)</f>
        <v/>
      </c>
      <c r="D21" s="220" t="str">
        <f>IF(C21="","",VLOOKUP(SEM!C21,FROTA!$B$5:$C$305,2,0))</f>
        <v/>
      </c>
      <c r="E21" s="24" t="str">
        <f>IF(C21="","",VLOOKUP(C21,FROTA!$B$5:$N$305,7,0))</f>
        <v/>
      </c>
      <c r="F21" s="38" t="str">
        <f t="shared" si="2"/>
        <v/>
      </c>
      <c r="G21" s="71" t="str">
        <f t="shared" si="13"/>
        <v/>
      </c>
      <c r="H21" s="32" t="str">
        <f t="shared" si="3"/>
        <v/>
      </c>
      <c r="I21" s="73" t="str">
        <f t="shared" si="3"/>
        <v/>
      </c>
      <c r="J21" s="73" t="str">
        <f t="shared" si="3"/>
        <v/>
      </c>
      <c r="K21" s="73" t="str">
        <f t="shared" si="0"/>
        <v/>
      </c>
      <c r="L21" s="73" t="str">
        <f t="shared" si="0"/>
        <v/>
      </c>
      <c r="M21" s="73" t="str">
        <f t="shared" si="0"/>
        <v/>
      </c>
      <c r="N21" s="73" t="str">
        <f t="shared" si="0"/>
        <v/>
      </c>
      <c r="O21" s="73" t="str">
        <f t="shared" si="0"/>
        <v/>
      </c>
      <c r="P21" s="73" t="str">
        <f t="shared" si="0"/>
        <v/>
      </c>
      <c r="Q21" s="73" t="str">
        <f t="shared" si="0"/>
        <v/>
      </c>
      <c r="R21" s="73" t="str">
        <f t="shared" si="1"/>
        <v/>
      </c>
      <c r="S21" s="73" t="str">
        <f t="shared" si="1"/>
        <v/>
      </c>
      <c r="T21" s="73" t="str">
        <f t="shared" si="1"/>
        <v/>
      </c>
      <c r="U21" s="73" t="str">
        <f t="shared" si="1"/>
        <v/>
      </c>
      <c r="V21" s="73" t="str">
        <f t="shared" si="1"/>
        <v/>
      </c>
      <c r="W21" s="73" t="str">
        <f t="shared" si="1"/>
        <v/>
      </c>
      <c r="X21" s="73" t="str">
        <f t="shared" si="1"/>
        <v/>
      </c>
      <c r="Y21" s="73" t="str">
        <f t="shared" si="1"/>
        <v/>
      </c>
      <c r="Z21" s="73" t="str">
        <f t="shared" si="1"/>
        <v/>
      </c>
      <c r="AA21" s="73" t="str">
        <f t="shared" si="1"/>
        <v/>
      </c>
      <c r="AB21" s="74" t="str">
        <f t="shared" si="1"/>
        <v/>
      </c>
      <c r="AC21" s="35" t="str">
        <f t="shared" si="14"/>
        <v/>
      </c>
      <c r="AD21" s="40" t="str">
        <f t="shared" si="15"/>
        <v/>
      </c>
      <c r="AE21" s="37" t="str">
        <f t="shared" si="16"/>
        <v/>
      </c>
      <c r="AF21" s="40" t="str">
        <f t="shared" si="7"/>
        <v/>
      </c>
      <c r="AG21" s="37" t="str">
        <f t="shared" si="8"/>
        <v/>
      </c>
      <c r="AH21" s="40" t="str">
        <f t="shared" si="9"/>
        <v/>
      </c>
      <c r="AI21" s="37" t="str">
        <f t="shared" si="17"/>
        <v/>
      </c>
      <c r="AJ21" s="40" t="str">
        <f t="shared" si="18"/>
        <v/>
      </c>
      <c r="AK21" s="33" t="str">
        <f>IF(SEM!AK21="","",SEM!AK21)</f>
        <v/>
      </c>
      <c r="AL21" s="6"/>
      <c r="AM21" s="79" t="str">
        <f t="shared" si="12"/>
        <v/>
      </c>
      <c r="AN21" s="12"/>
      <c r="AO21" s="12"/>
      <c r="AP21" s="14"/>
      <c r="AQ21" s="16"/>
      <c r="AR21" s="15"/>
      <c r="AU21" s="198"/>
      <c r="AV21" s="198"/>
      <c r="AW21" s="198"/>
      <c r="AX21" s="198"/>
    </row>
    <row r="22" spans="2:50" ht="17.25" customHeight="1" x14ac:dyDescent="0.2">
      <c r="B22" s="6"/>
      <c r="C22" s="49" t="str">
        <f>IF(SEM!C22="","",SEM!C22)</f>
        <v/>
      </c>
      <c r="D22" s="220" t="str">
        <f>IF(C22="","",VLOOKUP(SEM!C22,FROTA!$B$5:$C$305,2,0))</f>
        <v/>
      </c>
      <c r="E22" s="24" t="str">
        <f>IF(C22="","",VLOOKUP(C22,FROTA!$B$5:$N$305,7,0))</f>
        <v/>
      </c>
      <c r="F22" s="38" t="str">
        <f t="shared" si="2"/>
        <v/>
      </c>
      <c r="G22" s="71" t="str">
        <f t="shared" si="13"/>
        <v/>
      </c>
      <c r="H22" s="32" t="str">
        <f t="shared" si="3"/>
        <v/>
      </c>
      <c r="I22" s="73" t="str">
        <f t="shared" si="3"/>
        <v/>
      </c>
      <c r="J22" s="73" t="str">
        <f t="shared" si="3"/>
        <v/>
      </c>
      <c r="K22" s="73" t="str">
        <f t="shared" ref="K22:Q58" si="19">IF($C22="","",IF(SUM(K$307*$G22)&gt;$F22,$F22,SUM(K$307*$G22)))</f>
        <v/>
      </c>
      <c r="L22" s="73" t="str">
        <f t="shared" si="19"/>
        <v/>
      </c>
      <c r="M22" s="73" t="str">
        <f t="shared" si="19"/>
        <v/>
      </c>
      <c r="N22" s="73" t="str">
        <f t="shared" si="19"/>
        <v/>
      </c>
      <c r="O22" s="73" t="str">
        <f t="shared" si="19"/>
        <v/>
      </c>
      <c r="P22" s="73" t="str">
        <f t="shared" si="19"/>
        <v/>
      </c>
      <c r="Q22" s="73" t="str">
        <f t="shared" si="19"/>
        <v/>
      </c>
      <c r="R22" s="73" t="str">
        <f t="shared" ref="R22:AB45" si="20">IF($C22="","",IF(SUM(R$307*$G22)&gt;$F22,$F22,SUM(R$307*$G22)))</f>
        <v/>
      </c>
      <c r="S22" s="73" t="str">
        <f t="shared" si="20"/>
        <v/>
      </c>
      <c r="T22" s="73" t="str">
        <f t="shared" si="20"/>
        <v/>
      </c>
      <c r="U22" s="73" t="str">
        <f t="shared" si="20"/>
        <v/>
      </c>
      <c r="V22" s="73" t="str">
        <f t="shared" si="20"/>
        <v/>
      </c>
      <c r="W22" s="73" t="str">
        <f t="shared" si="20"/>
        <v/>
      </c>
      <c r="X22" s="73" t="str">
        <f t="shared" si="20"/>
        <v/>
      </c>
      <c r="Y22" s="73" t="str">
        <f t="shared" si="20"/>
        <v/>
      </c>
      <c r="Z22" s="73" t="str">
        <f t="shared" si="20"/>
        <v/>
      </c>
      <c r="AA22" s="73" t="str">
        <f t="shared" si="20"/>
        <v/>
      </c>
      <c r="AB22" s="74" t="str">
        <f t="shared" si="20"/>
        <v/>
      </c>
      <c r="AC22" s="35" t="str">
        <f t="shared" si="14"/>
        <v/>
      </c>
      <c r="AD22" s="40" t="str">
        <f t="shared" si="15"/>
        <v/>
      </c>
      <c r="AE22" s="37" t="str">
        <f t="shared" si="16"/>
        <v/>
      </c>
      <c r="AF22" s="40" t="str">
        <f t="shared" si="7"/>
        <v/>
      </c>
      <c r="AG22" s="37" t="str">
        <f t="shared" si="8"/>
        <v/>
      </c>
      <c r="AH22" s="40" t="str">
        <f t="shared" si="9"/>
        <v/>
      </c>
      <c r="AI22" s="37" t="str">
        <f t="shared" si="17"/>
        <v/>
      </c>
      <c r="AJ22" s="40" t="str">
        <f t="shared" si="18"/>
        <v/>
      </c>
      <c r="AK22" s="33" t="str">
        <f>IF(SEM!AK22="","",SEM!AK22)</f>
        <v/>
      </c>
      <c r="AL22" s="6"/>
      <c r="AM22" s="79" t="str">
        <f t="shared" si="12"/>
        <v/>
      </c>
      <c r="AN22" s="12"/>
      <c r="AO22" s="12"/>
      <c r="AP22" s="14"/>
      <c r="AQ22" s="16"/>
      <c r="AR22" s="15"/>
      <c r="AU22" s="198"/>
      <c r="AV22" s="198"/>
      <c r="AW22" s="198"/>
      <c r="AX22" s="198"/>
    </row>
    <row r="23" spans="2:50" ht="17.25" customHeight="1" x14ac:dyDescent="0.2">
      <c r="B23" s="6"/>
      <c r="C23" s="49" t="str">
        <f>IF(SEM!C23="","",SEM!C23)</f>
        <v/>
      </c>
      <c r="D23" s="220" t="str">
        <f>IF(C23="","",VLOOKUP(SEM!C23,FROTA!$B$5:$C$305,2,0))</f>
        <v/>
      </c>
      <c r="E23" s="24" t="str">
        <f>IF(C23="","",VLOOKUP(C23,FROTA!$B$5:$N$305,7,0))</f>
        <v/>
      </c>
      <c r="F23" s="38" t="str">
        <f t="shared" si="2"/>
        <v/>
      </c>
      <c r="G23" s="71" t="str">
        <f t="shared" si="13"/>
        <v/>
      </c>
      <c r="H23" s="32" t="str">
        <f t="shared" ref="H23:J86" si="21">IF($C23="","",IF(SUM(H$307*$G23)&gt;$F23,$F23,SUM(H$307*$G23)))</f>
        <v/>
      </c>
      <c r="I23" s="73" t="str">
        <f t="shared" si="21"/>
        <v/>
      </c>
      <c r="J23" s="73" t="str">
        <f t="shared" si="21"/>
        <v/>
      </c>
      <c r="K23" s="73" t="str">
        <f t="shared" si="19"/>
        <v/>
      </c>
      <c r="L23" s="73" t="str">
        <f t="shared" si="19"/>
        <v/>
      </c>
      <c r="M23" s="73" t="str">
        <f t="shared" si="19"/>
        <v/>
      </c>
      <c r="N23" s="73" t="str">
        <f t="shared" si="19"/>
        <v/>
      </c>
      <c r="O23" s="73" t="str">
        <f t="shared" si="19"/>
        <v/>
      </c>
      <c r="P23" s="73" t="str">
        <f t="shared" si="19"/>
        <v/>
      </c>
      <c r="Q23" s="73" t="str">
        <f t="shared" si="19"/>
        <v/>
      </c>
      <c r="R23" s="73" t="str">
        <f t="shared" si="20"/>
        <v/>
      </c>
      <c r="S23" s="73" t="str">
        <f t="shared" si="20"/>
        <v/>
      </c>
      <c r="T23" s="73" t="str">
        <f t="shared" si="20"/>
        <v/>
      </c>
      <c r="U23" s="73" t="str">
        <f t="shared" si="20"/>
        <v/>
      </c>
      <c r="V23" s="73" t="str">
        <f t="shared" si="20"/>
        <v/>
      </c>
      <c r="W23" s="73" t="str">
        <f t="shared" si="20"/>
        <v/>
      </c>
      <c r="X23" s="73" t="str">
        <f t="shared" si="20"/>
        <v/>
      </c>
      <c r="Y23" s="73" t="str">
        <f t="shared" si="20"/>
        <v/>
      </c>
      <c r="Z23" s="73" t="str">
        <f t="shared" si="20"/>
        <v/>
      </c>
      <c r="AA23" s="73" t="str">
        <f t="shared" si="20"/>
        <v/>
      </c>
      <c r="AB23" s="74" t="str">
        <f t="shared" si="20"/>
        <v/>
      </c>
      <c r="AC23" s="35" t="str">
        <f t="shared" si="14"/>
        <v/>
      </c>
      <c r="AD23" s="40" t="str">
        <f t="shared" si="15"/>
        <v/>
      </c>
      <c r="AE23" s="37" t="str">
        <f t="shared" si="16"/>
        <v/>
      </c>
      <c r="AF23" s="40" t="str">
        <f t="shared" si="7"/>
        <v/>
      </c>
      <c r="AG23" s="37" t="str">
        <f t="shared" si="8"/>
        <v/>
      </c>
      <c r="AH23" s="40" t="str">
        <f t="shared" si="9"/>
        <v/>
      </c>
      <c r="AI23" s="37" t="str">
        <f t="shared" si="17"/>
        <v/>
      </c>
      <c r="AJ23" s="40" t="str">
        <f t="shared" si="18"/>
        <v/>
      </c>
      <c r="AK23" s="33" t="str">
        <f>IF(SEM!AK23="","",SEM!AK23)</f>
        <v/>
      </c>
      <c r="AL23" s="6"/>
      <c r="AM23" s="79" t="str">
        <f t="shared" si="12"/>
        <v/>
      </c>
      <c r="AN23" s="12"/>
      <c r="AO23" s="12"/>
      <c r="AP23" s="14"/>
      <c r="AQ23" s="16"/>
      <c r="AR23" s="15"/>
      <c r="AU23" s="198"/>
      <c r="AV23" s="198"/>
      <c r="AW23" s="198"/>
      <c r="AX23" s="198"/>
    </row>
    <row r="24" spans="2:50" ht="17.25" customHeight="1" x14ac:dyDescent="0.2">
      <c r="B24" s="6"/>
      <c r="C24" s="49" t="str">
        <f>IF(SEM!C24="","",SEM!C24)</f>
        <v/>
      </c>
      <c r="D24" s="220" t="str">
        <f>IF(C24="","",VLOOKUP(SEM!C24,FROTA!$B$5:$C$305,2,0))</f>
        <v/>
      </c>
      <c r="E24" s="24" t="str">
        <f>IF(C24="","",VLOOKUP(C24,FROTA!$B$5:$N$305,7,0))</f>
        <v/>
      </c>
      <c r="F24" s="38" t="str">
        <f t="shared" si="2"/>
        <v/>
      </c>
      <c r="G24" s="71" t="str">
        <f t="shared" si="13"/>
        <v/>
      </c>
      <c r="H24" s="32" t="str">
        <f t="shared" si="21"/>
        <v/>
      </c>
      <c r="I24" s="73" t="str">
        <f t="shared" si="21"/>
        <v/>
      </c>
      <c r="J24" s="73" t="str">
        <f t="shared" si="21"/>
        <v/>
      </c>
      <c r="K24" s="73" t="str">
        <f t="shared" si="19"/>
        <v/>
      </c>
      <c r="L24" s="73" t="str">
        <f t="shared" si="19"/>
        <v/>
      </c>
      <c r="M24" s="73" t="str">
        <f t="shared" si="19"/>
        <v/>
      </c>
      <c r="N24" s="73" t="str">
        <f t="shared" si="19"/>
        <v/>
      </c>
      <c r="O24" s="73" t="str">
        <f t="shared" si="19"/>
        <v/>
      </c>
      <c r="P24" s="73" t="str">
        <f t="shared" si="19"/>
        <v/>
      </c>
      <c r="Q24" s="73" t="str">
        <f t="shared" si="19"/>
        <v/>
      </c>
      <c r="R24" s="73" t="str">
        <f t="shared" si="20"/>
        <v/>
      </c>
      <c r="S24" s="73" t="str">
        <f t="shared" si="20"/>
        <v/>
      </c>
      <c r="T24" s="73" t="str">
        <f t="shared" si="20"/>
        <v/>
      </c>
      <c r="U24" s="73" t="str">
        <f t="shared" si="20"/>
        <v/>
      </c>
      <c r="V24" s="73" t="str">
        <f t="shared" si="20"/>
        <v/>
      </c>
      <c r="W24" s="73" t="str">
        <f t="shared" si="20"/>
        <v/>
      </c>
      <c r="X24" s="73" t="str">
        <f t="shared" si="20"/>
        <v/>
      </c>
      <c r="Y24" s="73" t="str">
        <f t="shared" si="20"/>
        <v/>
      </c>
      <c r="Z24" s="73" t="str">
        <f t="shared" si="20"/>
        <v/>
      </c>
      <c r="AA24" s="73" t="str">
        <f t="shared" si="20"/>
        <v/>
      </c>
      <c r="AB24" s="74" t="str">
        <f t="shared" si="20"/>
        <v/>
      </c>
      <c r="AC24" s="35" t="str">
        <f t="shared" si="14"/>
        <v/>
      </c>
      <c r="AD24" s="40" t="str">
        <f t="shared" si="15"/>
        <v/>
      </c>
      <c r="AE24" s="37" t="str">
        <f t="shared" si="16"/>
        <v/>
      </c>
      <c r="AF24" s="40" t="str">
        <f t="shared" si="7"/>
        <v/>
      </c>
      <c r="AG24" s="37" t="str">
        <f t="shared" si="8"/>
        <v/>
      </c>
      <c r="AH24" s="40" t="str">
        <f t="shared" si="9"/>
        <v/>
      </c>
      <c r="AI24" s="37" t="str">
        <f t="shared" si="17"/>
        <v/>
      </c>
      <c r="AJ24" s="40" t="str">
        <f t="shared" si="18"/>
        <v/>
      </c>
      <c r="AK24" s="33" t="str">
        <f>IF(SEM!AK24="","",SEM!AK24)</f>
        <v/>
      </c>
      <c r="AL24" s="6"/>
      <c r="AM24" s="79" t="str">
        <f t="shared" si="12"/>
        <v/>
      </c>
      <c r="AN24" s="12"/>
      <c r="AO24" s="12"/>
      <c r="AP24" s="14"/>
      <c r="AQ24" s="16"/>
      <c r="AR24" s="15"/>
      <c r="AU24" s="198"/>
      <c r="AV24" s="198"/>
      <c r="AW24" s="198"/>
      <c r="AX24" s="198"/>
    </row>
    <row r="25" spans="2:50" ht="17.25" customHeight="1" x14ac:dyDescent="0.2">
      <c r="B25" s="6"/>
      <c r="C25" s="49" t="str">
        <f>IF(SEM!C25="","",SEM!C25)</f>
        <v/>
      </c>
      <c r="D25" s="220" t="str">
        <f>IF(C25="","",VLOOKUP(SEM!C25,FROTA!$B$5:$C$305,2,0))</f>
        <v/>
      </c>
      <c r="E25" s="24" t="str">
        <f>IF(C25="","",VLOOKUP(C25,FROTA!$B$5:$N$305,7,0))</f>
        <v/>
      </c>
      <c r="F25" s="38" t="str">
        <f t="shared" si="2"/>
        <v/>
      </c>
      <c r="G25" s="71" t="str">
        <f t="shared" si="13"/>
        <v/>
      </c>
      <c r="H25" s="32" t="str">
        <f t="shared" si="21"/>
        <v/>
      </c>
      <c r="I25" s="73" t="str">
        <f t="shared" si="21"/>
        <v/>
      </c>
      <c r="J25" s="73" t="str">
        <f t="shared" si="21"/>
        <v/>
      </c>
      <c r="K25" s="73" t="str">
        <f t="shared" si="19"/>
        <v/>
      </c>
      <c r="L25" s="73" t="str">
        <f t="shared" si="19"/>
        <v/>
      </c>
      <c r="M25" s="73" t="str">
        <f t="shared" si="19"/>
        <v/>
      </c>
      <c r="N25" s="73" t="str">
        <f t="shared" si="19"/>
        <v/>
      </c>
      <c r="O25" s="73" t="str">
        <f t="shared" si="19"/>
        <v/>
      </c>
      <c r="P25" s="73" t="str">
        <f t="shared" si="19"/>
        <v/>
      </c>
      <c r="Q25" s="73" t="str">
        <f t="shared" si="19"/>
        <v/>
      </c>
      <c r="R25" s="73" t="str">
        <f t="shared" si="20"/>
        <v/>
      </c>
      <c r="S25" s="73" t="str">
        <f t="shared" si="20"/>
        <v/>
      </c>
      <c r="T25" s="73" t="str">
        <f t="shared" si="20"/>
        <v/>
      </c>
      <c r="U25" s="73" t="str">
        <f t="shared" si="20"/>
        <v/>
      </c>
      <c r="V25" s="73" t="str">
        <f t="shared" si="20"/>
        <v/>
      </c>
      <c r="W25" s="73" t="str">
        <f t="shared" si="20"/>
        <v/>
      </c>
      <c r="X25" s="73" t="str">
        <f t="shared" si="20"/>
        <v/>
      </c>
      <c r="Y25" s="73" t="str">
        <f t="shared" si="20"/>
        <v/>
      </c>
      <c r="Z25" s="73" t="str">
        <f t="shared" si="20"/>
        <v/>
      </c>
      <c r="AA25" s="73" t="str">
        <f t="shared" si="20"/>
        <v/>
      </c>
      <c r="AB25" s="74" t="str">
        <f t="shared" si="20"/>
        <v/>
      </c>
      <c r="AC25" s="35" t="str">
        <f t="shared" si="14"/>
        <v/>
      </c>
      <c r="AD25" s="40" t="str">
        <f t="shared" si="15"/>
        <v/>
      </c>
      <c r="AE25" s="37" t="str">
        <f t="shared" si="16"/>
        <v/>
      </c>
      <c r="AF25" s="40" t="str">
        <f t="shared" si="7"/>
        <v/>
      </c>
      <c r="AG25" s="37" t="str">
        <f t="shared" si="8"/>
        <v/>
      </c>
      <c r="AH25" s="40" t="str">
        <f t="shared" si="9"/>
        <v/>
      </c>
      <c r="AI25" s="37" t="str">
        <f t="shared" si="17"/>
        <v/>
      </c>
      <c r="AJ25" s="40" t="str">
        <f t="shared" si="18"/>
        <v/>
      </c>
      <c r="AK25" s="33" t="str">
        <f>IF(SEM!AK25="","",SEM!AK25)</f>
        <v/>
      </c>
      <c r="AL25" s="6"/>
      <c r="AM25" s="79" t="str">
        <f t="shared" si="12"/>
        <v/>
      </c>
      <c r="AN25" s="12"/>
      <c r="AO25" s="12"/>
      <c r="AP25" s="14"/>
      <c r="AQ25" s="16"/>
      <c r="AR25" s="15"/>
      <c r="AU25" s="198"/>
      <c r="AV25" s="198"/>
      <c r="AW25" s="198"/>
      <c r="AX25" s="198"/>
    </row>
    <row r="26" spans="2:50" ht="17.25" customHeight="1" x14ac:dyDescent="0.2">
      <c r="B26" s="6"/>
      <c r="C26" s="49" t="str">
        <f>IF(SEM!C26="","",SEM!C26)</f>
        <v/>
      </c>
      <c r="D26" s="220" t="str">
        <f>IF(C26="","",VLOOKUP(SEM!C26,FROTA!$B$5:$C$305,2,0))</f>
        <v/>
      </c>
      <c r="E26" s="24" t="str">
        <f>IF(C26="","",VLOOKUP(C26,FROTA!$B$5:$N$305,7,0))</f>
        <v/>
      </c>
      <c r="F26" s="38" t="str">
        <f t="shared" si="2"/>
        <v/>
      </c>
      <c r="G26" s="71" t="str">
        <f t="shared" si="13"/>
        <v/>
      </c>
      <c r="H26" s="32" t="str">
        <f t="shared" si="21"/>
        <v/>
      </c>
      <c r="I26" s="73" t="str">
        <f t="shared" si="21"/>
        <v/>
      </c>
      <c r="J26" s="73" t="str">
        <f t="shared" si="21"/>
        <v/>
      </c>
      <c r="K26" s="73" t="str">
        <f t="shared" si="19"/>
        <v/>
      </c>
      <c r="L26" s="73" t="str">
        <f t="shared" si="19"/>
        <v/>
      </c>
      <c r="M26" s="73" t="str">
        <f t="shared" si="19"/>
        <v/>
      </c>
      <c r="N26" s="73" t="str">
        <f t="shared" si="19"/>
        <v/>
      </c>
      <c r="O26" s="73" t="str">
        <f t="shared" si="19"/>
        <v/>
      </c>
      <c r="P26" s="73" t="str">
        <f t="shared" si="19"/>
        <v/>
      </c>
      <c r="Q26" s="73" t="str">
        <f t="shared" si="19"/>
        <v/>
      </c>
      <c r="R26" s="73" t="str">
        <f t="shared" si="20"/>
        <v/>
      </c>
      <c r="S26" s="73" t="str">
        <f t="shared" si="20"/>
        <v/>
      </c>
      <c r="T26" s="73" t="str">
        <f t="shared" si="20"/>
        <v/>
      </c>
      <c r="U26" s="73" t="str">
        <f t="shared" si="20"/>
        <v/>
      </c>
      <c r="V26" s="73" t="str">
        <f t="shared" si="20"/>
        <v/>
      </c>
      <c r="W26" s="73" t="str">
        <f t="shared" si="20"/>
        <v/>
      </c>
      <c r="X26" s="73" t="str">
        <f t="shared" si="20"/>
        <v/>
      </c>
      <c r="Y26" s="73" t="str">
        <f t="shared" si="20"/>
        <v/>
      </c>
      <c r="Z26" s="73" t="str">
        <f t="shared" si="20"/>
        <v/>
      </c>
      <c r="AA26" s="73" t="str">
        <f t="shared" si="20"/>
        <v/>
      </c>
      <c r="AB26" s="74" t="str">
        <f t="shared" si="20"/>
        <v/>
      </c>
      <c r="AC26" s="35" t="str">
        <f t="shared" si="14"/>
        <v/>
      </c>
      <c r="AD26" s="40" t="str">
        <f t="shared" si="15"/>
        <v/>
      </c>
      <c r="AE26" s="37" t="str">
        <f t="shared" si="16"/>
        <v/>
      </c>
      <c r="AF26" s="40" t="str">
        <f t="shared" si="7"/>
        <v/>
      </c>
      <c r="AG26" s="37" t="str">
        <f t="shared" si="8"/>
        <v/>
      </c>
      <c r="AH26" s="40" t="str">
        <f t="shared" si="9"/>
        <v/>
      </c>
      <c r="AI26" s="37" t="str">
        <f t="shared" si="17"/>
        <v/>
      </c>
      <c r="AJ26" s="40" t="str">
        <f t="shared" si="18"/>
        <v/>
      </c>
      <c r="AK26" s="33" t="str">
        <f>IF(SEM!AK26="","",SEM!AK26)</f>
        <v/>
      </c>
      <c r="AL26" s="6"/>
      <c r="AM26" s="79" t="str">
        <f t="shared" si="12"/>
        <v/>
      </c>
      <c r="AN26" s="12"/>
      <c r="AO26" s="12"/>
      <c r="AP26" s="14"/>
      <c r="AQ26" s="16"/>
      <c r="AR26" s="15"/>
      <c r="AU26" s="198"/>
      <c r="AV26" s="198"/>
      <c r="AW26" s="198"/>
      <c r="AX26" s="198"/>
    </row>
    <row r="27" spans="2:50" ht="17.25" customHeight="1" x14ac:dyDescent="0.2">
      <c r="B27" s="6"/>
      <c r="C27" s="49" t="str">
        <f>IF(SEM!C27="","",SEM!C27)</f>
        <v/>
      </c>
      <c r="D27" s="220" t="str">
        <f>IF(C27="","",VLOOKUP(SEM!C27,FROTA!$B$5:$C$305,2,0))</f>
        <v/>
      </c>
      <c r="E27" s="24" t="str">
        <f>IF(C27="","",VLOOKUP(C27,FROTA!$B$5:$N$305,7,0))</f>
        <v/>
      </c>
      <c r="F27" s="38" t="str">
        <f t="shared" si="2"/>
        <v/>
      </c>
      <c r="G27" s="71" t="str">
        <f t="shared" si="13"/>
        <v/>
      </c>
      <c r="H27" s="32" t="str">
        <f t="shared" si="21"/>
        <v/>
      </c>
      <c r="I27" s="73" t="str">
        <f t="shared" si="21"/>
        <v/>
      </c>
      <c r="J27" s="73" t="str">
        <f t="shared" si="21"/>
        <v/>
      </c>
      <c r="K27" s="73" t="str">
        <f t="shared" si="19"/>
        <v/>
      </c>
      <c r="L27" s="73" t="str">
        <f t="shared" si="19"/>
        <v/>
      </c>
      <c r="M27" s="73" t="str">
        <f t="shared" si="19"/>
        <v/>
      </c>
      <c r="N27" s="73" t="str">
        <f t="shared" si="19"/>
        <v/>
      </c>
      <c r="O27" s="73" t="str">
        <f t="shared" si="19"/>
        <v/>
      </c>
      <c r="P27" s="73" t="str">
        <f t="shared" si="19"/>
        <v/>
      </c>
      <c r="Q27" s="73" t="str">
        <f t="shared" si="19"/>
        <v/>
      </c>
      <c r="R27" s="73" t="str">
        <f t="shared" si="20"/>
        <v/>
      </c>
      <c r="S27" s="73" t="str">
        <f t="shared" si="20"/>
        <v/>
      </c>
      <c r="T27" s="73" t="str">
        <f t="shared" si="20"/>
        <v/>
      </c>
      <c r="U27" s="73" t="str">
        <f t="shared" si="20"/>
        <v/>
      </c>
      <c r="V27" s="73" t="str">
        <f t="shared" si="20"/>
        <v/>
      </c>
      <c r="W27" s="73" t="str">
        <f t="shared" si="20"/>
        <v/>
      </c>
      <c r="X27" s="73" t="str">
        <f t="shared" si="20"/>
        <v/>
      </c>
      <c r="Y27" s="73" t="str">
        <f t="shared" si="20"/>
        <v/>
      </c>
      <c r="Z27" s="73" t="str">
        <f t="shared" si="20"/>
        <v/>
      </c>
      <c r="AA27" s="73" t="str">
        <f t="shared" si="20"/>
        <v/>
      </c>
      <c r="AB27" s="74" t="str">
        <f t="shared" si="20"/>
        <v/>
      </c>
      <c r="AC27" s="35" t="str">
        <f t="shared" si="14"/>
        <v/>
      </c>
      <c r="AD27" s="40" t="str">
        <f t="shared" si="15"/>
        <v/>
      </c>
      <c r="AE27" s="37" t="str">
        <f t="shared" si="16"/>
        <v/>
      </c>
      <c r="AF27" s="40" t="str">
        <f t="shared" si="7"/>
        <v/>
      </c>
      <c r="AG27" s="37" t="str">
        <f t="shared" si="8"/>
        <v/>
      </c>
      <c r="AH27" s="40" t="str">
        <f t="shared" si="9"/>
        <v/>
      </c>
      <c r="AI27" s="37" t="str">
        <f t="shared" si="17"/>
        <v/>
      </c>
      <c r="AJ27" s="40" t="str">
        <f t="shared" si="18"/>
        <v/>
      </c>
      <c r="AK27" s="33" t="str">
        <f>IF(SEM!AK27="","",SEM!AK27)</f>
        <v/>
      </c>
      <c r="AL27" s="6"/>
      <c r="AM27" s="79" t="str">
        <f t="shared" si="12"/>
        <v/>
      </c>
      <c r="AN27" s="12"/>
      <c r="AO27" s="12"/>
      <c r="AP27" s="14"/>
      <c r="AQ27" s="16"/>
      <c r="AR27" s="15"/>
      <c r="AU27" s="198"/>
      <c r="AV27" s="198"/>
      <c r="AW27" s="198"/>
      <c r="AX27" s="198"/>
    </row>
    <row r="28" spans="2:50" ht="17.25" customHeight="1" x14ac:dyDescent="0.2">
      <c r="B28" s="6"/>
      <c r="C28" s="49" t="str">
        <f>IF(SEM!C28="","",SEM!C28)</f>
        <v/>
      </c>
      <c r="D28" s="220" t="str">
        <f>IF(C28="","",VLOOKUP(SEM!C28,FROTA!$B$5:$C$305,2,0))</f>
        <v/>
      </c>
      <c r="E28" s="24" t="str">
        <f>IF(C28="","",VLOOKUP(C28,FROTA!$B$5:$N$305,7,0))</f>
        <v/>
      </c>
      <c r="F28" s="38" t="str">
        <f t="shared" si="2"/>
        <v/>
      </c>
      <c r="G28" s="71" t="str">
        <f t="shared" si="13"/>
        <v/>
      </c>
      <c r="H28" s="32" t="str">
        <f t="shared" si="21"/>
        <v/>
      </c>
      <c r="I28" s="73" t="str">
        <f t="shared" si="21"/>
        <v/>
      </c>
      <c r="J28" s="73" t="str">
        <f t="shared" si="21"/>
        <v/>
      </c>
      <c r="K28" s="73" t="str">
        <f t="shared" si="19"/>
        <v/>
      </c>
      <c r="L28" s="73" t="str">
        <f t="shared" si="19"/>
        <v/>
      </c>
      <c r="M28" s="73" t="str">
        <f t="shared" si="19"/>
        <v/>
      </c>
      <c r="N28" s="73" t="str">
        <f t="shared" si="19"/>
        <v/>
      </c>
      <c r="O28" s="73" t="str">
        <f t="shared" si="19"/>
        <v/>
      </c>
      <c r="P28" s="73" t="str">
        <f t="shared" si="19"/>
        <v/>
      </c>
      <c r="Q28" s="73" t="str">
        <f t="shared" si="19"/>
        <v/>
      </c>
      <c r="R28" s="73" t="str">
        <f t="shared" si="20"/>
        <v/>
      </c>
      <c r="S28" s="73" t="str">
        <f t="shared" si="20"/>
        <v/>
      </c>
      <c r="T28" s="73" t="str">
        <f t="shared" si="20"/>
        <v/>
      </c>
      <c r="U28" s="73" t="str">
        <f t="shared" si="20"/>
        <v/>
      </c>
      <c r="V28" s="73" t="str">
        <f t="shared" si="20"/>
        <v/>
      </c>
      <c r="W28" s="73" t="str">
        <f t="shared" si="20"/>
        <v/>
      </c>
      <c r="X28" s="73" t="str">
        <f t="shared" si="20"/>
        <v/>
      </c>
      <c r="Y28" s="73" t="str">
        <f t="shared" si="20"/>
        <v/>
      </c>
      <c r="Z28" s="73" t="str">
        <f t="shared" si="20"/>
        <v/>
      </c>
      <c r="AA28" s="73" t="str">
        <f t="shared" si="20"/>
        <v/>
      </c>
      <c r="AB28" s="74" t="str">
        <f t="shared" si="20"/>
        <v/>
      </c>
      <c r="AC28" s="35" t="str">
        <f t="shared" si="14"/>
        <v/>
      </c>
      <c r="AD28" s="40" t="str">
        <f t="shared" si="15"/>
        <v/>
      </c>
      <c r="AE28" s="37" t="str">
        <f t="shared" si="16"/>
        <v/>
      </c>
      <c r="AF28" s="40" t="str">
        <f t="shared" si="7"/>
        <v/>
      </c>
      <c r="AG28" s="37" t="str">
        <f t="shared" si="8"/>
        <v/>
      </c>
      <c r="AH28" s="40" t="str">
        <f t="shared" si="9"/>
        <v/>
      </c>
      <c r="AI28" s="37" t="str">
        <f t="shared" si="17"/>
        <v/>
      </c>
      <c r="AJ28" s="40" t="str">
        <f t="shared" si="18"/>
        <v/>
      </c>
      <c r="AK28" s="33" t="str">
        <f>IF(SEM!AK28="","",SEM!AK28)</f>
        <v/>
      </c>
      <c r="AL28" s="6"/>
      <c r="AM28" s="79" t="str">
        <f t="shared" si="12"/>
        <v/>
      </c>
      <c r="AN28" s="12"/>
      <c r="AO28" s="12"/>
      <c r="AP28" s="14"/>
      <c r="AQ28" s="16"/>
      <c r="AR28" s="15"/>
      <c r="AU28" s="198"/>
      <c r="AV28" s="198"/>
      <c r="AW28" s="198"/>
      <c r="AX28" s="198"/>
    </row>
    <row r="29" spans="2:50" ht="17.25" customHeight="1" x14ac:dyDescent="0.2">
      <c r="B29" s="6"/>
      <c r="C29" s="49" t="str">
        <f>IF(SEM!C29="","",SEM!C29)</f>
        <v/>
      </c>
      <c r="D29" s="220" t="str">
        <f>IF(C29="","",VLOOKUP(SEM!C29,FROTA!$B$5:$C$305,2,0))</f>
        <v/>
      </c>
      <c r="E29" s="24" t="str">
        <f>IF(C29="","",VLOOKUP(C29,FROTA!$B$5:$N$305,7,0))</f>
        <v/>
      </c>
      <c r="F29" s="38" t="str">
        <f t="shared" si="2"/>
        <v/>
      </c>
      <c r="G29" s="71" t="str">
        <f t="shared" si="13"/>
        <v/>
      </c>
      <c r="H29" s="32" t="str">
        <f t="shared" si="21"/>
        <v/>
      </c>
      <c r="I29" s="73" t="str">
        <f t="shared" si="21"/>
        <v/>
      </c>
      <c r="J29" s="73" t="str">
        <f t="shared" si="21"/>
        <v/>
      </c>
      <c r="K29" s="73" t="str">
        <f t="shared" si="19"/>
        <v/>
      </c>
      <c r="L29" s="73" t="str">
        <f t="shared" si="19"/>
        <v/>
      </c>
      <c r="M29" s="73" t="str">
        <f t="shared" si="19"/>
        <v/>
      </c>
      <c r="N29" s="73" t="str">
        <f t="shared" si="19"/>
        <v/>
      </c>
      <c r="O29" s="73" t="str">
        <f t="shared" si="19"/>
        <v/>
      </c>
      <c r="P29" s="73" t="str">
        <f t="shared" si="19"/>
        <v/>
      </c>
      <c r="Q29" s="73" t="str">
        <f t="shared" si="19"/>
        <v/>
      </c>
      <c r="R29" s="73" t="str">
        <f t="shared" si="20"/>
        <v/>
      </c>
      <c r="S29" s="73" t="str">
        <f t="shared" si="20"/>
        <v/>
      </c>
      <c r="T29" s="73" t="str">
        <f t="shared" si="20"/>
        <v/>
      </c>
      <c r="U29" s="73" t="str">
        <f t="shared" si="20"/>
        <v/>
      </c>
      <c r="V29" s="73" t="str">
        <f t="shared" si="20"/>
        <v/>
      </c>
      <c r="W29" s="73" t="str">
        <f t="shared" si="20"/>
        <v/>
      </c>
      <c r="X29" s="73" t="str">
        <f t="shared" si="20"/>
        <v/>
      </c>
      <c r="Y29" s="73" t="str">
        <f t="shared" si="20"/>
        <v/>
      </c>
      <c r="Z29" s="73" t="str">
        <f t="shared" si="20"/>
        <v/>
      </c>
      <c r="AA29" s="73" t="str">
        <f t="shared" si="20"/>
        <v/>
      </c>
      <c r="AB29" s="74" t="str">
        <f t="shared" si="20"/>
        <v/>
      </c>
      <c r="AC29" s="35" t="str">
        <f t="shared" si="14"/>
        <v/>
      </c>
      <c r="AD29" s="40" t="str">
        <f t="shared" si="15"/>
        <v/>
      </c>
      <c r="AE29" s="37" t="str">
        <f t="shared" si="16"/>
        <v/>
      </c>
      <c r="AF29" s="40" t="str">
        <f t="shared" si="7"/>
        <v/>
      </c>
      <c r="AG29" s="37" t="str">
        <f t="shared" si="8"/>
        <v/>
      </c>
      <c r="AH29" s="40" t="str">
        <f t="shared" si="9"/>
        <v/>
      </c>
      <c r="AI29" s="37" t="str">
        <f t="shared" si="17"/>
        <v/>
      </c>
      <c r="AJ29" s="40" t="str">
        <f t="shared" si="18"/>
        <v/>
      </c>
      <c r="AK29" s="33" t="str">
        <f>IF(SEM!AK29="","",SEM!AK29)</f>
        <v/>
      </c>
      <c r="AL29" s="6"/>
      <c r="AM29" s="79" t="str">
        <f t="shared" si="12"/>
        <v/>
      </c>
      <c r="AN29" s="12"/>
      <c r="AO29" s="12"/>
      <c r="AP29" s="14"/>
      <c r="AQ29" s="16"/>
      <c r="AR29" s="15"/>
      <c r="AU29" s="198"/>
      <c r="AV29" s="198"/>
      <c r="AW29" s="198"/>
      <c r="AX29" s="198"/>
    </row>
    <row r="30" spans="2:50" ht="17.25" customHeight="1" x14ac:dyDescent="0.2">
      <c r="B30" s="6"/>
      <c r="C30" s="49" t="str">
        <f>IF(SEM!C30="","",SEM!C30)</f>
        <v/>
      </c>
      <c r="D30" s="220" t="str">
        <f>IF(C30="","",VLOOKUP(SEM!C30,FROTA!$B$5:$C$305,2,0))</f>
        <v/>
      </c>
      <c r="E30" s="24" t="str">
        <f>IF(C30="","",VLOOKUP(C30,FROTA!$B$5:$N$305,7,0))</f>
        <v/>
      </c>
      <c r="F30" s="38" t="str">
        <f t="shared" si="2"/>
        <v/>
      </c>
      <c r="G30" s="71" t="str">
        <f t="shared" si="13"/>
        <v/>
      </c>
      <c r="H30" s="32" t="str">
        <f t="shared" si="21"/>
        <v/>
      </c>
      <c r="I30" s="73" t="str">
        <f t="shared" si="21"/>
        <v/>
      </c>
      <c r="J30" s="73" t="str">
        <f t="shared" si="21"/>
        <v/>
      </c>
      <c r="K30" s="73" t="str">
        <f t="shared" si="19"/>
        <v/>
      </c>
      <c r="L30" s="73" t="str">
        <f t="shared" si="19"/>
        <v/>
      </c>
      <c r="M30" s="73" t="str">
        <f t="shared" si="19"/>
        <v/>
      </c>
      <c r="N30" s="73" t="str">
        <f t="shared" si="19"/>
        <v/>
      </c>
      <c r="O30" s="73" t="str">
        <f t="shared" si="19"/>
        <v/>
      </c>
      <c r="P30" s="73" t="str">
        <f t="shared" si="19"/>
        <v/>
      </c>
      <c r="Q30" s="73" t="str">
        <f t="shared" si="19"/>
        <v/>
      </c>
      <c r="R30" s="73" t="str">
        <f t="shared" si="20"/>
        <v/>
      </c>
      <c r="S30" s="73" t="str">
        <f t="shared" si="20"/>
        <v/>
      </c>
      <c r="T30" s="73" t="str">
        <f t="shared" si="20"/>
        <v/>
      </c>
      <c r="U30" s="73" t="str">
        <f t="shared" si="20"/>
        <v/>
      </c>
      <c r="V30" s="73" t="str">
        <f t="shared" si="20"/>
        <v/>
      </c>
      <c r="W30" s="73" t="str">
        <f t="shared" si="20"/>
        <v/>
      </c>
      <c r="X30" s="73" t="str">
        <f t="shared" si="20"/>
        <v/>
      </c>
      <c r="Y30" s="73" t="str">
        <f t="shared" si="20"/>
        <v/>
      </c>
      <c r="Z30" s="73" t="str">
        <f t="shared" si="20"/>
        <v/>
      </c>
      <c r="AA30" s="73" t="str">
        <f t="shared" si="20"/>
        <v/>
      </c>
      <c r="AB30" s="74" t="str">
        <f t="shared" si="20"/>
        <v/>
      </c>
      <c r="AC30" s="35" t="str">
        <f t="shared" si="14"/>
        <v/>
      </c>
      <c r="AD30" s="40" t="str">
        <f t="shared" si="15"/>
        <v/>
      </c>
      <c r="AE30" s="37" t="str">
        <f t="shared" si="16"/>
        <v/>
      </c>
      <c r="AF30" s="40" t="str">
        <f t="shared" si="7"/>
        <v/>
      </c>
      <c r="AG30" s="37" t="str">
        <f t="shared" si="8"/>
        <v/>
      </c>
      <c r="AH30" s="40" t="str">
        <f t="shared" si="9"/>
        <v/>
      </c>
      <c r="AI30" s="37" t="str">
        <f t="shared" si="17"/>
        <v/>
      </c>
      <c r="AJ30" s="40" t="str">
        <f t="shared" si="18"/>
        <v/>
      </c>
      <c r="AK30" s="33" t="str">
        <f>IF(SEM!AK30="","",SEM!AK30)</f>
        <v/>
      </c>
      <c r="AL30" s="6"/>
      <c r="AM30" s="79" t="str">
        <f t="shared" si="12"/>
        <v/>
      </c>
      <c r="AN30" s="12"/>
      <c r="AO30" s="12"/>
      <c r="AP30" s="14"/>
      <c r="AQ30" s="16"/>
      <c r="AR30" s="15"/>
      <c r="AU30" s="198"/>
      <c r="AV30" s="198"/>
      <c r="AW30" s="198"/>
      <c r="AX30" s="198"/>
    </row>
    <row r="31" spans="2:50" ht="17.25" customHeight="1" x14ac:dyDescent="0.2">
      <c r="B31" s="6"/>
      <c r="C31" s="49" t="str">
        <f>IF(SEM!C31="","",SEM!C31)</f>
        <v/>
      </c>
      <c r="D31" s="220" t="str">
        <f>IF(C31="","",VLOOKUP(SEM!C31,FROTA!$B$5:$C$305,2,0))</f>
        <v/>
      </c>
      <c r="E31" s="24" t="str">
        <f>IF(C31="","",VLOOKUP(C31,FROTA!$B$5:$N$305,7,0))</f>
        <v/>
      </c>
      <c r="F31" s="38" t="str">
        <f t="shared" si="2"/>
        <v/>
      </c>
      <c r="G31" s="71" t="str">
        <f t="shared" si="13"/>
        <v/>
      </c>
      <c r="H31" s="32" t="str">
        <f t="shared" si="21"/>
        <v/>
      </c>
      <c r="I31" s="73" t="str">
        <f t="shared" si="21"/>
        <v/>
      </c>
      <c r="J31" s="73" t="str">
        <f t="shared" si="21"/>
        <v/>
      </c>
      <c r="K31" s="73" t="str">
        <f t="shared" si="19"/>
        <v/>
      </c>
      <c r="L31" s="73" t="str">
        <f t="shared" si="19"/>
        <v/>
      </c>
      <c r="M31" s="73" t="str">
        <f t="shared" si="19"/>
        <v/>
      </c>
      <c r="N31" s="73" t="str">
        <f t="shared" si="19"/>
        <v/>
      </c>
      <c r="O31" s="73" t="str">
        <f t="shared" si="19"/>
        <v/>
      </c>
      <c r="P31" s="73" t="str">
        <f t="shared" si="19"/>
        <v/>
      </c>
      <c r="Q31" s="73" t="str">
        <f t="shared" si="19"/>
        <v/>
      </c>
      <c r="R31" s="73" t="str">
        <f t="shared" si="20"/>
        <v/>
      </c>
      <c r="S31" s="73" t="str">
        <f t="shared" si="20"/>
        <v/>
      </c>
      <c r="T31" s="73" t="str">
        <f t="shared" si="20"/>
        <v/>
      </c>
      <c r="U31" s="73" t="str">
        <f t="shared" si="20"/>
        <v/>
      </c>
      <c r="V31" s="73" t="str">
        <f t="shared" si="20"/>
        <v/>
      </c>
      <c r="W31" s="73" t="str">
        <f t="shared" si="20"/>
        <v/>
      </c>
      <c r="X31" s="73" t="str">
        <f t="shared" si="20"/>
        <v/>
      </c>
      <c r="Y31" s="73" t="str">
        <f t="shared" si="20"/>
        <v/>
      </c>
      <c r="Z31" s="73" t="str">
        <f t="shared" si="20"/>
        <v/>
      </c>
      <c r="AA31" s="73" t="str">
        <f t="shared" si="20"/>
        <v/>
      </c>
      <c r="AB31" s="74" t="str">
        <f t="shared" si="20"/>
        <v/>
      </c>
      <c r="AC31" s="35" t="str">
        <f t="shared" si="14"/>
        <v/>
      </c>
      <c r="AD31" s="40" t="str">
        <f t="shared" si="15"/>
        <v/>
      </c>
      <c r="AE31" s="37" t="str">
        <f t="shared" si="16"/>
        <v/>
      </c>
      <c r="AF31" s="40" t="str">
        <f t="shared" si="7"/>
        <v/>
      </c>
      <c r="AG31" s="37" t="str">
        <f t="shared" si="8"/>
        <v/>
      </c>
      <c r="AH31" s="40" t="str">
        <f t="shared" si="9"/>
        <v/>
      </c>
      <c r="AI31" s="37" t="str">
        <f t="shared" si="17"/>
        <v/>
      </c>
      <c r="AJ31" s="40" t="str">
        <f t="shared" si="18"/>
        <v/>
      </c>
      <c r="AK31" s="33" t="str">
        <f>IF(SEM!AK31="","",SEM!AK31)</f>
        <v/>
      </c>
      <c r="AL31" s="6"/>
      <c r="AM31" s="79" t="str">
        <f t="shared" si="12"/>
        <v/>
      </c>
      <c r="AN31" s="12"/>
      <c r="AO31" s="12"/>
      <c r="AP31" s="14"/>
      <c r="AQ31" s="16"/>
      <c r="AR31" s="15"/>
      <c r="AU31" s="198"/>
      <c r="AV31" s="198"/>
      <c r="AW31" s="198"/>
      <c r="AX31" s="198"/>
    </row>
    <row r="32" spans="2:50" ht="17.25" customHeight="1" x14ac:dyDescent="0.2">
      <c r="B32" s="6"/>
      <c r="C32" s="49" t="str">
        <f>IF(SEM!C32="","",SEM!C32)</f>
        <v/>
      </c>
      <c r="D32" s="220" t="str">
        <f>IF(C32="","",VLOOKUP(SEM!C32,FROTA!$B$5:$C$305,2,0))</f>
        <v/>
      </c>
      <c r="E32" s="24" t="str">
        <f>IF(C32="","",VLOOKUP(C32,FROTA!$B$5:$N$305,7,0))</f>
        <v/>
      </c>
      <c r="F32" s="38" t="str">
        <f t="shared" si="2"/>
        <v/>
      </c>
      <c r="G32" s="71" t="str">
        <f t="shared" si="13"/>
        <v/>
      </c>
      <c r="H32" s="32" t="str">
        <f t="shared" si="21"/>
        <v/>
      </c>
      <c r="I32" s="73" t="str">
        <f t="shared" si="21"/>
        <v/>
      </c>
      <c r="J32" s="73" t="str">
        <f t="shared" si="21"/>
        <v/>
      </c>
      <c r="K32" s="73" t="str">
        <f t="shared" si="19"/>
        <v/>
      </c>
      <c r="L32" s="73" t="str">
        <f t="shared" si="19"/>
        <v/>
      </c>
      <c r="M32" s="73" t="str">
        <f t="shared" si="19"/>
        <v/>
      </c>
      <c r="N32" s="73" t="str">
        <f t="shared" si="19"/>
        <v/>
      </c>
      <c r="O32" s="73" t="str">
        <f t="shared" si="19"/>
        <v/>
      </c>
      <c r="P32" s="73" t="str">
        <f t="shared" si="19"/>
        <v/>
      </c>
      <c r="Q32" s="73" t="str">
        <f t="shared" si="19"/>
        <v/>
      </c>
      <c r="R32" s="73" t="str">
        <f t="shared" si="20"/>
        <v/>
      </c>
      <c r="S32" s="73" t="str">
        <f t="shared" si="20"/>
        <v/>
      </c>
      <c r="T32" s="73" t="str">
        <f t="shared" si="20"/>
        <v/>
      </c>
      <c r="U32" s="73" t="str">
        <f t="shared" si="20"/>
        <v/>
      </c>
      <c r="V32" s="73" t="str">
        <f t="shared" si="20"/>
        <v/>
      </c>
      <c r="W32" s="73" t="str">
        <f t="shared" si="20"/>
        <v/>
      </c>
      <c r="X32" s="73" t="str">
        <f t="shared" si="20"/>
        <v/>
      </c>
      <c r="Y32" s="73" t="str">
        <f t="shared" si="20"/>
        <v/>
      </c>
      <c r="Z32" s="73" t="str">
        <f t="shared" si="20"/>
        <v/>
      </c>
      <c r="AA32" s="73" t="str">
        <f t="shared" si="20"/>
        <v/>
      </c>
      <c r="AB32" s="74" t="str">
        <f t="shared" si="20"/>
        <v/>
      </c>
      <c r="AC32" s="35" t="str">
        <f t="shared" si="14"/>
        <v/>
      </c>
      <c r="AD32" s="40" t="str">
        <f t="shared" si="15"/>
        <v/>
      </c>
      <c r="AE32" s="37" t="str">
        <f t="shared" si="16"/>
        <v/>
      </c>
      <c r="AF32" s="40" t="str">
        <f t="shared" si="7"/>
        <v/>
      </c>
      <c r="AG32" s="37" t="str">
        <f t="shared" si="8"/>
        <v/>
      </c>
      <c r="AH32" s="40" t="str">
        <f t="shared" si="9"/>
        <v/>
      </c>
      <c r="AI32" s="37" t="str">
        <f t="shared" si="17"/>
        <v/>
      </c>
      <c r="AJ32" s="40" t="str">
        <f t="shared" si="18"/>
        <v/>
      </c>
      <c r="AK32" s="33" t="str">
        <f>IF(SEM!AK32="","",SEM!AK32)</f>
        <v/>
      </c>
      <c r="AL32" s="6"/>
      <c r="AM32" s="79" t="str">
        <f t="shared" si="12"/>
        <v/>
      </c>
      <c r="AN32" s="12"/>
      <c r="AO32" s="12"/>
      <c r="AP32" s="14"/>
      <c r="AQ32" s="16"/>
      <c r="AR32" s="15"/>
      <c r="AU32" s="198"/>
      <c r="AV32" s="198"/>
      <c r="AW32" s="198"/>
      <c r="AX32" s="198"/>
    </row>
    <row r="33" spans="2:50" ht="17.25" customHeight="1" x14ac:dyDescent="0.2">
      <c r="B33" s="6"/>
      <c r="C33" s="49" t="str">
        <f>IF(SEM!C33="","",SEM!C33)</f>
        <v/>
      </c>
      <c r="D33" s="220" t="str">
        <f>IF(C33="","",VLOOKUP(SEM!C33,FROTA!$B$5:$C$305,2,0))</f>
        <v/>
      </c>
      <c r="E33" s="24" t="str">
        <f>IF(C33="","",VLOOKUP(C33,FROTA!$B$5:$N$305,7,0))</f>
        <v/>
      </c>
      <c r="F33" s="38" t="str">
        <f t="shared" si="2"/>
        <v/>
      </c>
      <c r="G33" s="71" t="str">
        <f t="shared" si="13"/>
        <v/>
      </c>
      <c r="H33" s="32" t="str">
        <f t="shared" si="21"/>
        <v/>
      </c>
      <c r="I33" s="73" t="str">
        <f t="shared" si="21"/>
        <v/>
      </c>
      <c r="J33" s="73" t="str">
        <f t="shared" si="21"/>
        <v/>
      </c>
      <c r="K33" s="73" t="str">
        <f t="shared" si="19"/>
        <v/>
      </c>
      <c r="L33" s="73" t="str">
        <f t="shared" si="19"/>
        <v/>
      </c>
      <c r="M33" s="73" t="str">
        <f t="shared" si="19"/>
        <v/>
      </c>
      <c r="N33" s="73" t="str">
        <f t="shared" si="19"/>
        <v/>
      </c>
      <c r="O33" s="73" t="str">
        <f t="shared" si="19"/>
        <v/>
      </c>
      <c r="P33" s="73" t="str">
        <f t="shared" si="19"/>
        <v/>
      </c>
      <c r="Q33" s="73" t="str">
        <f t="shared" si="19"/>
        <v/>
      </c>
      <c r="R33" s="73" t="str">
        <f t="shared" si="20"/>
        <v/>
      </c>
      <c r="S33" s="73" t="str">
        <f t="shared" si="20"/>
        <v/>
      </c>
      <c r="T33" s="73" t="str">
        <f t="shared" si="20"/>
        <v/>
      </c>
      <c r="U33" s="73" t="str">
        <f t="shared" si="20"/>
        <v/>
      </c>
      <c r="V33" s="73" t="str">
        <f t="shared" si="20"/>
        <v/>
      </c>
      <c r="W33" s="73" t="str">
        <f t="shared" si="20"/>
        <v/>
      </c>
      <c r="X33" s="73" t="str">
        <f t="shared" si="20"/>
        <v/>
      </c>
      <c r="Y33" s="73" t="str">
        <f t="shared" si="20"/>
        <v/>
      </c>
      <c r="Z33" s="73" t="str">
        <f t="shared" si="20"/>
        <v/>
      </c>
      <c r="AA33" s="73" t="str">
        <f t="shared" si="20"/>
        <v/>
      </c>
      <c r="AB33" s="74" t="str">
        <f t="shared" si="20"/>
        <v/>
      </c>
      <c r="AC33" s="35" t="str">
        <f t="shared" si="14"/>
        <v/>
      </c>
      <c r="AD33" s="40" t="str">
        <f t="shared" si="15"/>
        <v/>
      </c>
      <c r="AE33" s="37" t="str">
        <f t="shared" si="16"/>
        <v/>
      </c>
      <c r="AF33" s="40" t="str">
        <f t="shared" si="7"/>
        <v/>
      </c>
      <c r="AG33" s="37" t="str">
        <f t="shared" si="8"/>
        <v/>
      </c>
      <c r="AH33" s="40" t="str">
        <f t="shared" si="9"/>
        <v/>
      </c>
      <c r="AI33" s="37" t="str">
        <f t="shared" si="17"/>
        <v/>
      </c>
      <c r="AJ33" s="40" t="str">
        <f t="shared" si="18"/>
        <v/>
      </c>
      <c r="AK33" s="33" t="str">
        <f>IF(SEM!AK33="","",SEM!AK33)</f>
        <v/>
      </c>
      <c r="AL33" s="6"/>
      <c r="AM33" s="79" t="str">
        <f t="shared" si="12"/>
        <v/>
      </c>
      <c r="AN33" s="12"/>
      <c r="AO33" s="12"/>
      <c r="AP33" s="14"/>
      <c r="AQ33" s="16"/>
      <c r="AR33" s="15"/>
      <c r="AU33" s="198"/>
      <c r="AV33" s="198"/>
      <c r="AW33" s="198"/>
      <c r="AX33" s="198"/>
    </row>
    <row r="34" spans="2:50" ht="17.25" customHeight="1" x14ac:dyDescent="0.2">
      <c r="B34" s="6"/>
      <c r="C34" s="49" t="str">
        <f>IF(SEM!C34="","",SEM!C34)</f>
        <v/>
      </c>
      <c r="D34" s="220" t="str">
        <f>IF(C34="","",VLOOKUP(SEM!C34,FROTA!$B$5:$C$305,2,0))</f>
        <v/>
      </c>
      <c r="E34" s="24" t="str">
        <f>IF(C34="","",VLOOKUP(C34,FROTA!$B$5:$N$305,7,0))</f>
        <v/>
      </c>
      <c r="F34" s="38" t="str">
        <f t="shared" si="2"/>
        <v/>
      </c>
      <c r="G34" s="71" t="str">
        <f t="shared" si="13"/>
        <v/>
      </c>
      <c r="H34" s="32" t="str">
        <f t="shared" si="21"/>
        <v/>
      </c>
      <c r="I34" s="73" t="str">
        <f t="shared" si="21"/>
        <v/>
      </c>
      <c r="J34" s="73" t="str">
        <f t="shared" si="21"/>
        <v/>
      </c>
      <c r="K34" s="73" t="str">
        <f t="shared" si="19"/>
        <v/>
      </c>
      <c r="L34" s="73" t="str">
        <f t="shared" si="19"/>
        <v/>
      </c>
      <c r="M34" s="73" t="str">
        <f t="shared" si="19"/>
        <v/>
      </c>
      <c r="N34" s="73" t="str">
        <f t="shared" si="19"/>
        <v/>
      </c>
      <c r="O34" s="73" t="str">
        <f t="shared" si="19"/>
        <v/>
      </c>
      <c r="P34" s="73" t="str">
        <f t="shared" si="19"/>
        <v/>
      </c>
      <c r="Q34" s="73" t="str">
        <f t="shared" si="19"/>
        <v/>
      </c>
      <c r="R34" s="73" t="str">
        <f t="shared" si="20"/>
        <v/>
      </c>
      <c r="S34" s="73" t="str">
        <f t="shared" si="20"/>
        <v/>
      </c>
      <c r="T34" s="73" t="str">
        <f t="shared" si="20"/>
        <v/>
      </c>
      <c r="U34" s="73" t="str">
        <f t="shared" si="20"/>
        <v/>
      </c>
      <c r="V34" s="73" t="str">
        <f t="shared" si="20"/>
        <v/>
      </c>
      <c r="W34" s="73" t="str">
        <f t="shared" si="20"/>
        <v/>
      </c>
      <c r="X34" s="73" t="str">
        <f t="shared" si="20"/>
        <v/>
      </c>
      <c r="Y34" s="73" t="str">
        <f t="shared" si="20"/>
        <v/>
      </c>
      <c r="Z34" s="73" t="str">
        <f t="shared" si="20"/>
        <v/>
      </c>
      <c r="AA34" s="73" t="str">
        <f t="shared" si="20"/>
        <v/>
      </c>
      <c r="AB34" s="74" t="str">
        <f t="shared" si="20"/>
        <v/>
      </c>
      <c r="AC34" s="35" t="str">
        <f t="shared" si="14"/>
        <v/>
      </c>
      <c r="AD34" s="40" t="str">
        <f t="shared" si="15"/>
        <v/>
      </c>
      <c r="AE34" s="37" t="str">
        <f t="shared" si="16"/>
        <v/>
      </c>
      <c r="AF34" s="40" t="str">
        <f t="shared" si="7"/>
        <v/>
      </c>
      <c r="AG34" s="37" t="str">
        <f t="shared" si="8"/>
        <v/>
      </c>
      <c r="AH34" s="40" t="str">
        <f t="shared" si="9"/>
        <v/>
      </c>
      <c r="AI34" s="37" t="str">
        <f t="shared" si="17"/>
        <v/>
      </c>
      <c r="AJ34" s="40" t="str">
        <f t="shared" si="18"/>
        <v/>
      </c>
      <c r="AK34" s="33" t="str">
        <f>IF(SEM!AK34="","",SEM!AK34)</f>
        <v/>
      </c>
      <c r="AL34" s="6"/>
      <c r="AM34" s="79" t="str">
        <f t="shared" si="12"/>
        <v/>
      </c>
      <c r="AN34" s="12"/>
      <c r="AO34" s="12"/>
      <c r="AP34" s="14"/>
      <c r="AQ34" s="16"/>
      <c r="AR34" s="15"/>
      <c r="AU34" s="198"/>
      <c r="AV34" s="198"/>
      <c r="AW34" s="198"/>
      <c r="AX34" s="198"/>
    </row>
    <row r="35" spans="2:50" ht="17.25" customHeight="1" x14ac:dyDescent="0.2">
      <c r="B35" s="6"/>
      <c r="C35" s="49" t="str">
        <f>IF(SEM!C35="","",SEM!C35)</f>
        <v/>
      </c>
      <c r="D35" s="220" t="str">
        <f>IF(C35="","",VLOOKUP(SEM!C35,FROTA!$B$5:$C$305,2,0))</f>
        <v/>
      </c>
      <c r="E35" s="24" t="str">
        <f>IF(C35="","",VLOOKUP(C35,FROTA!$B$5:$N$305,7,0))</f>
        <v/>
      </c>
      <c r="F35" s="38" t="str">
        <f t="shared" si="2"/>
        <v/>
      </c>
      <c r="G35" s="71" t="str">
        <f t="shared" si="13"/>
        <v/>
      </c>
      <c r="H35" s="32" t="str">
        <f t="shared" si="21"/>
        <v/>
      </c>
      <c r="I35" s="73" t="str">
        <f t="shared" si="21"/>
        <v/>
      </c>
      <c r="J35" s="73" t="str">
        <f t="shared" si="21"/>
        <v/>
      </c>
      <c r="K35" s="73" t="str">
        <f t="shared" si="19"/>
        <v/>
      </c>
      <c r="L35" s="73" t="str">
        <f t="shared" si="19"/>
        <v/>
      </c>
      <c r="M35" s="73" t="str">
        <f t="shared" si="19"/>
        <v/>
      </c>
      <c r="N35" s="73" t="str">
        <f t="shared" si="19"/>
        <v/>
      </c>
      <c r="O35" s="73" t="str">
        <f t="shared" si="19"/>
        <v/>
      </c>
      <c r="P35" s="73" t="str">
        <f t="shared" si="19"/>
        <v/>
      </c>
      <c r="Q35" s="73" t="str">
        <f t="shared" si="19"/>
        <v/>
      </c>
      <c r="R35" s="73" t="str">
        <f t="shared" si="20"/>
        <v/>
      </c>
      <c r="S35" s="73" t="str">
        <f t="shared" si="20"/>
        <v/>
      </c>
      <c r="T35" s="73" t="str">
        <f t="shared" si="20"/>
        <v/>
      </c>
      <c r="U35" s="73" t="str">
        <f t="shared" si="20"/>
        <v/>
      </c>
      <c r="V35" s="73" t="str">
        <f t="shared" si="20"/>
        <v/>
      </c>
      <c r="W35" s="73" t="str">
        <f t="shared" si="20"/>
        <v/>
      </c>
      <c r="X35" s="73" t="str">
        <f t="shared" si="20"/>
        <v/>
      </c>
      <c r="Y35" s="73" t="str">
        <f t="shared" si="20"/>
        <v/>
      </c>
      <c r="Z35" s="73" t="str">
        <f t="shared" si="20"/>
        <v/>
      </c>
      <c r="AA35" s="73" t="str">
        <f t="shared" si="20"/>
        <v/>
      </c>
      <c r="AB35" s="74" t="str">
        <f t="shared" si="20"/>
        <v/>
      </c>
      <c r="AC35" s="35" t="str">
        <f t="shared" si="14"/>
        <v/>
      </c>
      <c r="AD35" s="40" t="str">
        <f t="shared" si="15"/>
        <v/>
      </c>
      <c r="AE35" s="37" t="str">
        <f t="shared" si="16"/>
        <v/>
      </c>
      <c r="AF35" s="40" t="str">
        <f t="shared" si="7"/>
        <v/>
      </c>
      <c r="AG35" s="37" t="str">
        <f t="shared" si="8"/>
        <v/>
      </c>
      <c r="AH35" s="40" t="str">
        <f t="shared" si="9"/>
        <v/>
      </c>
      <c r="AI35" s="37" t="str">
        <f t="shared" si="17"/>
        <v/>
      </c>
      <c r="AJ35" s="40" t="str">
        <f t="shared" si="18"/>
        <v/>
      </c>
      <c r="AK35" s="33" t="str">
        <f>IF(SEM!AK35="","",SEM!AK35)</f>
        <v/>
      </c>
      <c r="AL35" s="6"/>
      <c r="AM35" s="79" t="str">
        <f t="shared" si="12"/>
        <v/>
      </c>
      <c r="AN35" s="12"/>
      <c r="AO35" s="12"/>
      <c r="AP35" s="14"/>
      <c r="AQ35" s="16"/>
      <c r="AR35" s="15"/>
      <c r="AU35" s="198"/>
      <c r="AV35" s="198"/>
      <c r="AW35" s="198"/>
      <c r="AX35" s="198"/>
    </row>
    <row r="36" spans="2:50" ht="17.25" customHeight="1" x14ac:dyDescent="0.2">
      <c r="B36" s="6"/>
      <c r="C36" s="49" t="str">
        <f>IF(SEM!C36="","",SEM!C36)</f>
        <v/>
      </c>
      <c r="D36" s="220" t="str">
        <f>IF(C36="","",VLOOKUP(SEM!C36,FROTA!$B$5:$C$305,2,0))</f>
        <v/>
      </c>
      <c r="E36" s="24" t="str">
        <f>IF(C36="","",VLOOKUP(C36,FROTA!$B$5:$N$305,7,0))</f>
        <v/>
      </c>
      <c r="F36" s="38" t="str">
        <f t="shared" si="2"/>
        <v/>
      </c>
      <c r="G36" s="71" t="str">
        <f t="shared" si="13"/>
        <v/>
      </c>
      <c r="H36" s="32" t="str">
        <f t="shared" si="21"/>
        <v/>
      </c>
      <c r="I36" s="73" t="str">
        <f t="shared" si="21"/>
        <v/>
      </c>
      <c r="J36" s="73" t="str">
        <f t="shared" si="21"/>
        <v/>
      </c>
      <c r="K36" s="73" t="str">
        <f t="shared" si="19"/>
        <v/>
      </c>
      <c r="L36" s="73" t="str">
        <f t="shared" si="19"/>
        <v/>
      </c>
      <c r="M36" s="73" t="str">
        <f t="shared" si="19"/>
        <v/>
      </c>
      <c r="N36" s="73" t="str">
        <f t="shared" si="19"/>
        <v/>
      </c>
      <c r="O36" s="73" t="str">
        <f t="shared" si="19"/>
        <v/>
      </c>
      <c r="P36" s="73" t="str">
        <f t="shared" si="19"/>
        <v/>
      </c>
      <c r="Q36" s="73" t="str">
        <f t="shared" si="19"/>
        <v/>
      </c>
      <c r="R36" s="73" t="str">
        <f t="shared" si="20"/>
        <v/>
      </c>
      <c r="S36" s="73" t="str">
        <f t="shared" si="20"/>
        <v/>
      </c>
      <c r="T36" s="73" t="str">
        <f t="shared" si="20"/>
        <v/>
      </c>
      <c r="U36" s="73" t="str">
        <f t="shared" si="20"/>
        <v/>
      </c>
      <c r="V36" s="73" t="str">
        <f t="shared" si="20"/>
        <v/>
      </c>
      <c r="W36" s="73" t="str">
        <f t="shared" si="20"/>
        <v/>
      </c>
      <c r="X36" s="73" t="str">
        <f t="shared" si="20"/>
        <v/>
      </c>
      <c r="Y36" s="73" t="str">
        <f t="shared" si="20"/>
        <v/>
      </c>
      <c r="Z36" s="73" t="str">
        <f t="shared" si="20"/>
        <v/>
      </c>
      <c r="AA36" s="73" t="str">
        <f t="shared" si="20"/>
        <v/>
      </c>
      <c r="AB36" s="74" t="str">
        <f t="shared" si="20"/>
        <v/>
      </c>
      <c r="AC36" s="35" t="str">
        <f t="shared" si="14"/>
        <v/>
      </c>
      <c r="AD36" s="40" t="str">
        <f t="shared" si="15"/>
        <v/>
      </c>
      <c r="AE36" s="37" t="str">
        <f t="shared" si="16"/>
        <v/>
      </c>
      <c r="AF36" s="40" t="str">
        <f t="shared" si="7"/>
        <v/>
      </c>
      <c r="AG36" s="37" t="str">
        <f t="shared" si="8"/>
        <v/>
      </c>
      <c r="AH36" s="40" t="str">
        <f t="shared" si="9"/>
        <v/>
      </c>
      <c r="AI36" s="37" t="str">
        <f t="shared" si="17"/>
        <v/>
      </c>
      <c r="AJ36" s="40" t="str">
        <f t="shared" si="18"/>
        <v/>
      </c>
      <c r="AK36" s="33" t="str">
        <f>IF(SEM!AK36="","",SEM!AK36)</f>
        <v/>
      </c>
      <c r="AL36" s="6"/>
      <c r="AM36" s="79" t="str">
        <f t="shared" si="12"/>
        <v/>
      </c>
      <c r="AN36" s="12"/>
      <c r="AO36" s="12"/>
      <c r="AP36" s="14"/>
      <c r="AQ36" s="16"/>
      <c r="AR36" s="15"/>
      <c r="AU36" s="198"/>
      <c r="AV36" s="198"/>
      <c r="AW36" s="198"/>
      <c r="AX36" s="198"/>
    </row>
    <row r="37" spans="2:50" ht="17.25" customHeight="1" x14ac:dyDescent="0.2">
      <c r="B37" s="6"/>
      <c r="C37" s="49" t="str">
        <f>IF(SEM!C37="","",SEM!C37)</f>
        <v/>
      </c>
      <c r="D37" s="220" t="str">
        <f>IF(C37="","",VLOOKUP(SEM!C37,FROTA!$B$5:$C$305,2,0))</f>
        <v/>
      </c>
      <c r="E37" s="24" t="str">
        <f>IF(C37="","",VLOOKUP(C37,FROTA!$B$5:$N$305,7,0))</f>
        <v/>
      </c>
      <c r="F37" s="38" t="str">
        <f t="shared" si="2"/>
        <v/>
      </c>
      <c r="G37" s="71" t="str">
        <f t="shared" si="13"/>
        <v/>
      </c>
      <c r="H37" s="32" t="str">
        <f t="shared" si="21"/>
        <v/>
      </c>
      <c r="I37" s="73" t="str">
        <f t="shared" si="21"/>
        <v/>
      </c>
      <c r="J37" s="73" t="str">
        <f t="shared" si="21"/>
        <v/>
      </c>
      <c r="K37" s="73" t="str">
        <f t="shared" si="19"/>
        <v/>
      </c>
      <c r="L37" s="73" t="str">
        <f t="shared" si="19"/>
        <v/>
      </c>
      <c r="M37" s="73" t="str">
        <f t="shared" si="19"/>
        <v/>
      </c>
      <c r="N37" s="73" t="str">
        <f t="shared" si="19"/>
        <v/>
      </c>
      <c r="O37" s="73" t="str">
        <f t="shared" si="19"/>
        <v/>
      </c>
      <c r="P37" s="73" t="str">
        <f t="shared" si="19"/>
        <v/>
      </c>
      <c r="Q37" s="73" t="str">
        <f t="shared" si="19"/>
        <v/>
      </c>
      <c r="R37" s="73" t="str">
        <f t="shared" si="20"/>
        <v/>
      </c>
      <c r="S37" s="73" t="str">
        <f t="shared" si="20"/>
        <v/>
      </c>
      <c r="T37" s="73" t="str">
        <f t="shared" si="20"/>
        <v/>
      </c>
      <c r="U37" s="73" t="str">
        <f t="shared" si="20"/>
        <v/>
      </c>
      <c r="V37" s="73" t="str">
        <f t="shared" si="20"/>
        <v/>
      </c>
      <c r="W37" s="73" t="str">
        <f t="shared" si="20"/>
        <v/>
      </c>
      <c r="X37" s="73" t="str">
        <f t="shared" si="20"/>
        <v/>
      </c>
      <c r="Y37" s="73" t="str">
        <f t="shared" si="20"/>
        <v/>
      </c>
      <c r="Z37" s="73" t="str">
        <f t="shared" si="20"/>
        <v/>
      </c>
      <c r="AA37" s="73" t="str">
        <f t="shared" si="20"/>
        <v/>
      </c>
      <c r="AB37" s="74" t="str">
        <f t="shared" si="20"/>
        <v/>
      </c>
      <c r="AC37" s="35" t="str">
        <f t="shared" si="14"/>
        <v/>
      </c>
      <c r="AD37" s="40" t="str">
        <f t="shared" si="15"/>
        <v/>
      </c>
      <c r="AE37" s="37" t="str">
        <f t="shared" si="16"/>
        <v/>
      </c>
      <c r="AF37" s="40" t="str">
        <f t="shared" si="7"/>
        <v/>
      </c>
      <c r="AG37" s="37" t="str">
        <f t="shared" si="8"/>
        <v/>
      </c>
      <c r="AH37" s="40" t="str">
        <f t="shared" si="9"/>
        <v/>
      </c>
      <c r="AI37" s="37" t="str">
        <f t="shared" si="17"/>
        <v/>
      </c>
      <c r="AJ37" s="40" t="str">
        <f t="shared" si="18"/>
        <v/>
      </c>
      <c r="AK37" s="33" t="str">
        <f>IF(SEM!AK37="","",SEM!AK37)</f>
        <v/>
      </c>
      <c r="AL37" s="6"/>
      <c r="AM37" s="79" t="str">
        <f t="shared" si="12"/>
        <v/>
      </c>
      <c r="AN37" s="12"/>
      <c r="AO37" s="12"/>
      <c r="AP37" s="14"/>
      <c r="AQ37" s="16"/>
      <c r="AR37" s="15"/>
      <c r="AU37" s="198"/>
      <c r="AV37" s="198"/>
      <c r="AW37" s="198"/>
      <c r="AX37" s="198"/>
    </row>
    <row r="38" spans="2:50" ht="17.25" customHeight="1" x14ac:dyDescent="0.2">
      <c r="B38" s="6"/>
      <c r="C38" s="49" t="str">
        <f>IF(SEM!C38="","",SEM!C38)</f>
        <v/>
      </c>
      <c r="D38" s="220" t="str">
        <f>IF(C38="","",VLOOKUP(SEM!C38,FROTA!$B$5:$C$305,2,0))</f>
        <v/>
      </c>
      <c r="E38" s="24" t="str">
        <f>IF(C38="","",VLOOKUP(C38,FROTA!$B$5:$N$305,7,0))</f>
        <v/>
      </c>
      <c r="F38" s="38" t="str">
        <f t="shared" si="2"/>
        <v/>
      </c>
      <c r="G38" s="71" t="str">
        <f t="shared" si="13"/>
        <v/>
      </c>
      <c r="H38" s="32" t="str">
        <f t="shared" si="21"/>
        <v/>
      </c>
      <c r="I38" s="73" t="str">
        <f t="shared" si="21"/>
        <v/>
      </c>
      <c r="J38" s="73" t="str">
        <f t="shared" si="21"/>
        <v/>
      </c>
      <c r="K38" s="73" t="str">
        <f t="shared" si="19"/>
        <v/>
      </c>
      <c r="L38" s="73" t="str">
        <f t="shared" si="19"/>
        <v/>
      </c>
      <c r="M38" s="73" t="str">
        <f t="shared" si="19"/>
        <v/>
      </c>
      <c r="N38" s="73" t="str">
        <f t="shared" si="19"/>
        <v/>
      </c>
      <c r="O38" s="73" t="str">
        <f t="shared" si="19"/>
        <v/>
      </c>
      <c r="P38" s="73" t="str">
        <f t="shared" si="19"/>
        <v/>
      </c>
      <c r="Q38" s="73" t="str">
        <f t="shared" si="19"/>
        <v/>
      </c>
      <c r="R38" s="73" t="str">
        <f t="shared" si="20"/>
        <v/>
      </c>
      <c r="S38" s="73" t="str">
        <f t="shared" si="20"/>
        <v/>
      </c>
      <c r="T38" s="73" t="str">
        <f t="shared" si="20"/>
        <v/>
      </c>
      <c r="U38" s="73" t="str">
        <f t="shared" si="20"/>
        <v/>
      </c>
      <c r="V38" s="73" t="str">
        <f t="shared" si="20"/>
        <v/>
      </c>
      <c r="W38" s="73" t="str">
        <f t="shared" si="20"/>
        <v/>
      </c>
      <c r="X38" s="73" t="str">
        <f t="shared" si="20"/>
        <v/>
      </c>
      <c r="Y38" s="73" t="str">
        <f t="shared" si="20"/>
        <v/>
      </c>
      <c r="Z38" s="73" t="str">
        <f t="shared" si="20"/>
        <v/>
      </c>
      <c r="AA38" s="73" t="str">
        <f t="shared" si="20"/>
        <v/>
      </c>
      <c r="AB38" s="74" t="str">
        <f t="shared" si="20"/>
        <v/>
      </c>
      <c r="AC38" s="35" t="str">
        <f t="shared" si="14"/>
        <v/>
      </c>
      <c r="AD38" s="40" t="str">
        <f t="shared" si="15"/>
        <v/>
      </c>
      <c r="AE38" s="37" t="str">
        <f t="shared" si="16"/>
        <v/>
      </c>
      <c r="AF38" s="40" t="str">
        <f t="shared" si="7"/>
        <v/>
      </c>
      <c r="AG38" s="37" t="str">
        <f t="shared" si="8"/>
        <v/>
      </c>
      <c r="AH38" s="40" t="str">
        <f t="shared" si="9"/>
        <v/>
      </c>
      <c r="AI38" s="37" t="str">
        <f t="shared" si="17"/>
        <v/>
      </c>
      <c r="AJ38" s="40" t="str">
        <f t="shared" si="18"/>
        <v/>
      </c>
      <c r="AK38" s="33" t="str">
        <f>IF(SEM!AK38="","",SEM!AK38)</f>
        <v/>
      </c>
      <c r="AL38" s="6"/>
      <c r="AM38" s="79" t="str">
        <f t="shared" si="12"/>
        <v/>
      </c>
      <c r="AN38" s="12"/>
      <c r="AO38" s="12"/>
      <c r="AP38" s="14"/>
      <c r="AQ38" s="16"/>
      <c r="AR38" s="15"/>
      <c r="AU38" s="198"/>
      <c r="AV38" s="198"/>
      <c r="AW38" s="198"/>
      <c r="AX38" s="198"/>
    </row>
    <row r="39" spans="2:50" ht="17.25" customHeight="1" x14ac:dyDescent="0.2">
      <c r="B39" s="6"/>
      <c r="C39" s="49" t="str">
        <f>IF(SEM!C39="","",SEM!C39)</f>
        <v/>
      </c>
      <c r="D39" s="220" t="str">
        <f>IF(C39="","",VLOOKUP(SEM!C39,FROTA!$B$5:$C$305,2,0))</f>
        <v/>
      </c>
      <c r="E39" s="24" t="str">
        <f>IF(C39="","",VLOOKUP(C39,FROTA!$B$5:$N$305,7,0))</f>
        <v/>
      </c>
      <c r="F39" s="38" t="str">
        <f t="shared" si="2"/>
        <v/>
      </c>
      <c r="G39" s="71" t="str">
        <f t="shared" si="13"/>
        <v/>
      </c>
      <c r="H39" s="32" t="str">
        <f t="shared" si="21"/>
        <v/>
      </c>
      <c r="I39" s="73" t="str">
        <f t="shared" si="21"/>
        <v/>
      </c>
      <c r="J39" s="73" t="str">
        <f t="shared" si="21"/>
        <v/>
      </c>
      <c r="K39" s="73" t="str">
        <f t="shared" si="19"/>
        <v/>
      </c>
      <c r="L39" s="73" t="str">
        <f t="shared" si="19"/>
        <v/>
      </c>
      <c r="M39" s="73" t="str">
        <f t="shared" si="19"/>
        <v/>
      </c>
      <c r="N39" s="73" t="str">
        <f t="shared" si="19"/>
        <v/>
      </c>
      <c r="O39" s="73" t="str">
        <f t="shared" si="19"/>
        <v/>
      </c>
      <c r="P39" s="73" t="str">
        <f t="shared" si="19"/>
        <v/>
      </c>
      <c r="Q39" s="73" t="str">
        <f t="shared" si="19"/>
        <v/>
      </c>
      <c r="R39" s="73" t="str">
        <f t="shared" si="20"/>
        <v/>
      </c>
      <c r="S39" s="73" t="str">
        <f t="shared" si="20"/>
        <v/>
      </c>
      <c r="T39" s="73" t="str">
        <f t="shared" si="20"/>
        <v/>
      </c>
      <c r="U39" s="73" t="str">
        <f t="shared" si="20"/>
        <v/>
      </c>
      <c r="V39" s="73" t="str">
        <f t="shared" si="20"/>
        <v/>
      </c>
      <c r="W39" s="73" t="str">
        <f t="shared" si="20"/>
        <v/>
      </c>
      <c r="X39" s="73" t="str">
        <f t="shared" si="20"/>
        <v/>
      </c>
      <c r="Y39" s="73" t="str">
        <f t="shared" si="20"/>
        <v/>
      </c>
      <c r="Z39" s="73" t="str">
        <f t="shared" si="20"/>
        <v/>
      </c>
      <c r="AA39" s="73" t="str">
        <f t="shared" si="20"/>
        <v/>
      </c>
      <c r="AB39" s="74" t="str">
        <f t="shared" si="20"/>
        <v/>
      </c>
      <c r="AC39" s="35" t="str">
        <f t="shared" si="14"/>
        <v/>
      </c>
      <c r="AD39" s="40" t="str">
        <f t="shared" si="15"/>
        <v/>
      </c>
      <c r="AE39" s="37" t="str">
        <f t="shared" si="16"/>
        <v/>
      </c>
      <c r="AF39" s="40" t="str">
        <f t="shared" si="7"/>
        <v/>
      </c>
      <c r="AG39" s="37" t="str">
        <f t="shared" si="8"/>
        <v/>
      </c>
      <c r="AH39" s="40" t="str">
        <f t="shared" si="9"/>
        <v/>
      </c>
      <c r="AI39" s="37" t="str">
        <f t="shared" si="17"/>
        <v/>
      </c>
      <c r="AJ39" s="40" t="str">
        <f t="shared" si="18"/>
        <v/>
      </c>
      <c r="AK39" s="33" t="str">
        <f>IF(SEM!AK39="","",SEM!AK39)</f>
        <v/>
      </c>
      <c r="AL39" s="6"/>
      <c r="AM39" s="79" t="str">
        <f t="shared" si="12"/>
        <v/>
      </c>
      <c r="AN39" s="12"/>
      <c r="AO39" s="12"/>
      <c r="AP39" s="14"/>
      <c r="AQ39" s="16"/>
      <c r="AR39" s="15"/>
      <c r="AU39" s="198"/>
      <c r="AV39" s="198"/>
      <c r="AW39" s="198"/>
      <c r="AX39" s="198"/>
    </row>
    <row r="40" spans="2:50" ht="17.25" customHeight="1" x14ac:dyDescent="0.2">
      <c r="B40" s="6"/>
      <c r="C40" s="49" t="str">
        <f>IF(SEM!C40="","",SEM!C40)</f>
        <v/>
      </c>
      <c r="D40" s="220" t="str">
        <f>IF(C40="","",VLOOKUP(SEM!C40,FROTA!$B$5:$C$305,2,0))</f>
        <v/>
      </c>
      <c r="E40" s="24" t="str">
        <f>IF(C40="","",VLOOKUP(C40,FROTA!$B$5:$N$305,7,0))</f>
        <v/>
      </c>
      <c r="F40" s="38" t="str">
        <f t="shared" si="2"/>
        <v/>
      </c>
      <c r="G40" s="71" t="str">
        <f t="shared" si="13"/>
        <v/>
      </c>
      <c r="H40" s="32" t="str">
        <f t="shared" si="21"/>
        <v/>
      </c>
      <c r="I40" s="73" t="str">
        <f t="shared" si="21"/>
        <v/>
      </c>
      <c r="J40" s="73" t="str">
        <f t="shared" si="21"/>
        <v/>
      </c>
      <c r="K40" s="73" t="str">
        <f t="shared" si="19"/>
        <v/>
      </c>
      <c r="L40" s="73" t="str">
        <f t="shared" si="19"/>
        <v/>
      </c>
      <c r="M40" s="73" t="str">
        <f t="shared" si="19"/>
        <v/>
      </c>
      <c r="N40" s="73" t="str">
        <f t="shared" si="19"/>
        <v/>
      </c>
      <c r="O40" s="73" t="str">
        <f t="shared" si="19"/>
        <v/>
      </c>
      <c r="P40" s="73" t="str">
        <f t="shared" si="19"/>
        <v/>
      </c>
      <c r="Q40" s="73" t="str">
        <f t="shared" si="19"/>
        <v/>
      </c>
      <c r="R40" s="73" t="str">
        <f t="shared" si="20"/>
        <v/>
      </c>
      <c r="S40" s="73" t="str">
        <f t="shared" si="20"/>
        <v/>
      </c>
      <c r="T40" s="73" t="str">
        <f t="shared" si="20"/>
        <v/>
      </c>
      <c r="U40" s="73" t="str">
        <f t="shared" si="20"/>
        <v/>
      </c>
      <c r="V40" s="73" t="str">
        <f t="shared" si="20"/>
        <v/>
      </c>
      <c r="W40" s="73" t="str">
        <f t="shared" si="20"/>
        <v/>
      </c>
      <c r="X40" s="73" t="str">
        <f t="shared" si="20"/>
        <v/>
      </c>
      <c r="Y40" s="73" t="str">
        <f t="shared" si="20"/>
        <v/>
      </c>
      <c r="Z40" s="73" t="str">
        <f t="shared" si="20"/>
        <v/>
      </c>
      <c r="AA40" s="73" t="str">
        <f t="shared" si="20"/>
        <v/>
      </c>
      <c r="AB40" s="74" t="str">
        <f t="shared" si="20"/>
        <v/>
      </c>
      <c r="AC40" s="35" t="str">
        <f t="shared" si="14"/>
        <v/>
      </c>
      <c r="AD40" s="40" t="str">
        <f t="shared" si="15"/>
        <v/>
      </c>
      <c r="AE40" s="37" t="str">
        <f t="shared" si="16"/>
        <v/>
      </c>
      <c r="AF40" s="40" t="str">
        <f t="shared" si="7"/>
        <v/>
      </c>
      <c r="AG40" s="37" t="str">
        <f t="shared" si="8"/>
        <v/>
      </c>
      <c r="AH40" s="40" t="str">
        <f t="shared" si="9"/>
        <v/>
      </c>
      <c r="AI40" s="37" t="str">
        <f t="shared" si="17"/>
        <v/>
      </c>
      <c r="AJ40" s="40" t="str">
        <f t="shared" si="18"/>
        <v/>
      </c>
      <c r="AK40" s="33" t="str">
        <f>IF(SEM!AK40="","",SEM!AK40)</f>
        <v/>
      </c>
      <c r="AL40" s="6"/>
      <c r="AM40" s="79" t="str">
        <f t="shared" si="12"/>
        <v/>
      </c>
      <c r="AN40" s="12"/>
      <c r="AO40" s="12"/>
      <c r="AP40" s="14"/>
      <c r="AQ40" s="16"/>
      <c r="AR40" s="15"/>
      <c r="AU40" s="198"/>
      <c r="AV40" s="198"/>
      <c r="AW40" s="198"/>
      <c r="AX40" s="198"/>
    </row>
    <row r="41" spans="2:50" ht="17.25" customHeight="1" x14ac:dyDescent="0.2">
      <c r="B41" s="6"/>
      <c r="C41" s="49" t="str">
        <f>IF(SEM!C41="","",SEM!C41)</f>
        <v/>
      </c>
      <c r="D41" s="220" t="str">
        <f>IF(C41="","",VLOOKUP(SEM!C41,FROTA!$B$5:$C$305,2,0))</f>
        <v/>
      </c>
      <c r="E41" s="24" t="str">
        <f>IF(C41="","",VLOOKUP(C41,FROTA!$B$5:$N$305,7,0))</f>
        <v/>
      </c>
      <c r="F41" s="38" t="str">
        <f t="shared" si="2"/>
        <v/>
      </c>
      <c r="G41" s="71" t="str">
        <f t="shared" si="13"/>
        <v/>
      </c>
      <c r="H41" s="32" t="str">
        <f t="shared" si="21"/>
        <v/>
      </c>
      <c r="I41" s="73" t="str">
        <f t="shared" si="21"/>
        <v/>
      </c>
      <c r="J41" s="73" t="str">
        <f t="shared" si="21"/>
        <v/>
      </c>
      <c r="K41" s="73" t="str">
        <f t="shared" si="19"/>
        <v/>
      </c>
      <c r="L41" s="73" t="str">
        <f t="shared" si="19"/>
        <v/>
      </c>
      <c r="M41" s="73" t="str">
        <f t="shared" si="19"/>
        <v/>
      </c>
      <c r="N41" s="73" t="str">
        <f t="shared" si="19"/>
        <v/>
      </c>
      <c r="O41" s="73" t="str">
        <f t="shared" si="19"/>
        <v/>
      </c>
      <c r="P41" s="73" t="str">
        <f t="shared" si="19"/>
        <v/>
      </c>
      <c r="Q41" s="73" t="str">
        <f t="shared" si="19"/>
        <v/>
      </c>
      <c r="R41" s="73" t="str">
        <f t="shared" si="20"/>
        <v/>
      </c>
      <c r="S41" s="73" t="str">
        <f t="shared" si="20"/>
        <v/>
      </c>
      <c r="T41" s="73" t="str">
        <f t="shared" si="20"/>
        <v/>
      </c>
      <c r="U41" s="73" t="str">
        <f t="shared" si="20"/>
        <v/>
      </c>
      <c r="V41" s="73" t="str">
        <f t="shared" si="20"/>
        <v/>
      </c>
      <c r="W41" s="73" t="str">
        <f t="shared" si="20"/>
        <v/>
      </c>
      <c r="X41" s="73" t="str">
        <f t="shared" si="20"/>
        <v/>
      </c>
      <c r="Y41" s="73" t="str">
        <f t="shared" si="20"/>
        <v/>
      </c>
      <c r="Z41" s="73" t="str">
        <f t="shared" si="20"/>
        <v/>
      </c>
      <c r="AA41" s="73" t="str">
        <f t="shared" si="20"/>
        <v/>
      </c>
      <c r="AB41" s="74" t="str">
        <f t="shared" si="20"/>
        <v/>
      </c>
      <c r="AC41" s="35" t="str">
        <f t="shared" si="14"/>
        <v/>
      </c>
      <c r="AD41" s="40" t="str">
        <f t="shared" si="15"/>
        <v/>
      </c>
      <c r="AE41" s="37" t="str">
        <f t="shared" si="16"/>
        <v/>
      </c>
      <c r="AF41" s="40" t="str">
        <f t="shared" si="7"/>
        <v/>
      </c>
      <c r="AG41" s="37" t="str">
        <f t="shared" si="8"/>
        <v/>
      </c>
      <c r="AH41" s="40" t="str">
        <f t="shared" si="9"/>
        <v/>
      </c>
      <c r="AI41" s="37" t="str">
        <f t="shared" si="17"/>
        <v/>
      </c>
      <c r="AJ41" s="40" t="str">
        <f t="shared" si="18"/>
        <v/>
      </c>
      <c r="AK41" s="33" t="str">
        <f>IF(SEM!AK41="","",SEM!AK41)</f>
        <v/>
      </c>
      <c r="AL41" s="6"/>
      <c r="AM41" s="79" t="str">
        <f t="shared" si="12"/>
        <v/>
      </c>
      <c r="AN41" s="12"/>
      <c r="AO41" s="12"/>
      <c r="AP41" s="14"/>
      <c r="AQ41" s="16"/>
      <c r="AR41" s="15"/>
      <c r="AU41" s="198"/>
      <c r="AV41" s="198"/>
      <c r="AW41" s="198"/>
      <c r="AX41" s="198"/>
    </row>
    <row r="42" spans="2:50" ht="17.25" customHeight="1" x14ac:dyDescent="0.2">
      <c r="B42" s="6"/>
      <c r="C42" s="49" t="str">
        <f>IF(SEM!C42="","",SEM!C42)</f>
        <v/>
      </c>
      <c r="D42" s="220" t="str">
        <f>IF(C42="","",VLOOKUP(SEM!C42,FROTA!$B$5:$C$305,2,0))</f>
        <v/>
      </c>
      <c r="E42" s="24" t="str">
        <f>IF(C42="","",VLOOKUP(C42,FROTA!$B$5:$N$305,7,0))</f>
        <v/>
      </c>
      <c r="F42" s="38" t="str">
        <f t="shared" si="2"/>
        <v/>
      </c>
      <c r="G42" s="71" t="str">
        <f t="shared" si="13"/>
        <v/>
      </c>
      <c r="H42" s="32" t="str">
        <f t="shared" si="21"/>
        <v/>
      </c>
      <c r="I42" s="73" t="str">
        <f t="shared" si="21"/>
        <v/>
      </c>
      <c r="J42" s="73" t="str">
        <f t="shared" si="21"/>
        <v/>
      </c>
      <c r="K42" s="73" t="str">
        <f t="shared" si="19"/>
        <v/>
      </c>
      <c r="L42" s="73" t="str">
        <f t="shared" si="19"/>
        <v/>
      </c>
      <c r="M42" s="73" t="str">
        <f t="shared" si="19"/>
        <v/>
      </c>
      <c r="N42" s="73" t="str">
        <f t="shared" si="19"/>
        <v/>
      </c>
      <c r="O42" s="73" t="str">
        <f t="shared" si="19"/>
        <v/>
      </c>
      <c r="P42" s="73" t="str">
        <f t="shared" si="19"/>
        <v/>
      </c>
      <c r="Q42" s="73" t="str">
        <f t="shared" si="19"/>
        <v/>
      </c>
      <c r="R42" s="73" t="str">
        <f t="shared" si="20"/>
        <v/>
      </c>
      <c r="S42" s="73" t="str">
        <f t="shared" si="20"/>
        <v/>
      </c>
      <c r="T42" s="73" t="str">
        <f t="shared" si="20"/>
        <v/>
      </c>
      <c r="U42" s="73" t="str">
        <f t="shared" si="20"/>
        <v/>
      </c>
      <c r="V42" s="73" t="str">
        <f t="shared" si="20"/>
        <v/>
      </c>
      <c r="W42" s="73" t="str">
        <f t="shared" si="20"/>
        <v/>
      </c>
      <c r="X42" s="73" t="str">
        <f t="shared" si="20"/>
        <v/>
      </c>
      <c r="Y42" s="73" t="str">
        <f t="shared" si="20"/>
        <v/>
      </c>
      <c r="Z42" s="73" t="str">
        <f t="shared" si="20"/>
        <v/>
      </c>
      <c r="AA42" s="73" t="str">
        <f t="shared" si="20"/>
        <v/>
      </c>
      <c r="AB42" s="74" t="str">
        <f t="shared" si="20"/>
        <v/>
      </c>
      <c r="AC42" s="35" t="str">
        <f t="shared" si="14"/>
        <v/>
      </c>
      <c r="AD42" s="40" t="str">
        <f t="shared" si="15"/>
        <v/>
      </c>
      <c r="AE42" s="37" t="str">
        <f t="shared" si="16"/>
        <v/>
      </c>
      <c r="AF42" s="40" t="str">
        <f t="shared" si="7"/>
        <v/>
      </c>
      <c r="AG42" s="37" t="str">
        <f t="shared" si="8"/>
        <v/>
      </c>
      <c r="AH42" s="40" t="str">
        <f t="shared" si="9"/>
        <v/>
      </c>
      <c r="AI42" s="37" t="str">
        <f t="shared" si="17"/>
        <v/>
      </c>
      <c r="AJ42" s="40" t="str">
        <f t="shared" si="18"/>
        <v/>
      </c>
      <c r="AK42" s="33" t="str">
        <f>IF(SEM!AK42="","",SEM!AK42)</f>
        <v/>
      </c>
      <c r="AL42" s="6"/>
      <c r="AM42" s="79" t="str">
        <f t="shared" si="12"/>
        <v/>
      </c>
      <c r="AN42" s="12"/>
      <c r="AO42" s="12"/>
      <c r="AP42" s="14"/>
      <c r="AQ42" s="16"/>
      <c r="AR42" s="15"/>
      <c r="AU42" s="198"/>
      <c r="AV42" s="198"/>
      <c r="AW42" s="198"/>
      <c r="AX42" s="198"/>
    </row>
    <row r="43" spans="2:50" ht="17.25" customHeight="1" x14ac:dyDescent="0.2">
      <c r="B43" s="6"/>
      <c r="C43" s="49" t="str">
        <f>IF(SEM!C43="","",SEM!C43)</f>
        <v/>
      </c>
      <c r="D43" s="220" t="str">
        <f>IF(C43="","",VLOOKUP(SEM!C43,FROTA!$B$5:$C$305,2,0))</f>
        <v/>
      </c>
      <c r="E43" s="24" t="str">
        <f>IF(C43="","",VLOOKUP(C43,FROTA!$B$5:$N$305,7,0))</f>
        <v/>
      </c>
      <c r="F43" s="38" t="str">
        <f t="shared" si="2"/>
        <v/>
      </c>
      <c r="G43" s="71" t="str">
        <f t="shared" si="13"/>
        <v/>
      </c>
      <c r="H43" s="32" t="str">
        <f t="shared" si="21"/>
        <v/>
      </c>
      <c r="I43" s="73" t="str">
        <f t="shared" si="21"/>
        <v/>
      </c>
      <c r="J43" s="73" t="str">
        <f t="shared" si="21"/>
        <v/>
      </c>
      <c r="K43" s="73" t="str">
        <f t="shared" si="19"/>
        <v/>
      </c>
      <c r="L43" s="73" t="str">
        <f t="shared" si="19"/>
        <v/>
      </c>
      <c r="M43" s="73" t="str">
        <f t="shared" si="19"/>
        <v/>
      </c>
      <c r="N43" s="73" t="str">
        <f t="shared" si="19"/>
        <v/>
      </c>
      <c r="O43" s="73" t="str">
        <f t="shared" si="19"/>
        <v/>
      </c>
      <c r="P43" s="73" t="str">
        <f t="shared" si="19"/>
        <v/>
      </c>
      <c r="Q43" s="73" t="str">
        <f t="shared" si="19"/>
        <v/>
      </c>
      <c r="R43" s="73" t="str">
        <f t="shared" si="20"/>
        <v/>
      </c>
      <c r="S43" s="73" t="str">
        <f t="shared" si="20"/>
        <v/>
      </c>
      <c r="T43" s="73" t="str">
        <f t="shared" si="20"/>
        <v/>
      </c>
      <c r="U43" s="73" t="str">
        <f t="shared" si="20"/>
        <v/>
      </c>
      <c r="V43" s="73" t="str">
        <f t="shared" si="20"/>
        <v/>
      </c>
      <c r="W43" s="73" t="str">
        <f t="shared" si="20"/>
        <v/>
      </c>
      <c r="X43" s="73" t="str">
        <f t="shared" si="20"/>
        <v/>
      </c>
      <c r="Y43" s="73" t="str">
        <f t="shared" si="20"/>
        <v/>
      </c>
      <c r="Z43" s="73" t="str">
        <f t="shared" si="20"/>
        <v/>
      </c>
      <c r="AA43" s="73" t="str">
        <f t="shared" si="20"/>
        <v/>
      </c>
      <c r="AB43" s="74" t="str">
        <f t="shared" si="20"/>
        <v/>
      </c>
      <c r="AC43" s="35" t="str">
        <f t="shared" si="14"/>
        <v/>
      </c>
      <c r="AD43" s="40" t="str">
        <f t="shared" si="15"/>
        <v/>
      </c>
      <c r="AE43" s="37" t="str">
        <f t="shared" si="16"/>
        <v/>
      </c>
      <c r="AF43" s="40" t="str">
        <f t="shared" si="7"/>
        <v/>
      </c>
      <c r="AG43" s="37" t="str">
        <f t="shared" si="8"/>
        <v/>
      </c>
      <c r="AH43" s="40" t="str">
        <f t="shared" si="9"/>
        <v/>
      </c>
      <c r="AI43" s="37" t="str">
        <f t="shared" si="17"/>
        <v/>
      </c>
      <c r="AJ43" s="40" t="str">
        <f t="shared" si="18"/>
        <v/>
      </c>
      <c r="AK43" s="33" t="str">
        <f>IF(SEM!AK43="","",SEM!AK43)</f>
        <v/>
      </c>
      <c r="AL43" s="6"/>
      <c r="AM43" s="79" t="str">
        <f t="shared" si="12"/>
        <v/>
      </c>
      <c r="AN43" s="12"/>
      <c r="AO43" s="12"/>
      <c r="AP43" s="14"/>
      <c r="AQ43" s="16"/>
      <c r="AR43" s="15"/>
      <c r="AU43" s="198"/>
      <c r="AV43" s="198"/>
      <c r="AW43" s="198"/>
      <c r="AX43" s="198"/>
    </row>
    <row r="44" spans="2:50" ht="17.25" customHeight="1" x14ac:dyDescent="0.2">
      <c r="B44" s="6"/>
      <c r="C44" s="49" t="str">
        <f>IF(SEM!C44="","",SEM!C44)</f>
        <v/>
      </c>
      <c r="D44" s="220" t="str">
        <f>IF(C44="","",VLOOKUP(SEM!C44,FROTA!$B$5:$C$305,2,0))</f>
        <v/>
      </c>
      <c r="E44" s="24" t="str">
        <f>IF(C44="","",VLOOKUP(C44,FROTA!$B$5:$N$305,7,0))</f>
        <v/>
      </c>
      <c r="F44" s="38" t="str">
        <f t="shared" si="2"/>
        <v/>
      </c>
      <c r="G44" s="71" t="str">
        <f t="shared" si="13"/>
        <v/>
      </c>
      <c r="H44" s="32" t="str">
        <f t="shared" si="21"/>
        <v/>
      </c>
      <c r="I44" s="73" t="str">
        <f t="shared" si="21"/>
        <v/>
      </c>
      <c r="J44" s="73" t="str">
        <f t="shared" si="21"/>
        <v/>
      </c>
      <c r="K44" s="73" t="str">
        <f t="shared" si="19"/>
        <v/>
      </c>
      <c r="L44" s="73" t="str">
        <f t="shared" si="19"/>
        <v/>
      </c>
      <c r="M44" s="73" t="str">
        <f t="shared" si="19"/>
        <v/>
      </c>
      <c r="N44" s="73" t="str">
        <f t="shared" si="19"/>
        <v/>
      </c>
      <c r="O44" s="73" t="str">
        <f t="shared" si="19"/>
        <v/>
      </c>
      <c r="P44" s="73" t="str">
        <f t="shared" si="19"/>
        <v/>
      </c>
      <c r="Q44" s="73" t="str">
        <f t="shared" si="19"/>
        <v/>
      </c>
      <c r="R44" s="73" t="str">
        <f t="shared" si="20"/>
        <v/>
      </c>
      <c r="S44" s="73" t="str">
        <f t="shared" si="20"/>
        <v/>
      </c>
      <c r="T44" s="73" t="str">
        <f t="shared" si="20"/>
        <v/>
      </c>
      <c r="U44" s="73" t="str">
        <f t="shared" si="20"/>
        <v/>
      </c>
      <c r="V44" s="73" t="str">
        <f t="shared" si="20"/>
        <v/>
      </c>
      <c r="W44" s="73" t="str">
        <f t="shared" si="20"/>
        <v/>
      </c>
      <c r="X44" s="73" t="str">
        <f t="shared" si="20"/>
        <v/>
      </c>
      <c r="Y44" s="73" t="str">
        <f t="shared" si="20"/>
        <v/>
      </c>
      <c r="Z44" s="73" t="str">
        <f t="shared" si="20"/>
        <v/>
      </c>
      <c r="AA44" s="73" t="str">
        <f t="shared" si="20"/>
        <v/>
      </c>
      <c r="AB44" s="74" t="str">
        <f t="shared" si="20"/>
        <v/>
      </c>
      <c r="AC44" s="35" t="str">
        <f t="shared" si="14"/>
        <v/>
      </c>
      <c r="AD44" s="40" t="str">
        <f t="shared" si="15"/>
        <v/>
      </c>
      <c r="AE44" s="37" t="str">
        <f t="shared" si="16"/>
        <v/>
      </c>
      <c r="AF44" s="40" t="str">
        <f t="shared" si="7"/>
        <v/>
      </c>
      <c r="AG44" s="37" t="str">
        <f t="shared" si="8"/>
        <v/>
      </c>
      <c r="AH44" s="40" t="str">
        <f t="shared" si="9"/>
        <v/>
      </c>
      <c r="AI44" s="37" t="str">
        <f t="shared" si="17"/>
        <v/>
      </c>
      <c r="AJ44" s="40" t="str">
        <f t="shared" si="18"/>
        <v/>
      </c>
      <c r="AK44" s="33" t="str">
        <f>IF(SEM!AK44="","",SEM!AK44)</f>
        <v/>
      </c>
      <c r="AL44" s="6"/>
      <c r="AM44" s="79" t="str">
        <f t="shared" si="12"/>
        <v/>
      </c>
      <c r="AN44" s="12"/>
      <c r="AO44" s="12"/>
      <c r="AP44" s="14"/>
      <c r="AQ44" s="16"/>
      <c r="AR44" s="15"/>
      <c r="AU44" s="198"/>
      <c r="AV44" s="198"/>
      <c r="AW44" s="198"/>
      <c r="AX44" s="198"/>
    </row>
    <row r="45" spans="2:50" ht="17.25" customHeight="1" x14ac:dyDescent="0.2">
      <c r="B45" s="6"/>
      <c r="C45" s="49" t="str">
        <f>IF(SEM!C45="","",SEM!C45)</f>
        <v/>
      </c>
      <c r="D45" s="220" t="str">
        <f>IF(C45="","",VLOOKUP(SEM!C45,FROTA!$B$5:$C$305,2,0))</f>
        <v/>
      </c>
      <c r="E45" s="24" t="str">
        <f>IF(C45="","",VLOOKUP(C45,FROTA!$B$5:$N$305,7,0))</f>
        <v/>
      </c>
      <c r="F45" s="38" t="str">
        <f t="shared" si="2"/>
        <v/>
      </c>
      <c r="G45" s="71" t="str">
        <f t="shared" si="13"/>
        <v/>
      </c>
      <c r="H45" s="32" t="str">
        <f t="shared" si="21"/>
        <v/>
      </c>
      <c r="I45" s="73" t="str">
        <f t="shared" si="21"/>
        <v/>
      </c>
      <c r="J45" s="73" t="str">
        <f t="shared" si="21"/>
        <v/>
      </c>
      <c r="K45" s="73" t="str">
        <f t="shared" si="19"/>
        <v/>
      </c>
      <c r="L45" s="73" t="str">
        <f t="shared" si="19"/>
        <v/>
      </c>
      <c r="M45" s="73" t="str">
        <f t="shared" si="19"/>
        <v/>
      </c>
      <c r="N45" s="73" t="str">
        <f t="shared" si="19"/>
        <v/>
      </c>
      <c r="O45" s="73" t="str">
        <f t="shared" si="19"/>
        <v/>
      </c>
      <c r="P45" s="73" t="str">
        <f t="shared" si="19"/>
        <v/>
      </c>
      <c r="Q45" s="73" t="str">
        <f t="shared" si="19"/>
        <v/>
      </c>
      <c r="R45" s="73" t="str">
        <f t="shared" si="20"/>
        <v/>
      </c>
      <c r="S45" s="73" t="str">
        <f t="shared" si="20"/>
        <v/>
      </c>
      <c r="T45" s="73" t="str">
        <f t="shared" ref="R45:AB68" si="22">IF($C45="","",IF(SUM(T$307*$G45)&gt;$F45,$F45,SUM(T$307*$G45)))</f>
        <v/>
      </c>
      <c r="U45" s="73" t="str">
        <f t="shared" si="22"/>
        <v/>
      </c>
      <c r="V45" s="73" t="str">
        <f t="shared" si="22"/>
        <v/>
      </c>
      <c r="W45" s="73" t="str">
        <f t="shared" si="22"/>
        <v/>
      </c>
      <c r="X45" s="73" t="str">
        <f t="shared" si="22"/>
        <v/>
      </c>
      <c r="Y45" s="73" t="str">
        <f t="shared" si="22"/>
        <v/>
      </c>
      <c r="Z45" s="73" t="str">
        <f t="shared" si="22"/>
        <v/>
      </c>
      <c r="AA45" s="73" t="str">
        <f t="shared" si="22"/>
        <v/>
      </c>
      <c r="AB45" s="74" t="str">
        <f t="shared" si="22"/>
        <v/>
      </c>
      <c r="AC45" s="35" t="str">
        <f t="shared" si="14"/>
        <v/>
      </c>
      <c r="AD45" s="40" t="str">
        <f t="shared" si="15"/>
        <v/>
      </c>
      <c r="AE45" s="37" t="str">
        <f t="shared" si="16"/>
        <v/>
      </c>
      <c r="AF45" s="40" t="str">
        <f t="shared" si="7"/>
        <v/>
      </c>
      <c r="AG45" s="37" t="str">
        <f t="shared" si="8"/>
        <v/>
      </c>
      <c r="AH45" s="40" t="str">
        <f t="shared" si="9"/>
        <v/>
      </c>
      <c r="AI45" s="37" t="str">
        <f t="shared" si="17"/>
        <v/>
      </c>
      <c r="AJ45" s="40" t="str">
        <f t="shared" si="18"/>
        <v/>
      </c>
      <c r="AK45" s="33" t="str">
        <f>IF(SEM!AK45="","",SEM!AK45)</f>
        <v/>
      </c>
      <c r="AL45" s="6"/>
      <c r="AM45" s="79" t="str">
        <f t="shared" si="12"/>
        <v/>
      </c>
      <c r="AN45" s="12"/>
      <c r="AO45" s="12"/>
      <c r="AP45" s="14"/>
      <c r="AQ45" s="16"/>
      <c r="AR45" s="15"/>
      <c r="AU45" s="198"/>
      <c r="AV45" s="198"/>
      <c r="AW45" s="198"/>
      <c r="AX45" s="198"/>
    </row>
    <row r="46" spans="2:50" ht="17.25" customHeight="1" x14ac:dyDescent="0.2">
      <c r="B46" s="6"/>
      <c r="C46" s="49" t="str">
        <f>IF(SEM!C46="","",SEM!C46)</f>
        <v/>
      </c>
      <c r="D46" s="220" t="str">
        <f>IF(C46="","",VLOOKUP(SEM!C46,FROTA!$B$5:$C$305,2,0))</f>
        <v/>
      </c>
      <c r="E46" s="24" t="str">
        <f>IF(C46="","",VLOOKUP(C46,FROTA!$B$5:$N$305,7,0))</f>
        <v/>
      </c>
      <c r="F46" s="38" t="str">
        <f t="shared" si="2"/>
        <v/>
      </c>
      <c r="G46" s="71" t="str">
        <f t="shared" si="13"/>
        <v/>
      </c>
      <c r="H46" s="32" t="str">
        <f t="shared" si="21"/>
        <v/>
      </c>
      <c r="I46" s="73" t="str">
        <f t="shared" si="21"/>
        <v/>
      </c>
      <c r="J46" s="73" t="str">
        <f t="shared" si="21"/>
        <v/>
      </c>
      <c r="K46" s="73" t="str">
        <f t="shared" si="19"/>
        <v/>
      </c>
      <c r="L46" s="73" t="str">
        <f t="shared" si="19"/>
        <v/>
      </c>
      <c r="M46" s="73" t="str">
        <f t="shared" si="19"/>
        <v/>
      </c>
      <c r="N46" s="73" t="str">
        <f t="shared" si="19"/>
        <v/>
      </c>
      <c r="O46" s="73" t="str">
        <f t="shared" si="19"/>
        <v/>
      </c>
      <c r="P46" s="73" t="str">
        <f t="shared" si="19"/>
        <v/>
      </c>
      <c r="Q46" s="73" t="str">
        <f t="shared" si="19"/>
        <v/>
      </c>
      <c r="R46" s="73" t="str">
        <f t="shared" si="22"/>
        <v/>
      </c>
      <c r="S46" s="73" t="str">
        <f t="shared" si="22"/>
        <v/>
      </c>
      <c r="T46" s="73" t="str">
        <f t="shared" si="22"/>
        <v/>
      </c>
      <c r="U46" s="73" t="str">
        <f t="shared" si="22"/>
        <v/>
      </c>
      <c r="V46" s="73" t="str">
        <f t="shared" si="22"/>
        <v/>
      </c>
      <c r="W46" s="73" t="str">
        <f t="shared" si="22"/>
        <v/>
      </c>
      <c r="X46" s="73" t="str">
        <f t="shared" si="22"/>
        <v/>
      </c>
      <c r="Y46" s="73" t="str">
        <f t="shared" si="22"/>
        <v/>
      </c>
      <c r="Z46" s="73" t="str">
        <f t="shared" si="22"/>
        <v/>
      </c>
      <c r="AA46" s="73" t="str">
        <f t="shared" si="22"/>
        <v/>
      </c>
      <c r="AB46" s="74" t="str">
        <f t="shared" si="22"/>
        <v/>
      </c>
      <c r="AC46" s="35" t="str">
        <f t="shared" si="14"/>
        <v/>
      </c>
      <c r="AD46" s="40" t="str">
        <f t="shared" si="15"/>
        <v/>
      </c>
      <c r="AE46" s="37" t="str">
        <f t="shared" si="16"/>
        <v/>
      </c>
      <c r="AF46" s="40" t="str">
        <f t="shared" si="7"/>
        <v/>
      </c>
      <c r="AG46" s="37" t="str">
        <f t="shared" si="8"/>
        <v/>
      </c>
      <c r="AH46" s="40" t="str">
        <f t="shared" si="9"/>
        <v/>
      </c>
      <c r="AI46" s="37" t="str">
        <f t="shared" si="17"/>
        <v/>
      </c>
      <c r="AJ46" s="40" t="str">
        <f t="shared" si="18"/>
        <v/>
      </c>
      <c r="AK46" s="33" t="str">
        <f>IF(SEM!AK46="","",SEM!AK46)</f>
        <v/>
      </c>
      <c r="AL46" s="6"/>
      <c r="AM46" s="79" t="str">
        <f t="shared" si="12"/>
        <v/>
      </c>
      <c r="AN46" s="12"/>
      <c r="AO46" s="12"/>
      <c r="AP46" s="14"/>
      <c r="AQ46" s="16"/>
      <c r="AR46" s="15"/>
      <c r="AU46" s="198"/>
      <c r="AV46" s="198"/>
      <c r="AW46" s="198"/>
      <c r="AX46" s="198"/>
    </row>
    <row r="47" spans="2:50" ht="17.25" customHeight="1" x14ac:dyDescent="0.2">
      <c r="B47" s="6"/>
      <c r="C47" s="49" t="str">
        <f>IF(SEM!C47="","",SEM!C47)</f>
        <v/>
      </c>
      <c r="D47" s="220" t="str">
        <f>IF(C47="","",VLOOKUP(SEM!C47,FROTA!$B$5:$C$305,2,0))</f>
        <v/>
      </c>
      <c r="E47" s="24" t="str">
        <f>IF(C47="","",VLOOKUP(C47,FROTA!$B$5:$N$305,7,0))</f>
        <v/>
      </c>
      <c r="F47" s="38" t="str">
        <f t="shared" si="2"/>
        <v/>
      </c>
      <c r="G47" s="71" t="str">
        <f t="shared" si="13"/>
        <v/>
      </c>
      <c r="H47" s="32" t="str">
        <f t="shared" si="21"/>
        <v/>
      </c>
      <c r="I47" s="73" t="str">
        <f t="shared" si="21"/>
        <v/>
      </c>
      <c r="J47" s="73" t="str">
        <f t="shared" si="21"/>
        <v/>
      </c>
      <c r="K47" s="73" t="str">
        <f t="shared" si="19"/>
        <v/>
      </c>
      <c r="L47" s="73" t="str">
        <f t="shared" si="19"/>
        <v/>
      </c>
      <c r="M47" s="73" t="str">
        <f t="shared" si="19"/>
        <v/>
      </c>
      <c r="N47" s="73" t="str">
        <f t="shared" si="19"/>
        <v/>
      </c>
      <c r="O47" s="73" t="str">
        <f t="shared" si="19"/>
        <v/>
      </c>
      <c r="P47" s="73" t="str">
        <f t="shared" si="19"/>
        <v/>
      </c>
      <c r="Q47" s="73" t="str">
        <f t="shared" si="19"/>
        <v/>
      </c>
      <c r="R47" s="73" t="str">
        <f t="shared" si="22"/>
        <v/>
      </c>
      <c r="S47" s="73" t="str">
        <f t="shared" si="22"/>
        <v/>
      </c>
      <c r="T47" s="73" t="str">
        <f t="shared" si="22"/>
        <v/>
      </c>
      <c r="U47" s="73" t="str">
        <f t="shared" si="22"/>
        <v/>
      </c>
      <c r="V47" s="73" t="str">
        <f t="shared" si="22"/>
        <v/>
      </c>
      <c r="W47" s="73" t="str">
        <f t="shared" si="22"/>
        <v/>
      </c>
      <c r="X47" s="73" t="str">
        <f t="shared" si="22"/>
        <v/>
      </c>
      <c r="Y47" s="73" t="str">
        <f t="shared" si="22"/>
        <v/>
      </c>
      <c r="Z47" s="73" t="str">
        <f t="shared" si="22"/>
        <v/>
      </c>
      <c r="AA47" s="73" t="str">
        <f t="shared" si="22"/>
        <v/>
      </c>
      <c r="AB47" s="74" t="str">
        <f t="shared" si="22"/>
        <v/>
      </c>
      <c r="AC47" s="35" t="str">
        <f t="shared" si="14"/>
        <v/>
      </c>
      <c r="AD47" s="40" t="str">
        <f t="shared" si="15"/>
        <v/>
      </c>
      <c r="AE47" s="37" t="str">
        <f t="shared" si="16"/>
        <v/>
      </c>
      <c r="AF47" s="40" t="str">
        <f t="shared" si="7"/>
        <v/>
      </c>
      <c r="AG47" s="37" t="str">
        <f t="shared" si="8"/>
        <v/>
      </c>
      <c r="AH47" s="40" t="str">
        <f t="shared" si="9"/>
        <v/>
      </c>
      <c r="AI47" s="37" t="str">
        <f t="shared" si="17"/>
        <v/>
      </c>
      <c r="AJ47" s="40" t="str">
        <f t="shared" si="18"/>
        <v/>
      </c>
      <c r="AK47" s="33" t="str">
        <f>IF(SEM!AK47="","",SEM!AK47)</f>
        <v/>
      </c>
      <c r="AL47" s="6"/>
      <c r="AM47" s="79" t="str">
        <f t="shared" si="12"/>
        <v/>
      </c>
      <c r="AN47" s="12"/>
      <c r="AO47" s="12"/>
      <c r="AP47" s="14"/>
      <c r="AQ47" s="16"/>
      <c r="AR47" s="15"/>
      <c r="AU47" s="198"/>
      <c r="AV47" s="198"/>
      <c r="AW47" s="198"/>
      <c r="AX47" s="198"/>
    </row>
    <row r="48" spans="2:50" ht="17.25" customHeight="1" x14ac:dyDescent="0.2">
      <c r="B48" s="6"/>
      <c r="C48" s="49" t="str">
        <f>IF(SEM!C48="","",SEM!C48)</f>
        <v/>
      </c>
      <c r="D48" s="220" t="str">
        <f>IF(C48="","",VLOOKUP(SEM!C48,FROTA!$B$5:$C$305,2,0))</f>
        <v/>
      </c>
      <c r="E48" s="24" t="str">
        <f>IF(C48="","",VLOOKUP(C48,FROTA!$B$5:$N$305,7,0))</f>
        <v/>
      </c>
      <c r="F48" s="38" t="str">
        <f t="shared" si="2"/>
        <v/>
      </c>
      <c r="G48" s="71" t="str">
        <f t="shared" si="13"/>
        <v/>
      </c>
      <c r="H48" s="32" t="str">
        <f t="shared" si="21"/>
        <v/>
      </c>
      <c r="I48" s="73" t="str">
        <f t="shared" si="21"/>
        <v/>
      </c>
      <c r="J48" s="73" t="str">
        <f t="shared" si="21"/>
        <v/>
      </c>
      <c r="K48" s="73" t="str">
        <f t="shared" si="19"/>
        <v/>
      </c>
      <c r="L48" s="73" t="str">
        <f t="shared" si="19"/>
        <v/>
      </c>
      <c r="M48" s="73" t="str">
        <f t="shared" si="19"/>
        <v/>
      </c>
      <c r="N48" s="73" t="str">
        <f t="shared" si="19"/>
        <v/>
      </c>
      <c r="O48" s="73" t="str">
        <f t="shared" si="19"/>
        <v/>
      </c>
      <c r="P48" s="73" t="str">
        <f t="shared" si="19"/>
        <v/>
      </c>
      <c r="Q48" s="73" t="str">
        <f t="shared" si="19"/>
        <v/>
      </c>
      <c r="R48" s="73" t="str">
        <f t="shared" si="22"/>
        <v/>
      </c>
      <c r="S48" s="73" t="str">
        <f t="shared" si="22"/>
        <v/>
      </c>
      <c r="T48" s="73" t="str">
        <f t="shared" si="22"/>
        <v/>
      </c>
      <c r="U48" s="73" t="str">
        <f t="shared" si="22"/>
        <v/>
      </c>
      <c r="V48" s="73" t="str">
        <f t="shared" si="22"/>
        <v/>
      </c>
      <c r="W48" s="73" t="str">
        <f t="shared" si="22"/>
        <v/>
      </c>
      <c r="X48" s="73" t="str">
        <f t="shared" si="22"/>
        <v/>
      </c>
      <c r="Y48" s="73" t="str">
        <f t="shared" si="22"/>
        <v/>
      </c>
      <c r="Z48" s="73" t="str">
        <f t="shared" si="22"/>
        <v/>
      </c>
      <c r="AA48" s="73" t="str">
        <f t="shared" si="22"/>
        <v/>
      </c>
      <c r="AB48" s="74" t="str">
        <f t="shared" si="22"/>
        <v/>
      </c>
      <c r="AC48" s="35" t="str">
        <f t="shared" si="14"/>
        <v/>
      </c>
      <c r="AD48" s="40" t="str">
        <f t="shared" si="15"/>
        <v/>
      </c>
      <c r="AE48" s="37" t="str">
        <f t="shared" si="16"/>
        <v/>
      </c>
      <c r="AF48" s="40" t="str">
        <f t="shared" si="7"/>
        <v/>
      </c>
      <c r="AG48" s="37" t="str">
        <f t="shared" si="8"/>
        <v/>
      </c>
      <c r="AH48" s="40" t="str">
        <f t="shared" si="9"/>
        <v/>
      </c>
      <c r="AI48" s="37" t="str">
        <f t="shared" si="17"/>
        <v/>
      </c>
      <c r="AJ48" s="40" t="str">
        <f t="shared" si="18"/>
        <v/>
      </c>
      <c r="AK48" s="33" t="str">
        <f>IF(SEM!AK48="","",SEM!AK48)</f>
        <v/>
      </c>
      <c r="AL48" s="6"/>
      <c r="AM48" s="79" t="str">
        <f t="shared" si="12"/>
        <v/>
      </c>
      <c r="AN48" s="12"/>
      <c r="AO48" s="12"/>
      <c r="AP48" s="14"/>
      <c r="AQ48" s="16"/>
      <c r="AR48" s="15"/>
      <c r="AU48" s="198"/>
      <c r="AV48" s="198"/>
      <c r="AW48" s="198"/>
      <c r="AX48" s="198"/>
    </row>
    <row r="49" spans="2:50" ht="17.25" customHeight="1" x14ac:dyDescent="0.2">
      <c r="B49" s="6"/>
      <c r="C49" s="49" t="str">
        <f>IF(SEM!C49="","",SEM!C49)</f>
        <v/>
      </c>
      <c r="D49" s="220" t="str">
        <f>IF(C49="","",VLOOKUP(SEM!C49,FROTA!$B$5:$C$305,2,0))</f>
        <v/>
      </c>
      <c r="E49" s="24" t="str">
        <f>IF(C49="","",VLOOKUP(C49,FROTA!$B$5:$N$305,7,0))</f>
        <v/>
      </c>
      <c r="F49" s="38" t="str">
        <f t="shared" si="2"/>
        <v/>
      </c>
      <c r="G49" s="71" t="str">
        <f t="shared" si="13"/>
        <v/>
      </c>
      <c r="H49" s="32" t="str">
        <f t="shared" si="21"/>
        <v/>
      </c>
      <c r="I49" s="73" t="str">
        <f t="shared" si="21"/>
        <v/>
      </c>
      <c r="J49" s="73" t="str">
        <f t="shared" si="21"/>
        <v/>
      </c>
      <c r="K49" s="73" t="str">
        <f t="shared" si="19"/>
        <v/>
      </c>
      <c r="L49" s="73" t="str">
        <f t="shared" si="19"/>
        <v/>
      </c>
      <c r="M49" s="73" t="str">
        <f t="shared" si="19"/>
        <v/>
      </c>
      <c r="N49" s="73" t="str">
        <f t="shared" si="19"/>
        <v/>
      </c>
      <c r="O49" s="73" t="str">
        <f t="shared" si="19"/>
        <v/>
      </c>
      <c r="P49" s="73" t="str">
        <f t="shared" si="19"/>
        <v/>
      </c>
      <c r="Q49" s="73" t="str">
        <f t="shared" si="19"/>
        <v/>
      </c>
      <c r="R49" s="73" t="str">
        <f t="shared" si="22"/>
        <v/>
      </c>
      <c r="S49" s="73" t="str">
        <f t="shared" si="22"/>
        <v/>
      </c>
      <c r="T49" s="73" t="str">
        <f t="shared" si="22"/>
        <v/>
      </c>
      <c r="U49" s="73" t="str">
        <f t="shared" si="22"/>
        <v/>
      </c>
      <c r="V49" s="73" t="str">
        <f t="shared" si="22"/>
        <v/>
      </c>
      <c r="W49" s="73" t="str">
        <f t="shared" si="22"/>
        <v/>
      </c>
      <c r="X49" s="73" t="str">
        <f t="shared" si="22"/>
        <v/>
      </c>
      <c r="Y49" s="73" t="str">
        <f t="shared" si="22"/>
        <v/>
      </c>
      <c r="Z49" s="73" t="str">
        <f t="shared" si="22"/>
        <v/>
      </c>
      <c r="AA49" s="73" t="str">
        <f t="shared" si="22"/>
        <v/>
      </c>
      <c r="AB49" s="74" t="str">
        <f t="shared" si="22"/>
        <v/>
      </c>
      <c r="AC49" s="35" t="str">
        <f t="shared" si="14"/>
        <v/>
      </c>
      <c r="AD49" s="40" t="str">
        <f t="shared" si="15"/>
        <v/>
      </c>
      <c r="AE49" s="37" t="str">
        <f t="shared" si="16"/>
        <v/>
      </c>
      <c r="AF49" s="40" t="str">
        <f t="shared" si="7"/>
        <v/>
      </c>
      <c r="AG49" s="37" t="str">
        <f t="shared" si="8"/>
        <v/>
      </c>
      <c r="AH49" s="40" t="str">
        <f t="shared" si="9"/>
        <v/>
      </c>
      <c r="AI49" s="37" t="str">
        <f t="shared" si="17"/>
        <v/>
      </c>
      <c r="AJ49" s="40" t="str">
        <f t="shared" si="18"/>
        <v/>
      </c>
      <c r="AK49" s="33" t="str">
        <f>IF(SEM!AK49="","",SEM!AK49)</f>
        <v/>
      </c>
      <c r="AL49" s="6"/>
      <c r="AM49" s="79" t="str">
        <f t="shared" si="12"/>
        <v/>
      </c>
      <c r="AN49" s="12"/>
      <c r="AO49" s="12"/>
      <c r="AP49" s="14"/>
      <c r="AQ49" s="16"/>
      <c r="AR49" s="15"/>
      <c r="AU49" s="198"/>
      <c r="AV49" s="198"/>
      <c r="AW49" s="198"/>
      <c r="AX49" s="198"/>
    </row>
    <row r="50" spans="2:50" ht="17.25" customHeight="1" x14ac:dyDescent="0.2">
      <c r="B50" s="6"/>
      <c r="C50" s="49" t="str">
        <f>IF(SEM!C50="","",SEM!C50)</f>
        <v/>
      </c>
      <c r="D50" s="220" t="str">
        <f>IF(C50="","",VLOOKUP(SEM!C50,FROTA!$B$5:$C$305,2,0))</f>
        <v/>
      </c>
      <c r="E50" s="24" t="str">
        <f>IF(C50="","",VLOOKUP(C50,FROTA!$B$5:$N$305,7,0))</f>
        <v/>
      </c>
      <c r="F50" s="38" t="str">
        <f t="shared" si="2"/>
        <v/>
      </c>
      <c r="G50" s="71" t="str">
        <f t="shared" si="13"/>
        <v/>
      </c>
      <c r="H50" s="32" t="str">
        <f t="shared" si="21"/>
        <v/>
      </c>
      <c r="I50" s="73" t="str">
        <f t="shared" si="21"/>
        <v/>
      </c>
      <c r="J50" s="73" t="str">
        <f t="shared" si="21"/>
        <v/>
      </c>
      <c r="K50" s="73" t="str">
        <f t="shared" si="19"/>
        <v/>
      </c>
      <c r="L50" s="73" t="str">
        <f t="shared" si="19"/>
        <v/>
      </c>
      <c r="M50" s="73" t="str">
        <f t="shared" si="19"/>
        <v/>
      </c>
      <c r="N50" s="73" t="str">
        <f t="shared" si="19"/>
        <v/>
      </c>
      <c r="O50" s="73" t="str">
        <f t="shared" si="19"/>
        <v/>
      </c>
      <c r="P50" s="73" t="str">
        <f t="shared" si="19"/>
        <v/>
      </c>
      <c r="Q50" s="73" t="str">
        <f t="shared" si="19"/>
        <v/>
      </c>
      <c r="R50" s="73" t="str">
        <f t="shared" si="22"/>
        <v/>
      </c>
      <c r="S50" s="73" t="str">
        <f t="shared" si="22"/>
        <v/>
      </c>
      <c r="T50" s="73" t="str">
        <f t="shared" si="22"/>
        <v/>
      </c>
      <c r="U50" s="73" t="str">
        <f t="shared" si="22"/>
        <v/>
      </c>
      <c r="V50" s="73" t="str">
        <f t="shared" si="22"/>
        <v/>
      </c>
      <c r="W50" s="73" t="str">
        <f t="shared" si="22"/>
        <v/>
      </c>
      <c r="X50" s="73" t="str">
        <f t="shared" si="22"/>
        <v/>
      </c>
      <c r="Y50" s="73" t="str">
        <f t="shared" si="22"/>
        <v/>
      </c>
      <c r="Z50" s="73" t="str">
        <f t="shared" si="22"/>
        <v/>
      </c>
      <c r="AA50" s="73" t="str">
        <f t="shared" si="22"/>
        <v/>
      </c>
      <c r="AB50" s="74" t="str">
        <f t="shared" si="22"/>
        <v/>
      </c>
      <c r="AC50" s="35" t="str">
        <f t="shared" si="14"/>
        <v/>
      </c>
      <c r="AD50" s="40" t="str">
        <f t="shared" si="15"/>
        <v/>
      </c>
      <c r="AE50" s="37" t="str">
        <f t="shared" si="16"/>
        <v/>
      </c>
      <c r="AF50" s="40" t="str">
        <f t="shared" si="7"/>
        <v/>
      </c>
      <c r="AG50" s="37" t="str">
        <f t="shared" si="8"/>
        <v/>
      </c>
      <c r="AH50" s="40" t="str">
        <f t="shared" si="9"/>
        <v/>
      </c>
      <c r="AI50" s="37" t="str">
        <f t="shared" si="17"/>
        <v/>
      </c>
      <c r="AJ50" s="40" t="str">
        <f t="shared" si="18"/>
        <v/>
      </c>
      <c r="AK50" s="33" t="str">
        <f>IF(SEM!AK50="","",SEM!AK50)</f>
        <v/>
      </c>
      <c r="AL50" s="6"/>
      <c r="AM50" s="79" t="str">
        <f t="shared" si="12"/>
        <v/>
      </c>
      <c r="AN50" s="12"/>
      <c r="AO50" s="12"/>
      <c r="AP50" s="14"/>
      <c r="AQ50" s="16"/>
      <c r="AR50" s="15"/>
      <c r="AU50" s="198"/>
      <c r="AV50" s="198"/>
      <c r="AW50" s="198"/>
      <c r="AX50" s="198"/>
    </row>
    <row r="51" spans="2:50" ht="17.25" customHeight="1" x14ac:dyDescent="0.2">
      <c r="B51" s="6"/>
      <c r="C51" s="49" t="str">
        <f>IF(SEM!C51="","",SEM!C51)</f>
        <v/>
      </c>
      <c r="D51" s="220" t="str">
        <f>IF(C51="","",VLOOKUP(SEM!C51,FROTA!$B$5:$C$305,2,0))</f>
        <v/>
      </c>
      <c r="E51" s="24" t="str">
        <f>IF(C51="","",VLOOKUP(C51,FROTA!$B$5:$N$305,7,0))</f>
        <v/>
      </c>
      <c r="F51" s="38" t="str">
        <f t="shared" si="2"/>
        <v/>
      </c>
      <c r="G51" s="71" t="str">
        <f t="shared" si="13"/>
        <v/>
      </c>
      <c r="H51" s="32" t="str">
        <f t="shared" si="21"/>
        <v/>
      </c>
      <c r="I51" s="73" t="str">
        <f t="shared" si="21"/>
        <v/>
      </c>
      <c r="J51" s="73" t="str">
        <f t="shared" si="21"/>
        <v/>
      </c>
      <c r="K51" s="73" t="str">
        <f t="shared" si="19"/>
        <v/>
      </c>
      <c r="L51" s="73" t="str">
        <f t="shared" si="19"/>
        <v/>
      </c>
      <c r="M51" s="73" t="str">
        <f t="shared" si="19"/>
        <v/>
      </c>
      <c r="N51" s="73" t="str">
        <f t="shared" si="19"/>
        <v/>
      </c>
      <c r="O51" s="73" t="str">
        <f t="shared" si="19"/>
        <v/>
      </c>
      <c r="P51" s="73" t="str">
        <f t="shared" si="19"/>
        <v/>
      </c>
      <c r="Q51" s="73" t="str">
        <f t="shared" si="19"/>
        <v/>
      </c>
      <c r="R51" s="73" t="str">
        <f t="shared" si="22"/>
        <v/>
      </c>
      <c r="S51" s="73" t="str">
        <f t="shared" si="22"/>
        <v/>
      </c>
      <c r="T51" s="73" t="str">
        <f t="shared" si="22"/>
        <v/>
      </c>
      <c r="U51" s="73" t="str">
        <f t="shared" si="22"/>
        <v/>
      </c>
      <c r="V51" s="73" t="str">
        <f t="shared" si="22"/>
        <v/>
      </c>
      <c r="W51" s="73" t="str">
        <f t="shared" si="22"/>
        <v/>
      </c>
      <c r="X51" s="73" t="str">
        <f t="shared" si="22"/>
        <v/>
      </c>
      <c r="Y51" s="73" t="str">
        <f t="shared" si="22"/>
        <v/>
      </c>
      <c r="Z51" s="73" t="str">
        <f t="shared" si="22"/>
        <v/>
      </c>
      <c r="AA51" s="73" t="str">
        <f t="shared" si="22"/>
        <v/>
      </c>
      <c r="AB51" s="74" t="str">
        <f t="shared" si="22"/>
        <v/>
      </c>
      <c r="AC51" s="35" t="str">
        <f t="shared" si="14"/>
        <v/>
      </c>
      <c r="AD51" s="40" t="str">
        <f t="shared" si="15"/>
        <v/>
      </c>
      <c r="AE51" s="37" t="str">
        <f t="shared" si="16"/>
        <v/>
      </c>
      <c r="AF51" s="40" t="str">
        <f t="shared" si="7"/>
        <v/>
      </c>
      <c r="AG51" s="37" t="str">
        <f t="shared" si="8"/>
        <v/>
      </c>
      <c r="AH51" s="40" t="str">
        <f t="shared" si="9"/>
        <v/>
      </c>
      <c r="AI51" s="37" t="str">
        <f t="shared" si="17"/>
        <v/>
      </c>
      <c r="AJ51" s="40" t="str">
        <f t="shared" si="18"/>
        <v/>
      </c>
      <c r="AK51" s="33" t="str">
        <f>IF(SEM!AK51="","",SEM!AK51)</f>
        <v/>
      </c>
      <c r="AL51" s="6"/>
      <c r="AM51" s="79" t="str">
        <f t="shared" si="12"/>
        <v/>
      </c>
      <c r="AN51" s="12"/>
      <c r="AO51" s="12"/>
      <c r="AP51" s="14"/>
      <c r="AQ51" s="16"/>
      <c r="AR51" s="15"/>
      <c r="AU51" s="198"/>
      <c r="AV51" s="198"/>
      <c r="AW51" s="198"/>
      <c r="AX51" s="198"/>
    </row>
    <row r="52" spans="2:50" ht="17.25" customHeight="1" x14ac:dyDescent="0.2">
      <c r="B52" s="6"/>
      <c r="C52" s="49" t="str">
        <f>IF(SEM!C52="","",SEM!C52)</f>
        <v/>
      </c>
      <c r="D52" s="220" t="str">
        <f>IF(C52="","",VLOOKUP(SEM!C52,FROTA!$B$5:$C$305,2,0))</f>
        <v/>
      </c>
      <c r="E52" s="24" t="str">
        <f>IF(C52="","",VLOOKUP(C52,FROTA!$B$5:$N$305,7,0))</f>
        <v/>
      </c>
      <c r="F52" s="38" t="str">
        <f t="shared" si="2"/>
        <v/>
      </c>
      <c r="G52" s="71" t="str">
        <f t="shared" si="13"/>
        <v/>
      </c>
      <c r="H52" s="32" t="str">
        <f t="shared" si="21"/>
        <v/>
      </c>
      <c r="I52" s="73" t="str">
        <f t="shared" si="21"/>
        <v/>
      </c>
      <c r="J52" s="73" t="str">
        <f t="shared" si="21"/>
        <v/>
      </c>
      <c r="K52" s="73" t="str">
        <f t="shared" si="19"/>
        <v/>
      </c>
      <c r="L52" s="73" t="str">
        <f t="shared" si="19"/>
        <v/>
      </c>
      <c r="M52" s="73" t="str">
        <f t="shared" si="19"/>
        <v/>
      </c>
      <c r="N52" s="73" t="str">
        <f t="shared" si="19"/>
        <v/>
      </c>
      <c r="O52" s="73" t="str">
        <f t="shared" si="19"/>
        <v/>
      </c>
      <c r="P52" s="73" t="str">
        <f t="shared" si="19"/>
        <v/>
      </c>
      <c r="Q52" s="73" t="str">
        <f t="shared" si="19"/>
        <v/>
      </c>
      <c r="R52" s="73" t="str">
        <f t="shared" si="22"/>
        <v/>
      </c>
      <c r="S52" s="73" t="str">
        <f t="shared" si="22"/>
        <v/>
      </c>
      <c r="T52" s="73" t="str">
        <f t="shared" si="22"/>
        <v/>
      </c>
      <c r="U52" s="73" t="str">
        <f t="shared" si="22"/>
        <v/>
      </c>
      <c r="V52" s="73" t="str">
        <f t="shared" si="22"/>
        <v/>
      </c>
      <c r="W52" s="73" t="str">
        <f t="shared" si="22"/>
        <v/>
      </c>
      <c r="X52" s="73" t="str">
        <f t="shared" si="22"/>
        <v/>
      </c>
      <c r="Y52" s="73" t="str">
        <f t="shared" si="22"/>
        <v/>
      </c>
      <c r="Z52" s="73" t="str">
        <f t="shared" si="22"/>
        <v/>
      </c>
      <c r="AA52" s="73" t="str">
        <f t="shared" si="22"/>
        <v/>
      </c>
      <c r="AB52" s="74" t="str">
        <f t="shared" si="22"/>
        <v/>
      </c>
      <c r="AC52" s="35" t="str">
        <f t="shared" si="14"/>
        <v/>
      </c>
      <c r="AD52" s="40" t="str">
        <f t="shared" si="15"/>
        <v/>
      </c>
      <c r="AE52" s="37" t="str">
        <f t="shared" si="16"/>
        <v/>
      </c>
      <c r="AF52" s="40" t="str">
        <f t="shared" si="7"/>
        <v/>
      </c>
      <c r="AG52" s="37" t="str">
        <f t="shared" si="8"/>
        <v/>
      </c>
      <c r="AH52" s="40" t="str">
        <f t="shared" si="9"/>
        <v/>
      </c>
      <c r="AI52" s="37" t="str">
        <f t="shared" si="17"/>
        <v/>
      </c>
      <c r="AJ52" s="40" t="str">
        <f t="shared" si="18"/>
        <v/>
      </c>
      <c r="AK52" s="33" t="str">
        <f>IF(SEM!AK52="","",SEM!AK52)</f>
        <v/>
      </c>
      <c r="AL52" s="6"/>
      <c r="AM52" s="79" t="str">
        <f t="shared" si="12"/>
        <v/>
      </c>
      <c r="AN52" s="12"/>
      <c r="AO52" s="12"/>
      <c r="AP52" s="14"/>
      <c r="AQ52" s="16"/>
      <c r="AR52" s="15"/>
      <c r="AU52" s="198"/>
      <c r="AV52" s="198"/>
      <c r="AW52" s="198"/>
      <c r="AX52" s="198"/>
    </row>
    <row r="53" spans="2:50" ht="17.25" customHeight="1" x14ac:dyDescent="0.2">
      <c r="B53" s="6"/>
      <c r="C53" s="49" t="str">
        <f>IF(SEM!C53="","",SEM!C53)</f>
        <v/>
      </c>
      <c r="D53" s="220" t="str">
        <f>IF(C53="","",VLOOKUP(SEM!C53,FROTA!$B$5:$C$305,2,0))</f>
        <v/>
      </c>
      <c r="E53" s="24" t="str">
        <f>IF(C53="","",VLOOKUP(C53,FROTA!$B$5:$N$305,7,0))</f>
        <v/>
      </c>
      <c r="F53" s="38" t="str">
        <f t="shared" si="2"/>
        <v/>
      </c>
      <c r="G53" s="71" t="str">
        <f t="shared" si="13"/>
        <v/>
      </c>
      <c r="H53" s="32" t="str">
        <f t="shared" si="21"/>
        <v/>
      </c>
      <c r="I53" s="73" t="str">
        <f t="shared" si="21"/>
        <v/>
      </c>
      <c r="J53" s="73" t="str">
        <f t="shared" si="21"/>
        <v/>
      </c>
      <c r="K53" s="73" t="str">
        <f t="shared" si="19"/>
        <v/>
      </c>
      <c r="L53" s="73" t="str">
        <f t="shared" si="19"/>
        <v/>
      </c>
      <c r="M53" s="73" t="str">
        <f t="shared" si="19"/>
        <v/>
      </c>
      <c r="N53" s="73" t="str">
        <f t="shared" si="19"/>
        <v/>
      </c>
      <c r="O53" s="73" t="str">
        <f t="shared" si="19"/>
        <v/>
      </c>
      <c r="P53" s="73" t="str">
        <f t="shared" si="19"/>
        <v/>
      </c>
      <c r="Q53" s="73" t="str">
        <f t="shared" si="19"/>
        <v/>
      </c>
      <c r="R53" s="73" t="str">
        <f t="shared" si="22"/>
        <v/>
      </c>
      <c r="S53" s="73" t="str">
        <f t="shared" si="22"/>
        <v/>
      </c>
      <c r="T53" s="73" t="str">
        <f t="shared" si="22"/>
        <v/>
      </c>
      <c r="U53" s="73" t="str">
        <f t="shared" si="22"/>
        <v/>
      </c>
      <c r="V53" s="73" t="str">
        <f t="shared" si="22"/>
        <v/>
      </c>
      <c r="W53" s="73" t="str">
        <f t="shared" si="22"/>
        <v/>
      </c>
      <c r="X53" s="73" t="str">
        <f t="shared" si="22"/>
        <v/>
      </c>
      <c r="Y53" s="73" t="str">
        <f t="shared" si="22"/>
        <v/>
      </c>
      <c r="Z53" s="73" t="str">
        <f t="shared" si="22"/>
        <v/>
      </c>
      <c r="AA53" s="73" t="str">
        <f t="shared" si="22"/>
        <v/>
      </c>
      <c r="AB53" s="74" t="str">
        <f t="shared" si="22"/>
        <v/>
      </c>
      <c r="AC53" s="35" t="str">
        <f t="shared" si="14"/>
        <v/>
      </c>
      <c r="AD53" s="40" t="str">
        <f t="shared" si="15"/>
        <v/>
      </c>
      <c r="AE53" s="37" t="str">
        <f t="shared" si="16"/>
        <v/>
      </c>
      <c r="AF53" s="40" t="str">
        <f t="shared" si="7"/>
        <v/>
      </c>
      <c r="AG53" s="37" t="str">
        <f t="shared" si="8"/>
        <v/>
      </c>
      <c r="AH53" s="40" t="str">
        <f t="shared" si="9"/>
        <v/>
      </c>
      <c r="AI53" s="37" t="str">
        <f t="shared" si="17"/>
        <v/>
      </c>
      <c r="AJ53" s="40" t="str">
        <f t="shared" si="18"/>
        <v/>
      </c>
      <c r="AK53" s="33" t="str">
        <f>IF(SEM!AK53="","",SEM!AK53)</f>
        <v/>
      </c>
      <c r="AL53" s="6"/>
      <c r="AM53" s="79" t="str">
        <f t="shared" si="12"/>
        <v/>
      </c>
      <c r="AN53" s="12"/>
      <c r="AO53" s="12"/>
      <c r="AP53" s="14"/>
      <c r="AQ53" s="16"/>
      <c r="AR53" s="15"/>
      <c r="AU53" s="198"/>
      <c r="AV53" s="198"/>
      <c r="AW53" s="198"/>
      <c r="AX53" s="198"/>
    </row>
    <row r="54" spans="2:50" ht="17.25" customHeight="1" x14ac:dyDescent="0.2">
      <c r="B54" s="6"/>
      <c r="C54" s="49" t="str">
        <f>IF(SEM!C54="","",SEM!C54)</f>
        <v/>
      </c>
      <c r="D54" s="220" t="str">
        <f>IF(C54="","",VLOOKUP(SEM!C54,FROTA!$B$5:$C$305,2,0))</f>
        <v/>
      </c>
      <c r="E54" s="24" t="str">
        <f>IF(C54="","",VLOOKUP(C54,FROTA!$B$5:$N$305,7,0))</f>
        <v/>
      </c>
      <c r="F54" s="38" t="str">
        <f t="shared" si="2"/>
        <v/>
      </c>
      <c r="G54" s="71" t="str">
        <f t="shared" si="13"/>
        <v/>
      </c>
      <c r="H54" s="32" t="str">
        <f t="shared" si="21"/>
        <v/>
      </c>
      <c r="I54" s="73" t="str">
        <f t="shared" si="21"/>
        <v/>
      </c>
      <c r="J54" s="73" t="str">
        <f t="shared" si="21"/>
        <v/>
      </c>
      <c r="K54" s="73" t="str">
        <f t="shared" si="19"/>
        <v/>
      </c>
      <c r="L54" s="73" t="str">
        <f t="shared" si="19"/>
        <v/>
      </c>
      <c r="M54" s="73" t="str">
        <f t="shared" si="19"/>
        <v/>
      </c>
      <c r="N54" s="73" t="str">
        <f t="shared" si="19"/>
        <v/>
      </c>
      <c r="O54" s="73" t="str">
        <f t="shared" si="19"/>
        <v/>
      </c>
      <c r="P54" s="73" t="str">
        <f t="shared" si="19"/>
        <v/>
      </c>
      <c r="Q54" s="73" t="str">
        <f t="shared" si="19"/>
        <v/>
      </c>
      <c r="R54" s="73" t="str">
        <f t="shared" si="22"/>
        <v/>
      </c>
      <c r="S54" s="73" t="str">
        <f t="shared" si="22"/>
        <v/>
      </c>
      <c r="T54" s="73" t="str">
        <f t="shared" si="22"/>
        <v/>
      </c>
      <c r="U54" s="73" t="str">
        <f t="shared" si="22"/>
        <v/>
      </c>
      <c r="V54" s="73" t="str">
        <f t="shared" si="22"/>
        <v/>
      </c>
      <c r="W54" s="73" t="str">
        <f t="shared" si="22"/>
        <v/>
      </c>
      <c r="X54" s="73" t="str">
        <f t="shared" si="22"/>
        <v/>
      </c>
      <c r="Y54" s="73" t="str">
        <f t="shared" si="22"/>
        <v/>
      </c>
      <c r="Z54" s="73" t="str">
        <f t="shared" si="22"/>
        <v/>
      </c>
      <c r="AA54" s="73" t="str">
        <f t="shared" si="22"/>
        <v/>
      </c>
      <c r="AB54" s="74" t="str">
        <f t="shared" si="22"/>
        <v/>
      </c>
      <c r="AC54" s="35" t="str">
        <f t="shared" si="14"/>
        <v/>
      </c>
      <c r="AD54" s="40" t="str">
        <f t="shared" si="15"/>
        <v/>
      </c>
      <c r="AE54" s="37" t="str">
        <f t="shared" si="16"/>
        <v/>
      </c>
      <c r="AF54" s="40" t="str">
        <f t="shared" si="7"/>
        <v/>
      </c>
      <c r="AG54" s="37" t="str">
        <f t="shared" si="8"/>
        <v/>
      </c>
      <c r="AH54" s="40" t="str">
        <f t="shared" si="9"/>
        <v/>
      </c>
      <c r="AI54" s="37" t="str">
        <f t="shared" si="17"/>
        <v/>
      </c>
      <c r="AJ54" s="40" t="str">
        <f t="shared" si="18"/>
        <v/>
      </c>
      <c r="AK54" s="33" t="str">
        <f>IF(SEM!AK54="","",SEM!AK54)</f>
        <v/>
      </c>
      <c r="AL54" s="6"/>
      <c r="AM54" s="79" t="str">
        <f t="shared" si="12"/>
        <v/>
      </c>
      <c r="AN54" s="12"/>
      <c r="AO54" s="12"/>
      <c r="AP54" s="14"/>
      <c r="AQ54" s="16"/>
      <c r="AR54" s="15"/>
      <c r="AU54" s="198"/>
      <c r="AV54" s="198"/>
      <c r="AW54" s="198"/>
      <c r="AX54" s="198"/>
    </row>
    <row r="55" spans="2:50" ht="17.25" customHeight="1" x14ac:dyDescent="0.2">
      <c r="B55" s="6"/>
      <c r="C55" s="49" t="str">
        <f>IF(SEM!C55="","",SEM!C55)</f>
        <v/>
      </c>
      <c r="D55" s="220" t="str">
        <f>IF(C55="","",VLOOKUP(SEM!C55,FROTA!$B$5:$C$305,2,0))</f>
        <v/>
      </c>
      <c r="E55" s="24" t="str">
        <f>IF(C55="","",VLOOKUP(C55,FROTA!$B$5:$N$305,7,0))</f>
        <v/>
      </c>
      <c r="F55" s="38" t="str">
        <f t="shared" si="2"/>
        <v/>
      </c>
      <c r="G55" s="71" t="str">
        <f t="shared" si="13"/>
        <v/>
      </c>
      <c r="H55" s="32" t="str">
        <f t="shared" si="21"/>
        <v/>
      </c>
      <c r="I55" s="73" t="str">
        <f t="shared" si="21"/>
        <v/>
      </c>
      <c r="J55" s="73" t="str">
        <f t="shared" si="21"/>
        <v/>
      </c>
      <c r="K55" s="73" t="str">
        <f t="shared" si="19"/>
        <v/>
      </c>
      <c r="L55" s="73" t="str">
        <f t="shared" si="19"/>
        <v/>
      </c>
      <c r="M55" s="73" t="str">
        <f t="shared" si="19"/>
        <v/>
      </c>
      <c r="N55" s="73" t="str">
        <f t="shared" si="19"/>
        <v/>
      </c>
      <c r="O55" s="73" t="str">
        <f t="shared" si="19"/>
        <v/>
      </c>
      <c r="P55" s="73" t="str">
        <f t="shared" si="19"/>
        <v/>
      </c>
      <c r="Q55" s="73" t="str">
        <f t="shared" si="19"/>
        <v/>
      </c>
      <c r="R55" s="73" t="str">
        <f t="shared" si="22"/>
        <v/>
      </c>
      <c r="S55" s="73" t="str">
        <f t="shared" si="22"/>
        <v/>
      </c>
      <c r="T55" s="73" t="str">
        <f t="shared" si="22"/>
        <v/>
      </c>
      <c r="U55" s="73" t="str">
        <f t="shared" si="22"/>
        <v/>
      </c>
      <c r="V55" s="73" t="str">
        <f t="shared" si="22"/>
        <v/>
      </c>
      <c r="W55" s="73" t="str">
        <f t="shared" si="22"/>
        <v/>
      </c>
      <c r="X55" s="73" t="str">
        <f t="shared" si="22"/>
        <v/>
      </c>
      <c r="Y55" s="73" t="str">
        <f t="shared" si="22"/>
        <v/>
      </c>
      <c r="Z55" s="73" t="str">
        <f t="shared" si="22"/>
        <v/>
      </c>
      <c r="AA55" s="73" t="str">
        <f t="shared" si="22"/>
        <v/>
      </c>
      <c r="AB55" s="74" t="str">
        <f t="shared" si="22"/>
        <v/>
      </c>
      <c r="AC55" s="35" t="str">
        <f t="shared" si="14"/>
        <v/>
      </c>
      <c r="AD55" s="40" t="str">
        <f t="shared" si="15"/>
        <v/>
      </c>
      <c r="AE55" s="37" t="str">
        <f t="shared" si="16"/>
        <v/>
      </c>
      <c r="AF55" s="40" t="str">
        <f t="shared" si="7"/>
        <v/>
      </c>
      <c r="AG55" s="37" t="str">
        <f t="shared" si="8"/>
        <v/>
      </c>
      <c r="AH55" s="40" t="str">
        <f t="shared" si="9"/>
        <v/>
      </c>
      <c r="AI55" s="37" t="str">
        <f t="shared" si="17"/>
        <v/>
      </c>
      <c r="AJ55" s="40" t="str">
        <f t="shared" si="18"/>
        <v/>
      </c>
      <c r="AK55" s="33" t="str">
        <f>IF(SEM!AK55="","",SEM!AK55)</f>
        <v/>
      </c>
      <c r="AL55" s="6"/>
      <c r="AM55" s="79" t="str">
        <f t="shared" si="12"/>
        <v/>
      </c>
      <c r="AN55" s="12"/>
      <c r="AO55" s="12"/>
      <c r="AP55" s="14"/>
      <c r="AQ55" s="16"/>
      <c r="AR55" s="15"/>
      <c r="AU55" s="198"/>
      <c r="AV55" s="198"/>
      <c r="AW55" s="198"/>
      <c r="AX55" s="198"/>
    </row>
    <row r="56" spans="2:50" ht="17.25" customHeight="1" x14ac:dyDescent="0.2">
      <c r="B56" s="6"/>
      <c r="C56" s="49" t="str">
        <f>IF(SEM!C56="","",SEM!C56)</f>
        <v/>
      </c>
      <c r="D56" s="220" t="str">
        <f>IF(C56="","",VLOOKUP(SEM!C56,FROTA!$B$5:$C$305,2,0))</f>
        <v/>
      </c>
      <c r="E56" s="24" t="str">
        <f>IF(C56="","",VLOOKUP(C56,FROTA!$B$5:$N$305,7,0))</f>
        <v/>
      </c>
      <c r="F56" s="38" t="str">
        <f t="shared" si="2"/>
        <v/>
      </c>
      <c r="G56" s="71" t="str">
        <f t="shared" si="13"/>
        <v/>
      </c>
      <c r="H56" s="32" t="str">
        <f t="shared" si="21"/>
        <v/>
      </c>
      <c r="I56" s="73" t="str">
        <f t="shared" si="21"/>
        <v/>
      </c>
      <c r="J56" s="73" t="str">
        <f t="shared" si="21"/>
        <v/>
      </c>
      <c r="K56" s="73" t="str">
        <f t="shared" si="19"/>
        <v/>
      </c>
      <c r="L56" s="73" t="str">
        <f t="shared" si="19"/>
        <v/>
      </c>
      <c r="M56" s="73" t="str">
        <f t="shared" si="19"/>
        <v/>
      </c>
      <c r="N56" s="73" t="str">
        <f t="shared" si="19"/>
        <v/>
      </c>
      <c r="O56" s="73" t="str">
        <f t="shared" si="19"/>
        <v/>
      </c>
      <c r="P56" s="73" t="str">
        <f t="shared" si="19"/>
        <v/>
      </c>
      <c r="Q56" s="73" t="str">
        <f t="shared" si="19"/>
        <v/>
      </c>
      <c r="R56" s="73" t="str">
        <f t="shared" si="22"/>
        <v/>
      </c>
      <c r="S56" s="73" t="str">
        <f t="shared" si="22"/>
        <v/>
      </c>
      <c r="T56" s="73" t="str">
        <f t="shared" si="22"/>
        <v/>
      </c>
      <c r="U56" s="73" t="str">
        <f t="shared" si="22"/>
        <v/>
      </c>
      <c r="V56" s="73" t="str">
        <f t="shared" si="22"/>
        <v/>
      </c>
      <c r="W56" s="73" t="str">
        <f t="shared" si="22"/>
        <v/>
      </c>
      <c r="X56" s="73" t="str">
        <f t="shared" si="22"/>
        <v/>
      </c>
      <c r="Y56" s="73" t="str">
        <f t="shared" si="22"/>
        <v/>
      </c>
      <c r="Z56" s="73" t="str">
        <f t="shared" si="22"/>
        <v/>
      </c>
      <c r="AA56" s="73" t="str">
        <f t="shared" si="22"/>
        <v/>
      </c>
      <c r="AB56" s="74" t="str">
        <f t="shared" si="22"/>
        <v/>
      </c>
      <c r="AC56" s="35" t="str">
        <f t="shared" si="14"/>
        <v/>
      </c>
      <c r="AD56" s="40" t="str">
        <f t="shared" si="15"/>
        <v/>
      </c>
      <c r="AE56" s="37" t="str">
        <f t="shared" si="16"/>
        <v/>
      </c>
      <c r="AF56" s="40" t="str">
        <f t="shared" si="7"/>
        <v/>
      </c>
      <c r="AG56" s="37" t="str">
        <f t="shared" si="8"/>
        <v/>
      </c>
      <c r="AH56" s="40" t="str">
        <f t="shared" si="9"/>
        <v/>
      </c>
      <c r="AI56" s="37" t="str">
        <f t="shared" si="17"/>
        <v/>
      </c>
      <c r="AJ56" s="40" t="str">
        <f t="shared" si="18"/>
        <v/>
      </c>
      <c r="AK56" s="33" t="str">
        <f>IF(SEM!AK56="","",SEM!AK56)</f>
        <v/>
      </c>
      <c r="AL56" s="6"/>
      <c r="AM56" s="79" t="str">
        <f t="shared" si="12"/>
        <v/>
      </c>
      <c r="AN56" s="12"/>
      <c r="AO56" s="12"/>
      <c r="AP56" s="14"/>
      <c r="AQ56" s="16"/>
      <c r="AR56" s="15"/>
      <c r="AU56" s="198"/>
      <c r="AV56" s="198"/>
      <c r="AW56" s="198"/>
      <c r="AX56" s="198"/>
    </row>
    <row r="57" spans="2:50" ht="17.25" customHeight="1" x14ac:dyDescent="0.2">
      <c r="B57" s="6"/>
      <c r="C57" s="49" t="str">
        <f>IF(SEM!C57="","",SEM!C57)</f>
        <v/>
      </c>
      <c r="D57" s="220" t="str">
        <f>IF(C57="","",VLOOKUP(SEM!C57,FROTA!$B$5:$C$305,2,0))</f>
        <v/>
      </c>
      <c r="E57" s="24" t="str">
        <f>IF(C57="","",VLOOKUP(C57,FROTA!$B$5:$N$305,7,0))</f>
        <v/>
      </c>
      <c r="F57" s="38" t="str">
        <f t="shared" si="2"/>
        <v/>
      </c>
      <c r="G57" s="71" t="str">
        <f t="shared" si="13"/>
        <v/>
      </c>
      <c r="H57" s="32" t="str">
        <f t="shared" si="21"/>
        <v/>
      </c>
      <c r="I57" s="73" t="str">
        <f t="shared" si="21"/>
        <v/>
      </c>
      <c r="J57" s="73" t="str">
        <f t="shared" si="21"/>
        <v/>
      </c>
      <c r="K57" s="73" t="str">
        <f t="shared" si="19"/>
        <v/>
      </c>
      <c r="L57" s="73" t="str">
        <f t="shared" si="19"/>
        <v/>
      </c>
      <c r="M57" s="73" t="str">
        <f t="shared" si="19"/>
        <v/>
      </c>
      <c r="N57" s="73" t="str">
        <f t="shared" si="19"/>
        <v/>
      </c>
      <c r="O57" s="73" t="str">
        <f t="shared" si="19"/>
        <v/>
      </c>
      <c r="P57" s="73" t="str">
        <f t="shared" si="19"/>
        <v/>
      </c>
      <c r="Q57" s="73" t="str">
        <f t="shared" si="19"/>
        <v/>
      </c>
      <c r="R57" s="73" t="str">
        <f t="shared" si="22"/>
        <v/>
      </c>
      <c r="S57" s="73" t="str">
        <f t="shared" si="22"/>
        <v/>
      </c>
      <c r="T57" s="73" t="str">
        <f t="shared" si="22"/>
        <v/>
      </c>
      <c r="U57" s="73" t="str">
        <f t="shared" si="22"/>
        <v/>
      </c>
      <c r="V57" s="73" t="str">
        <f t="shared" si="22"/>
        <v/>
      </c>
      <c r="W57" s="73" t="str">
        <f t="shared" si="22"/>
        <v/>
      </c>
      <c r="X57" s="73" t="str">
        <f t="shared" si="22"/>
        <v/>
      </c>
      <c r="Y57" s="73" t="str">
        <f t="shared" si="22"/>
        <v/>
      </c>
      <c r="Z57" s="73" t="str">
        <f t="shared" si="22"/>
        <v/>
      </c>
      <c r="AA57" s="73" t="str">
        <f t="shared" si="22"/>
        <v/>
      </c>
      <c r="AB57" s="74" t="str">
        <f t="shared" si="22"/>
        <v/>
      </c>
      <c r="AC57" s="35" t="str">
        <f t="shared" si="14"/>
        <v/>
      </c>
      <c r="AD57" s="40" t="str">
        <f t="shared" si="15"/>
        <v/>
      </c>
      <c r="AE57" s="37" t="str">
        <f t="shared" si="16"/>
        <v/>
      </c>
      <c r="AF57" s="40" t="str">
        <f t="shared" si="7"/>
        <v/>
      </c>
      <c r="AG57" s="37" t="str">
        <f t="shared" si="8"/>
        <v/>
      </c>
      <c r="AH57" s="40" t="str">
        <f t="shared" si="9"/>
        <v/>
      </c>
      <c r="AI57" s="37" t="str">
        <f t="shared" si="17"/>
        <v/>
      </c>
      <c r="AJ57" s="40" t="str">
        <f t="shared" si="18"/>
        <v/>
      </c>
      <c r="AK57" s="33" t="str">
        <f>IF(SEM!AK57="","",SEM!AK57)</f>
        <v/>
      </c>
      <c r="AL57" s="6"/>
      <c r="AM57" s="79" t="str">
        <f t="shared" si="12"/>
        <v/>
      </c>
      <c r="AN57" s="12"/>
      <c r="AO57" s="12"/>
      <c r="AP57" s="14"/>
      <c r="AQ57" s="16"/>
      <c r="AR57" s="15"/>
      <c r="AU57" s="198"/>
      <c r="AV57" s="198"/>
      <c r="AW57" s="198"/>
      <c r="AX57" s="198"/>
    </row>
    <row r="58" spans="2:50" ht="17.25" customHeight="1" x14ac:dyDescent="0.2">
      <c r="B58" s="6"/>
      <c r="C58" s="49" t="str">
        <f>IF(SEM!C58="","",SEM!C58)</f>
        <v/>
      </c>
      <c r="D58" s="220" t="str">
        <f>IF(C58="","",VLOOKUP(SEM!C58,FROTA!$B$5:$C$305,2,0))</f>
        <v/>
      </c>
      <c r="E58" s="24" t="str">
        <f>IF(C58="","",VLOOKUP(C58,FROTA!$B$5:$N$305,7,0))</f>
        <v/>
      </c>
      <c r="F58" s="38" t="str">
        <f t="shared" si="2"/>
        <v/>
      </c>
      <c r="G58" s="71" t="str">
        <f t="shared" si="13"/>
        <v/>
      </c>
      <c r="H58" s="32" t="str">
        <f t="shared" si="21"/>
        <v/>
      </c>
      <c r="I58" s="73" t="str">
        <f t="shared" si="21"/>
        <v/>
      </c>
      <c r="J58" s="73" t="str">
        <f t="shared" si="21"/>
        <v/>
      </c>
      <c r="K58" s="73" t="str">
        <f t="shared" si="19"/>
        <v/>
      </c>
      <c r="L58" s="73" t="str">
        <f t="shared" si="19"/>
        <v/>
      </c>
      <c r="M58" s="73" t="str">
        <f t="shared" si="19"/>
        <v/>
      </c>
      <c r="N58" s="73" t="str">
        <f t="shared" ref="K58:Q94" si="23">IF($C58="","",IF(SUM(N$307*$G58)&gt;$F58,$F58,SUM(N$307*$G58)))</f>
        <v/>
      </c>
      <c r="O58" s="73" t="str">
        <f t="shared" si="23"/>
        <v/>
      </c>
      <c r="P58" s="73" t="str">
        <f t="shared" si="23"/>
        <v/>
      </c>
      <c r="Q58" s="73" t="str">
        <f t="shared" si="23"/>
        <v/>
      </c>
      <c r="R58" s="73" t="str">
        <f t="shared" si="22"/>
        <v/>
      </c>
      <c r="S58" s="73" t="str">
        <f t="shared" si="22"/>
        <v/>
      </c>
      <c r="T58" s="73" t="str">
        <f t="shared" si="22"/>
        <v/>
      </c>
      <c r="U58" s="73" t="str">
        <f t="shared" si="22"/>
        <v/>
      </c>
      <c r="V58" s="73" t="str">
        <f t="shared" si="22"/>
        <v/>
      </c>
      <c r="W58" s="73" t="str">
        <f t="shared" si="22"/>
        <v/>
      </c>
      <c r="X58" s="73" t="str">
        <f t="shared" si="22"/>
        <v/>
      </c>
      <c r="Y58" s="73" t="str">
        <f t="shared" si="22"/>
        <v/>
      </c>
      <c r="Z58" s="73" t="str">
        <f t="shared" si="22"/>
        <v/>
      </c>
      <c r="AA58" s="73" t="str">
        <f t="shared" si="22"/>
        <v/>
      </c>
      <c r="AB58" s="74" t="str">
        <f t="shared" si="22"/>
        <v/>
      </c>
      <c r="AC58" s="35" t="str">
        <f t="shared" si="14"/>
        <v/>
      </c>
      <c r="AD58" s="40" t="str">
        <f t="shared" si="15"/>
        <v/>
      </c>
      <c r="AE58" s="37" t="str">
        <f t="shared" si="16"/>
        <v/>
      </c>
      <c r="AF58" s="40" t="str">
        <f t="shared" si="7"/>
        <v/>
      </c>
      <c r="AG58" s="37" t="str">
        <f t="shared" si="8"/>
        <v/>
      </c>
      <c r="AH58" s="40" t="str">
        <f t="shared" si="9"/>
        <v/>
      </c>
      <c r="AI58" s="37" t="str">
        <f t="shared" si="17"/>
        <v/>
      </c>
      <c r="AJ58" s="40" t="str">
        <f t="shared" si="18"/>
        <v/>
      </c>
      <c r="AK58" s="33" t="str">
        <f>IF(SEM!AK58="","",SEM!AK58)</f>
        <v/>
      </c>
      <c r="AL58" s="6"/>
      <c r="AM58" s="79" t="str">
        <f t="shared" si="12"/>
        <v/>
      </c>
      <c r="AN58" s="12"/>
      <c r="AO58" s="12"/>
      <c r="AP58" s="14"/>
      <c r="AQ58" s="16"/>
      <c r="AR58" s="15"/>
      <c r="AU58" s="198"/>
      <c r="AV58" s="198"/>
      <c r="AW58" s="198"/>
      <c r="AX58" s="198"/>
    </row>
    <row r="59" spans="2:50" ht="17.25" customHeight="1" x14ac:dyDescent="0.2">
      <c r="B59" s="6"/>
      <c r="C59" s="49" t="str">
        <f>IF(SEM!C59="","",SEM!C59)</f>
        <v/>
      </c>
      <c r="D59" s="220" t="str">
        <f>IF(C59="","",VLOOKUP(SEM!C59,FROTA!$B$5:$C$305,2,0))</f>
        <v/>
      </c>
      <c r="E59" s="24" t="str">
        <f>IF(C59="","",VLOOKUP(C59,FROTA!$B$5:$N$305,7,0))</f>
        <v/>
      </c>
      <c r="F59" s="38" t="str">
        <f t="shared" si="2"/>
        <v/>
      </c>
      <c r="G59" s="71" t="str">
        <f t="shared" si="13"/>
        <v/>
      </c>
      <c r="H59" s="32" t="str">
        <f t="shared" si="21"/>
        <v/>
      </c>
      <c r="I59" s="73" t="str">
        <f t="shared" si="21"/>
        <v/>
      </c>
      <c r="J59" s="73" t="str">
        <f t="shared" si="21"/>
        <v/>
      </c>
      <c r="K59" s="73" t="str">
        <f t="shared" si="23"/>
        <v/>
      </c>
      <c r="L59" s="73" t="str">
        <f t="shared" si="23"/>
        <v/>
      </c>
      <c r="M59" s="73" t="str">
        <f t="shared" si="23"/>
        <v/>
      </c>
      <c r="N59" s="73" t="str">
        <f t="shared" si="23"/>
        <v/>
      </c>
      <c r="O59" s="73" t="str">
        <f t="shared" si="23"/>
        <v/>
      </c>
      <c r="P59" s="73" t="str">
        <f t="shared" si="23"/>
        <v/>
      </c>
      <c r="Q59" s="73" t="str">
        <f t="shared" si="23"/>
        <v/>
      </c>
      <c r="R59" s="73" t="str">
        <f t="shared" si="22"/>
        <v/>
      </c>
      <c r="S59" s="73" t="str">
        <f t="shared" si="22"/>
        <v/>
      </c>
      <c r="T59" s="73" t="str">
        <f t="shared" si="22"/>
        <v/>
      </c>
      <c r="U59" s="73" t="str">
        <f t="shared" si="22"/>
        <v/>
      </c>
      <c r="V59" s="73" t="str">
        <f t="shared" si="22"/>
        <v/>
      </c>
      <c r="W59" s="73" t="str">
        <f t="shared" si="22"/>
        <v/>
      </c>
      <c r="X59" s="73" t="str">
        <f t="shared" si="22"/>
        <v/>
      </c>
      <c r="Y59" s="73" t="str">
        <f t="shared" si="22"/>
        <v/>
      </c>
      <c r="Z59" s="73" t="str">
        <f t="shared" si="22"/>
        <v/>
      </c>
      <c r="AA59" s="73" t="str">
        <f t="shared" si="22"/>
        <v/>
      </c>
      <c r="AB59" s="74" t="str">
        <f t="shared" si="22"/>
        <v/>
      </c>
      <c r="AC59" s="35" t="str">
        <f t="shared" si="14"/>
        <v/>
      </c>
      <c r="AD59" s="40" t="str">
        <f t="shared" si="15"/>
        <v/>
      </c>
      <c r="AE59" s="37" t="str">
        <f t="shared" si="16"/>
        <v/>
      </c>
      <c r="AF59" s="40" t="str">
        <f t="shared" si="7"/>
        <v/>
      </c>
      <c r="AG59" s="37" t="str">
        <f t="shared" si="8"/>
        <v/>
      </c>
      <c r="AH59" s="40" t="str">
        <f t="shared" si="9"/>
        <v/>
      </c>
      <c r="AI59" s="37" t="str">
        <f t="shared" si="17"/>
        <v/>
      </c>
      <c r="AJ59" s="40" t="str">
        <f t="shared" si="18"/>
        <v/>
      </c>
      <c r="AK59" s="33" t="str">
        <f>IF(SEM!AK59="","",SEM!AK59)</f>
        <v/>
      </c>
      <c r="AL59" s="6"/>
      <c r="AM59" s="79" t="str">
        <f t="shared" si="12"/>
        <v/>
      </c>
      <c r="AN59" s="12"/>
      <c r="AO59" s="12"/>
      <c r="AP59" s="14"/>
      <c r="AQ59" s="16"/>
      <c r="AR59" s="15"/>
      <c r="AU59" s="198"/>
      <c r="AV59" s="198"/>
      <c r="AW59" s="198"/>
      <c r="AX59" s="198"/>
    </row>
    <row r="60" spans="2:50" ht="17.25" customHeight="1" x14ac:dyDescent="0.2">
      <c r="B60" s="6"/>
      <c r="C60" s="49" t="str">
        <f>IF(SEM!C60="","",SEM!C60)</f>
        <v/>
      </c>
      <c r="D60" s="220" t="str">
        <f>IF(C60="","",VLOOKUP(SEM!C60,FROTA!$B$5:$C$305,2,0))</f>
        <v/>
      </c>
      <c r="E60" s="24" t="str">
        <f>IF(C60="","",VLOOKUP(C60,FROTA!$B$5:$N$305,7,0))</f>
        <v/>
      </c>
      <c r="F60" s="38" t="str">
        <f t="shared" si="2"/>
        <v/>
      </c>
      <c r="G60" s="71" t="str">
        <f t="shared" si="13"/>
        <v/>
      </c>
      <c r="H60" s="32" t="str">
        <f t="shared" si="21"/>
        <v/>
      </c>
      <c r="I60" s="73" t="str">
        <f t="shared" si="21"/>
        <v/>
      </c>
      <c r="J60" s="73" t="str">
        <f t="shared" si="21"/>
        <v/>
      </c>
      <c r="K60" s="73" t="str">
        <f t="shared" si="23"/>
        <v/>
      </c>
      <c r="L60" s="73" t="str">
        <f t="shared" si="23"/>
        <v/>
      </c>
      <c r="M60" s="73" t="str">
        <f t="shared" si="23"/>
        <v/>
      </c>
      <c r="N60" s="73" t="str">
        <f t="shared" si="23"/>
        <v/>
      </c>
      <c r="O60" s="73" t="str">
        <f t="shared" si="23"/>
        <v/>
      </c>
      <c r="P60" s="73" t="str">
        <f t="shared" si="23"/>
        <v/>
      </c>
      <c r="Q60" s="73" t="str">
        <f t="shared" si="23"/>
        <v/>
      </c>
      <c r="R60" s="73" t="str">
        <f t="shared" si="22"/>
        <v/>
      </c>
      <c r="S60" s="73" t="str">
        <f t="shared" si="22"/>
        <v/>
      </c>
      <c r="T60" s="73" t="str">
        <f t="shared" si="22"/>
        <v/>
      </c>
      <c r="U60" s="73" t="str">
        <f t="shared" si="22"/>
        <v/>
      </c>
      <c r="V60" s="73" t="str">
        <f t="shared" si="22"/>
        <v/>
      </c>
      <c r="W60" s="73" t="str">
        <f t="shared" si="22"/>
        <v/>
      </c>
      <c r="X60" s="73" t="str">
        <f t="shared" si="22"/>
        <v/>
      </c>
      <c r="Y60" s="73" t="str">
        <f t="shared" si="22"/>
        <v/>
      </c>
      <c r="Z60" s="73" t="str">
        <f t="shared" si="22"/>
        <v/>
      </c>
      <c r="AA60" s="73" t="str">
        <f t="shared" si="22"/>
        <v/>
      </c>
      <c r="AB60" s="74" t="str">
        <f t="shared" si="22"/>
        <v/>
      </c>
      <c r="AC60" s="35" t="str">
        <f t="shared" si="14"/>
        <v/>
      </c>
      <c r="AD60" s="40" t="str">
        <f t="shared" si="15"/>
        <v/>
      </c>
      <c r="AE60" s="37" t="str">
        <f t="shared" si="16"/>
        <v/>
      </c>
      <c r="AF60" s="40" t="str">
        <f t="shared" si="7"/>
        <v/>
      </c>
      <c r="AG60" s="37" t="str">
        <f t="shared" si="8"/>
        <v/>
      </c>
      <c r="AH60" s="40" t="str">
        <f t="shared" si="9"/>
        <v/>
      </c>
      <c r="AI60" s="37" t="str">
        <f t="shared" si="17"/>
        <v/>
      </c>
      <c r="AJ60" s="40" t="str">
        <f t="shared" si="18"/>
        <v/>
      </c>
      <c r="AK60" s="33" t="str">
        <f>IF(SEM!AK60="","",SEM!AK60)</f>
        <v/>
      </c>
      <c r="AL60" s="6"/>
      <c r="AM60" s="79" t="str">
        <f t="shared" si="12"/>
        <v/>
      </c>
      <c r="AN60" s="12"/>
      <c r="AO60" s="12"/>
      <c r="AP60" s="14"/>
      <c r="AQ60" s="16"/>
      <c r="AR60" s="15"/>
      <c r="AU60" s="198"/>
      <c r="AV60" s="198"/>
      <c r="AW60" s="198"/>
      <c r="AX60" s="198"/>
    </row>
    <row r="61" spans="2:50" ht="17.25" customHeight="1" x14ac:dyDescent="0.2">
      <c r="B61" s="6"/>
      <c r="C61" s="49" t="str">
        <f>IF(SEM!C61="","",SEM!C61)</f>
        <v/>
      </c>
      <c r="D61" s="220" t="str">
        <f>IF(C61="","",VLOOKUP(SEM!C61,FROTA!$B$5:$C$305,2,0))</f>
        <v/>
      </c>
      <c r="E61" s="24" t="str">
        <f>IF(C61="","",VLOOKUP(C61,FROTA!$B$5:$N$305,7,0))</f>
        <v/>
      </c>
      <c r="F61" s="38" t="str">
        <f t="shared" si="2"/>
        <v/>
      </c>
      <c r="G61" s="71" t="str">
        <f t="shared" si="13"/>
        <v/>
      </c>
      <c r="H61" s="32" t="str">
        <f t="shared" si="21"/>
        <v/>
      </c>
      <c r="I61" s="73" t="str">
        <f t="shared" si="21"/>
        <v/>
      </c>
      <c r="J61" s="73" t="str">
        <f t="shared" si="21"/>
        <v/>
      </c>
      <c r="K61" s="73" t="str">
        <f t="shared" si="23"/>
        <v/>
      </c>
      <c r="L61" s="73" t="str">
        <f t="shared" si="23"/>
        <v/>
      </c>
      <c r="M61" s="73" t="str">
        <f t="shared" si="23"/>
        <v/>
      </c>
      <c r="N61" s="73" t="str">
        <f t="shared" si="23"/>
        <v/>
      </c>
      <c r="O61" s="73" t="str">
        <f t="shared" si="23"/>
        <v/>
      </c>
      <c r="P61" s="73" t="str">
        <f t="shared" si="23"/>
        <v/>
      </c>
      <c r="Q61" s="73" t="str">
        <f t="shared" si="23"/>
        <v/>
      </c>
      <c r="R61" s="73" t="str">
        <f t="shared" si="22"/>
        <v/>
      </c>
      <c r="S61" s="73" t="str">
        <f t="shared" si="22"/>
        <v/>
      </c>
      <c r="T61" s="73" t="str">
        <f t="shared" si="22"/>
        <v/>
      </c>
      <c r="U61" s="73" t="str">
        <f t="shared" si="22"/>
        <v/>
      </c>
      <c r="V61" s="73" t="str">
        <f t="shared" si="22"/>
        <v/>
      </c>
      <c r="W61" s="73" t="str">
        <f t="shared" si="22"/>
        <v/>
      </c>
      <c r="X61" s="73" t="str">
        <f t="shared" si="22"/>
        <v/>
      </c>
      <c r="Y61" s="73" t="str">
        <f t="shared" si="22"/>
        <v/>
      </c>
      <c r="Z61" s="73" t="str">
        <f t="shared" si="22"/>
        <v/>
      </c>
      <c r="AA61" s="73" t="str">
        <f t="shared" si="22"/>
        <v/>
      </c>
      <c r="AB61" s="74" t="str">
        <f t="shared" si="22"/>
        <v/>
      </c>
      <c r="AC61" s="35" t="str">
        <f t="shared" si="14"/>
        <v/>
      </c>
      <c r="AD61" s="40" t="str">
        <f t="shared" si="15"/>
        <v/>
      </c>
      <c r="AE61" s="37" t="str">
        <f t="shared" si="16"/>
        <v/>
      </c>
      <c r="AF61" s="40" t="str">
        <f t="shared" si="7"/>
        <v/>
      </c>
      <c r="AG61" s="37" t="str">
        <f t="shared" si="8"/>
        <v/>
      </c>
      <c r="AH61" s="40" t="str">
        <f t="shared" si="9"/>
        <v/>
      </c>
      <c r="AI61" s="37" t="str">
        <f t="shared" si="17"/>
        <v/>
      </c>
      <c r="AJ61" s="40" t="str">
        <f t="shared" si="18"/>
        <v/>
      </c>
      <c r="AK61" s="33" t="str">
        <f>IF(SEM!AK61="","",SEM!AK61)</f>
        <v/>
      </c>
      <c r="AL61" s="6"/>
      <c r="AM61" s="79" t="str">
        <f t="shared" si="12"/>
        <v/>
      </c>
      <c r="AN61" s="12"/>
      <c r="AO61" s="12"/>
      <c r="AP61" s="14"/>
      <c r="AQ61" s="16"/>
      <c r="AR61" s="15"/>
      <c r="AU61" s="198"/>
      <c r="AV61" s="198"/>
      <c r="AW61" s="198"/>
      <c r="AX61" s="198"/>
    </row>
    <row r="62" spans="2:50" ht="17.25" customHeight="1" x14ac:dyDescent="0.2">
      <c r="B62" s="6"/>
      <c r="C62" s="49" t="str">
        <f>IF(SEM!C62="","",SEM!C62)</f>
        <v/>
      </c>
      <c r="D62" s="220" t="str">
        <f>IF(C62="","",VLOOKUP(SEM!C62,FROTA!$B$5:$C$305,2,0))</f>
        <v/>
      </c>
      <c r="E62" s="24" t="str">
        <f>IF(C62="","",VLOOKUP(C62,FROTA!$B$5:$N$305,7,0))</f>
        <v/>
      </c>
      <c r="F62" s="38" t="str">
        <f t="shared" si="2"/>
        <v/>
      </c>
      <c r="G62" s="71" t="str">
        <f t="shared" si="13"/>
        <v/>
      </c>
      <c r="H62" s="32" t="str">
        <f t="shared" si="21"/>
        <v/>
      </c>
      <c r="I62" s="73" t="str">
        <f t="shared" si="21"/>
        <v/>
      </c>
      <c r="J62" s="73" t="str">
        <f t="shared" si="21"/>
        <v/>
      </c>
      <c r="K62" s="73" t="str">
        <f t="shared" si="23"/>
        <v/>
      </c>
      <c r="L62" s="73" t="str">
        <f t="shared" si="23"/>
        <v/>
      </c>
      <c r="M62" s="73" t="str">
        <f t="shared" si="23"/>
        <v/>
      </c>
      <c r="N62" s="73" t="str">
        <f t="shared" si="23"/>
        <v/>
      </c>
      <c r="O62" s="73" t="str">
        <f t="shared" si="23"/>
        <v/>
      </c>
      <c r="P62" s="73" t="str">
        <f t="shared" si="23"/>
        <v/>
      </c>
      <c r="Q62" s="73" t="str">
        <f t="shared" si="23"/>
        <v/>
      </c>
      <c r="R62" s="73" t="str">
        <f t="shared" si="22"/>
        <v/>
      </c>
      <c r="S62" s="73" t="str">
        <f t="shared" si="22"/>
        <v/>
      </c>
      <c r="T62" s="73" t="str">
        <f t="shared" si="22"/>
        <v/>
      </c>
      <c r="U62" s="73" t="str">
        <f t="shared" si="22"/>
        <v/>
      </c>
      <c r="V62" s="73" t="str">
        <f t="shared" si="22"/>
        <v/>
      </c>
      <c r="W62" s="73" t="str">
        <f t="shared" si="22"/>
        <v/>
      </c>
      <c r="X62" s="73" t="str">
        <f t="shared" si="22"/>
        <v/>
      </c>
      <c r="Y62" s="73" t="str">
        <f t="shared" si="22"/>
        <v/>
      </c>
      <c r="Z62" s="73" t="str">
        <f t="shared" si="22"/>
        <v/>
      </c>
      <c r="AA62" s="73" t="str">
        <f t="shared" si="22"/>
        <v/>
      </c>
      <c r="AB62" s="74" t="str">
        <f t="shared" si="22"/>
        <v/>
      </c>
      <c r="AC62" s="35" t="str">
        <f t="shared" si="14"/>
        <v/>
      </c>
      <c r="AD62" s="40" t="str">
        <f t="shared" si="15"/>
        <v/>
      </c>
      <c r="AE62" s="37" t="str">
        <f t="shared" si="16"/>
        <v/>
      </c>
      <c r="AF62" s="40" t="str">
        <f t="shared" si="7"/>
        <v/>
      </c>
      <c r="AG62" s="37" t="str">
        <f t="shared" si="8"/>
        <v/>
      </c>
      <c r="AH62" s="40" t="str">
        <f t="shared" si="9"/>
        <v/>
      </c>
      <c r="AI62" s="37" t="str">
        <f t="shared" si="17"/>
        <v/>
      </c>
      <c r="AJ62" s="40" t="str">
        <f t="shared" si="18"/>
        <v/>
      </c>
      <c r="AK62" s="33" t="str">
        <f>IF(SEM!AK62="","",SEM!AK62)</f>
        <v/>
      </c>
      <c r="AL62" s="6"/>
      <c r="AM62" s="79" t="str">
        <f t="shared" si="12"/>
        <v/>
      </c>
      <c r="AN62" s="12"/>
      <c r="AO62" s="12"/>
      <c r="AP62" s="14"/>
      <c r="AQ62" s="16"/>
      <c r="AR62" s="15"/>
      <c r="AU62" s="198"/>
      <c r="AV62" s="198"/>
      <c r="AW62" s="198"/>
      <c r="AX62" s="198"/>
    </row>
    <row r="63" spans="2:50" ht="17.25" customHeight="1" x14ac:dyDescent="0.2">
      <c r="B63" s="6"/>
      <c r="C63" s="49" t="str">
        <f>IF(SEM!C63="","",SEM!C63)</f>
        <v/>
      </c>
      <c r="D63" s="220" t="str">
        <f>IF(C63="","",VLOOKUP(SEM!C63,FROTA!$B$5:$C$305,2,0))</f>
        <v/>
      </c>
      <c r="E63" s="24" t="str">
        <f>IF(C63="","",VLOOKUP(C63,FROTA!$B$5:$N$305,7,0))</f>
        <v/>
      </c>
      <c r="F63" s="38" t="str">
        <f t="shared" si="2"/>
        <v/>
      </c>
      <c r="G63" s="71" t="str">
        <f t="shared" si="13"/>
        <v/>
      </c>
      <c r="H63" s="32" t="str">
        <f t="shared" si="21"/>
        <v/>
      </c>
      <c r="I63" s="73" t="str">
        <f t="shared" si="21"/>
        <v/>
      </c>
      <c r="J63" s="73" t="str">
        <f t="shared" si="21"/>
        <v/>
      </c>
      <c r="K63" s="73" t="str">
        <f t="shared" si="23"/>
        <v/>
      </c>
      <c r="L63" s="73" t="str">
        <f t="shared" si="23"/>
        <v/>
      </c>
      <c r="M63" s="73" t="str">
        <f t="shared" si="23"/>
        <v/>
      </c>
      <c r="N63" s="73" t="str">
        <f t="shared" si="23"/>
        <v/>
      </c>
      <c r="O63" s="73" t="str">
        <f t="shared" si="23"/>
        <v/>
      </c>
      <c r="P63" s="73" t="str">
        <f t="shared" si="23"/>
        <v/>
      </c>
      <c r="Q63" s="73" t="str">
        <f t="shared" si="23"/>
        <v/>
      </c>
      <c r="R63" s="73" t="str">
        <f t="shared" si="22"/>
        <v/>
      </c>
      <c r="S63" s="73" t="str">
        <f t="shared" si="22"/>
        <v/>
      </c>
      <c r="T63" s="73" t="str">
        <f t="shared" si="22"/>
        <v/>
      </c>
      <c r="U63" s="73" t="str">
        <f t="shared" si="22"/>
        <v/>
      </c>
      <c r="V63" s="73" t="str">
        <f t="shared" si="22"/>
        <v/>
      </c>
      <c r="W63" s="73" t="str">
        <f t="shared" si="22"/>
        <v/>
      </c>
      <c r="X63" s="73" t="str">
        <f t="shared" si="22"/>
        <v/>
      </c>
      <c r="Y63" s="73" t="str">
        <f t="shared" si="22"/>
        <v/>
      </c>
      <c r="Z63" s="73" t="str">
        <f t="shared" si="22"/>
        <v/>
      </c>
      <c r="AA63" s="73" t="str">
        <f t="shared" si="22"/>
        <v/>
      </c>
      <c r="AB63" s="74" t="str">
        <f t="shared" si="22"/>
        <v/>
      </c>
      <c r="AC63" s="35" t="str">
        <f t="shared" si="14"/>
        <v/>
      </c>
      <c r="AD63" s="40" t="str">
        <f t="shared" si="15"/>
        <v/>
      </c>
      <c r="AE63" s="37" t="str">
        <f t="shared" si="16"/>
        <v/>
      </c>
      <c r="AF63" s="40" t="str">
        <f t="shared" si="7"/>
        <v/>
      </c>
      <c r="AG63" s="37" t="str">
        <f t="shared" si="8"/>
        <v/>
      </c>
      <c r="AH63" s="40" t="str">
        <f t="shared" si="9"/>
        <v/>
      </c>
      <c r="AI63" s="37" t="str">
        <f t="shared" si="17"/>
        <v/>
      </c>
      <c r="AJ63" s="40" t="str">
        <f t="shared" si="18"/>
        <v/>
      </c>
      <c r="AK63" s="33" t="str">
        <f>IF(SEM!AK63="","",SEM!AK63)</f>
        <v/>
      </c>
      <c r="AL63" s="6"/>
      <c r="AM63" s="79" t="str">
        <f t="shared" si="12"/>
        <v/>
      </c>
      <c r="AN63" s="12"/>
      <c r="AO63" s="12"/>
      <c r="AP63" s="14"/>
      <c r="AQ63" s="16"/>
      <c r="AR63" s="15"/>
      <c r="AU63" s="198"/>
      <c r="AV63" s="198"/>
      <c r="AW63" s="198"/>
      <c r="AX63" s="198"/>
    </row>
    <row r="64" spans="2:50" ht="17.25" customHeight="1" x14ac:dyDescent="0.2">
      <c r="B64" s="6"/>
      <c r="C64" s="49" t="str">
        <f>IF(SEM!C64="","",SEM!C64)</f>
        <v/>
      </c>
      <c r="D64" s="220" t="str">
        <f>IF(C64="","",VLOOKUP(SEM!C64,FROTA!$B$5:$C$305,2,0))</f>
        <v/>
      </c>
      <c r="E64" s="24" t="str">
        <f>IF(C64="","",VLOOKUP(C64,FROTA!$B$5:$N$305,7,0))</f>
        <v/>
      </c>
      <c r="F64" s="38" t="str">
        <f t="shared" si="2"/>
        <v/>
      </c>
      <c r="G64" s="71" t="str">
        <f t="shared" si="13"/>
        <v/>
      </c>
      <c r="H64" s="32" t="str">
        <f t="shared" si="21"/>
        <v/>
      </c>
      <c r="I64" s="73" t="str">
        <f t="shared" si="21"/>
        <v/>
      </c>
      <c r="J64" s="73" t="str">
        <f t="shared" si="21"/>
        <v/>
      </c>
      <c r="K64" s="73" t="str">
        <f t="shared" si="23"/>
        <v/>
      </c>
      <c r="L64" s="73" t="str">
        <f t="shared" si="23"/>
        <v/>
      </c>
      <c r="M64" s="73" t="str">
        <f t="shared" si="23"/>
        <v/>
      </c>
      <c r="N64" s="73" t="str">
        <f t="shared" si="23"/>
        <v/>
      </c>
      <c r="O64" s="73" t="str">
        <f t="shared" si="23"/>
        <v/>
      </c>
      <c r="P64" s="73" t="str">
        <f t="shared" si="23"/>
        <v/>
      </c>
      <c r="Q64" s="73" t="str">
        <f t="shared" si="23"/>
        <v/>
      </c>
      <c r="R64" s="73" t="str">
        <f t="shared" si="22"/>
        <v/>
      </c>
      <c r="S64" s="73" t="str">
        <f t="shared" si="22"/>
        <v/>
      </c>
      <c r="T64" s="73" t="str">
        <f t="shared" si="22"/>
        <v/>
      </c>
      <c r="U64" s="73" t="str">
        <f t="shared" si="22"/>
        <v/>
      </c>
      <c r="V64" s="73" t="str">
        <f t="shared" si="22"/>
        <v/>
      </c>
      <c r="W64" s="73" t="str">
        <f t="shared" si="22"/>
        <v/>
      </c>
      <c r="X64" s="73" t="str">
        <f t="shared" si="22"/>
        <v/>
      </c>
      <c r="Y64" s="73" t="str">
        <f t="shared" si="22"/>
        <v/>
      </c>
      <c r="Z64" s="73" t="str">
        <f t="shared" si="22"/>
        <v/>
      </c>
      <c r="AA64" s="73" t="str">
        <f t="shared" si="22"/>
        <v/>
      </c>
      <c r="AB64" s="74" t="str">
        <f t="shared" si="22"/>
        <v/>
      </c>
      <c r="AC64" s="35" t="str">
        <f t="shared" si="14"/>
        <v/>
      </c>
      <c r="AD64" s="40" t="str">
        <f t="shared" si="15"/>
        <v/>
      </c>
      <c r="AE64" s="37" t="str">
        <f t="shared" si="16"/>
        <v/>
      </c>
      <c r="AF64" s="40" t="str">
        <f t="shared" si="7"/>
        <v/>
      </c>
      <c r="AG64" s="37" t="str">
        <f t="shared" si="8"/>
        <v/>
      </c>
      <c r="AH64" s="40" t="str">
        <f t="shared" si="9"/>
        <v/>
      </c>
      <c r="AI64" s="37" t="str">
        <f t="shared" si="17"/>
        <v/>
      </c>
      <c r="AJ64" s="40" t="str">
        <f t="shared" si="18"/>
        <v/>
      </c>
      <c r="AK64" s="33" t="str">
        <f>IF(SEM!AK64="","",SEM!AK64)</f>
        <v/>
      </c>
      <c r="AL64" s="6"/>
      <c r="AM64" s="79" t="str">
        <f t="shared" si="12"/>
        <v/>
      </c>
      <c r="AN64" s="12"/>
      <c r="AO64" s="12"/>
      <c r="AP64" s="14"/>
      <c r="AQ64" s="16"/>
      <c r="AR64" s="15"/>
      <c r="AU64" s="198"/>
      <c r="AV64" s="198"/>
      <c r="AW64" s="198"/>
      <c r="AX64" s="198"/>
    </row>
    <row r="65" spans="2:50" ht="17.25" customHeight="1" x14ac:dyDescent="0.2">
      <c r="B65" s="6"/>
      <c r="C65" s="49" t="str">
        <f>IF(SEM!C65="","",SEM!C65)</f>
        <v/>
      </c>
      <c r="D65" s="220" t="str">
        <f>IF(C65="","",VLOOKUP(SEM!C65,FROTA!$B$5:$C$305,2,0))</f>
        <v/>
      </c>
      <c r="E65" s="24" t="str">
        <f>IF(C65="","",VLOOKUP(C65,FROTA!$B$5:$N$305,7,0))</f>
        <v/>
      </c>
      <c r="F65" s="38" t="str">
        <f t="shared" si="2"/>
        <v/>
      </c>
      <c r="G65" s="71" t="str">
        <f t="shared" si="13"/>
        <v/>
      </c>
      <c r="H65" s="32" t="str">
        <f t="shared" si="21"/>
        <v/>
      </c>
      <c r="I65" s="73" t="str">
        <f t="shared" si="21"/>
        <v/>
      </c>
      <c r="J65" s="73" t="str">
        <f t="shared" si="21"/>
        <v/>
      </c>
      <c r="K65" s="73" t="str">
        <f t="shared" si="23"/>
        <v/>
      </c>
      <c r="L65" s="73" t="str">
        <f t="shared" si="23"/>
        <v/>
      </c>
      <c r="M65" s="73" t="str">
        <f t="shared" si="23"/>
        <v/>
      </c>
      <c r="N65" s="73" t="str">
        <f t="shared" si="23"/>
        <v/>
      </c>
      <c r="O65" s="73" t="str">
        <f t="shared" si="23"/>
        <v/>
      </c>
      <c r="P65" s="73" t="str">
        <f t="shared" si="23"/>
        <v/>
      </c>
      <c r="Q65" s="73" t="str">
        <f t="shared" si="23"/>
        <v/>
      </c>
      <c r="R65" s="73" t="str">
        <f t="shared" si="22"/>
        <v/>
      </c>
      <c r="S65" s="73" t="str">
        <f t="shared" si="22"/>
        <v/>
      </c>
      <c r="T65" s="73" t="str">
        <f t="shared" si="22"/>
        <v/>
      </c>
      <c r="U65" s="73" t="str">
        <f t="shared" si="22"/>
        <v/>
      </c>
      <c r="V65" s="73" t="str">
        <f t="shared" si="22"/>
        <v/>
      </c>
      <c r="W65" s="73" t="str">
        <f t="shared" si="22"/>
        <v/>
      </c>
      <c r="X65" s="73" t="str">
        <f t="shared" si="22"/>
        <v/>
      </c>
      <c r="Y65" s="73" t="str">
        <f t="shared" si="22"/>
        <v/>
      </c>
      <c r="Z65" s="73" t="str">
        <f t="shared" si="22"/>
        <v/>
      </c>
      <c r="AA65" s="73" t="str">
        <f t="shared" si="22"/>
        <v/>
      </c>
      <c r="AB65" s="74" t="str">
        <f t="shared" si="22"/>
        <v/>
      </c>
      <c r="AC65" s="35" t="str">
        <f t="shared" si="14"/>
        <v/>
      </c>
      <c r="AD65" s="40" t="str">
        <f t="shared" si="15"/>
        <v/>
      </c>
      <c r="AE65" s="37" t="str">
        <f t="shared" si="16"/>
        <v/>
      </c>
      <c r="AF65" s="40" t="str">
        <f t="shared" si="7"/>
        <v/>
      </c>
      <c r="AG65" s="37" t="str">
        <f t="shared" si="8"/>
        <v/>
      </c>
      <c r="AH65" s="40" t="str">
        <f t="shared" si="9"/>
        <v/>
      </c>
      <c r="AI65" s="37" t="str">
        <f t="shared" si="17"/>
        <v/>
      </c>
      <c r="AJ65" s="40" t="str">
        <f t="shared" si="18"/>
        <v/>
      </c>
      <c r="AK65" s="33" t="str">
        <f>IF(SEM!AK65="","",SEM!AK65)</f>
        <v/>
      </c>
      <c r="AL65" s="6"/>
      <c r="AM65" s="79" t="str">
        <f t="shared" si="12"/>
        <v/>
      </c>
      <c r="AN65" s="12"/>
      <c r="AO65" s="12"/>
      <c r="AP65" s="14"/>
      <c r="AQ65" s="16"/>
      <c r="AR65" s="15"/>
      <c r="AU65" s="198"/>
      <c r="AV65" s="198"/>
      <c r="AW65" s="198"/>
      <c r="AX65" s="198"/>
    </row>
    <row r="66" spans="2:50" ht="17.25" customHeight="1" x14ac:dyDescent="0.2">
      <c r="B66" s="6"/>
      <c r="C66" s="49" t="str">
        <f>IF(SEM!C66="","",SEM!C66)</f>
        <v/>
      </c>
      <c r="D66" s="220" t="str">
        <f>IF(C66="","",VLOOKUP(SEM!C66,FROTA!$B$5:$C$305,2,0))</f>
        <v/>
      </c>
      <c r="E66" s="24" t="str">
        <f>IF(C66="","",VLOOKUP(C66,FROTA!$B$5:$N$305,7,0))</f>
        <v/>
      </c>
      <c r="F66" s="38" t="str">
        <f t="shared" si="2"/>
        <v/>
      </c>
      <c r="G66" s="71" t="str">
        <f t="shared" si="13"/>
        <v/>
      </c>
      <c r="H66" s="32" t="str">
        <f t="shared" si="21"/>
        <v/>
      </c>
      <c r="I66" s="73" t="str">
        <f t="shared" si="21"/>
        <v/>
      </c>
      <c r="J66" s="73" t="str">
        <f t="shared" si="21"/>
        <v/>
      </c>
      <c r="K66" s="73" t="str">
        <f t="shared" si="23"/>
        <v/>
      </c>
      <c r="L66" s="73" t="str">
        <f t="shared" si="23"/>
        <v/>
      </c>
      <c r="M66" s="73" t="str">
        <f t="shared" si="23"/>
        <v/>
      </c>
      <c r="N66" s="73" t="str">
        <f t="shared" si="23"/>
        <v/>
      </c>
      <c r="O66" s="73" t="str">
        <f t="shared" si="23"/>
        <v/>
      </c>
      <c r="P66" s="73" t="str">
        <f t="shared" si="23"/>
        <v/>
      </c>
      <c r="Q66" s="73" t="str">
        <f t="shared" si="23"/>
        <v/>
      </c>
      <c r="R66" s="73" t="str">
        <f t="shared" si="22"/>
        <v/>
      </c>
      <c r="S66" s="73" t="str">
        <f t="shared" si="22"/>
        <v/>
      </c>
      <c r="T66" s="73" t="str">
        <f t="shared" si="22"/>
        <v/>
      </c>
      <c r="U66" s="73" t="str">
        <f t="shared" si="22"/>
        <v/>
      </c>
      <c r="V66" s="73" t="str">
        <f t="shared" si="22"/>
        <v/>
      </c>
      <c r="W66" s="73" t="str">
        <f t="shared" si="22"/>
        <v/>
      </c>
      <c r="X66" s="73" t="str">
        <f t="shared" si="22"/>
        <v/>
      </c>
      <c r="Y66" s="73" t="str">
        <f t="shared" si="22"/>
        <v/>
      </c>
      <c r="Z66" s="73" t="str">
        <f t="shared" si="22"/>
        <v/>
      </c>
      <c r="AA66" s="73" t="str">
        <f t="shared" si="22"/>
        <v/>
      </c>
      <c r="AB66" s="74" t="str">
        <f t="shared" si="22"/>
        <v/>
      </c>
      <c r="AC66" s="35" t="str">
        <f t="shared" si="14"/>
        <v/>
      </c>
      <c r="AD66" s="40" t="str">
        <f t="shared" si="15"/>
        <v/>
      </c>
      <c r="AE66" s="37" t="str">
        <f t="shared" si="16"/>
        <v/>
      </c>
      <c r="AF66" s="40" t="str">
        <f t="shared" si="7"/>
        <v/>
      </c>
      <c r="AG66" s="37" t="str">
        <f t="shared" si="8"/>
        <v/>
      </c>
      <c r="AH66" s="40" t="str">
        <f t="shared" si="9"/>
        <v/>
      </c>
      <c r="AI66" s="37" t="str">
        <f t="shared" si="17"/>
        <v/>
      </c>
      <c r="AJ66" s="40" t="str">
        <f t="shared" si="18"/>
        <v/>
      </c>
      <c r="AK66" s="33" t="str">
        <f>IF(SEM!AK66="","",SEM!AK66)</f>
        <v/>
      </c>
      <c r="AL66" s="6"/>
      <c r="AM66" s="79" t="str">
        <f t="shared" si="12"/>
        <v/>
      </c>
      <c r="AN66" s="12"/>
      <c r="AO66" s="12"/>
      <c r="AP66" s="14"/>
      <c r="AQ66" s="16"/>
      <c r="AR66" s="15"/>
      <c r="AU66" s="198"/>
      <c r="AV66" s="198"/>
      <c r="AW66" s="198"/>
      <c r="AX66" s="198"/>
    </row>
    <row r="67" spans="2:50" ht="17.25" customHeight="1" x14ac:dyDescent="0.2">
      <c r="B67" s="6"/>
      <c r="C67" s="49" t="str">
        <f>IF(SEM!C67="","",SEM!C67)</f>
        <v/>
      </c>
      <c r="D67" s="220" t="str">
        <f>IF(C67="","",VLOOKUP(SEM!C67,FROTA!$B$5:$C$305,2,0))</f>
        <v/>
      </c>
      <c r="E67" s="24" t="str">
        <f>IF(C67="","",VLOOKUP(C67,FROTA!$B$5:$N$305,7,0))</f>
        <v/>
      </c>
      <c r="F67" s="38" t="str">
        <f t="shared" si="2"/>
        <v/>
      </c>
      <c r="G67" s="71" t="str">
        <f t="shared" si="13"/>
        <v/>
      </c>
      <c r="H67" s="32" t="str">
        <f t="shared" si="21"/>
        <v/>
      </c>
      <c r="I67" s="73" t="str">
        <f t="shared" si="21"/>
        <v/>
      </c>
      <c r="J67" s="73" t="str">
        <f t="shared" si="21"/>
        <v/>
      </c>
      <c r="K67" s="73" t="str">
        <f t="shared" si="23"/>
        <v/>
      </c>
      <c r="L67" s="73" t="str">
        <f t="shared" si="23"/>
        <v/>
      </c>
      <c r="M67" s="73" t="str">
        <f t="shared" si="23"/>
        <v/>
      </c>
      <c r="N67" s="73" t="str">
        <f t="shared" si="23"/>
        <v/>
      </c>
      <c r="O67" s="73" t="str">
        <f t="shared" si="23"/>
        <v/>
      </c>
      <c r="P67" s="73" t="str">
        <f t="shared" si="23"/>
        <v/>
      </c>
      <c r="Q67" s="73" t="str">
        <f t="shared" si="23"/>
        <v/>
      </c>
      <c r="R67" s="73" t="str">
        <f t="shared" si="22"/>
        <v/>
      </c>
      <c r="S67" s="73" t="str">
        <f t="shared" si="22"/>
        <v/>
      </c>
      <c r="T67" s="73" t="str">
        <f t="shared" si="22"/>
        <v/>
      </c>
      <c r="U67" s="73" t="str">
        <f t="shared" si="22"/>
        <v/>
      </c>
      <c r="V67" s="73" t="str">
        <f t="shared" si="22"/>
        <v/>
      </c>
      <c r="W67" s="73" t="str">
        <f t="shared" si="22"/>
        <v/>
      </c>
      <c r="X67" s="73" t="str">
        <f t="shared" si="22"/>
        <v/>
      </c>
      <c r="Y67" s="73" t="str">
        <f t="shared" si="22"/>
        <v/>
      </c>
      <c r="Z67" s="73" t="str">
        <f t="shared" si="22"/>
        <v/>
      </c>
      <c r="AA67" s="73" t="str">
        <f t="shared" si="22"/>
        <v/>
      </c>
      <c r="AB67" s="74" t="str">
        <f t="shared" si="22"/>
        <v/>
      </c>
      <c r="AC67" s="35" t="str">
        <f t="shared" si="14"/>
        <v/>
      </c>
      <c r="AD67" s="40" t="str">
        <f t="shared" si="15"/>
        <v/>
      </c>
      <c r="AE67" s="37" t="str">
        <f t="shared" si="16"/>
        <v/>
      </c>
      <c r="AF67" s="40" t="str">
        <f t="shared" si="7"/>
        <v/>
      </c>
      <c r="AG67" s="37" t="str">
        <f t="shared" si="8"/>
        <v/>
      </c>
      <c r="AH67" s="40" t="str">
        <f t="shared" si="9"/>
        <v/>
      </c>
      <c r="AI67" s="37" t="str">
        <f t="shared" si="17"/>
        <v/>
      </c>
      <c r="AJ67" s="40" t="str">
        <f t="shared" si="18"/>
        <v/>
      </c>
      <c r="AK67" s="33" t="str">
        <f>IF(SEM!AK67="","",SEM!AK67)</f>
        <v/>
      </c>
      <c r="AL67" s="6"/>
      <c r="AM67" s="79" t="str">
        <f t="shared" si="12"/>
        <v/>
      </c>
      <c r="AN67" s="12"/>
      <c r="AO67" s="12"/>
      <c r="AP67" s="14"/>
      <c r="AQ67" s="16"/>
      <c r="AR67" s="15"/>
      <c r="AU67" s="198"/>
      <c r="AV67" s="198"/>
      <c r="AW67" s="198"/>
      <c r="AX67" s="198"/>
    </row>
    <row r="68" spans="2:50" ht="17.25" customHeight="1" x14ac:dyDescent="0.2">
      <c r="B68" s="6"/>
      <c r="C68" s="49" t="str">
        <f>IF(SEM!C68="","",SEM!C68)</f>
        <v/>
      </c>
      <c r="D68" s="220" t="str">
        <f>IF(C68="","",VLOOKUP(SEM!C68,FROTA!$B$5:$C$305,2,0))</f>
        <v/>
      </c>
      <c r="E68" s="24" t="str">
        <f>IF(C68="","",VLOOKUP(C68,FROTA!$B$5:$N$305,7,0))</f>
        <v/>
      </c>
      <c r="F68" s="38" t="str">
        <f t="shared" si="2"/>
        <v/>
      </c>
      <c r="G68" s="71" t="str">
        <f t="shared" si="13"/>
        <v/>
      </c>
      <c r="H68" s="32" t="str">
        <f t="shared" si="21"/>
        <v/>
      </c>
      <c r="I68" s="73" t="str">
        <f t="shared" si="21"/>
        <v/>
      </c>
      <c r="J68" s="73" t="str">
        <f t="shared" si="21"/>
        <v/>
      </c>
      <c r="K68" s="73" t="str">
        <f t="shared" si="23"/>
        <v/>
      </c>
      <c r="L68" s="73" t="str">
        <f t="shared" si="23"/>
        <v/>
      </c>
      <c r="M68" s="73" t="str">
        <f t="shared" si="23"/>
        <v/>
      </c>
      <c r="N68" s="73" t="str">
        <f t="shared" si="23"/>
        <v/>
      </c>
      <c r="O68" s="73" t="str">
        <f t="shared" si="23"/>
        <v/>
      </c>
      <c r="P68" s="73" t="str">
        <f t="shared" si="23"/>
        <v/>
      </c>
      <c r="Q68" s="73" t="str">
        <f t="shared" si="23"/>
        <v/>
      </c>
      <c r="R68" s="73" t="str">
        <f t="shared" si="22"/>
        <v/>
      </c>
      <c r="S68" s="73" t="str">
        <f t="shared" si="22"/>
        <v/>
      </c>
      <c r="T68" s="73" t="str">
        <f t="shared" si="22"/>
        <v/>
      </c>
      <c r="U68" s="73" t="str">
        <f t="shared" si="22"/>
        <v/>
      </c>
      <c r="V68" s="73" t="str">
        <f t="shared" ref="R68:AB91" si="24">IF($C68="","",IF(SUM(V$307*$G68)&gt;$F68,$F68,SUM(V$307*$G68)))</f>
        <v/>
      </c>
      <c r="W68" s="73" t="str">
        <f t="shared" si="24"/>
        <v/>
      </c>
      <c r="X68" s="73" t="str">
        <f t="shared" si="24"/>
        <v/>
      </c>
      <c r="Y68" s="73" t="str">
        <f t="shared" si="24"/>
        <v/>
      </c>
      <c r="Z68" s="73" t="str">
        <f t="shared" si="24"/>
        <v/>
      </c>
      <c r="AA68" s="73" t="str">
        <f t="shared" si="24"/>
        <v/>
      </c>
      <c r="AB68" s="74" t="str">
        <f t="shared" si="24"/>
        <v/>
      </c>
      <c r="AC68" s="35" t="str">
        <f t="shared" si="14"/>
        <v/>
      </c>
      <c r="AD68" s="40" t="str">
        <f t="shared" si="15"/>
        <v/>
      </c>
      <c r="AE68" s="37" t="str">
        <f t="shared" si="16"/>
        <v/>
      </c>
      <c r="AF68" s="40" t="str">
        <f t="shared" si="7"/>
        <v/>
      </c>
      <c r="AG68" s="37" t="str">
        <f t="shared" si="8"/>
        <v/>
      </c>
      <c r="AH68" s="40" t="str">
        <f t="shared" si="9"/>
        <v/>
      </c>
      <c r="AI68" s="37" t="str">
        <f t="shared" si="17"/>
        <v/>
      </c>
      <c r="AJ68" s="40" t="str">
        <f t="shared" si="18"/>
        <v/>
      </c>
      <c r="AK68" s="33" t="str">
        <f>IF(SEM!AK68="","",SEM!AK68)</f>
        <v/>
      </c>
      <c r="AL68" s="6"/>
      <c r="AM68" s="79" t="str">
        <f t="shared" si="12"/>
        <v/>
      </c>
      <c r="AN68" s="12"/>
      <c r="AO68" s="12"/>
      <c r="AP68" s="14"/>
      <c r="AQ68" s="16"/>
      <c r="AR68" s="15"/>
      <c r="AU68" s="198"/>
      <c r="AV68" s="198"/>
      <c r="AW68" s="198"/>
      <c r="AX68" s="198"/>
    </row>
    <row r="69" spans="2:50" ht="17.25" customHeight="1" x14ac:dyDescent="0.2">
      <c r="B69" s="6"/>
      <c r="C69" s="49" t="str">
        <f>IF(SEM!C69="","",SEM!C69)</f>
        <v/>
      </c>
      <c r="D69" s="220" t="str">
        <f>IF(C69="","",VLOOKUP(SEM!C69,FROTA!$B$5:$C$305,2,0))</f>
        <v/>
      </c>
      <c r="E69" s="24" t="str">
        <f>IF(C69="","",VLOOKUP(C69,FROTA!$B$5:$N$305,7,0))</f>
        <v/>
      </c>
      <c r="F69" s="38" t="str">
        <f t="shared" si="2"/>
        <v/>
      </c>
      <c r="G69" s="71" t="str">
        <f t="shared" si="13"/>
        <v/>
      </c>
      <c r="H69" s="32" t="str">
        <f t="shared" si="21"/>
        <v/>
      </c>
      <c r="I69" s="73" t="str">
        <f t="shared" si="21"/>
        <v/>
      </c>
      <c r="J69" s="73" t="str">
        <f t="shared" si="21"/>
        <v/>
      </c>
      <c r="K69" s="73" t="str">
        <f t="shared" si="23"/>
        <v/>
      </c>
      <c r="L69" s="73" t="str">
        <f t="shared" si="23"/>
        <v/>
      </c>
      <c r="M69" s="73" t="str">
        <f t="shared" si="23"/>
        <v/>
      </c>
      <c r="N69" s="73" t="str">
        <f t="shared" si="23"/>
        <v/>
      </c>
      <c r="O69" s="73" t="str">
        <f t="shared" si="23"/>
        <v/>
      </c>
      <c r="P69" s="73" t="str">
        <f t="shared" si="23"/>
        <v/>
      </c>
      <c r="Q69" s="73" t="str">
        <f t="shared" si="23"/>
        <v/>
      </c>
      <c r="R69" s="73" t="str">
        <f t="shared" si="24"/>
        <v/>
      </c>
      <c r="S69" s="73" t="str">
        <f t="shared" si="24"/>
        <v/>
      </c>
      <c r="T69" s="73" t="str">
        <f t="shared" si="24"/>
        <v/>
      </c>
      <c r="U69" s="73" t="str">
        <f t="shared" si="24"/>
        <v/>
      </c>
      <c r="V69" s="73" t="str">
        <f t="shared" si="24"/>
        <v/>
      </c>
      <c r="W69" s="73" t="str">
        <f t="shared" si="24"/>
        <v/>
      </c>
      <c r="X69" s="73" t="str">
        <f t="shared" si="24"/>
        <v/>
      </c>
      <c r="Y69" s="73" t="str">
        <f t="shared" si="24"/>
        <v/>
      </c>
      <c r="Z69" s="73" t="str">
        <f t="shared" si="24"/>
        <v/>
      </c>
      <c r="AA69" s="73" t="str">
        <f t="shared" si="24"/>
        <v/>
      </c>
      <c r="AB69" s="74" t="str">
        <f t="shared" si="24"/>
        <v/>
      </c>
      <c r="AC69" s="35" t="str">
        <f t="shared" si="14"/>
        <v/>
      </c>
      <c r="AD69" s="40" t="str">
        <f t="shared" si="15"/>
        <v/>
      </c>
      <c r="AE69" s="37" t="str">
        <f t="shared" si="16"/>
        <v/>
      </c>
      <c r="AF69" s="40" t="str">
        <f t="shared" si="7"/>
        <v/>
      </c>
      <c r="AG69" s="37" t="str">
        <f t="shared" si="8"/>
        <v/>
      </c>
      <c r="AH69" s="40" t="str">
        <f t="shared" si="9"/>
        <v/>
      </c>
      <c r="AI69" s="37" t="str">
        <f t="shared" si="17"/>
        <v/>
      </c>
      <c r="AJ69" s="40" t="str">
        <f t="shared" si="18"/>
        <v/>
      </c>
      <c r="AK69" s="33" t="str">
        <f>IF(SEM!AK69="","",SEM!AK69)</f>
        <v/>
      </c>
      <c r="AL69" s="6"/>
      <c r="AM69" s="79" t="str">
        <f t="shared" si="12"/>
        <v/>
      </c>
      <c r="AN69" s="12"/>
      <c r="AO69" s="12"/>
      <c r="AP69" s="14"/>
      <c r="AQ69" s="16"/>
      <c r="AR69" s="15"/>
      <c r="AU69" s="198"/>
      <c r="AV69" s="198"/>
      <c r="AW69" s="198"/>
      <c r="AX69" s="198"/>
    </row>
    <row r="70" spans="2:50" ht="17.25" customHeight="1" x14ac:dyDescent="0.2">
      <c r="B70" s="6"/>
      <c r="C70" s="49" t="str">
        <f>IF(SEM!C70="","",SEM!C70)</f>
        <v/>
      </c>
      <c r="D70" s="220" t="str">
        <f>IF(C70="","",VLOOKUP(SEM!C70,FROTA!$B$5:$C$305,2,0))</f>
        <v/>
      </c>
      <c r="E70" s="24" t="str">
        <f>IF(C70="","",VLOOKUP(C70,FROTA!$B$5:$N$305,7,0))</f>
        <v/>
      </c>
      <c r="F70" s="38" t="str">
        <f t="shared" si="2"/>
        <v/>
      </c>
      <c r="G70" s="71" t="str">
        <f t="shared" si="13"/>
        <v/>
      </c>
      <c r="H70" s="32" t="str">
        <f t="shared" si="21"/>
        <v/>
      </c>
      <c r="I70" s="73" t="str">
        <f t="shared" si="21"/>
        <v/>
      </c>
      <c r="J70" s="73" t="str">
        <f t="shared" si="21"/>
        <v/>
      </c>
      <c r="K70" s="73" t="str">
        <f t="shared" si="23"/>
        <v/>
      </c>
      <c r="L70" s="73" t="str">
        <f t="shared" si="23"/>
        <v/>
      </c>
      <c r="M70" s="73" t="str">
        <f t="shared" si="23"/>
        <v/>
      </c>
      <c r="N70" s="73" t="str">
        <f t="shared" si="23"/>
        <v/>
      </c>
      <c r="O70" s="73" t="str">
        <f t="shared" si="23"/>
        <v/>
      </c>
      <c r="P70" s="73" t="str">
        <f t="shared" si="23"/>
        <v/>
      </c>
      <c r="Q70" s="73" t="str">
        <f t="shared" si="23"/>
        <v/>
      </c>
      <c r="R70" s="73" t="str">
        <f t="shared" si="24"/>
        <v/>
      </c>
      <c r="S70" s="73" t="str">
        <f t="shared" si="24"/>
        <v/>
      </c>
      <c r="T70" s="73" t="str">
        <f t="shared" si="24"/>
        <v/>
      </c>
      <c r="U70" s="73" t="str">
        <f t="shared" si="24"/>
        <v/>
      </c>
      <c r="V70" s="73" t="str">
        <f t="shared" si="24"/>
        <v/>
      </c>
      <c r="W70" s="73" t="str">
        <f t="shared" si="24"/>
        <v/>
      </c>
      <c r="X70" s="73" t="str">
        <f t="shared" si="24"/>
        <v/>
      </c>
      <c r="Y70" s="73" t="str">
        <f t="shared" si="24"/>
        <v/>
      </c>
      <c r="Z70" s="73" t="str">
        <f t="shared" si="24"/>
        <v/>
      </c>
      <c r="AA70" s="73" t="str">
        <f t="shared" si="24"/>
        <v/>
      </c>
      <c r="AB70" s="74" t="str">
        <f t="shared" si="24"/>
        <v/>
      </c>
      <c r="AC70" s="35" t="str">
        <f t="shared" si="14"/>
        <v/>
      </c>
      <c r="AD70" s="40" t="str">
        <f t="shared" si="15"/>
        <v/>
      </c>
      <c r="AE70" s="37" t="str">
        <f t="shared" si="16"/>
        <v/>
      </c>
      <c r="AF70" s="40" t="str">
        <f t="shared" si="7"/>
        <v/>
      </c>
      <c r="AG70" s="37" t="str">
        <f t="shared" si="8"/>
        <v/>
      </c>
      <c r="AH70" s="40" t="str">
        <f t="shared" si="9"/>
        <v/>
      </c>
      <c r="AI70" s="37" t="str">
        <f t="shared" si="17"/>
        <v/>
      </c>
      <c r="AJ70" s="40" t="str">
        <f t="shared" si="18"/>
        <v/>
      </c>
      <c r="AK70" s="33" t="str">
        <f>IF(SEM!AK70="","",SEM!AK70)</f>
        <v/>
      </c>
      <c r="AL70" s="6"/>
      <c r="AM70" s="79" t="str">
        <f t="shared" si="12"/>
        <v/>
      </c>
      <c r="AN70" s="12"/>
      <c r="AO70" s="12"/>
      <c r="AP70" s="14"/>
      <c r="AQ70" s="16"/>
      <c r="AR70" s="15"/>
      <c r="AU70" s="198"/>
      <c r="AV70" s="198"/>
      <c r="AW70" s="198"/>
      <c r="AX70" s="198"/>
    </row>
    <row r="71" spans="2:50" ht="17.25" customHeight="1" x14ac:dyDescent="0.2">
      <c r="B71" s="6"/>
      <c r="C71" s="49" t="str">
        <f>IF(SEM!C71="","",SEM!C71)</f>
        <v/>
      </c>
      <c r="D71" s="220" t="str">
        <f>IF(C71="","",VLOOKUP(SEM!C71,FROTA!$B$5:$C$305,2,0))</f>
        <v/>
      </c>
      <c r="E71" s="24" t="str">
        <f>IF(C71="","",VLOOKUP(C71,FROTA!$B$5:$N$305,7,0))</f>
        <v/>
      </c>
      <c r="F71" s="38" t="str">
        <f t="shared" ref="F71:F134" si="25">IF(E71="","",VLOOKUP(E71,$AP$5:$AQ$18,2,0))</f>
        <v/>
      </c>
      <c r="G71" s="71" t="str">
        <f t="shared" si="13"/>
        <v/>
      </c>
      <c r="H71" s="32" t="str">
        <f t="shared" si="21"/>
        <v/>
      </c>
      <c r="I71" s="73" t="str">
        <f t="shared" si="21"/>
        <v/>
      </c>
      <c r="J71" s="73" t="str">
        <f t="shared" si="21"/>
        <v/>
      </c>
      <c r="K71" s="73" t="str">
        <f t="shared" si="23"/>
        <v/>
      </c>
      <c r="L71" s="73" t="str">
        <f t="shared" si="23"/>
        <v/>
      </c>
      <c r="M71" s="73" t="str">
        <f t="shared" si="23"/>
        <v/>
      </c>
      <c r="N71" s="73" t="str">
        <f t="shared" si="23"/>
        <v/>
      </c>
      <c r="O71" s="73" t="str">
        <f t="shared" si="23"/>
        <v/>
      </c>
      <c r="P71" s="73" t="str">
        <f t="shared" si="23"/>
        <v/>
      </c>
      <c r="Q71" s="73" t="str">
        <f t="shared" si="23"/>
        <v/>
      </c>
      <c r="R71" s="73" t="str">
        <f t="shared" si="24"/>
        <v/>
      </c>
      <c r="S71" s="73" t="str">
        <f t="shared" si="24"/>
        <v/>
      </c>
      <c r="T71" s="73" t="str">
        <f t="shared" si="24"/>
        <v/>
      </c>
      <c r="U71" s="73" t="str">
        <f t="shared" si="24"/>
        <v/>
      </c>
      <c r="V71" s="73" t="str">
        <f t="shared" si="24"/>
        <v/>
      </c>
      <c r="W71" s="73" t="str">
        <f t="shared" si="24"/>
        <v/>
      </c>
      <c r="X71" s="73" t="str">
        <f t="shared" si="24"/>
        <v/>
      </c>
      <c r="Y71" s="73" t="str">
        <f t="shared" si="24"/>
        <v/>
      </c>
      <c r="Z71" s="73" t="str">
        <f t="shared" si="24"/>
        <v/>
      </c>
      <c r="AA71" s="73" t="str">
        <f t="shared" si="24"/>
        <v/>
      </c>
      <c r="AB71" s="74" t="str">
        <f t="shared" si="24"/>
        <v/>
      </c>
      <c r="AC71" s="35" t="str">
        <f t="shared" si="14"/>
        <v/>
      </c>
      <c r="AD71" s="40" t="str">
        <f t="shared" si="15"/>
        <v/>
      </c>
      <c r="AE71" s="37" t="str">
        <f t="shared" si="16"/>
        <v/>
      </c>
      <c r="AF71" s="40" t="str">
        <f t="shared" ref="AF71:AF134" si="26">IF(C71="","",SUM(H71:Q71))</f>
        <v/>
      </c>
      <c r="AG71" s="37" t="str">
        <f t="shared" ref="AG71:AG134" si="27">IF(C71="","",SUM(R71:AB71)*AK71)</f>
        <v/>
      </c>
      <c r="AH71" s="40" t="str">
        <f t="shared" ref="AH71:AH134" si="28">IF(C71="","",SUM(R71:AB71))</f>
        <v/>
      </c>
      <c r="AI71" s="37" t="str">
        <f t="shared" si="17"/>
        <v/>
      </c>
      <c r="AJ71" s="40" t="str">
        <f t="shared" si="18"/>
        <v/>
      </c>
      <c r="AK71" s="33" t="str">
        <f>IF(SEM!AK71="","",SEM!AK71)</f>
        <v/>
      </c>
      <c r="AL71" s="6"/>
      <c r="AM71" s="79" t="str">
        <f t="shared" ref="AM71:AM134" si="29">IF(C71="","",SUM(H71:AB71))</f>
        <v/>
      </c>
      <c r="AN71" s="12"/>
      <c r="AO71" s="12"/>
      <c r="AP71" s="14"/>
      <c r="AQ71" s="16"/>
      <c r="AR71" s="15"/>
      <c r="AU71" s="198"/>
      <c r="AV71" s="198"/>
      <c r="AW71" s="198"/>
      <c r="AX71" s="198"/>
    </row>
    <row r="72" spans="2:50" ht="17.25" customHeight="1" x14ac:dyDescent="0.2">
      <c r="B72" s="6"/>
      <c r="C72" s="49" t="str">
        <f>IF(SEM!C72="","",SEM!C72)</f>
        <v/>
      </c>
      <c r="D72" s="220" t="str">
        <f>IF(C72="","",VLOOKUP(SEM!C72,FROTA!$B$5:$C$305,2,0))</f>
        <v/>
      </c>
      <c r="E72" s="24" t="str">
        <f>IF(C72="","",VLOOKUP(C72,FROTA!$B$5:$N$305,7,0))</f>
        <v/>
      </c>
      <c r="F72" s="38" t="str">
        <f t="shared" si="25"/>
        <v/>
      </c>
      <c r="G72" s="71" t="str">
        <f t="shared" si="13"/>
        <v/>
      </c>
      <c r="H72" s="32" t="str">
        <f t="shared" si="21"/>
        <v/>
      </c>
      <c r="I72" s="73" t="str">
        <f t="shared" si="21"/>
        <v/>
      </c>
      <c r="J72" s="73" t="str">
        <f t="shared" si="21"/>
        <v/>
      </c>
      <c r="K72" s="73" t="str">
        <f t="shared" si="23"/>
        <v/>
      </c>
      <c r="L72" s="73" t="str">
        <f t="shared" si="23"/>
        <v/>
      </c>
      <c r="M72" s="73" t="str">
        <f t="shared" si="23"/>
        <v/>
      </c>
      <c r="N72" s="73" t="str">
        <f t="shared" si="23"/>
        <v/>
      </c>
      <c r="O72" s="73" t="str">
        <f t="shared" si="23"/>
        <v/>
      </c>
      <c r="P72" s="73" t="str">
        <f t="shared" si="23"/>
        <v/>
      </c>
      <c r="Q72" s="73" t="str">
        <f t="shared" si="23"/>
        <v/>
      </c>
      <c r="R72" s="73" t="str">
        <f t="shared" si="24"/>
        <v/>
      </c>
      <c r="S72" s="73" t="str">
        <f t="shared" si="24"/>
        <v/>
      </c>
      <c r="T72" s="73" t="str">
        <f t="shared" si="24"/>
        <v/>
      </c>
      <c r="U72" s="73" t="str">
        <f t="shared" si="24"/>
        <v/>
      </c>
      <c r="V72" s="73" t="str">
        <f t="shared" si="24"/>
        <v/>
      </c>
      <c r="W72" s="73" t="str">
        <f t="shared" si="24"/>
        <v/>
      </c>
      <c r="X72" s="73" t="str">
        <f t="shared" si="24"/>
        <v/>
      </c>
      <c r="Y72" s="73" t="str">
        <f t="shared" si="24"/>
        <v/>
      </c>
      <c r="Z72" s="73" t="str">
        <f t="shared" si="24"/>
        <v/>
      </c>
      <c r="AA72" s="73" t="str">
        <f t="shared" si="24"/>
        <v/>
      </c>
      <c r="AB72" s="74" t="str">
        <f t="shared" si="24"/>
        <v/>
      </c>
      <c r="AC72" s="35" t="str">
        <f t="shared" si="14"/>
        <v/>
      </c>
      <c r="AD72" s="40" t="str">
        <f t="shared" si="15"/>
        <v/>
      </c>
      <c r="AE72" s="37" t="str">
        <f t="shared" si="16"/>
        <v/>
      </c>
      <c r="AF72" s="40" t="str">
        <f t="shared" si="26"/>
        <v/>
      </c>
      <c r="AG72" s="37" t="str">
        <f t="shared" si="27"/>
        <v/>
      </c>
      <c r="AH72" s="40" t="str">
        <f t="shared" si="28"/>
        <v/>
      </c>
      <c r="AI72" s="37" t="str">
        <f t="shared" si="17"/>
        <v/>
      </c>
      <c r="AJ72" s="40" t="str">
        <f t="shared" si="18"/>
        <v/>
      </c>
      <c r="AK72" s="33" t="str">
        <f>IF(SEM!AK72="","",SEM!AK72)</f>
        <v/>
      </c>
      <c r="AL72" s="6"/>
      <c r="AM72" s="79" t="str">
        <f t="shared" si="29"/>
        <v/>
      </c>
      <c r="AN72" s="12"/>
      <c r="AO72" s="12"/>
      <c r="AP72" s="14"/>
      <c r="AQ72" s="16"/>
      <c r="AR72" s="15"/>
      <c r="AU72" s="198"/>
      <c r="AV72" s="198"/>
      <c r="AW72" s="198"/>
      <c r="AX72" s="198"/>
    </row>
    <row r="73" spans="2:50" ht="17.25" customHeight="1" x14ac:dyDescent="0.2">
      <c r="B73" s="6"/>
      <c r="C73" s="49" t="str">
        <f>IF(SEM!C73="","",SEM!C73)</f>
        <v/>
      </c>
      <c r="D73" s="220" t="str">
        <f>IF(C73="","",VLOOKUP(SEM!C73,FROTA!$B$5:$C$305,2,0))</f>
        <v/>
      </c>
      <c r="E73" s="24" t="str">
        <f>IF(C73="","",VLOOKUP(C73,FROTA!$B$5:$N$305,7,0))</f>
        <v/>
      </c>
      <c r="F73" s="38" t="str">
        <f t="shared" si="25"/>
        <v/>
      </c>
      <c r="G73" s="71" t="str">
        <f t="shared" ref="G73:G136" si="30">IF(C73="","",F73/$F$307)</f>
        <v/>
      </c>
      <c r="H73" s="32" t="str">
        <f t="shared" si="21"/>
        <v/>
      </c>
      <c r="I73" s="73" t="str">
        <f t="shared" si="21"/>
        <v/>
      </c>
      <c r="J73" s="73" t="str">
        <f t="shared" si="21"/>
        <v/>
      </c>
      <c r="K73" s="73" t="str">
        <f t="shared" si="23"/>
        <v/>
      </c>
      <c r="L73" s="73" t="str">
        <f t="shared" si="23"/>
        <v/>
      </c>
      <c r="M73" s="73" t="str">
        <f t="shared" si="23"/>
        <v/>
      </c>
      <c r="N73" s="73" t="str">
        <f t="shared" si="23"/>
        <v/>
      </c>
      <c r="O73" s="73" t="str">
        <f t="shared" si="23"/>
        <v/>
      </c>
      <c r="P73" s="73" t="str">
        <f t="shared" si="23"/>
        <v/>
      </c>
      <c r="Q73" s="73" t="str">
        <f t="shared" si="23"/>
        <v/>
      </c>
      <c r="R73" s="73" t="str">
        <f t="shared" si="24"/>
        <v/>
      </c>
      <c r="S73" s="73" t="str">
        <f t="shared" si="24"/>
        <v/>
      </c>
      <c r="T73" s="73" t="str">
        <f t="shared" si="24"/>
        <v/>
      </c>
      <c r="U73" s="73" t="str">
        <f t="shared" si="24"/>
        <v/>
      </c>
      <c r="V73" s="73" t="str">
        <f t="shared" si="24"/>
        <v/>
      </c>
      <c r="W73" s="73" t="str">
        <f t="shared" si="24"/>
        <v/>
      </c>
      <c r="X73" s="73" t="str">
        <f t="shared" si="24"/>
        <v/>
      </c>
      <c r="Y73" s="73" t="str">
        <f t="shared" si="24"/>
        <v/>
      </c>
      <c r="Z73" s="73" t="str">
        <f t="shared" si="24"/>
        <v/>
      </c>
      <c r="AA73" s="73" t="str">
        <f t="shared" si="24"/>
        <v/>
      </c>
      <c r="AB73" s="74" t="str">
        <f t="shared" si="24"/>
        <v/>
      </c>
      <c r="AC73" s="35" t="str">
        <f t="shared" si="14"/>
        <v/>
      </c>
      <c r="AD73" s="40" t="str">
        <f t="shared" si="15"/>
        <v/>
      </c>
      <c r="AE73" s="37" t="str">
        <f t="shared" si="16"/>
        <v/>
      </c>
      <c r="AF73" s="40" t="str">
        <f t="shared" si="26"/>
        <v/>
      </c>
      <c r="AG73" s="37" t="str">
        <f t="shared" si="27"/>
        <v/>
      </c>
      <c r="AH73" s="40" t="str">
        <f t="shared" si="28"/>
        <v/>
      </c>
      <c r="AI73" s="37" t="str">
        <f t="shared" si="17"/>
        <v/>
      </c>
      <c r="AJ73" s="40" t="str">
        <f t="shared" si="18"/>
        <v/>
      </c>
      <c r="AK73" s="33" t="str">
        <f>IF(SEM!AK73="","",SEM!AK73)</f>
        <v/>
      </c>
      <c r="AL73" s="6"/>
      <c r="AM73" s="79" t="str">
        <f t="shared" si="29"/>
        <v/>
      </c>
      <c r="AN73" s="12"/>
      <c r="AO73" s="12"/>
      <c r="AP73" s="14"/>
      <c r="AQ73" s="16"/>
      <c r="AR73" s="15"/>
      <c r="AU73" s="198"/>
      <c r="AV73" s="198"/>
      <c r="AW73" s="198"/>
      <c r="AX73" s="198"/>
    </row>
    <row r="74" spans="2:50" ht="17.25" customHeight="1" x14ac:dyDescent="0.2">
      <c r="B74" s="6"/>
      <c r="C74" s="49" t="str">
        <f>IF(SEM!C74="","",SEM!C74)</f>
        <v/>
      </c>
      <c r="D74" s="220" t="str">
        <f>IF(C74="","",VLOOKUP(SEM!C74,FROTA!$B$5:$C$305,2,0))</f>
        <v/>
      </c>
      <c r="E74" s="24" t="str">
        <f>IF(C74="","",VLOOKUP(C74,FROTA!$B$5:$N$305,7,0))</f>
        <v/>
      </c>
      <c r="F74" s="38" t="str">
        <f t="shared" si="25"/>
        <v/>
      </c>
      <c r="G74" s="71" t="str">
        <f t="shared" si="30"/>
        <v/>
      </c>
      <c r="H74" s="32" t="str">
        <f t="shared" si="21"/>
        <v/>
      </c>
      <c r="I74" s="73" t="str">
        <f t="shared" si="21"/>
        <v/>
      </c>
      <c r="J74" s="73" t="str">
        <f t="shared" si="21"/>
        <v/>
      </c>
      <c r="K74" s="73" t="str">
        <f t="shared" si="23"/>
        <v/>
      </c>
      <c r="L74" s="73" t="str">
        <f t="shared" si="23"/>
        <v/>
      </c>
      <c r="M74" s="73" t="str">
        <f t="shared" si="23"/>
        <v/>
      </c>
      <c r="N74" s="73" t="str">
        <f t="shared" si="23"/>
        <v/>
      </c>
      <c r="O74" s="73" t="str">
        <f t="shared" si="23"/>
        <v/>
      </c>
      <c r="P74" s="73" t="str">
        <f t="shared" si="23"/>
        <v/>
      </c>
      <c r="Q74" s="73" t="str">
        <f t="shared" si="23"/>
        <v/>
      </c>
      <c r="R74" s="73" t="str">
        <f t="shared" si="24"/>
        <v/>
      </c>
      <c r="S74" s="73" t="str">
        <f t="shared" si="24"/>
        <v/>
      </c>
      <c r="T74" s="73" t="str">
        <f t="shared" si="24"/>
        <v/>
      </c>
      <c r="U74" s="73" t="str">
        <f t="shared" si="24"/>
        <v/>
      </c>
      <c r="V74" s="73" t="str">
        <f t="shared" si="24"/>
        <v/>
      </c>
      <c r="W74" s="73" t="str">
        <f t="shared" si="24"/>
        <v/>
      </c>
      <c r="X74" s="73" t="str">
        <f t="shared" si="24"/>
        <v/>
      </c>
      <c r="Y74" s="73" t="str">
        <f t="shared" si="24"/>
        <v/>
      </c>
      <c r="Z74" s="73" t="str">
        <f t="shared" si="24"/>
        <v/>
      </c>
      <c r="AA74" s="73" t="str">
        <f t="shared" si="24"/>
        <v/>
      </c>
      <c r="AB74" s="74" t="str">
        <f t="shared" si="24"/>
        <v/>
      </c>
      <c r="AC74" s="35" t="str">
        <f t="shared" si="14"/>
        <v/>
      </c>
      <c r="AD74" s="40" t="str">
        <f t="shared" si="15"/>
        <v/>
      </c>
      <c r="AE74" s="37" t="str">
        <f t="shared" si="16"/>
        <v/>
      </c>
      <c r="AF74" s="40" t="str">
        <f t="shared" si="26"/>
        <v/>
      </c>
      <c r="AG74" s="37" t="str">
        <f t="shared" si="27"/>
        <v/>
      </c>
      <c r="AH74" s="40" t="str">
        <f t="shared" si="28"/>
        <v/>
      </c>
      <c r="AI74" s="37" t="str">
        <f t="shared" si="17"/>
        <v/>
      </c>
      <c r="AJ74" s="40" t="str">
        <f t="shared" si="18"/>
        <v/>
      </c>
      <c r="AK74" s="33" t="str">
        <f>IF(SEM!AK74="","",SEM!AK74)</f>
        <v/>
      </c>
      <c r="AL74" s="6"/>
      <c r="AM74" s="79" t="str">
        <f t="shared" si="29"/>
        <v/>
      </c>
      <c r="AN74" s="12"/>
      <c r="AO74" s="12"/>
      <c r="AP74" s="14"/>
      <c r="AQ74" s="16"/>
      <c r="AR74" s="15"/>
      <c r="AU74" s="198"/>
      <c r="AV74" s="198"/>
      <c r="AW74" s="198"/>
      <c r="AX74" s="198"/>
    </row>
    <row r="75" spans="2:50" ht="17.25" customHeight="1" x14ac:dyDescent="0.2">
      <c r="B75" s="6"/>
      <c r="C75" s="49" t="str">
        <f>IF(SEM!C75="","",SEM!C75)</f>
        <v/>
      </c>
      <c r="D75" s="220" t="str">
        <f>IF(C75="","",VLOOKUP(SEM!C75,FROTA!$B$5:$C$305,2,0))</f>
        <v/>
      </c>
      <c r="E75" s="24" t="str">
        <f>IF(C75="","",VLOOKUP(C75,FROTA!$B$5:$N$305,7,0))</f>
        <v/>
      </c>
      <c r="F75" s="38" t="str">
        <f t="shared" si="25"/>
        <v/>
      </c>
      <c r="G75" s="71" t="str">
        <f t="shared" si="30"/>
        <v/>
      </c>
      <c r="H75" s="32" t="str">
        <f t="shared" si="21"/>
        <v/>
      </c>
      <c r="I75" s="73" t="str">
        <f t="shared" si="21"/>
        <v/>
      </c>
      <c r="J75" s="73" t="str">
        <f t="shared" si="21"/>
        <v/>
      </c>
      <c r="K75" s="73" t="str">
        <f t="shared" si="23"/>
        <v/>
      </c>
      <c r="L75" s="73" t="str">
        <f t="shared" si="23"/>
        <v/>
      </c>
      <c r="M75" s="73" t="str">
        <f t="shared" si="23"/>
        <v/>
      </c>
      <c r="N75" s="73" t="str">
        <f t="shared" si="23"/>
        <v/>
      </c>
      <c r="O75" s="73" t="str">
        <f t="shared" si="23"/>
        <v/>
      </c>
      <c r="P75" s="73" t="str">
        <f t="shared" si="23"/>
        <v/>
      </c>
      <c r="Q75" s="73" t="str">
        <f t="shared" si="23"/>
        <v/>
      </c>
      <c r="R75" s="73" t="str">
        <f t="shared" si="24"/>
        <v/>
      </c>
      <c r="S75" s="73" t="str">
        <f t="shared" si="24"/>
        <v/>
      </c>
      <c r="T75" s="73" t="str">
        <f t="shared" si="24"/>
        <v/>
      </c>
      <c r="U75" s="73" t="str">
        <f t="shared" si="24"/>
        <v/>
      </c>
      <c r="V75" s="73" t="str">
        <f t="shared" si="24"/>
        <v/>
      </c>
      <c r="W75" s="73" t="str">
        <f t="shared" si="24"/>
        <v/>
      </c>
      <c r="X75" s="73" t="str">
        <f t="shared" si="24"/>
        <v/>
      </c>
      <c r="Y75" s="73" t="str">
        <f t="shared" si="24"/>
        <v/>
      </c>
      <c r="Z75" s="73" t="str">
        <f t="shared" si="24"/>
        <v/>
      </c>
      <c r="AA75" s="73" t="str">
        <f t="shared" si="24"/>
        <v/>
      </c>
      <c r="AB75" s="74" t="str">
        <f t="shared" si="24"/>
        <v/>
      </c>
      <c r="AC75" s="35" t="str">
        <f t="shared" si="14"/>
        <v/>
      </c>
      <c r="AD75" s="40" t="str">
        <f t="shared" si="15"/>
        <v/>
      </c>
      <c r="AE75" s="37" t="str">
        <f t="shared" si="16"/>
        <v/>
      </c>
      <c r="AF75" s="40" t="str">
        <f t="shared" si="26"/>
        <v/>
      </c>
      <c r="AG75" s="37" t="str">
        <f t="shared" si="27"/>
        <v/>
      </c>
      <c r="AH75" s="40" t="str">
        <f t="shared" si="28"/>
        <v/>
      </c>
      <c r="AI75" s="37" t="str">
        <f t="shared" si="17"/>
        <v/>
      </c>
      <c r="AJ75" s="40" t="str">
        <f t="shared" si="18"/>
        <v/>
      </c>
      <c r="AK75" s="33" t="str">
        <f>IF(SEM!AK75="","",SEM!AK75)</f>
        <v/>
      </c>
      <c r="AL75" s="6"/>
      <c r="AM75" s="79" t="str">
        <f t="shared" si="29"/>
        <v/>
      </c>
      <c r="AN75" s="12"/>
      <c r="AO75" s="12"/>
      <c r="AP75" s="14"/>
      <c r="AQ75" s="16"/>
      <c r="AR75" s="15"/>
      <c r="AU75" s="198"/>
      <c r="AV75" s="198"/>
      <c r="AW75" s="198"/>
      <c r="AX75" s="198"/>
    </row>
    <row r="76" spans="2:50" ht="17.25" customHeight="1" x14ac:dyDescent="0.2">
      <c r="B76" s="6"/>
      <c r="C76" s="49" t="str">
        <f>IF(SEM!C76="","",SEM!C76)</f>
        <v/>
      </c>
      <c r="D76" s="220" t="str">
        <f>IF(C76="","",VLOOKUP(SEM!C76,FROTA!$B$5:$C$305,2,0))</f>
        <v/>
      </c>
      <c r="E76" s="24" t="str">
        <f>IF(C76="","",VLOOKUP(C76,FROTA!$B$5:$N$305,7,0))</f>
        <v/>
      </c>
      <c r="F76" s="38" t="str">
        <f t="shared" si="25"/>
        <v/>
      </c>
      <c r="G76" s="71" t="str">
        <f t="shared" si="30"/>
        <v/>
      </c>
      <c r="H76" s="32" t="str">
        <f t="shared" si="21"/>
        <v/>
      </c>
      <c r="I76" s="73" t="str">
        <f t="shared" si="21"/>
        <v/>
      </c>
      <c r="J76" s="73" t="str">
        <f t="shared" si="21"/>
        <v/>
      </c>
      <c r="K76" s="73" t="str">
        <f t="shared" si="23"/>
        <v/>
      </c>
      <c r="L76" s="73" t="str">
        <f t="shared" si="23"/>
        <v/>
      </c>
      <c r="M76" s="73" t="str">
        <f t="shared" si="23"/>
        <v/>
      </c>
      <c r="N76" s="73" t="str">
        <f t="shared" si="23"/>
        <v/>
      </c>
      <c r="O76" s="73" t="str">
        <f t="shared" si="23"/>
        <v/>
      </c>
      <c r="P76" s="73" t="str">
        <f t="shared" si="23"/>
        <v/>
      </c>
      <c r="Q76" s="73" t="str">
        <f t="shared" si="23"/>
        <v/>
      </c>
      <c r="R76" s="73" t="str">
        <f t="shared" si="24"/>
        <v/>
      </c>
      <c r="S76" s="73" t="str">
        <f t="shared" si="24"/>
        <v/>
      </c>
      <c r="T76" s="73" t="str">
        <f t="shared" si="24"/>
        <v/>
      </c>
      <c r="U76" s="73" t="str">
        <f t="shared" si="24"/>
        <v/>
      </c>
      <c r="V76" s="73" t="str">
        <f t="shared" si="24"/>
        <v/>
      </c>
      <c r="W76" s="73" t="str">
        <f t="shared" si="24"/>
        <v/>
      </c>
      <c r="X76" s="73" t="str">
        <f t="shared" si="24"/>
        <v/>
      </c>
      <c r="Y76" s="73" t="str">
        <f t="shared" si="24"/>
        <v/>
      </c>
      <c r="Z76" s="73" t="str">
        <f t="shared" si="24"/>
        <v/>
      </c>
      <c r="AA76" s="73" t="str">
        <f t="shared" si="24"/>
        <v/>
      </c>
      <c r="AB76" s="74" t="str">
        <f t="shared" si="24"/>
        <v/>
      </c>
      <c r="AC76" s="35" t="str">
        <f t="shared" si="14"/>
        <v/>
      </c>
      <c r="AD76" s="40" t="str">
        <f t="shared" si="15"/>
        <v/>
      </c>
      <c r="AE76" s="37" t="str">
        <f t="shared" si="16"/>
        <v/>
      </c>
      <c r="AF76" s="40" t="str">
        <f t="shared" si="26"/>
        <v/>
      </c>
      <c r="AG76" s="37" t="str">
        <f t="shared" si="27"/>
        <v/>
      </c>
      <c r="AH76" s="40" t="str">
        <f t="shared" si="28"/>
        <v/>
      </c>
      <c r="AI76" s="37" t="str">
        <f t="shared" si="17"/>
        <v/>
      </c>
      <c r="AJ76" s="40" t="str">
        <f t="shared" si="18"/>
        <v/>
      </c>
      <c r="AK76" s="33" t="str">
        <f>IF(SEM!AK76="","",SEM!AK76)</f>
        <v/>
      </c>
      <c r="AL76" s="6"/>
      <c r="AM76" s="79" t="str">
        <f t="shared" si="29"/>
        <v/>
      </c>
      <c r="AN76" s="12"/>
      <c r="AO76" s="12"/>
      <c r="AP76" s="14"/>
      <c r="AQ76" s="16"/>
      <c r="AR76" s="15"/>
      <c r="AU76" s="198"/>
      <c r="AV76" s="198"/>
      <c r="AW76" s="198"/>
      <c r="AX76" s="198"/>
    </row>
    <row r="77" spans="2:50" ht="17.25" customHeight="1" x14ac:dyDescent="0.2">
      <c r="B77" s="6"/>
      <c r="C77" s="49" t="str">
        <f>IF(SEM!C77="","",SEM!C77)</f>
        <v/>
      </c>
      <c r="D77" s="220" t="str">
        <f>IF(C77="","",VLOOKUP(SEM!C77,FROTA!$B$5:$C$305,2,0))</f>
        <v/>
      </c>
      <c r="E77" s="24" t="str">
        <f>IF(C77="","",VLOOKUP(C77,FROTA!$B$5:$N$305,7,0))</f>
        <v/>
      </c>
      <c r="F77" s="38" t="str">
        <f t="shared" si="25"/>
        <v/>
      </c>
      <c r="G77" s="71" t="str">
        <f t="shared" si="30"/>
        <v/>
      </c>
      <c r="H77" s="32" t="str">
        <f t="shared" si="21"/>
        <v/>
      </c>
      <c r="I77" s="73" t="str">
        <f t="shared" si="21"/>
        <v/>
      </c>
      <c r="J77" s="73" t="str">
        <f t="shared" si="21"/>
        <v/>
      </c>
      <c r="K77" s="73" t="str">
        <f t="shared" si="23"/>
        <v/>
      </c>
      <c r="L77" s="73" t="str">
        <f t="shared" si="23"/>
        <v/>
      </c>
      <c r="M77" s="73" t="str">
        <f t="shared" si="23"/>
        <v/>
      </c>
      <c r="N77" s="73" t="str">
        <f t="shared" si="23"/>
        <v/>
      </c>
      <c r="O77" s="73" t="str">
        <f t="shared" si="23"/>
        <v/>
      </c>
      <c r="P77" s="73" t="str">
        <f t="shared" si="23"/>
        <v/>
      </c>
      <c r="Q77" s="73" t="str">
        <f t="shared" si="23"/>
        <v/>
      </c>
      <c r="R77" s="73" t="str">
        <f t="shared" si="24"/>
        <v/>
      </c>
      <c r="S77" s="73" t="str">
        <f t="shared" si="24"/>
        <v/>
      </c>
      <c r="T77" s="73" t="str">
        <f t="shared" si="24"/>
        <v/>
      </c>
      <c r="U77" s="73" t="str">
        <f t="shared" si="24"/>
        <v/>
      </c>
      <c r="V77" s="73" t="str">
        <f t="shared" si="24"/>
        <v/>
      </c>
      <c r="W77" s="73" t="str">
        <f t="shared" si="24"/>
        <v/>
      </c>
      <c r="X77" s="73" t="str">
        <f t="shared" si="24"/>
        <v/>
      </c>
      <c r="Y77" s="73" t="str">
        <f t="shared" si="24"/>
        <v/>
      </c>
      <c r="Z77" s="73" t="str">
        <f t="shared" si="24"/>
        <v/>
      </c>
      <c r="AA77" s="73" t="str">
        <f t="shared" si="24"/>
        <v/>
      </c>
      <c r="AB77" s="74" t="str">
        <f t="shared" si="24"/>
        <v/>
      </c>
      <c r="AC77" s="35" t="str">
        <f t="shared" si="14"/>
        <v/>
      </c>
      <c r="AD77" s="40" t="str">
        <f t="shared" si="15"/>
        <v/>
      </c>
      <c r="AE77" s="37" t="str">
        <f t="shared" si="16"/>
        <v/>
      </c>
      <c r="AF77" s="40" t="str">
        <f t="shared" si="26"/>
        <v/>
      </c>
      <c r="AG77" s="37" t="str">
        <f t="shared" si="27"/>
        <v/>
      </c>
      <c r="AH77" s="40" t="str">
        <f t="shared" si="28"/>
        <v/>
      </c>
      <c r="AI77" s="37" t="str">
        <f t="shared" si="17"/>
        <v/>
      </c>
      <c r="AJ77" s="40" t="str">
        <f t="shared" si="18"/>
        <v/>
      </c>
      <c r="AK77" s="33" t="str">
        <f>IF(SEM!AK77="","",SEM!AK77)</f>
        <v/>
      </c>
      <c r="AL77" s="6"/>
      <c r="AM77" s="79" t="str">
        <f t="shared" si="29"/>
        <v/>
      </c>
      <c r="AN77" s="12"/>
      <c r="AO77" s="12"/>
      <c r="AP77" s="14"/>
      <c r="AQ77" s="16"/>
      <c r="AR77" s="15"/>
      <c r="AU77" s="198"/>
      <c r="AV77" s="198"/>
      <c r="AW77" s="198"/>
      <c r="AX77" s="198"/>
    </row>
    <row r="78" spans="2:50" ht="17.25" customHeight="1" x14ac:dyDescent="0.2">
      <c r="B78" s="6"/>
      <c r="C78" s="49" t="str">
        <f>IF(SEM!C78="","",SEM!C78)</f>
        <v/>
      </c>
      <c r="D78" s="220" t="str">
        <f>IF(C78="","",VLOOKUP(SEM!C78,FROTA!$B$5:$C$305,2,0))</f>
        <v/>
      </c>
      <c r="E78" s="24" t="str">
        <f>IF(C78="","",VLOOKUP(C78,FROTA!$B$5:$N$305,7,0))</f>
        <v/>
      </c>
      <c r="F78" s="38" t="str">
        <f t="shared" si="25"/>
        <v/>
      </c>
      <c r="G78" s="71" t="str">
        <f t="shared" si="30"/>
        <v/>
      </c>
      <c r="H78" s="32" t="str">
        <f t="shared" si="21"/>
        <v/>
      </c>
      <c r="I78" s="73" t="str">
        <f t="shared" si="21"/>
        <v/>
      </c>
      <c r="J78" s="73" t="str">
        <f t="shared" si="21"/>
        <v/>
      </c>
      <c r="K78" s="73" t="str">
        <f t="shared" si="23"/>
        <v/>
      </c>
      <c r="L78" s="73" t="str">
        <f t="shared" si="23"/>
        <v/>
      </c>
      <c r="M78" s="73" t="str">
        <f t="shared" si="23"/>
        <v/>
      </c>
      <c r="N78" s="73" t="str">
        <f t="shared" si="23"/>
        <v/>
      </c>
      <c r="O78" s="73" t="str">
        <f t="shared" si="23"/>
        <v/>
      </c>
      <c r="P78" s="73" t="str">
        <f t="shared" si="23"/>
        <v/>
      </c>
      <c r="Q78" s="73" t="str">
        <f t="shared" si="23"/>
        <v/>
      </c>
      <c r="R78" s="73" t="str">
        <f t="shared" si="24"/>
        <v/>
      </c>
      <c r="S78" s="73" t="str">
        <f t="shared" si="24"/>
        <v/>
      </c>
      <c r="T78" s="73" t="str">
        <f t="shared" si="24"/>
        <v/>
      </c>
      <c r="U78" s="73" t="str">
        <f t="shared" si="24"/>
        <v/>
      </c>
      <c r="V78" s="73" t="str">
        <f t="shared" si="24"/>
        <v/>
      </c>
      <c r="W78" s="73" t="str">
        <f t="shared" si="24"/>
        <v/>
      </c>
      <c r="X78" s="73" t="str">
        <f t="shared" si="24"/>
        <v/>
      </c>
      <c r="Y78" s="73" t="str">
        <f t="shared" si="24"/>
        <v/>
      </c>
      <c r="Z78" s="73" t="str">
        <f t="shared" si="24"/>
        <v/>
      </c>
      <c r="AA78" s="73" t="str">
        <f t="shared" si="24"/>
        <v/>
      </c>
      <c r="AB78" s="74" t="str">
        <f t="shared" si="24"/>
        <v/>
      </c>
      <c r="AC78" s="35" t="str">
        <f t="shared" si="14"/>
        <v/>
      </c>
      <c r="AD78" s="40" t="str">
        <f t="shared" si="15"/>
        <v/>
      </c>
      <c r="AE78" s="37" t="str">
        <f t="shared" si="16"/>
        <v/>
      </c>
      <c r="AF78" s="40" t="str">
        <f t="shared" si="26"/>
        <v/>
      </c>
      <c r="AG78" s="37" t="str">
        <f t="shared" si="27"/>
        <v/>
      </c>
      <c r="AH78" s="40" t="str">
        <f t="shared" si="28"/>
        <v/>
      </c>
      <c r="AI78" s="37" t="str">
        <f t="shared" si="17"/>
        <v/>
      </c>
      <c r="AJ78" s="40" t="str">
        <f t="shared" si="18"/>
        <v/>
      </c>
      <c r="AK78" s="33" t="str">
        <f>IF(SEM!AK78="","",SEM!AK78)</f>
        <v/>
      </c>
      <c r="AL78" s="6"/>
      <c r="AM78" s="79" t="str">
        <f t="shared" si="29"/>
        <v/>
      </c>
      <c r="AN78" s="12"/>
      <c r="AO78" s="12"/>
      <c r="AP78" s="14"/>
      <c r="AQ78" s="16"/>
      <c r="AR78" s="15"/>
      <c r="AU78" s="198"/>
      <c r="AV78" s="198"/>
      <c r="AW78" s="198"/>
      <c r="AX78" s="198"/>
    </row>
    <row r="79" spans="2:50" ht="17.25" customHeight="1" x14ac:dyDescent="0.2">
      <c r="B79" s="6"/>
      <c r="C79" s="49" t="str">
        <f>IF(SEM!C79="","",SEM!C79)</f>
        <v/>
      </c>
      <c r="D79" s="220" t="str">
        <f>IF(C79="","",VLOOKUP(SEM!C79,FROTA!$B$5:$C$305,2,0))</f>
        <v/>
      </c>
      <c r="E79" s="24" t="str">
        <f>IF(C79="","",VLOOKUP(C79,FROTA!$B$5:$N$305,7,0))</f>
        <v/>
      </c>
      <c r="F79" s="38" t="str">
        <f t="shared" si="25"/>
        <v/>
      </c>
      <c r="G79" s="71" t="str">
        <f t="shared" si="30"/>
        <v/>
      </c>
      <c r="H79" s="32" t="str">
        <f t="shared" si="21"/>
        <v/>
      </c>
      <c r="I79" s="73" t="str">
        <f t="shared" si="21"/>
        <v/>
      </c>
      <c r="J79" s="73" t="str">
        <f t="shared" si="21"/>
        <v/>
      </c>
      <c r="K79" s="73" t="str">
        <f t="shared" si="23"/>
        <v/>
      </c>
      <c r="L79" s="73" t="str">
        <f t="shared" si="23"/>
        <v/>
      </c>
      <c r="M79" s="73" t="str">
        <f t="shared" si="23"/>
        <v/>
      </c>
      <c r="N79" s="73" t="str">
        <f t="shared" si="23"/>
        <v/>
      </c>
      <c r="O79" s="73" t="str">
        <f t="shared" si="23"/>
        <v/>
      </c>
      <c r="P79" s="73" t="str">
        <f t="shared" si="23"/>
        <v/>
      </c>
      <c r="Q79" s="73" t="str">
        <f t="shared" si="23"/>
        <v/>
      </c>
      <c r="R79" s="73" t="str">
        <f t="shared" si="24"/>
        <v/>
      </c>
      <c r="S79" s="73" t="str">
        <f t="shared" si="24"/>
        <v/>
      </c>
      <c r="T79" s="73" t="str">
        <f t="shared" si="24"/>
        <v/>
      </c>
      <c r="U79" s="73" t="str">
        <f t="shared" si="24"/>
        <v/>
      </c>
      <c r="V79" s="73" t="str">
        <f t="shared" si="24"/>
        <v/>
      </c>
      <c r="W79" s="73" t="str">
        <f t="shared" si="24"/>
        <v/>
      </c>
      <c r="X79" s="73" t="str">
        <f t="shared" si="24"/>
        <v/>
      </c>
      <c r="Y79" s="73" t="str">
        <f t="shared" si="24"/>
        <v/>
      </c>
      <c r="Z79" s="73" t="str">
        <f t="shared" si="24"/>
        <v/>
      </c>
      <c r="AA79" s="73" t="str">
        <f t="shared" si="24"/>
        <v/>
      </c>
      <c r="AB79" s="74" t="str">
        <f t="shared" si="24"/>
        <v/>
      </c>
      <c r="AC79" s="35" t="str">
        <f t="shared" si="14"/>
        <v/>
      </c>
      <c r="AD79" s="40" t="str">
        <f t="shared" si="15"/>
        <v/>
      </c>
      <c r="AE79" s="37" t="str">
        <f t="shared" si="16"/>
        <v/>
      </c>
      <c r="AF79" s="40" t="str">
        <f t="shared" si="26"/>
        <v/>
      </c>
      <c r="AG79" s="37" t="str">
        <f t="shared" si="27"/>
        <v/>
      </c>
      <c r="AH79" s="40" t="str">
        <f t="shared" si="28"/>
        <v/>
      </c>
      <c r="AI79" s="37" t="str">
        <f t="shared" si="17"/>
        <v/>
      </c>
      <c r="AJ79" s="40" t="str">
        <f t="shared" si="18"/>
        <v/>
      </c>
      <c r="AK79" s="33" t="str">
        <f>IF(SEM!AK79="","",SEM!AK79)</f>
        <v/>
      </c>
      <c r="AL79" s="6"/>
      <c r="AM79" s="79" t="str">
        <f t="shared" si="29"/>
        <v/>
      </c>
      <c r="AN79" s="12"/>
      <c r="AO79" s="12"/>
      <c r="AP79" s="14"/>
      <c r="AQ79" s="16"/>
      <c r="AR79" s="15"/>
      <c r="AU79" s="198"/>
      <c r="AV79" s="198"/>
      <c r="AW79" s="198"/>
      <c r="AX79" s="198"/>
    </row>
    <row r="80" spans="2:50" ht="17.25" customHeight="1" x14ac:dyDescent="0.2">
      <c r="B80" s="6"/>
      <c r="C80" s="49" t="str">
        <f>IF(SEM!C80="","",SEM!C80)</f>
        <v/>
      </c>
      <c r="D80" s="220" t="str">
        <f>IF(C80="","",VLOOKUP(SEM!C80,FROTA!$B$5:$C$305,2,0))</f>
        <v/>
      </c>
      <c r="E80" s="24" t="str">
        <f>IF(C80="","",VLOOKUP(C80,FROTA!$B$5:$N$305,7,0))</f>
        <v/>
      </c>
      <c r="F80" s="38" t="str">
        <f t="shared" si="25"/>
        <v/>
      </c>
      <c r="G80" s="71" t="str">
        <f t="shared" si="30"/>
        <v/>
      </c>
      <c r="H80" s="32" t="str">
        <f t="shared" si="21"/>
        <v/>
      </c>
      <c r="I80" s="73" t="str">
        <f t="shared" si="21"/>
        <v/>
      </c>
      <c r="J80" s="73" t="str">
        <f t="shared" si="21"/>
        <v/>
      </c>
      <c r="K80" s="73" t="str">
        <f t="shared" si="23"/>
        <v/>
      </c>
      <c r="L80" s="73" t="str">
        <f t="shared" si="23"/>
        <v/>
      </c>
      <c r="M80" s="73" t="str">
        <f t="shared" si="23"/>
        <v/>
      </c>
      <c r="N80" s="73" t="str">
        <f t="shared" si="23"/>
        <v/>
      </c>
      <c r="O80" s="73" t="str">
        <f t="shared" si="23"/>
        <v/>
      </c>
      <c r="P80" s="73" t="str">
        <f t="shared" si="23"/>
        <v/>
      </c>
      <c r="Q80" s="73" t="str">
        <f t="shared" si="23"/>
        <v/>
      </c>
      <c r="R80" s="73" t="str">
        <f t="shared" si="24"/>
        <v/>
      </c>
      <c r="S80" s="73" t="str">
        <f t="shared" si="24"/>
        <v/>
      </c>
      <c r="T80" s="73" t="str">
        <f t="shared" si="24"/>
        <v/>
      </c>
      <c r="U80" s="73" t="str">
        <f t="shared" si="24"/>
        <v/>
      </c>
      <c r="V80" s="73" t="str">
        <f t="shared" si="24"/>
        <v/>
      </c>
      <c r="W80" s="73" t="str">
        <f t="shared" si="24"/>
        <v/>
      </c>
      <c r="X80" s="73" t="str">
        <f t="shared" si="24"/>
        <v/>
      </c>
      <c r="Y80" s="73" t="str">
        <f t="shared" si="24"/>
        <v/>
      </c>
      <c r="Z80" s="73" t="str">
        <f t="shared" si="24"/>
        <v/>
      </c>
      <c r="AA80" s="73" t="str">
        <f t="shared" si="24"/>
        <v/>
      </c>
      <c r="AB80" s="74" t="str">
        <f t="shared" si="24"/>
        <v/>
      </c>
      <c r="AC80" s="35" t="str">
        <f t="shared" ref="AC80:AC143" si="31">IF(C80="","",SUM(H80:AB80)*AK80)</f>
        <v/>
      </c>
      <c r="AD80" s="40" t="str">
        <f t="shared" ref="AD80:AD143" si="32">IF(C80="","",SUM(H80:AB80))</f>
        <v/>
      </c>
      <c r="AE80" s="37" t="str">
        <f t="shared" ref="AE80:AE143" si="33">IF(C80="","",SUM(H80:R80)*AK80)</f>
        <v/>
      </c>
      <c r="AF80" s="40" t="str">
        <f t="shared" si="26"/>
        <v/>
      </c>
      <c r="AG80" s="37" t="str">
        <f t="shared" si="27"/>
        <v/>
      </c>
      <c r="AH80" s="40" t="str">
        <f t="shared" si="28"/>
        <v/>
      </c>
      <c r="AI80" s="37" t="str">
        <f t="shared" ref="AI80:AI143" si="34">IF(C80="","",SUM(J80:M80,T80:W80)*AK80)</f>
        <v/>
      </c>
      <c r="AJ80" s="40" t="str">
        <f t="shared" ref="AJ80:AJ143" si="35">IF(C80="","",SUM(J80:M80,T80:W80))</f>
        <v/>
      </c>
      <c r="AK80" s="33" t="str">
        <f>IF(SEM!AK80="","",SEM!AK80)</f>
        <v/>
      </c>
      <c r="AL80" s="6"/>
      <c r="AM80" s="79" t="str">
        <f t="shared" si="29"/>
        <v/>
      </c>
      <c r="AN80" s="12"/>
      <c r="AO80" s="12"/>
      <c r="AP80" s="14"/>
      <c r="AQ80" s="16"/>
      <c r="AR80" s="15"/>
      <c r="AU80" s="198"/>
      <c r="AV80" s="198"/>
      <c r="AW80" s="198"/>
      <c r="AX80" s="198"/>
    </row>
    <row r="81" spans="2:50" ht="17.25" customHeight="1" x14ac:dyDescent="0.2">
      <c r="B81" s="6"/>
      <c r="C81" s="49" t="str">
        <f>IF(SEM!C81="","",SEM!C81)</f>
        <v/>
      </c>
      <c r="D81" s="220" t="str">
        <f>IF(C81="","",VLOOKUP(SEM!C81,FROTA!$B$5:$C$305,2,0))</f>
        <v/>
      </c>
      <c r="E81" s="24" t="str">
        <f>IF(C81="","",VLOOKUP(C81,FROTA!$B$5:$N$305,7,0))</f>
        <v/>
      </c>
      <c r="F81" s="38" t="str">
        <f t="shared" si="25"/>
        <v/>
      </c>
      <c r="G81" s="71" t="str">
        <f t="shared" si="30"/>
        <v/>
      </c>
      <c r="H81" s="32" t="str">
        <f t="shared" si="21"/>
        <v/>
      </c>
      <c r="I81" s="73" t="str">
        <f t="shared" si="21"/>
        <v/>
      </c>
      <c r="J81" s="73" t="str">
        <f t="shared" si="21"/>
        <v/>
      </c>
      <c r="K81" s="73" t="str">
        <f t="shared" si="23"/>
        <v/>
      </c>
      <c r="L81" s="73" t="str">
        <f t="shared" si="23"/>
        <v/>
      </c>
      <c r="M81" s="73" t="str">
        <f t="shared" si="23"/>
        <v/>
      </c>
      <c r="N81" s="73" t="str">
        <f t="shared" si="23"/>
        <v/>
      </c>
      <c r="O81" s="73" t="str">
        <f t="shared" si="23"/>
        <v/>
      </c>
      <c r="P81" s="73" t="str">
        <f t="shared" si="23"/>
        <v/>
      </c>
      <c r="Q81" s="73" t="str">
        <f t="shared" si="23"/>
        <v/>
      </c>
      <c r="R81" s="73" t="str">
        <f t="shared" si="24"/>
        <v/>
      </c>
      <c r="S81" s="73" t="str">
        <f t="shared" si="24"/>
        <v/>
      </c>
      <c r="T81" s="73" t="str">
        <f t="shared" si="24"/>
        <v/>
      </c>
      <c r="U81" s="73" t="str">
        <f t="shared" si="24"/>
        <v/>
      </c>
      <c r="V81" s="73" t="str">
        <f t="shared" si="24"/>
        <v/>
      </c>
      <c r="W81" s="73" t="str">
        <f t="shared" si="24"/>
        <v/>
      </c>
      <c r="X81" s="73" t="str">
        <f t="shared" si="24"/>
        <v/>
      </c>
      <c r="Y81" s="73" t="str">
        <f t="shared" si="24"/>
        <v/>
      </c>
      <c r="Z81" s="73" t="str">
        <f t="shared" si="24"/>
        <v/>
      </c>
      <c r="AA81" s="73" t="str">
        <f t="shared" si="24"/>
        <v/>
      </c>
      <c r="AB81" s="74" t="str">
        <f t="shared" si="24"/>
        <v/>
      </c>
      <c r="AC81" s="35" t="str">
        <f t="shared" si="31"/>
        <v/>
      </c>
      <c r="AD81" s="40" t="str">
        <f t="shared" si="32"/>
        <v/>
      </c>
      <c r="AE81" s="37" t="str">
        <f t="shared" si="33"/>
        <v/>
      </c>
      <c r="AF81" s="40" t="str">
        <f t="shared" si="26"/>
        <v/>
      </c>
      <c r="AG81" s="37" t="str">
        <f t="shared" si="27"/>
        <v/>
      </c>
      <c r="AH81" s="40" t="str">
        <f t="shared" si="28"/>
        <v/>
      </c>
      <c r="AI81" s="37" t="str">
        <f t="shared" si="34"/>
        <v/>
      </c>
      <c r="AJ81" s="40" t="str">
        <f t="shared" si="35"/>
        <v/>
      </c>
      <c r="AK81" s="33" t="str">
        <f>IF(SEM!AK81="","",SEM!AK81)</f>
        <v/>
      </c>
      <c r="AL81" s="6"/>
      <c r="AM81" s="79" t="str">
        <f t="shared" si="29"/>
        <v/>
      </c>
      <c r="AN81" s="12"/>
      <c r="AO81" s="12"/>
      <c r="AP81" s="14"/>
      <c r="AQ81" s="16"/>
      <c r="AR81" s="15"/>
      <c r="AU81" s="198"/>
      <c r="AV81" s="198"/>
      <c r="AW81" s="198"/>
      <c r="AX81" s="198"/>
    </row>
    <row r="82" spans="2:50" ht="17.25" customHeight="1" x14ac:dyDescent="0.2">
      <c r="B82" s="6"/>
      <c r="C82" s="49" t="str">
        <f>IF(SEM!C82="","",SEM!C82)</f>
        <v/>
      </c>
      <c r="D82" s="220" t="str">
        <f>IF(C82="","",VLOOKUP(SEM!C82,FROTA!$B$5:$C$305,2,0))</f>
        <v/>
      </c>
      <c r="E82" s="24" t="str">
        <f>IF(C82="","",VLOOKUP(C82,FROTA!$B$5:$N$305,7,0))</f>
        <v/>
      </c>
      <c r="F82" s="38" t="str">
        <f t="shared" si="25"/>
        <v/>
      </c>
      <c r="G82" s="71" t="str">
        <f t="shared" si="30"/>
        <v/>
      </c>
      <c r="H82" s="32" t="str">
        <f t="shared" si="21"/>
        <v/>
      </c>
      <c r="I82" s="73" t="str">
        <f t="shared" si="21"/>
        <v/>
      </c>
      <c r="J82" s="73" t="str">
        <f t="shared" si="21"/>
        <v/>
      </c>
      <c r="K82" s="73" t="str">
        <f t="shared" si="23"/>
        <v/>
      </c>
      <c r="L82" s="73" t="str">
        <f t="shared" si="23"/>
        <v/>
      </c>
      <c r="M82" s="73" t="str">
        <f t="shared" si="23"/>
        <v/>
      </c>
      <c r="N82" s="73" t="str">
        <f t="shared" si="23"/>
        <v/>
      </c>
      <c r="O82" s="73" t="str">
        <f t="shared" si="23"/>
        <v/>
      </c>
      <c r="P82" s="73" t="str">
        <f t="shared" si="23"/>
        <v/>
      </c>
      <c r="Q82" s="73" t="str">
        <f t="shared" si="23"/>
        <v/>
      </c>
      <c r="R82" s="73" t="str">
        <f t="shared" si="24"/>
        <v/>
      </c>
      <c r="S82" s="73" t="str">
        <f t="shared" si="24"/>
        <v/>
      </c>
      <c r="T82" s="73" t="str">
        <f t="shared" si="24"/>
        <v/>
      </c>
      <c r="U82" s="73" t="str">
        <f t="shared" si="24"/>
        <v/>
      </c>
      <c r="V82" s="73" t="str">
        <f t="shared" si="24"/>
        <v/>
      </c>
      <c r="W82" s="73" t="str">
        <f t="shared" si="24"/>
        <v/>
      </c>
      <c r="X82" s="73" t="str">
        <f t="shared" si="24"/>
        <v/>
      </c>
      <c r="Y82" s="73" t="str">
        <f t="shared" si="24"/>
        <v/>
      </c>
      <c r="Z82" s="73" t="str">
        <f t="shared" si="24"/>
        <v/>
      </c>
      <c r="AA82" s="73" t="str">
        <f t="shared" si="24"/>
        <v/>
      </c>
      <c r="AB82" s="74" t="str">
        <f t="shared" si="24"/>
        <v/>
      </c>
      <c r="AC82" s="35" t="str">
        <f t="shared" si="31"/>
        <v/>
      </c>
      <c r="AD82" s="40" t="str">
        <f t="shared" si="32"/>
        <v/>
      </c>
      <c r="AE82" s="37" t="str">
        <f t="shared" si="33"/>
        <v/>
      </c>
      <c r="AF82" s="40" t="str">
        <f t="shared" si="26"/>
        <v/>
      </c>
      <c r="AG82" s="37" t="str">
        <f t="shared" si="27"/>
        <v/>
      </c>
      <c r="AH82" s="40" t="str">
        <f t="shared" si="28"/>
        <v/>
      </c>
      <c r="AI82" s="37" t="str">
        <f t="shared" si="34"/>
        <v/>
      </c>
      <c r="AJ82" s="40" t="str">
        <f t="shared" si="35"/>
        <v/>
      </c>
      <c r="AK82" s="33" t="str">
        <f>IF(SEM!AK82="","",SEM!AK82)</f>
        <v/>
      </c>
      <c r="AL82" s="6"/>
      <c r="AM82" s="79" t="str">
        <f t="shared" si="29"/>
        <v/>
      </c>
      <c r="AN82" s="12"/>
      <c r="AO82" s="12"/>
      <c r="AP82" s="14"/>
      <c r="AQ82" s="16"/>
      <c r="AR82" s="15"/>
      <c r="AU82" s="198"/>
      <c r="AV82" s="198"/>
      <c r="AW82" s="198"/>
      <c r="AX82" s="198"/>
    </row>
    <row r="83" spans="2:50" ht="17.25" customHeight="1" x14ac:dyDescent="0.2">
      <c r="B83" s="6"/>
      <c r="C83" s="49" t="str">
        <f>IF(SEM!C83="","",SEM!C83)</f>
        <v/>
      </c>
      <c r="D83" s="220" t="str">
        <f>IF(C83="","",VLOOKUP(SEM!C83,FROTA!$B$5:$C$305,2,0))</f>
        <v/>
      </c>
      <c r="E83" s="24" t="str">
        <f>IF(C83="","",VLOOKUP(C83,FROTA!$B$5:$N$305,7,0))</f>
        <v/>
      </c>
      <c r="F83" s="38" t="str">
        <f t="shared" si="25"/>
        <v/>
      </c>
      <c r="G83" s="71" t="str">
        <f t="shared" si="30"/>
        <v/>
      </c>
      <c r="H83" s="32" t="str">
        <f t="shared" si="21"/>
        <v/>
      </c>
      <c r="I83" s="73" t="str">
        <f t="shared" si="21"/>
        <v/>
      </c>
      <c r="J83" s="73" t="str">
        <f t="shared" si="21"/>
        <v/>
      </c>
      <c r="K83" s="73" t="str">
        <f t="shared" si="23"/>
        <v/>
      </c>
      <c r="L83" s="73" t="str">
        <f t="shared" si="23"/>
        <v/>
      </c>
      <c r="M83" s="73" t="str">
        <f t="shared" si="23"/>
        <v/>
      </c>
      <c r="N83" s="73" t="str">
        <f t="shared" si="23"/>
        <v/>
      </c>
      <c r="O83" s="73" t="str">
        <f t="shared" si="23"/>
        <v/>
      </c>
      <c r="P83" s="73" t="str">
        <f t="shared" si="23"/>
        <v/>
      </c>
      <c r="Q83" s="73" t="str">
        <f t="shared" si="23"/>
        <v/>
      </c>
      <c r="R83" s="73" t="str">
        <f t="shared" si="24"/>
        <v/>
      </c>
      <c r="S83" s="73" t="str">
        <f t="shared" si="24"/>
        <v/>
      </c>
      <c r="T83" s="73" t="str">
        <f t="shared" si="24"/>
        <v/>
      </c>
      <c r="U83" s="73" t="str">
        <f t="shared" si="24"/>
        <v/>
      </c>
      <c r="V83" s="73" t="str">
        <f t="shared" si="24"/>
        <v/>
      </c>
      <c r="W83" s="73" t="str">
        <f t="shared" si="24"/>
        <v/>
      </c>
      <c r="X83" s="73" t="str">
        <f t="shared" si="24"/>
        <v/>
      </c>
      <c r="Y83" s="73" t="str">
        <f t="shared" si="24"/>
        <v/>
      </c>
      <c r="Z83" s="73" t="str">
        <f t="shared" si="24"/>
        <v/>
      </c>
      <c r="AA83" s="73" t="str">
        <f t="shared" si="24"/>
        <v/>
      </c>
      <c r="AB83" s="74" t="str">
        <f t="shared" si="24"/>
        <v/>
      </c>
      <c r="AC83" s="35" t="str">
        <f t="shared" si="31"/>
        <v/>
      </c>
      <c r="AD83" s="40" t="str">
        <f t="shared" si="32"/>
        <v/>
      </c>
      <c r="AE83" s="37" t="str">
        <f t="shared" si="33"/>
        <v/>
      </c>
      <c r="AF83" s="40" t="str">
        <f t="shared" si="26"/>
        <v/>
      </c>
      <c r="AG83" s="37" t="str">
        <f t="shared" si="27"/>
        <v/>
      </c>
      <c r="AH83" s="40" t="str">
        <f t="shared" si="28"/>
        <v/>
      </c>
      <c r="AI83" s="37" t="str">
        <f t="shared" si="34"/>
        <v/>
      </c>
      <c r="AJ83" s="40" t="str">
        <f t="shared" si="35"/>
        <v/>
      </c>
      <c r="AK83" s="33" t="str">
        <f>IF(SEM!AK83="","",SEM!AK83)</f>
        <v/>
      </c>
      <c r="AL83" s="6"/>
      <c r="AM83" s="79" t="str">
        <f t="shared" si="29"/>
        <v/>
      </c>
      <c r="AN83" s="12"/>
      <c r="AO83" s="12"/>
      <c r="AP83" s="14"/>
      <c r="AQ83" s="16"/>
      <c r="AR83" s="15"/>
      <c r="AU83" s="198"/>
      <c r="AV83" s="198"/>
      <c r="AW83" s="198"/>
      <c r="AX83" s="198"/>
    </row>
    <row r="84" spans="2:50" ht="17.25" customHeight="1" x14ac:dyDescent="0.2">
      <c r="B84" s="6"/>
      <c r="C84" s="49" t="str">
        <f>IF(SEM!C84="","",SEM!C84)</f>
        <v/>
      </c>
      <c r="D84" s="220" t="str">
        <f>IF(C84="","",VLOOKUP(SEM!C84,FROTA!$B$5:$C$305,2,0))</f>
        <v/>
      </c>
      <c r="E84" s="24" t="str">
        <f>IF(C84="","",VLOOKUP(C84,FROTA!$B$5:$N$305,7,0))</f>
        <v/>
      </c>
      <c r="F84" s="38" t="str">
        <f t="shared" si="25"/>
        <v/>
      </c>
      <c r="G84" s="71" t="str">
        <f t="shared" si="30"/>
        <v/>
      </c>
      <c r="H84" s="32" t="str">
        <f t="shared" si="21"/>
        <v/>
      </c>
      <c r="I84" s="73" t="str">
        <f t="shared" si="21"/>
        <v/>
      </c>
      <c r="J84" s="73" t="str">
        <f t="shared" si="21"/>
        <v/>
      </c>
      <c r="K84" s="73" t="str">
        <f t="shared" si="23"/>
        <v/>
      </c>
      <c r="L84" s="73" t="str">
        <f t="shared" si="23"/>
        <v/>
      </c>
      <c r="M84" s="73" t="str">
        <f t="shared" si="23"/>
        <v/>
      </c>
      <c r="N84" s="73" t="str">
        <f t="shared" si="23"/>
        <v/>
      </c>
      <c r="O84" s="73" t="str">
        <f t="shared" si="23"/>
        <v/>
      </c>
      <c r="P84" s="73" t="str">
        <f t="shared" si="23"/>
        <v/>
      </c>
      <c r="Q84" s="73" t="str">
        <f t="shared" si="23"/>
        <v/>
      </c>
      <c r="R84" s="73" t="str">
        <f t="shared" si="24"/>
        <v/>
      </c>
      <c r="S84" s="73" t="str">
        <f t="shared" si="24"/>
        <v/>
      </c>
      <c r="T84" s="73" t="str">
        <f t="shared" si="24"/>
        <v/>
      </c>
      <c r="U84" s="73" t="str">
        <f t="shared" si="24"/>
        <v/>
      </c>
      <c r="V84" s="73" t="str">
        <f t="shared" si="24"/>
        <v/>
      </c>
      <c r="W84" s="73" t="str">
        <f t="shared" si="24"/>
        <v/>
      </c>
      <c r="X84" s="73" t="str">
        <f t="shared" si="24"/>
        <v/>
      </c>
      <c r="Y84" s="73" t="str">
        <f t="shared" si="24"/>
        <v/>
      </c>
      <c r="Z84" s="73" t="str">
        <f t="shared" si="24"/>
        <v/>
      </c>
      <c r="AA84" s="73" t="str">
        <f t="shared" si="24"/>
        <v/>
      </c>
      <c r="AB84" s="74" t="str">
        <f t="shared" si="24"/>
        <v/>
      </c>
      <c r="AC84" s="35" t="str">
        <f t="shared" si="31"/>
        <v/>
      </c>
      <c r="AD84" s="40" t="str">
        <f t="shared" si="32"/>
        <v/>
      </c>
      <c r="AE84" s="37" t="str">
        <f t="shared" si="33"/>
        <v/>
      </c>
      <c r="AF84" s="40" t="str">
        <f t="shared" si="26"/>
        <v/>
      </c>
      <c r="AG84" s="37" t="str">
        <f t="shared" si="27"/>
        <v/>
      </c>
      <c r="AH84" s="40" t="str">
        <f t="shared" si="28"/>
        <v/>
      </c>
      <c r="AI84" s="37" t="str">
        <f t="shared" si="34"/>
        <v/>
      </c>
      <c r="AJ84" s="40" t="str">
        <f t="shared" si="35"/>
        <v/>
      </c>
      <c r="AK84" s="33" t="str">
        <f>IF(SEM!AK84="","",SEM!AK84)</f>
        <v/>
      </c>
      <c r="AL84" s="6"/>
      <c r="AM84" s="79" t="str">
        <f t="shared" si="29"/>
        <v/>
      </c>
      <c r="AN84" s="12"/>
      <c r="AO84" s="12"/>
      <c r="AP84" s="14"/>
      <c r="AQ84" s="16"/>
      <c r="AR84" s="15"/>
      <c r="AU84" s="198"/>
      <c r="AV84" s="198"/>
      <c r="AW84" s="198"/>
      <c r="AX84" s="198"/>
    </row>
    <row r="85" spans="2:50" ht="17.25" customHeight="1" x14ac:dyDescent="0.2">
      <c r="B85" s="6"/>
      <c r="C85" s="49" t="str">
        <f>IF(SEM!C85="","",SEM!C85)</f>
        <v/>
      </c>
      <c r="D85" s="220" t="str">
        <f>IF(C85="","",VLOOKUP(SEM!C85,FROTA!$B$5:$C$305,2,0))</f>
        <v/>
      </c>
      <c r="E85" s="24" t="str">
        <f>IF(C85="","",VLOOKUP(C85,FROTA!$B$5:$N$305,7,0))</f>
        <v/>
      </c>
      <c r="F85" s="38" t="str">
        <f t="shared" si="25"/>
        <v/>
      </c>
      <c r="G85" s="71" t="str">
        <f t="shared" si="30"/>
        <v/>
      </c>
      <c r="H85" s="32" t="str">
        <f t="shared" si="21"/>
        <v/>
      </c>
      <c r="I85" s="73" t="str">
        <f t="shared" si="21"/>
        <v/>
      </c>
      <c r="J85" s="73" t="str">
        <f t="shared" si="21"/>
        <v/>
      </c>
      <c r="K85" s="73" t="str">
        <f t="shared" si="23"/>
        <v/>
      </c>
      <c r="L85" s="73" t="str">
        <f t="shared" si="23"/>
        <v/>
      </c>
      <c r="M85" s="73" t="str">
        <f t="shared" si="23"/>
        <v/>
      </c>
      <c r="N85" s="73" t="str">
        <f t="shared" si="23"/>
        <v/>
      </c>
      <c r="O85" s="73" t="str">
        <f t="shared" si="23"/>
        <v/>
      </c>
      <c r="P85" s="73" t="str">
        <f t="shared" si="23"/>
        <v/>
      </c>
      <c r="Q85" s="73" t="str">
        <f t="shared" si="23"/>
        <v/>
      </c>
      <c r="R85" s="73" t="str">
        <f t="shared" si="24"/>
        <v/>
      </c>
      <c r="S85" s="73" t="str">
        <f t="shared" si="24"/>
        <v/>
      </c>
      <c r="T85" s="73" t="str">
        <f t="shared" si="24"/>
        <v/>
      </c>
      <c r="U85" s="73" t="str">
        <f t="shared" si="24"/>
        <v/>
      </c>
      <c r="V85" s="73" t="str">
        <f t="shared" si="24"/>
        <v/>
      </c>
      <c r="W85" s="73" t="str">
        <f t="shared" si="24"/>
        <v/>
      </c>
      <c r="X85" s="73" t="str">
        <f t="shared" si="24"/>
        <v/>
      </c>
      <c r="Y85" s="73" t="str">
        <f t="shared" si="24"/>
        <v/>
      </c>
      <c r="Z85" s="73" t="str">
        <f t="shared" si="24"/>
        <v/>
      </c>
      <c r="AA85" s="73" t="str">
        <f t="shared" si="24"/>
        <v/>
      </c>
      <c r="AB85" s="74" t="str">
        <f t="shared" si="24"/>
        <v/>
      </c>
      <c r="AC85" s="35" t="str">
        <f t="shared" si="31"/>
        <v/>
      </c>
      <c r="AD85" s="40" t="str">
        <f t="shared" si="32"/>
        <v/>
      </c>
      <c r="AE85" s="37" t="str">
        <f t="shared" si="33"/>
        <v/>
      </c>
      <c r="AF85" s="40" t="str">
        <f t="shared" si="26"/>
        <v/>
      </c>
      <c r="AG85" s="37" t="str">
        <f t="shared" si="27"/>
        <v/>
      </c>
      <c r="AH85" s="40" t="str">
        <f t="shared" si="28"/>
        <v/>
      </c>
      <c r="AI85" s="37" t="str">
        <f t="shared" si="34"/>
        <v/>
      </c>
      <c r="AJ85" s="40" t="str">
        <f t="shared" si="35"/>
        <v/>
      </c>
      <c r="AK85" s="33" t="str">
        <f>IF(SEM!AK85="","",SEM!AK85)</f>
        <v/>
      </c>
      <c r="AL85" s="6"/>
      <c r="AM85" s="79" t="str">
        <f t="shared" si="29"/>
        <v/>
      </c>
      <c r="AN85" s="12"/>
      <c r="AO85" s="12"/>
      <c r="AP85" s="14"/>
      <c r="AQ85" s="16"/>
      <c r="AR85" s="15"/>
      <c r="AU85" s="198"/>
      <c r="AV85" s="198"/>
      <c r="AW85" s="198"/>
      <c r="AX85" s="198"/>
    </row>
    <row r="86" spans="2:50" ht="17.25" customHeight="1" x14ac:dyDescent="0.2">
      <c r="B86" s="6"/>
      <c r="C86" s="49" t="str">
        <f>IF(SEM!C86="","",SEM!C86)</f>
        <v/>
      </c>
      <c r="D86" s="220" t="str">
        <f>IF(C86="","",VLOOKUP(SEM!C86,FROTA!$B$5:$C$305,2,0))</f>
        <v/>
      </c>
      <c r="E86" s="24" t="str">
        <f>IF(C86="","",VLOOKUP(C86,FROTA!$B$5:$N$305,7,0))</f>
        <v/>
      </c>
      <c r="F86" s="38" t="str">
        <f t="shared" si="25"/>
        <v/>
      </c>
      <c r="G86" s="71" t="str">
        <f t="shared" si="30"/>
        <v/>
      </c>
      <c r="H86" s="32" t="str">
        <f t="shared" si="21"/>
        <v/>
      </c>
      <c r="I86" s="73" t="str">
        <f t="shared" si="21"/>
        <v/>
      </c>
      <c r="J86" s="73" t="str">
        <f t="shared" si="21"/>
        <v/>
      </c>
      <c r="K86" s="73" t="str">
        <f t="shared" si="23"/>
        <v/>
      </c>
      <c r="L86" s="73" t="str">
        <f t="shared" si="23"/>
        <v/>
      </c>
      <c r="M86" s="73" t="str">
        <f t="shared" si="23"/>
        <v/>
      </c>
      <c r="N86" s="73" t="str">
        <f t="shared" si="23"/>
        <v/>
      </c>
      <c r="O86" s="73" t="str">
        <f t="shared" si="23"/>
        <v/>
      </c>
      <c r="P86" s="73" t="str">
        <f t="shared" si="23"/>
        <v/>
      </c>
      <c r="Q86" s="73" t="str">
        <f t="shared" si="23"/>
        <v/>
      </c>
      <c r="R86" s="73" t="str">
        <f t="shared" si="24"/>
        <v/>
      </c>
      <c r="S86" s="73" t="str">
        <f t="shared" si="24"/>
        <v/>
      </c>
      <c r="T86" s="73" t="str">
        <f t="shared" si="24"/>
        <v/>
      </c>
      <c r="U86" s="73" t="str">
        <f t="shared" si="24"/>
        <v/>
      </c>
      <c r="V86" s="73" t="str">
        <f t="shared" si="24"/>
        <v/>
      </c>
      <c r="W86" s="73" t="str">
        <f t="shared" si="24"/>
        <v/>
      </c>
      <c r="X86" s="73" t="str">
        <f t="shared" si="24"/>
        <v/>
      </c>
      <c r="Y86" s="73" t="str">
        <f t="shared" si="24"/>
        <v/>
      </c>
      <c r="Z86" s="73" t="str">
        <f t="shared" si="24"/>
        <v/>
      </c>
      <c r="AA86" s="73" t="str">
        <f t="shared" si="24"/>
        <v/>
      </c>
      <c r="AB86" s="74" t="str">
        <f t="shared" si="24"/>
        <v/>
      </c>
      <c r="AC86" s="35" t="str">
        <f t="shared" si="31"/>
        <v/>
      </c>
      <c r="AD86" s="40" t="str">
        <f t="shared" si="32"/>
        <v/>
      </c>
      <c r="AE86" s="37" t="str">
        <f t="shared" si="33"/>
        <v/>
      </c>
      <c r="AF86" s="40" t="str">
        <f t="shared" si="26"/>
        <v/>
      </c>
      <c r="AG86" s="37" t="str">
        <f t="shared" si="27"/>
        <v/>
      </c>
      <c r="AH86" s="40" t="str">
        <f t="shared" si="28"/>
        <v/>
      </c>
      <c r="AI86" s="37" t="str">
        <f t="shared" si="34"/>
        <v/>
      </c>
      <c r="AJ86" s="40" t="str">
        <f t="shared" si="35"/>
        <v/>
      </c>
      <c r="AK86" s="33" t="str">
        <f>IF(SEM!AK86="","",SEM!AK86)</f>
        <v/>
      </c>
      <c r="AL86" s="6"/>
      <c r="AM86" s="79" t="str">
        <f t="shared" si="29"/>
        <v/>
      </c>
      <c r="AN86" s="12"/>
      <c r="AO86" s="12"/>
      <c r="AP86" s="14"/>
      <c r="AQ86" s="16"/>
      <c r="AR86" s="15"/>
      <c r="AU86" s="198"/>
      <c r="AV86" s="198"/>
      <c r="AW86" s="198"/>
      <c r="AX86" s="198"/>
    </row>
    <row r="87" spans="2:50" ht="17.25" customHeight="1" x14ac:dyDescent="0.2">
      <c r="B87" s="6"/>
      <c r="C87" s="49" t="str">
        <f>IF(SEM!C87="","",SEM!C87)</f>
        <v/>
      </c>
      <c r="D87" s="220" t="str">
        <f>IF(C87="","",VLOOKUP(SEM!C87,FROTA!$B$5:$C$305,2,0))</f>
        <v/>
      </c>
      <c r="E87" s="24" t="str">
        <f>IF(C87="","",VLOOKUP(C87,FROTA!$B$5:$N$305,7,0))</f>
        <v/>
      </c>
      <c r="F87" s="38" t="str">
        <f t="shared" si="25"/>
        <v/>
      </c>
      <c r="G87" s="71" t="str">
        <f t="shared" si="30"/>
        <v/>
      </c>
      <c r="H87" s="32" t="str">
        <f t="shared" ref="H87:J150" si="36">IF($C87="","",IF(SUM(H$307*$G87)&gt;$F87,$F87,SUM(H$307*$G87)))</f>
        <v/>
      </c>
      <c r="I87" s="73" t="str">
        <f t="shared" si="36"/>
        <v/>
      </c>
      <c r="J87" s="73" t="str">
        <f t="shared" si="36"/>
        <v/>
      </c>
      <c r="K87" s="73" t="str">
        <f t="shared" si="23"/>
        <v/>
      </c>
      <c r="L87" s="73" t="str">
        <f t="shared" si="23"/>
        <v/>
      </c>
      <c r="M87" s="73" t="str">
        <f t="shared" si="23"/>
        <v/>
      </c>
      <c r="N87" s="73" t="str">
        <f t="shared" si="23"/>
        <v/>
      </c>
      <c r="O87" s="73" t="str">
        <f t="shared" si="23"/>
        <v/>
      </c>
      <c r="P87" s="73" t="str">
        <f t="shared" si="23"/>
        <v/>
      </c>
      <c r="Q87" s="73" t="str">
        <f t="shared" si="23"/>
        <v/>
      </c>
      <c r="R87" s="73" t="str">
        <f t="shared" si="24"/>
        <v/>
      </c>
      <c r="S87" s="73" t="str">
        <f t="shared" si="24"/>
        <v/>
      </c>
      <c r="T87" s="73" t="str">
        <f t="shared" si="24"/>
        <v/>
      </c>
      <c r="U87" s="73" t="str">
        <f t="shared" si="24"/>
        <v/>
      </c>
      <c r="V87" s="73" t="str">
        <f t="shared" si="24"/>
        <v/>
      </c>
      <c r="W87" s="73" t="str">
        <f t="shared" si="24"/>
        <v/>
      </c>
      <c r="X87" s="73" t="str">
        <f t="shared" si="24"/>
        <v/>
      </c>
      <c r="Y87" s="73" t="str">
        <f t="shared" si="24"/>
        <v/>
      </c>
      <c r="Z87" s="73" t="str">
        <f t="shared" si="24"/>
        <v/>
      </c>
      <c r="AA87" s="73" t="str">
        <f t="shared" si="24"/>
        <v/>
      </c>
      <c r="AB87" s="74" t="str">
        <f t="shared" si="24"/>
        <v/>
      </c>
      <c r="AC87" s="35" t="str">
        <f t="shared" si="31"/>
        <v/>
      </c>
      <c r="AD87" s="40" t="str">
        <f t="shared" si="32"/>
        <v/>
      </c>
      <c r="AE87" s="37" t="str">
        <f t="shared" si="33"/>
        <v/>
      </c>
      <c r="AF87" s="40" t="str">
        <f t="shared" si="26"/>
        <v/>
      </c>
      <c r="AG87" s="37" t="str">
        <f t="shared" si="27"/>
        <v/>
      </c>
      <c r="AH87" s="40" t="str">
        <f t="shared" si="28"/>
        <v/>
      </c>
      <c r="AI87" s="37" t="str">
        <f t="shared" si="34"/>
        <v/>
      </c>
      <c r="AJ87" s="40" t="str">
        <f t="shared" si="35"/>
        <v/>
      </c>
      <c r="AK87" s="33" t="str">
        <f>IF(SEM!AK87="","",SEM!AK87)</f>
        <v/>
      </c>
      <c r="AL87" s="6"/>
      <c r="AM87" s="79" t="str">
        <f t="shared" si="29"/>
        <v/>
      </c>
      <c r="AN87" s="12"/>
      <c r="AO87" s="12"/>
      <c r="AP87" s="14"/>
      <c r="AQ87" s="16"/>
      <c r="AR87" s="15"/>
      <c r="AU87" s="198"/>
      <c r="AV87" s="198"/>
      <c r="AW87" s="198"/>
      <c r="AX87" s="198"/>
    </row>
    <row r="88" spans="2:50" ht="17.25" customHeight="1" x14ac:dyDescent="0.2">
      <c r="B88" s="6"/>
      <c r="C88" s="49" t="str">
        <f>IF(SEM!C88="","",SEM!C88)</f>
        <v/>
      </c>
      <c r="D88" s="220" t="str">
        <f>IF(C88="","",VLOOKUP(SEM!C88,FROTA!$B$5:$C$305,2,0))</f>
        <v/>
      </c>
      <c r="E88" s="24" t="str">
        <f>IF(C88="","",VLOOKUP(C88,FROTA!$B$5:$N$305,7,0))</f>
        <v/>
      </c>
      <c r="F88" s="38" t="str">
        <f t="shared" si="25"/>
        <v/>
      </c>
      <c r="G88" s="71" t="str">
        <f t="shared" si="30"/>
        <v/>
      </c>
      <c r="H88" s="32" t="str">
        <f t="shared" si="36"/>
        <v/>
      </c>
      <c r="I88" s="73" t="str">
        <f t="shared" si="36"/>
        <v/>
      </c>
      <c r="J88" s="73" t="str">
        <f t="shared" si="36"/>
        <v/>
      </c>
      <c r="K88" s="73" t="str">
        <f t="shared" si="23"/>
        <v/>
      </c>
      <c r="L88" s="73" t="str">
        <f t="shared" si="23"/>
        <v/>
      </c>
      <c r="M88" s="73" t="str">
        <f t="shared" si="23"/>
        <v/>
      </c>
      <c r="N88" s="73" t="str">
        <f t="shared" si="23"/>
        <v/>
      </c>
      <c r="O88" s="73" t="str">
        <f t="shared" si="23"/>
        <v/>
      </c>
      <c r="P88" s="73" t="str">
        <f t="shared" si="23"/>
        <v/>
      </c>
      <c r="Q88" s="73" t="str">
        <f t="shared" si="23"/>
        <v/>
      </c>
      <c r="R88" s="73" t="str">
        <f t="shared" si="24"/>
        <v/>
      </c>
      <c r="S88" s="73" t="str">
        <f t="shared" si="24"/>
        <v/>
      </c>
      <c r="T88" s="73" t="str">
        <f t="shared" si="24"/>
        <v/>
      </c>
      <c r="U88" s="73" t="str">
        <f t="shared" si="24"/>
        <v/>
      </c>
      <c r="V88" s="73" t="str">
        <f t="shared" si="24"/>
        <v/>
      </c>
      <c r="W88" s="73" t="str">
        <f t="shared" si="24"/>
        <v/>
      </c>
      <c r="X88" s="73" t="str">
        <f t="shared" si="24"/>
        <v/>
      </c>
      <c r="Y88" s="73" t="str">
        <f t="shared" si="24"/>
        <v/>
      </c>
      <c r="Z88" s="73" t="str">
        <f t="shared" si="24"/>
        <v/>
      </c>
      <c r="AA88" s="73" t="str">
        <f t="shared" si="24"/>
        <v/>
      </c>
      <c r="AB88" s="74" t="str">
        <f t="shared" si="24"/>
        <v/>
      </c>
      <c r="AC88" s="35" t="str">
        <f t="shared" si="31"/>
        <v/>
      </c>
      <c r="AD88" s="40" t="str">
        <f t="shared" si="32"/>
        <v/>
      </c>
      <c r="AE88" s="37" t="str">
        <f t="shared" si="33"/>
        <v/>
      </c>
      <c r="AF88" s="40" t="str">
        <f t="shared" si="26"/>
        <v/>
      </c>
      <c r="AG88" s="37" t="str">
        <f t="shared" si="27"/>
        <v/>
      </c>
      <c r="AH88" s="40" t="str">
        <f t="shared" si="28"/>
        <v/>
      </c>
      <c r="AI88" s="37" t="str">
        <f t="shared" si="34"/>
        <v/>
      </c>
      <c r="AJ88" s="40" t="str">
        <f t="shared" si="35"/>
        <v/>
      </c>
      <c r="AK88" s="33" t="str">
        <f>IF(SEM!AK88="","",SEM!AK88)</f>
        <v/>
      </c>
      <c r="AL88" s="6"/>
      <c r="AM88" s="79" t="str">
        <f t="shared" si="29"/>
        <v/>
      </c>
      <c r="AN88" s="12"/>
      <c r="AO88" s="12"/>
      <c r="AP88" s="14"/>
      <c r="AQ88" s="16"/>
      <c r="AR88" s="15"/>
      <c r="AU88" s="198"/>
      <c r="AV88" s="198"/>
      <c r="AW88" s="198"/>
      <c r="AX88" s="198"/>
    </row>
    <row r="89" spans="2:50" ht="17.25" customHeight="1" x14ac:dyDescent="0.2">
      <c r="B89" s="6"/>
      <c r="C89" s="49" t="str">
        <f>IF(SEM!C89="","",SEM!C89)</f>
        <v/>
      </c>
      <c r="D89" s="220" t="str">
        <f>IF(C89="","",VLOOKUP(SEM!C89,FROTA!$B$5:$C$305,2,0))</f>
        <v/>
      </c>
      <c r="E89" s="24" t="str">
        <f>IF(C89="","",VLOOKUP(C89,FROTA!$B$5:$N$305,7,0))</f>
        <v/>
      </c>
      <c r="F89" s="38" t="str">
        <f t="shared" si="25"/>
        <v/>
      </c>
      <c r="G89" s="71" t="str">
        <f t="shared" si="30"/>
        <v/>
      </c>
      <c r="H89" s="32" t="str">
        <f t="shared" si="36"/>
        <v/>
      </c>
      <c r="I89" s="73" t="str">
        <f t="shared" si="36"/>
        <v/>
      </c>
      <c r="J89" s="73" t="str">
        <f t="shared" si="36"/>
        <v/>
      </c>
      <c r="K89" s="73" t="str">
        <f t="shared" si="23"/>
        <v/>
      </c>
      <c r="L89" s="73" t="str">
        <f t="shared" si="23"/>
        <v/>
      </c>
      <c r="M89" s="73" t="str">
        <f t="shared" si="23"/>
        <v/>
      </c>
      <c r="N89" s="73" t="str">
        <f t="shared" si="23"/>
        <v/>
      </c>
      <c r="O89" s="73" t="str">
        <f t="shared" si="23"/>
        <v/>
      </c>
      <c r="P89" s="73" t="str">
        <f t="shared" si="23"/>
        <v/>
      </c>
      <c r="Q89" s="73" t="str">
        <f t="shared" si="23"/>
        <v/>
      </c>
      <c r="R89" s="73" t="str">
        <f t="shared" si="24"/>
        <v/>
      </c>
      <c r="S89" s="73" t="str">
        <f t="shared" si="24"/>
        <v/>
      </c>
      <c r="T89" s="73" t="str">
        <f t="shared" si="24"/>
        <v/>
      </c>
      <c r="U89" s="73" t="str">
        <f t="shared" si="24"/>
        <v/>
      </c>
      <c r="V89" s="73" t="str">
        <f t="shared" si="24"/>
        <v/>
      </c>
      <c r="W89" s="73" t="str">
        <f t="shared" si="24"/>
        <v/>
      </c>
      <c r="X89" s="73" t="str">
        <f t="shared" si="24"/>
        <v/>
      </c>
      <c r="Y89" s="73" t="str">
        <f t="shared" si="24"/>
        <v/>
      </c>
      <c r="Z89" s="73" t="str">
        <f t="shared" si="24"/>
        <v/>
      </c>
      <c r="AA89" s="73" t="str">
        <f t="shared" si="24"/>
        <v/>
      </c>
      <c r="AB89" s="74" t="str">
        <f t="shared" si="24"/>
        <v/>
      </c>
      <c r="AC89" s="35" t="str">
        <f t="shared" si="31"/>
        <v/>
      </c>
      <c r="AD89" s="40" t="str">
        <f t="shared" si="32"/>
        <v/>
      </c>
      <c r="AE89" s="37" t="str">
        <f t="shared" si="33"/>
        <v/>
      </c>
      <c r="AF89" s="40" t="str">
        <f t="shared" si="26"/>
        <v/>
      </c>
      <c r="AG89" s="37" t="str">
        <f t="shared" si="27"/>
        <v/>
      </c>
      <c r="AH89" s="40" t="str">
        <f t="shared" si="28"/>
        <v/>
      </c>
      <c r="AI89" s="37" t="str">
        <f t="shared" si="34"/>
        <v/>
      </c>
      <c r="AJ89" s="40" t="str">
        <f t="shared" si="35"/>
        <v/>
      </c>
      <c r="AK89" s="33" t="str">
        <f>IF(SEM!AK89="","",SEM!AK89)</f>
        <v/>
      </c>
      <c r="AL89" s="6"/>
      <c r="AM89" s="79" t="str">
        <f t="shared" si="29"/>
        <v/>
      </c>
      <c r="AN89" s="12"/>
      <c r="AO89" s="12"/>
      <c r="AP89" s="14"/>
      <c r="AQ89" s="16"/>
      <c r="AR89" s="15"/>
      <c r="AU89" s="198"/>
      <c r="AV89" s="198"/>
      <c r="AW89" s="198"/>
      <c r="AX89" s="198"/>
    </row>
    <row r="90" spans="2:50" ht="17.25" customHeight="1" x14ac:dyDescent="0.2">
      <c r="B90" s="6"/>
      <c r="C90" s="49" t="str">
        <f>IF(SEM!C90="","",SEM!C90)</f>
        <v/>
      </c>
      <c r="D90" s="220" t="str">
        <f>IF(C90="","",VLOOKUP(SEM!C90,FROTA!$B$5:$C$305,2,0))</f>
        <v/>
      </c>
      <c r="E90" s="24" t="str">
        <f>IF(C90="","",VLOOKUP(C90,FROTA!$B$5:$N$305,7,0))</f>
        <v/>
      </c>
      <c r="F90" s="38" t="str">
        <f t="shared" si="25"/>
        <v/>
      </c>
      <c r="G90" s="71" t="str">
        <f t="shared" si="30"/>
        <v/>
      </c>
      <c r="H90" s="32" t="str">
        <f t="shared" si="36"/>
        <v/>
      </c>
      <c r="I90" s="73" t="str">
        <f t="shared" si="36"/>
        <v/>
      </c>
      <c r="J90" s="73" t="str">
        <f t="shared" si="36"/>
        <v/>
      </c>
      <c r="K90" s="73" t="str">
        <f t="shared" si="23"/>
        <v/>
      </c>
      <c r="L90" s="73" t="str">
        <f t="shared" si="23"/>
        <v/>
      </c>
      <c r="M90" s="73" t="str">
        <f t="shared" si="23"/>
        <v/>
      </c>
      <c r="N90" s="73" t="str">
        <f t="shared" si="23"/>
        <v/>
      </c>
      <c r="O90" s="73" t="str">
        <f t="shared" si="23"/>
        <v/>
      </c>
      <c r="P90" s="73" t="str">
        <f t="shared" si="23"/>
        <v/>
      </c>
      <c r="Q90" s="73" t="str">
        <f t="shared" si="23"/>
        <v/>
      </c>
      <c r="R90" s="73" t="str">
        <f t="shared" si="24"/>
        <v/>
      </c>
      <c r="S90" s="73" t="str">
        <f t="shared" si="24"/>
        <v/>
      </c>
      <c r="T90" s="73" t="str">
        <f t="shared" si="24"/>
        <v/>
      </c>
      <c r="U90" s="73" t="str">
        <f t="shared" si="24"/>
        <v/>
      </c>
      <c r="V90" s="73" t="str">
        <f t="shared" si="24"/>
        <v/>
      </c>
      <c r="W90" s="73" t="str">
        <f t="shared" si="24"/>
        <v/>
      </c>
      <c r="X90" s="73" t="str">
        <f t="shared" si="24"/>
        <v/>
      </c>
      <c r="Y90" s="73" t="str">
        <f t="shared" si="24"/>
        <v/>
      </c>
      <c r="Z90" s="73" t="str">
        <f t="shared" si="24"/>
        <v/>
      </c>
      <c r="AA90" s="73" t="str">
        <f t="shared" si="24"/>
        <v/>
      </c>
      <c r="AB90" s="74" t="str">
        <f t="shared" si="24"/>
        <v/>
      </c>
      <c r="AC90" s="35" t="str">
        <f t="shared" si="31"/>
        <v/>
      </c>
      <c r="AD90" s="40" t="str">
        <f t="shared" si="32"/>
        <v/>
      </c>
      <c r="AE90" s="37" t="str">
        <f t="shared" si="33"/>
        <v/>
      </c>
      <c r="AF90" s="40" t="str">
        <f t="shared" si="26"/>
        <v/>
      </c>
      <c r="AG90" s="37" t="str">
        <f t="shared" si="27"/>
        <v/>
      </c>
      <c r="AH90" s="40" t="str">
        <f t="shared" si="28"/>
        <v/>
      </c>
      <c r="AI90" s="37" t="str">
        <f t="shared" si="34"/>
        <v/>
      </c>
      <c r="AJ90" s="40" t="str">
        <f t="shared" si="35"/>
        <v/>
      </c>
      <c r="AK90" s="33" t="str">
        <f>IF(SEM!AK90="","",SEM!AK90)</f>
        <v/>
      </c>
      <c r="AL90" s="6"/>
      <c r="AM90" s="79" t="str">
        <f t="shared" si="29"/>
        <v/>
      </c>
      <c r="AN90" s="12"/>
      <c r="AO90" s="12"/>
      <c r="AP90" s="14"/>
      <c r="AQ90" s="16"/>
      <c r="AR90" s="15"/>
      <c r="AU90" s="198"/>
      <c r="AV90" s="198"/>
      <c r="AW90" s="198"/>
      <c r="AX90" s="198"/>
    </row>
    <row r="91" spans="2:50" ht="17.25" customHeight="1" x14ac:dyDescent="0.2">
      <c r="B91" s="6"/>
      <c r="C91" s="49" t="str">
        <f>IF(SEM!C91="","",SEM!C91)</f>
        <v/>
      </c>
      <c r="D91" s="220" t="str">
        <f>IF(C91="","",VLOOKUP(SEM!C91,FROTA!$B$5:$C$305,2,0))</f>
        <v/>
      </c>
      <c r="E91" s="24" t="str">
        <f>IF(C91="","",VLOOKUP(C91,FROTA!$B$5:$N$305,7,0))</f>
        <v/>
      </c>
      <c r="F91" s="38" t="str">
        <f t="shared" si="25"/>
        <v/>
      </c>
      <c r="G91" s="71" t="str">
        <f t="shared" si="30"/>
        <v/>
      </c>
      <c r="H91" s="32" t="str">
        <f t="shared" si="36"/>
        <v/>
      </c>
      <c r="I91" s="73" t="str">
        <f t="shared" si="36"/>
        <v/>
      </c>
      <c r="J91" s="73" t="str">
        <f t="shared" si="36"/>
        <v/>
      </c>
      <c r="K91" s="73" t="str">
        <f t="shared" si="23"/>
        <v/>
      </c>
      <c r="L91" s="73" t="str">
        <f t="shared" si="23"/>
        <v/>
      </c>
      <c r="M91" s="73" t="str">
        <f t="shared" si="23"/>
        <v/>
      </c>
      <c r="N91" s="73" t="str">
        <f t="shared" si="23"/>
        <v/>
      </c>
      <c r="O91" s="73" t="str">
        <f t="shared" si="23"/>
        <v/>
      </c>
      <c r="P91" s="73" t="str">
        <f t="shared" si="23"/>
        <v/>
      </c>
      <c r="Q91" s="73" t="str">
        <f t="shared" si="23"/>
        <v/>
      </c>
      <c r="R91" s="73" t="str">
        <f t="shared" si="24"/>
        <v/>
      </c>
      <c r="S91" s="73" t="str">
        <f t="shared" si="24"/>
        <v/>
      </c>
      <c r="T91" s="73" t="str">
        <f t="shared" si="24"/>
        <v/>
      </c>
      <c r="U91" s="73" t="str">
        <f t="shared" si="24"/>
        <v/>
      </c>
      <c r="V91" s="73" t="str">
        <f t="shared" si="24"/>
        <v/>
      </c>
      <c r="W91" s="73" t="str">
        <f t="shared" si="24"/>
        <v/>
      </c>
      <c r="X91" s="73" t="str">
        <f t="shared" ref="R91:AB114" si="37">IF($C91="","",IF(SUM(X$307*$G91)&gt;$F91,$F91,SUM(X$307*$G91)))</f>
        <v/>
      </c>
      <c r="Y91" s="73" t="str">
        <f t="shared" si="37"/>
        <v/>
      </c>
      <c r="Z91" s="73" t="str">
        <f t="shared" si="37"/>
        <v/>
      </c>
      <c r="AA91" s="73" t="str">
        <f t="shared" si="37"/>
        <v/>
      </c>
      <c r="AB91" s="74" t="str">
        <f t="shared" si="37"/>
        <v/>
      </c>
      <c r="AC91" s="35" t="str">
        <f t="shared" si="31"/>
        <v/>
      </c>
      <c r="AD91" s="40" t="str">
        <f t="shared" si="32"/>
        <v/>
      </c>
      <c r="AE91" s="37" t="str">
        <f t="shared" si="33"/>
        <v/>
      </c>
      <c r="AF91" s="40" t="str">
        <f t="shared" si="26"/>
        <v/>
      </c>
      <c r="AG91" s="37" t="str">
        <f t="shared" si="27"/>
        <v/>
      </c>
      <c r="AH91" s="40" t="str">
        <f t="shared" si="28"/>
        <v/>
      </c>
      <c r="AI91" s="37" t="str">
        <f t="shared" si="34"/>
        <v/>
      </c>
      <c r="AJ91" s="40" t="str">
        <f t="shared" si="35"/>
        <v/>
      </c>
      <c r="AK91" s="33" t="str">
        <f>IF(SEM!AK91="","",SEM!AK91)</f>
        <v/>
      </c>
      <c r="AL91" s="6"/>
      <c r="AM91" s="79" t="str">
        <f t="shared" si="29"/>
        <v/>
      </c>
      <c r="AN91" s="12"/>
      <c r="AO91" s="12"/>
      <c r="AP91" s="14"/>
      <c r="AQ91" s="16"/>
      <c r="AR91" s="15"/>
      <c r="AU91" s="198"/>
      <c r="AV91" s="198"/>
      <c r="AW91" s="198"/>
      <c r="AX91" s="198"/>
    </row>
    <row r="92" spans="2:50" ht="17.25" customHeight="1" x14ac:dyDescent="0.2">
      <c r="B92" s="6"/>
      <c r="C92" s="49" t="str">
        <f>IF(SEM!C92="","",SEM!C92)</f>
        <v/>
      </c>
      <c r="D92" s="220" t="str">
        <f>IF(C92="","",VLOOKUP(SEM!C92,FROTA!$B$5:$C$305,2,0))</f>
        <v/>
      </c>
      <c r="E92" s="24" t="str">
        <f>IF(C92="","",VLOOKUP(C92,FROTA!$B$5:$N$305,7,0))</f>
        <v/>
      </c>
      <c r="F92" s="38" t="str">
        <f t="shared" si="25"/>
        <v/>
      </c>
      <c r="G92" s="71" t="str">
        <f t="shared" si="30"/>
        <v/>
      </c>
      <c r="H92" s="32" t="str">
        <f t="shared" si="36"/>
        <v/>
      </c>
      <c r="I92" s="73" t="str">
        <f t="shared" si="36"/>
        <v/>
      </c>
      <c r="J92" s="73" t="str">
        <f t="shared" si="36"/>
        <v/>
      </c>
      <c r="K92" s="73" t="str">
        <f t="shared" si="23"/>
        <v/>
      </c>
      <c r="L92" s="73" t="str">
        <f t="shared" si="23"/>
        <v/>
      </c>
      <c r="M92" s="73" t="str">
        <f t="shared" si="23"/>
        <v/>
      </c>
      <c r="N92" s="73" t="str">
        <f t="shared" si="23"/>
        <v/>
      </c>
      <c r="O92" s="73" t="str">
        <f t="shared" si="23"/>
        <v/>
      </c>
      <c r="P92" s="73" t="str">
        <f t="shared" si="23"/>
        <v/>
      </c>
      <c r="Q92" s="73" t="str">
        <f t="shared" si="23"/>
        <v/>
      </c>
      <c r="R92" s="73" t="str">
        <f t="shared" si="37"/>
        <v/>
      </c>
      <c r="S92" s="73" t="str">
        <f t="shared" si="37"/>
        <v/>
      </c>
      <c r="T92" s="73" t="str">
        <f t="shared" si="37"/>
        <v/>
      </c>
      <c r="U92" s="73" t="str">
        <f t="shared" si="37"/>
        <v/>
      </c>
      <c r="V92" s="73" t="str">
        <f t="shared" si="37"/>
        <v/>
      </c>
      <c r="W92" s="73" t="str">
        <f t="shared" si="37"/>
        <v/>
      </c>
      <c r="X92" s="73" t="str">
        <f t="shared" si="37"/>
        <v/>
      </c>
      <c r="Y92" s="73" t="str">
        <f t="shared" si="37"/>
        <v/>
      </c>
      <c r="Z92" s="73" t="str">
        <f t="shared" si="37"/>
        <v/>
      </c>
      <c r="AA92" s="73" t="str">
        <f t="shared" si="37"/>
        <v/>
      </c>
      <c r="AB92" s="74" t="str">
        <f t="shared" si="37"/>
        <v/>
      </c>
      <c r="AC92" s="35" t="str">
        <f t="shared" si="31"/>
        <v/>
      </c>
      <c r="AD92" s="40" t="str">
        <f t="shared" si="32"/>
        <v/>
      </c>
      <c r="AE92" s="37" t="str">
        <f t="shared" si="33"/>
        <v/>
      </c>
      <c r="AF92" s="40" t="str">
        <f t="shared" si="26"/>
        <v/>
      </c>
      <c r="AG92" s="37" t="str">
        <f t="shared" si="27"/>
        <v/>
      </c>
      <c r="AH92" s="40" t="str">
        <f t="shared" si="28"/>
        <v/>
      </c>
      <c r="AI92" s="37" t="str">
        <f t="shared" si="34"/>
        <v/>
      </c>
      <c r="AJ92" s="40" t="str">
        <f t="shared" si="35"/>
        <v/>
      </c>
      <c r="AK92" s="33" t="str">
        <f>IF(SEM!AK92="","",SEM!AK92)</f>
        <v/>
      </c>
      <c r="AL92" s="6"/>
      <c r="AM92" s="79" t="str">
        <f t="shared" si="29"/>
        <v/>
      </c>
      <c r="AN92" s="12"/>
      <c r="AO92" s="12"/>
      <c r="AP92" s="14"/>
      <c r="AQ92" s="16"/>
      <c r="AR92" s="15"/>
      <c r="AU92" s="198"/>
      <c r="AV92" s="198"/>
      <c r="AW92" s="198"/>
      <c r="AX92" s="198"/>
    </row>
    <row r="93" spans="2:50" ht="17.25" customHeight="1" x14ac:dyDescent="0.2">
      <c r="B93" s="6"/>
      <c r="C93" s="49" t="str">
        <f>IF(SEM!C93="","",SEM!C93)</f>
        <v/>
      </c>
      <c r="D93" s="220" t="str">
        <f>IF(C93="","",VLOOKUP(SEM!C93,FROTA!$B$5:$C$305,2,0))</f>
        <v/>
      </c>
      <c r="E93" s="24" t="str">
        <f>IF(C93="","",VLOOKUP(C93,FROTA!$B$5:$N$305,7,0))</f>
        <v/>
      </c>
      <c r="F93" s="38" t="str">
        <f t="shared" si="25"/>
        <v/>
      </c>
      <c r="G93" s="71" t="str">
        <f t="shared" si="30"/>
        <v/>
      </c>
      <c r="H93" s="32" t="str">
        <f t="shared" si="36"/>
        <v/>
      </c>
      <c r="I93" s="73" t="str">
        <f t="shared" si="36"/>
        <v/>
      </c>
      <c r="J93" s="73" t="str">
        <f t="shared" si="36"/>
        <v/>
      </c>
      <c r="K93" s="73" t="str">
        <f t="shared" si="23"/>
        <v/>
      </c>
      <c r="L93" s="73" t="str">
        <f t="shared" si="23"/>
        <v/>
      </c>
      <c r="M93" s="73" t="str">
        <f t="shared" si="23"/>
        <v/>
      </c>
      <c r="N93" s="73" t="str">
        <f t="shared" si="23"/>
        <v/>
      </c>
      <c r="O93" s="73" t="str">
        <f t="shared" si="23"/>
        <v/>
      </c>
      <c r="P93" s="73" t="str">
        <f t="shared" si="23"/>
        <v/>
      </c>
      <c r="Q93" s="73" t="str">
        <f t="shared" si="23"/>
        <v/>
      </c>
      <c r="R93" s="73" t="str">
        <f t="shared" si="37"/>
        <v/>
      </c>
      <c r="S93" s="73" t="str">
        <f t="shared" si="37"/>
        <v/>
      </c>
      <c r="T93" s="73" t="str">
        <f t="shared" si="37"/>
        <v/>
      </c>
      <c r="U93" s="73" t="str">
        <f t="shared" si="37"/>
        <v/>
      </c>
      <c r="V93" s="73" t="str">
        <f t="shared" si="37"/>
        <v/>
      </c>
      <c r="W93" s="73" t="str">
        <f t="shared" si="37"/>
        <v/>
      </c>
      <c r="X93" s="73" t="str">
        <f t="shared" si="37"/>
        <v/>
      </c>
      <c r="Y93" s="73" t="str">
        <f t="shared" si="37"/>
        <v/>
      </c>
      <c r="Z93" s="73" t="str">
        <f t="shared" si="37"/>
        <v/>
      </c>
      <c r="AA93" s="73" t="str">
        <f t="shared" si="37"/>
        <v/>
      </c>
      <c r="AB93" s="74" t="str">
        <f t="shared" si="37"/>
        <v/>
      </c>
      <c r="AC93" s="35" t="str">
        <f t="shared" si="31"/>
        <v/>
      </c>
      <c r="AD93" s="40" t="str">
        <f t="shared" si="32"/>
        <v/>
      </c>
      <c r="AE93" s="37" t="str">
        <f t="shared" si="33"/>
        <v/>
      </c>
      <c r="AF93" s="40" t="str">
        <f t="shared" si="26"/>
        <v/>
      </c>
      <c r="AG93" s="37" t="str">
        <f t="shared" si="27"/>
        <v/>
      </c>
      <c r="AH93" s="40" t="str">
        <f t="shared" si="28"/>
        <v/>
      </c>
      <c r="AI93" s="37" t="str">
        <f t="shared" si="34"/>
        <v/>
      </c>
      <c r="AJ93" s="40" t="str">
        <f t="shared" si="35"/>
        <v/>
      </c>
      <c r="AK93" s="33" t="str">
        <f>IF(SEM!AK93="","",SEM!AK93)</f>
        <v/>
      </c>
      <c r="AL93" s="6"/>
      <c r="AM93" s="79" t="str">
        <f t="shared" si="29"/>
        <v/>
      </c>
      <c r="AN93" s="12"/>
      <c r="AO93" s="12"/>
      <c r="AP93" s="14"/>
      <c r="AQ93" s="16"/>
      <c r="AR93" s="15"/>
      <c r="AU93" s="198"/>
      <c r="AV93" s="198"/>
      <c r="AW93" s="198"/>
      <c r="AX93" s="198"/>
    </row>
    <row r="94" spans="2:50" ht="17.25" customHeight="1" x14ac:dyDescent="0.2">
      <c r="B94" s="6"/>
      <c r="C94" s="49" t="str">
        <f>IF(SEM!C94="","",SEM!C94)</f>
        <v/>
      </c>
      <c r="D94" s="220" t="str">
        <f>IF(C94="","",VLOOKUP(SEM!C94,FROTA!$B$5:$C$305,2,0))</f>
        <v/>
      </c>
      <c r="E94" s="24" t="str">
        <f>IF(C94="","",VLOOKUP(C94,FROTA!$B$5:$N$305,7,0))</f>
        <v/>
      </c>
      <c r="F94" s="38" t="str">
        <f t="shared" si="25"/>
        <v/>
      </c>
      <c r="G94" s="71" t="str">
        <f t="shared" si="30"/>
        <v/>
      </c>
      <c r="H94" s="32" t="str">
        <f t="shared" si="36"/>
        <v/>
      </c>
      <c r="I94" s="73" t="str">
        <f t="shared" si="36"/>
        <v/>
      </c>
      <c r="J94" s="73" t="str">
        <f t="shared" si="36"/>
        <v/>
      </c>
      <c r="K94" s="73" t="str">
        <f t="shared" si="23"/>
        <v/>
      </c>
      <c r="L94" s="73" t="str">
        <f t="shared" si="23"/>
        <v/>
      </c>
      <c r="M94" s="73" t="str">
        <f t="shared" si="23"/>
        <v/>
      </c>
      <c r="N94" s="73" t="str">
        <f t="shared" si="23"/>
        <v/>
      </c>
      <c r="O94" s="73" t="str">
        <f t="shared" si="23"/>
        <v/>
      </c>
      <c r="P94" s="73" t="str">
        <f t="shared" si="23"/>
        <v/>
      </c>
      <c r="Q94" s="73" t="str">
        <f t="shared" ref="K94:Q131" si="38">IF($C94="","",IF(SUM(Q$307*$G94)&gt;$F94,$F94,SUM(Q$307*$G94)))</f>
        <v/>
      </c>
      <c r="R94" s="73" t="str">
        <f t="shared" si="37"/>
        <v/>
      </c>
      <c r="S94" s="73" t="str">
        <f t="shared" si="37"/>
        <v/>
      </c>
      <c r="T94" s="73" t="str">
        <f t="shared" si="37"/>
        <v/>
      </c>
      <c r="U94" s="73" t="str">
        <f t="shared" si="37"/>
        <v/>
      </c>
      <c r="V94" s="73" t="str">
        <f t="shared" si="37"/>
        <v/>
      </c>
      <c r="W94" s="73" t="str">
        <f t="shared" si="37"/>
        <v/>
      </c>
      <c r="X94" s="73" t="str">
        <f t="shared" si="37"/>
        <v/>
      </c>
      <c r="Y94" s="73" t="str">
        <f t="shared" si="37"/>
        <v/>
      </c>
      <c r="Z94" s="73" t="str">
        <f t="shared" si="37"/>
        <v/>
      </c>
      <c r="AA94" s="73" t="str">
        <f t="shared" si="37"/>
        <v/>
      </c>
      <c r="AB94" s="74" t="str">
        <f t="shared" si="37"/>
        <v/>
      </c>
      <c r="AC94" s="35" t="str">
        <f t="shared" si="31"/>
        <v/>
      </c>
      <c r="AD94" s="40" t="str">
        <f t="shared" si="32"/>
        <v/>
      </c>
      <c r="AE94" s="37" t="str">
        <f t="shared" si="33"/>
        <v/>
      </c>
      <c r="AF94" s="40" t="str">
        <f t="shared" si="26"/>
        <v/>
      </c>
      <c r="AG94" s="37" t="str">
        <f t="shared" si="27"/>
        <v/>
      </c>
      <c r="AH94" s="40" t="str">
        <f t="shared" si="28"/>
        <v/>
      </c>
      <c r="AI94" s="37" t="str">
        <f t="shared" si="34"/>
        <v/>
      </c>
      <c r="AJ94" s="40" t="str">
        <f t="shared" si="35"/>
        <v/>
      </c>
      <c r="AK94" s="33" t="str">
        <f>IF(SEM!AK94="","",SEM!AK94)</f>
        <v/>
      </c>
      <c r="AL94" s="6"/>
      <c r="AM94" s="79" t="str">
        <f t="shared" si="29"/>
        <v/>
      </c>
      <c r="AN94" s="12"/>
      <c r="AO94" s="12"/>
      <c r="AP94" s="14"/>
      <c r="AQ94" s="16"/>
      <c r="AR94" s="15"/>
      <c r="AU94" s="198"/>
      <c r="AV94" s="198"/>
      <c r="AW94" s="198"/>
      <c r="AX94" s="198"/>
    </row>
    <row r="95" spans="2:50" ht="17.25" customHeight="1" x14ac:dyDescent="0.2">
      <c r="B95" s="6"/>
      <c r="C95" s="49" t="str">
        <f>IF(SEM!C95="","",SEM!C95)</f>
        <v/>
      </c>
      <c r="D95" s="220" t="str">
        <f>IF(C95="","",VLOOKUP(SEM!C95,FROTA!$B$5:$C$305,2,0))</f>
        <v/>
      </c>
      <c r="E95" s="24" t="str">
        <f>IF(C95="","",VLOOKUP(C95,FROTA!$B$5:$N$305,7,0))</f>
        <v/>
      </c>
      <c r="F95" s="38" t="str">
        <f t="shared" si="25"/>
        <v/>
      </c>
      <c r="G95" s="71" t="str">
        <f t="shared" si="30"/>
        <v/>
      </c>
      <c r="H95" s="32" t="str">
        <f t="shared" si="36"/>
        <v/>
      </c>
      <c r="I95" s="73" t="str">
        <f t="shared" si="36"/>
        <v/>
      </c>
      <c r="J95" s="73" t="str">
        <f t="shared" si="36"/>
        <v/>
      </c>
      <c r="K95" s="73" t="str">
        <f t="shared" si="38"/>
        <v/>
      </c>
      <c r="L95" s="73" t="str">
        <f t="shared" si="38"/>
        <v/>
      </c>
      <c r="M95" s="73" t="str">
        <f t="shared" si="38"/>
        <v/>
      </c>
      <c r="N95" s="73" t="str">
        <f t="shared" si="38"/>
        <v/>
      </c>
      <c r="O95" s="73" t="str">
        <f t="shared" si="38"/>
        <v/>
      </c>
      <c r="P95" s="73" t="str">
        <f t="shared" si="38"/>
        <v/>
      </c>
      <c r="Q95" s="73" t="str">
        <f t="shared" si="38"/>
        <v/>
      </c>
      <c r="R95" s="73" t="str">
        <f t="shared" si="37"/>
        <v/>
      </c>
      <c r="S95" s="73" t="str">
        <f t="shared" si="37"/>
        <v/>
      </c>
      <c r="T95" s="73" t="str">
        <f t="shared" si="37"/>
        <v/>
      </c>
      <c r="U95" s="73" t="str">
        <f t="shared" si="37"/>
        <v/>
      </c>
      <c r="V95" s="73" t="str">
        <f t="shared" si="37"/>
        <v/>
      </c>
      <c r="W95" s="73" t="str">
        <f t="shared" si="37"/>
        <v/>
      </c>
      <c r="X95" s="73" t="str">
        <f t="shared" si="37"/>
        <v/>
      </c>
      <c r="Y95" s="73" t="str">
        <f t="shared" si="37"/>
        <v/>
      </c>
      <c r="Z95" s="73" t="str">
        <f t="shared" si="37"/>
        <v/>
      </c>
      <c r="AA95" s="73" t="str">
        <f t="shared" si="37"/>
        <v/>
      </c>
      <c r="AB95" s="74" t="str">
        <f t="shared" si="37"/>
        <v/>
      </c>
      <c r="AC95" s="35" t="str">
        <f t="shared" si="31"/>
        <v/>
      </c>
      <c r="AD95" s="40" t="str">
        <f t="shared" si="32"/>
        <v/>
      </c>
      <c r="AE95" s="37" t="str">
        <f t="shared" si="33"/>
        <v/>
      </c>
      <c r="AF95" s="40" t="str">
        <f t="shared" si="26"/>
        <v/>
      </c>
      <c r="AG95" s="37" t="str">
        <f t="shared" si="27"/>
        <v/>
      </c>
      <c r="AH95" s="40" t="str">
        <f t="shared" si="28"/>
        <v/>
      </c>
      <c r="AI95" s="37" t="str">
        <f t="shared" si="34"/>
        <v/>
      </c>
      <c r="AJ95" s="40" t="str">
        <f t="shared" si="35"/>
        <v/>
      </c>
      <c r="AK95" s="33" t="str">
        <f>IF(SEM!AK95="","",SEM!AK95)</f>
        <v/>
      </c>
      <c r="AL95" s="6"/>
      <c r="AM95" s="79" t="str">
        <f t="shared" si="29"/>
        <v/>
      </c>
      <c r="AN95" s="12"/>
      <c r="AO95" s="12"/>
      <c r="AP95" s="14"/>
      <c r="AQ95" s="16"/>
      <c r="AR95" s="15"/>
      <c r="AU95" s="198"/>
      <c r="AV95" s="198"/>
      <c r="AW95" s="198"/>
      <c r="AX95" s="198"/>
    </row>
    <row r="96" spans="2:50" ht="17.25" customHeight="1" x14ac:dyDescent="0.2">
      <c r="B96" s="6"/>
      <c r="C96" s="49" t="str">
        <f>IF(SEM!C96="","",SEM!C96)</f>
        <v/>
      </c>
      <c r="D96" s="220" t="str">
        <f>IF(C96="","",VLOOKUP(SEM!C96,FROTA!$B$5:$C$305,2,0))</f>
        <v/>
      </c>
      <c r="E96" s="24" t="str">
        <f>IF(C96="","",VLOOKUP(C96,FROTA!$B$5:$N$305,7,0))</f>
        <v/>
      </c>
      <c r="F96" s="38" t="str">
        <f t="shared" si="25"/>
        <v/>
      </c>
      <c r="G96" s="71" t="str">
        <f t="shared" si="30"/>
        <v/>
      </c>
      <c r="H96" s="32" t="str">
        <f t="shared" si="36"/>
        <v/>
      </c>
      <c r="I96" s="73" t="str">
        <f t="shared" si="36"/>
        <v/>
      </c>
      <c r="J96" s="73" t="str">
        <f t="shared" si="36"/>
        <v/>
      </c>
      <c r="K96" s="73" t="str">
        <f t="shared" si="38"/>
        <v/>
      </c>
      <c r="L96" s="73" t="str">
        <f t="shared" si="38"/>
        <v/>
      </c>
      <c r="M96" s="73" t="str">
        <f t="shared" si="38"/>
        <v/>
      </c>
      <c r="N96" s="73" t="str">
        <f t="shared" si="38"/>
        <v/>
      </c>
      <c r="O96" s="73" t="str">
        <f t="shared" si="38"/>
        <v/>
      </c>
      <c r="P96" s="73" t="str">
        <f t="shared" si="38"/>
        <v/>
      </c>
      <c r="Q96" s="73" t="str">
        <f t="shared" si="38"/>
        <v/>
      </c>
      <c r="R96" s="73" t="str">
        <f t="shared" si="37"/>
        <v/>
      </c>
      <c r="S96" s="73" t="str">
        <f t="shared" si="37"/>
        <v/>
      </c>
      <c r="T96" s="73" t="str">
        <f t="shared" si="37"/>
        <v/>
      </c>
      <c r="U96" s="73" t="str">
        <f t="shared" si="37"/>
        <v/>
      </c>
      <c r="V96" s="73" t="str">
        <f t="shared" si="37"/>
        <v/>
      </c>
      <c r="W96" s="73" t="str">
        <f t="shared" si="37"/>
        <v/>
      </c>
      <c r="X96" s="73" t="str">
        <f t="shared" si="37"/>
        <v/>
      </c>
      <c r="Y96" s="73" t="str">
        <f t="shared" si="37"/>
        <v/>
      </c>
      <c r="Z96" s="73" t="str">
        <f t="shared" si="37"/>
        <v/>
      </c>
      <c r="AA96" s="73" t="str">
        <f t="shared" si="37"/>
        <v/>
      </c>
      <c r="AB96" s="74" t="str">
        <f t="shared" si="37"/>
        <v/>
      </c>
      <c r="AC96" s="35" t="str">
        <f t="shared" si="31"/>
        <v/>
      </c>
      <c r="AD96" s="40" t="str">
        <f t="shared" si="32"/>
        <v/>
      </c>
      <c r="AE96" s="37" t="str">
        <f t="shared" si="33"/>
        <v/>
      </c>
      <c r="AF96" s="40" t="str">
        <f t="shared" si="26"/>
        <v/>
      </c>
      <c r="AG96" s="37" t="str">
        <f t="shared" si="27"/>
        <v/>
      </c>
      <c r="AH96" s="40" t="str">
        <f t="shared" si="28"/>
        <v/>
      </c>
      <c r="AI96" s="37" t="str">
        <f t="shared" si="34"/>
        <v/>
      </c>
      <c r="AJ96" s="40" t="str">
        <f t="shared" si="35"/>
        <v/>
      </c>
      <c r="AK96" s="33" t="str">
        <f>IF(SEM!AK96="","",SEM!AK96)</f>
        <v/>
      </c>
      <c r="AL96" s="6"/>
      <c r="AM96" s="79" t="str">
        <f t="shared" si="29"/>
        <v/>
      </c>
      <c r="AN96" s="12"/>
      <c r="AO96" s="12"/>
      <c r="AP96" s="14"/>
      <c r="AQ96" s="16"/>
      <c r="AR96" s="15"/>
      <c r="AU96" s="198"/>
      <c r="AV96" s="198"/>
      <c r="AW96" s="198"/>
      <c r="AX96" s="198"/>
    </row>
    <row r="97" spans="2:50" ht="17.25" customHeight="1" x14ac:dyDescent="0.2">
      <c r="B97" s="6"/>
      <c r="C97" s="49" t="str">
        <f>IF(SEM!C97="","",SEM!C97)</f>
        <v/>
      </c>
      <c r="D97" s="220" t="str">
        <f>IF(C97="","",VLOOKUP(SEM!C97,FROTA!$B$5:$C$305,2,0))</f>
        <v/>
      </c>
      <c r="E97" s="24" t="str">
        <f>IF(C97="","",VLOOKUP(C97,FROTA!$B$5:$N$305,7,0))</f>
        <v/>
      </c>
      <c r="F97" s="38" t="str">
        <f t="shared" si="25"/>
        <v/>
      </c>
      <c r="G97" s="71" t="str">
        <f t="shared" si="30"/>
        <v/>
      </c>
      <c r="H97" s="32" t="str">
        <f t="shared" si="36"/>
        <v/>
      </c>
      <c r="I97" s="73" t="str">
        <f t="shared" si="36"/>
        <v/>
      </c>
      <c r="J97" s="73" t="str">
        <f t="shared" si="36"/>
        <v/>
      </c>
      <c r="K97" s="73" t="str">
        <f t="shared" si="38"/>
        <v/>
      </c>
      <c r="L97" s="73" t="str">
        <f t="shared" si="38"/>
        <v/>
      </c>
      <c r="M97" s="73" t="str">
        <f t="shared" si="38"/>
        <v/>
      </c>
      <c r="N97" s="73" t="str">
        <f t="shared" si="38"/>
        <v/>
      </c>
      <c r="O97" s="73" t="str">
        <f t="shared" si="38"/>
        <v/>
      </c>
      <c r="P97" s="73" t="str">
        <f t="shared" si="38"/>
        <v/>
      </c>
      <c r="Q97" s="73" t="str">
        <f t="shared" si="38"/>
        <v/>
      </c>
      <c r="R97" s="73" t="str">
        <f t="shared" si="37"/>
        <v/>
      </c>
      <c r="S97" s="73" t="str">
        <f t="shared" si="37"/>
        <v/>
      </c>
      <c r="T97" s="73" t="str">
        <f t="shared" si="37"/>
        <v/>
      </c>
      <c r="U97" s="73" t="str">
        <f t="shared" si="37"/>
        <v/>
      </c>
      <c r="V97" s="73" t="str">
        <f t="shared" si="37"/>
        <v/>
      </c>
      <c r="W97" s="73" t="str">
        <f t="shared" si="37"/>
        <v/>
      </c>
      <c r="X97" s="73" t="str">
        <f t="shared" si="37"/>
        <v/>
      </c>
      <c r="Y97" s="73" t="str">
        <f t="shared" si="37"/>
        <v/>
      </c>
      <c r="Z97" s="73" t="str">
        <f t="shared" si="37"/>
        <v/>
      </c>
      <c r="AA97" s="73" t="str">
        <f t="shared" si="37"/>
        <v/>
      </c>
      <c r="AB97" s="74" t="str">
        <f t="shared" si="37"/>
        <v/>
      </c>
      <c r="AC97" s="35" t="str">
        <f t="shared" si="31"/>
        <v/>
      </c>
      <c r="AD97" s="40" t="str">
        <f t="shared" si="32"/>
        <v/>
      </c>
      <c r="AE97" s="37" t="str">
        <f t="shared" si="33"/>
        <v/>
      </c>
      <c r="AF97" s="40" t="str">
        <f t="shared" si="26"/>
        <v/>
      </c>
      <c r="AG97" s="37" t="str">
        <f t="shared" si="27"/>
        <v/>
      </c>
      <c r="AH97" s="40" t="str">
        <f t="shared" si="28"/>
        <v/>
      </c>
      <c r="AI97" s="37" t="str">
        <f t="shared" si="34"/>
        <v/>
      </c>
      <c r="AJ97" s="40" t="str">
        <f t="shared" si="35"/>
        <v/>
      </c>
      <c r="AK97" s="33" t="str">
        <f>IF(SEM!AK97="","",SEM!AK97)</f>
        <v/>
      </c>
      <c r="AL97" s="6"/>
      <c r="AM97" s="79" t="str">
        <f t="shared" si="29"/>
        <v/>
      </c>
      <c r="AN97" s="12"/>
      <c r="AO97" s="12"/>
      <c r="AP97" s="14"/>
      <c r="AQ97" s="16"/>
      <c r="AR97" s="15"/>
      <c r="AU97" s="198"/>
      <c r="AV97" s="198"/>
      <c r="AW97" s="198"/>
      <c r="AX97" s="198"/>
    </row>
    <row r="98" spans="2:50" ht="17.25" customHeight="1" x14ac:dyDescent="0.2">
      <c r="B98" s="6"/>
      <c r="C98" s="49" t="str">
        <f>IF(SEM!C98="","",SEM!C98)</f>
        <v/>
      </c>
      <c r="D98" s="220" t="str">
        <f>IF(C98="","",VLOOKUP(SEM!C98,FROTA!$B$5:$C$305,2,0))</f>
        <v/>
      </c>
      <c r="E98" s="24" t="str">
        <f>IF(C98="","",VLOOKUP(C98,FROTA!$B$5:$N$305,7,0))</f>
        <v/>
      </c>
      <c r="F98" s="38" t="str">
        <f t="shared" si="25"/>
        <v/>
      </c>
      <c r="G98" s="71" t="str">
        <f t="shared" si="30"/>
        <v/>
      </c>
      <c r="H98" s="32" t="str">
        <f t="shared" si="36"/>
        <v/>
      </c>
      <c r="I98" s="73" t="str">
        <f t="shared" si="36"/>
        <v/>
      </c>
      <c r="J98" s="73" t="str">
        <f t="shared" si="36"/>
        <v/>
      </c>
      <c r="K98" s="73" t="str">
        <f t="shared" si="38"/>
        <v/>
      </c>
      <c r="L98" s="73" t="str">
        <f t="shared" si="38"/>
        <v/>
      </c>
      <c r="M98" s="73" t="str">
        <f t="shared" si="38"/>
        <v/>
      </c>
      <c r="N98" s="73" t="str">
        <f t="shared" si="38"/>
        <v/>
      </c>
      <c r="O98" s="73" t="str">
        <f t="shared" si="38"/>
        <v/>
      </c>
      <c r="P98" s="73" t="str">
        <f t="shared" si="38"/>
        <v/>
      </c>
      <c r="Q98" s="73" t="str">
        <f t="shared" si="38"/>
        <v/>
      </c>
      <c r="R98" s="73" t="str">
        <f t="shared" si="37"/>
        <v/>
      </c>
      <c r="S98" s="73" t="str">
        <f t="shared" si="37"/>
        <v/>
      </c>
      <c r="T98" s="73" t="str">
        <f t="shared" si="37"/>
        <v/>
      </c>
      <c r="U98" s="73" t="str">
        <f t="shared" si="37"/>
        <v/>
      </c>
      <c r="V98" s="73" t="str">
        <f t="shared" si="37"/>
        <v/>
      </c>
      <c r="W98" s="73" t="str">
        <f t="shared" si="37"/>
        <v/>
      </c>
      <c r="X98" s="73" t="str">
        <f t="shared" si="37"/>
        <v/>
      </c>
      <c r="Y98" s="73" t="str">
        <f t="shared" si="37"/>
        <v/>
      </c>
      <c r="Z98" s="73" t="str">
        <f t="shared" si="37"/>
        <v/>
      </c>
      <c r="AA98" s="73" t="str">
        <f t="shared" si="37"/>
        <v/>
      </c>
      <c r="AB98" s="74" t="str">
        <f t="shared" si="37"/>
        <v/>
      </c>
      <c r="AC98" s="35" t="str">
        <f t="shared" si="31"/>
        <v/>
      </c>
      <c r="AD98" s="40" t="str">
        <f t="shared" si="32"/>
        <v/>
      </c>
      <c r="AE98" s="37" t="str">
        <f t="shared" si="33"/>
        <v/>
      </c>
      <c r="AF98" s="40" t="str">
        <f t="shared" si="26"/>
        <v/>
      </c>
      <c r="AG98" s="37" t="str">
        <f t="shared" si="27"/>
        <v/>
      </c>
      <c r="AH98" s="40" t="str">
        <f t="shared" si="28"/>
        <v/>
      </c>
      <c r="AI98" s="37" t="str">
        <f t="shared" si="34"/>
        <v/>
      </c>
      <c r="AJ98" s="40" t="str">
        <f t="shared" si="35"/>
        <v/>
      </c>
      <c r="AK98" s="33" t="str">
        <f>IF(SEM!AK98="","",SEM!AK98)</f>
        <v/>
      </c>
      <c r="AL98" s="6"/>
      <c r="AM98" s="79" t="str">
        <f t="shared" si="29"/>
        <v/>
      </c>
      <c r="AN98" s="12"/>
      <c r="AO98" s="12"/>
      <c r="AP98" s="14"/>
      <c r="AQ98" s="16"/>
      <c r="AR98" s="15"/>
      <c r="AU98" s="198"/>
      <c r="AV98" s="198"/>
      <c r="AW98" s="198"/>
      <c r="AX98" s="198"/>
    </row>
    <row r="99" spans="2:50" ht="17.25" customHeight="1" x14ac:dyDescent="0.2">
      <c r="B99" s="6"/>
      <c r="C99" s="49" t="str">
        <f>IF(SEM!C99="","",SEM!C99)</f>
        <v/>
      </c>
      <c r="D99" s="220" t="str">
        <f>IF(C99="","",VLOOKUP(SEM!C99,FROTA!$B$5:$C$305,2,0))</f>
        <v/>
      </c>
      <c r="E99" s="24" t="str">
        <f>IF(C99="","",VLOOKUP(C99,FROTA!$B$5:$N$305,7,0))</f>
        <v/>
      </c>
      <c r="F99" s="38" t="str">
        <f t="shared" si="25"/>
        <v/>
      </c>
      <c r="G99" s="71" t="str">
        <f t="shared" si="30"/>
        <v/>
      </c>
      <c r="H99" s="32" t="str">
        <f t="shared" si="36"/>
        <v/>
      </c>
      <c r="I99" s="73" t="str">
        <f t="shared" si="36"/>
        <v/>
      </c>
      <c r="J99" s="73" t="str">
        <f t="shared" si="36"/>
        <v/>
      </c>
      <c r="K99" s="73" t="str">
        <f t="shared" si="38"/>
        <v/>
      </c>
      <c r="L99" s="73" t="str">
        <f t="shared" si="38"/>
        <v/>
      </c>
      <c r="M99" s="73" t="str">
        <f t="shared" si="38"/>
        <v/>
      </c>
      <c r="N99" s="73" t="str">
        <f t="shared" si="38"/>
        <v/>
      </c>
      <c r="O99" s="73" t="str">
        <f t="shared" si="38"/>
        <v/>
      </c>
      <c r="P99" s="73" t="str">
        <f t="shared" si="38"/>
        <v/>
      </c>
      <c r="Q99" s="73" t="str">
        <f t="shared" si="38"/>
        <v/>
      </c>
      <c r="R99" s="73" t="str">
        <f t="shared" si="37"/>
        <v/>
      </c>
      <c r="S99" s="73" t="str">
        <f t="shared" si="37"/>
        <v/>
      </c>
      <c r="T99" s="73" t="str">
        <f t="shared" si="37"/>
        <v/>
      </c>
      <c r="U99" s="73" t="str">
        <f t="shared" si="37"/>
        <v/>
      </c>
      <c r="V99" s="73" t="str">
        <f t="shared" si="37"/>
        <v/>
      </c>
      <c r="W99" s="73" t="str">
        <f t="shared" si="37"/>
        <v/>
      </c>
      <c r="X99" s="73" t="str">
        <f t="shared" si="37"/>
        <v/>
      </c>
      <c r="Y99" s="73" t="str">
        <f t="shared" si="37"/>
        <v/>
      </c>
      <c r="Z99" s="73" t="str">
        <f t="shared" si="37"/>
        <v/>
      </c>
      <c r="AA99" s="73" t="str">
        <f t="shared" si="37"/>
        <v/>
      </c>
      <c r="AB99" s="74" t="str">
        <f t="shared" si="37"/>
        <v/>
      </c>
      <c r="AC99" s="35" t="str">
        <f t="shared" si="31"/>
        <v/>
      </c>
      <c r="AD99" s="40" t="str">
        <f t="shared" si="32"/>
        <v/>
      </c>
      <c r="AE99" s="37" t="str">
        <f t="shared" si="33"/>
        <v/>
      </c>
      <c r="AF99" s="40" t="str">
        <f t="shared" si="26"/>
        <v/>
      </c>
      <c r="AG99" s="37" t="str">
        <f t="shared" si="27"/>
        <v/>
      </c>
      <c r="AH99" s="40" t="str">
        <f t="shared" si="28"/>
        <v/>
      </c>
      <c r="AI99" s="37" t="str">
        <f t="shared" si="34"/>
        <v/>
      </c>
      <c r="AJ99" s="40" t="str">
        <f t="shared" si="35"/>
        <v/>
      </c>
      <c r="AK99" s="33" t="str">
        <f>IF(SEM!AK99="","",SEM!AK99)</f>
        <v/>
      </c>
      <c r="AL99" s="6"/>
      <c r="AM99" s="79" t="str">
        <f t="shared" si="29"/>
        <v/>
      </c>
      <c r="AN99" s="12"/>
      <c r="AO99" s="12"/>
      <c r="AP99" s="14"/>
      <c r="AQ99" s="16"/>
      <c r="AR99" s="15"/>
      <c r="AU99" s="198"/>
      <c r="AV99" s="198"/>
      <c r="AW99" s="198"/>
      <c r="AX99" s="198"/>
    </row>
    <row r="100" spans="2:50" ht="17.25" customHeight="1" x14ac:dyDescent="0.2">
      <c r="B100" s="6"/>
      <c r="C100" s="49" t="str">
        <f>IF(SEM!C100="","",SEM!C100)</f>
        <v/>
      </c>
      <c r="D100" s="220" t="str">
        <f>IF(C100="","",VLOOKUP(SEM!C100,FROTA!$B$5:$C$305,2,0))</f>
        <v/>
      </c>
      <c r="E100" s="24" t="str">
        <f>IF(C100="","",VLOOKUP(C100,FROTA!$B$5:$N$305,7,0))</f>
        <v/>
      </c>
      <c r="F100" s="38" t="str">
        <f t="shared" si="25"/>
        <v/>
      </c>
      <c r="G100" s="71" t="str">
        <f t="shared" si="30"/>
        <v/>
      </c>
      <c r="H100" s="32" t="str">
        <f t="shared" si="36"/>
        <v/>
      </c>
      <c r="I100" s="73" t="str">
        <f t="shared" si="36"/>
        <v/>
      </c>
      <c r="J100" s="73" t="str">
        <f t="shared" si="36"/>
        <v/>
      </c>
      <c r="K100" s="73" t="str">
        <f t="shared" si="38"/>
        <v/>
      </c>
      <c r="L100" s="73" t="str">
        <f t="shared" si="38"/>
        <v/>
      </c>
      <c r="M100" s="73" t="str">
        <f t="shared" si="38"/>
        <v/>
      </c>
      <c r="N100" s="73" t="str">
        <f t="shared" si="38"/>
        <v/>
      </c>
      <c r="O100" s="73" t="str">
        <f t="shared" si="38"/>
        <v/>
      </c>
      <c r="P100" s="73" t="str">
        <f t="shared" si="38"/>
        <v/>
      </c>
      <c r="Q100" s="73" t="str">
        <f t="shared" si="38"/>
        <v/>
      </c>
      <c r="R100" s="73" t="str">
        <f t="shared" si="37"/>
        <v/>
      </c>
      <c r="S100" s="73" t="str">
        <f t="shared" si="37"/>
        <v/>
      </c>
      <c r="T100" s="73" t="str">
        <f t="shared" si="37"/>
        <v/>
      </c>
      <c r="U100" s="73" t="str">
        <f t="shared" si="37"/>
        <v/>
      </c>
      <c r="V100" s="73" t="str">
        <f t="shared" si="37"/>
        <v/>
      </c>
      <c r="W100" s="73" t="str">
        <f t="shared" si="37"/>
        <v/>
      </c>
      <c r="X100" s="73" t="str">
        <f t="shared" si="37"/>
        <v/>
      </c>
      <c r="Y100" s="73" t="str">
        <f t="shared" si="37"/>
        <v/>
      </c>
      <c r="Z100" s="73" t="str">
        <f t="shared" si="37"/>
        <v/>
      </c>
      <c r="AA100" s="73" t="str">
        <f t="shared" si="37"/>
        <v/>
      </c>
      <c r="AB100" s="74" t="str">
        <f t="shared" si="37"/>
        <v/>
      </c>
      <c r="AC100" s="35" t="str">
        <f t="shared" si="31"/>
        <v/>
      </c>
      <c r="AD100" s="40" t="str">
        <f t="shared" si="32"/>
        <v/>
      </c>
      <c r="AE100" s="37" t="str">
        <f t="shared" si="33"/>
        <v/>
      </c>
      <c r="AF100" s="40" t="str">
        <f t="shared" si="26"/>
        <v/>
      </c>
      <c r="AG100" s="37" t="str">
        <f t="shared" si="27"/>
        <v/>
      </c>
      <c r="AH100" s="40" t="str">
        <f t="shared" si="28"/>
        <v/>
      </c>
      <c r="AI100" s="37" t="str">
        <f t="shared" si="34"/>
        <v/>
      </c>
      <c r="AJ100" s="40" t="str">
        <f t="shared" si="35"/>
        <v/>
      </c>
      <c r="AK100" s="33" t="str">
        <f>IF(SEM!AK100="","",SEM!AK100)</f>
        <v/>
      </c>
      <c r="AL100" s="6"/>
      <c r="AM100" s="79" t="str">
        <f t="shared" si="29"/>
        <v/>
      </c>
      <c r="AN100" s="12"/>
      <c r="AO100" s="12"/>
      <c r="AP100" s="14"/>
      <c r="AQ100" s="16"/>
      <c r="AR100" s="15"/>
      <c r="AU100" s="198"/>
      <c r="AV100" s="198"/>
      <c r="AW100" s="198"/>
      <c r="AX100" s="198"/>
    </row>
    <row r="101" spans="2:50" ht="17.25" customHeight="1" x14ac:dyDescent="0.2">
      <c r="B101" s="6"/>
      <c r="C101" s="49" t="str">
        <f>IF(SEM!C101="","",SEM!C101)</f>
        <v/>
      </c>
      <c r="D101" s="220" t="str">
        <f>IF(C101="","",VLOOKUP(SEM!C101,FROTA!$B$5:$C$305,2,0))</f>
        <v/>
      </c>
      <c r="E101" s="24" t="str">
        <f>IF(C101="","",VLOOKUP(C101,FROTA!$B$5:$N$305,7,0))</f>
        <v/>
      </c>
      <c r="F101" s="38" t="str">
        <f t="shared" si="25"/>
        <v/>
      </c>
      <c r="G101" s="71" t="str">
        <f t="shared" si="30"/>
        <v/>
      </c>
      <c r="H101" s="32" t="str">
        <f t="shared" si="36"/>
        <v/>
      </c>
      <c r="I101" s="73" t="str">
        <f t="shared" si="36"/>
        <v/>
      </c>
      <c r="J101" s="73" t="str">
        <f t="shared" si="36"/>
        <v/>
      </c>
      <c r="K101" s="73" t="str">
        <f t="shared" si="38"/>
        <v/>
      </c>
      <c r="L101" s="73" t="str">
        <f t="shared" si="38"/>
        <v/>
      </c>
      <c r="M101" s="73" t="str">
        <f t="shared" si="38"/>
        <v/>
      </c>
      <c r="N101" s="73" t="str">
        <f t="shared" si="38"/>
        <v/>
      </c>
      <c r="O101" s="73" t="str">
        <f t="shared" si="38"/>
        <v/>
      </c>
      <c r="P101" s="73" t="str">
        <f t="shared" si="38"/>
        <v/>
      </c>
      <c r="Q101" s="73" t="str">
        <f t="shared" si="38"/>
        <v/>
      </c>
      <c r="R101" s="73" t="str">
        <f t="shared" si="37"/>
        <v/>
      </c>
      <c r="S101" s="73" t="str">
        <f t="shared" si="37"/>
        <v/>
      </c>
      <c r="T101" s="73" t="str">
        <f t="shared" si="37"/>
        <v/>
      </c>
      <c r="U101" s="73" t="str">
        <f t="shared" si="37"/>
        <v/>
      </c>
      <c r="V101" s="73" t="str">
        <f t="shared" si="37"/>
        <v/>
      </c>
      <c r="W101" s="73" t="str">
        <f t="shared" si="37"/>
        <v/>
      </c>
      <c r="X101" s="73" t="str">
        <f t="shared" si="37"/>
        <v/>
      </c>
      <c r="Y101" s="73" t="str">
        <f t="shared" si="37"/>
        <v/>
      </c>
      <c r="Z101" s="73" t="str">
        <f t="shared" si="37"/>
        <v/>
      </c>
      <c r="AA101" s="73" t="str">
        <f t="shared" si="37"/>
        <v/>
      </c>
      <c r="AB101" s="74" t="str">
        <f t="shared" si="37"/>
        <v/>
      </c>
      <c r="AC101" s="35" t="str">
        <f t="shared" si="31"/>
        <v/>
      </c>
      <c r="AD101" s="40" t="str">
        <f t="shared" si="32"/>
        <v/>
      </c>
      <c r="AE101" s="37" t="str">
        <f t="shared" si="33"/>
        <v/>
      </c>
      <c r="AF101" s="40" t="str">
        <f t="shared" si="26"/>
        <v/>
      </c>
      <c r="AG101" s="37" t="str">
        <f t="shared" si="27"/>
        <v/>
      </c>
      <c r="AH101" s="40" t="str">
        <f t="shared" si="28"/>
        <v/>
      </c>
      <c r="AI101" s="37" t="str">
        <f t="shared" si="34"/>
        <v/>
      </c>
      <c r="AJ101" s="40" t="str">
        <f t="shared" si="35"/>
        <v/>
      </c>
      <c r="AK101" s="33" t="str">
        <f>IF(SEM!AK101="","",SEM!AK101)</f>
        <v/>
      </c>
      <c r="AL101" s="6"/>
      <c r="AM101" s="79" t="str">
        <f t="shared" si="29"/>
        <v/>
      </c>
      <c r="AN101" s="12"/>
      <c r="AO101" s="12"/>
      <c r="AP101" s="14"/>
      <c r="AQ101" s="16"/>
      <c r="AR101" s="15"/>
      <c r="AU101" s="198"/>
      <c r="AV101" s="198"/>
      <c r="AW101" s="198"/>
      <c r="AX101" s="198"/>
    </row>
    <row r="102" spans="2:50" ht="17.25" customHeight="1" x14ac:dyDescent="0.2">
      <c r="B102" s="6"/>
      <c r="C102" s="49" t="str">
        <f>IF(SEM!C102="","",SEM!C102)</f>
        <v/>
      </c>
      <c r="D102" s="220" t="str">
        <f>IF(C102="","",VLOOKUP(SEM!C102,FROTA!$B$5:$C$305,2,0))</f>
        <v/>
      </c>
      <c r="E102" s="24" t="str">
        <f>IF(C102="","",VLOOKUP(C102,FROTA!$B$5:$N$305,7,0))</f>
        <v/>
      </c>
      <c r="F102" s="38" t="str">
        <f t="shared" si="25"/>
        <v/>
      </c>
      <c r="G102" s="71" t="str">
        <f t="shared" si="30"/>
        <v/>
      </c>
      <c r="H102" s="32" t="str">
        <f t="shared" si="36"/>
        <v/>
      </c>
      <c r="I102" s="73" t="str">
        <f t="shared" si="36"/>
        <v/>
      </c>
      <c r="J102" s="73" t="str">
        <f t="shared" si="36"/>
        <v/>
      </c>
      <c r="K102" s="73" t="str">
        <f t="shared" si="38"/>
        <v/>
      </c>
      <c r="L102" s="73" t="str">
        <f t="shared" si="38"/>
        <v/>
      </c>
      <c r="M102" s="73" t="str">
        <f t="shared" si="38"/>
        <v/>
      </c>
      <c r="N102" s="73" t="str">
        <f t="shared" si="38"/>
        <v/>
      </c>
      <c r="O102" s="73" t="str">
        <f t="shared" si="38"/>
        <v/>
      </c>
      <c r="P102" s="73" t="str">
        <f t="shared" si="38"/>
        <v/>
      </c>
      <c r="Q102" s="73" t="str">
        <f t="shared" si="38"/>
        <v/>
      </c>
      <c r="R102" s="73" t="str">
        <f t="shared" si="37"/>
        <v/>
      </c>
      <c r="S102" s="73" t="str">
        <f t="shared" si="37"/>
        <v/>
      </c>
      <c r="T102" s="73" t="str">
        <f t="shared" si="37"/>
        <v/>
      </c>
      <c r="U102" s="73" t="str">
        <f t="shared" si="37"/>
        <v/>
      </c>
      <c r="V102" s="73" t="str">
        <f t="shared" si="37"/>
        <v/>
      </c>
      <c r="W102" s="73" t="str">
        <f t="shared" si="37"/>
        <v/>
      </c>
      <c r="X102" s="73" t="str">
        <f t="shared" si="37"/>
        <v/>
      </c>
      <c r="Y102" s="73" t="str">
        <f t="shared" si="37"/>
        <v/>
      </c>
      <c r="Z102" s="73" t="str">
        <f t="shared" si="37"/>
        <v/>
      </c>
      <c r="AA102" s="73" t="str">
        <f t="shared" si="37"/>
        <v/>
      </c>
      <c r="AB102" s="74" t="str">
        <f t="shared" si="37"/>
        <v/>
      </c>
      <c r="AC102" s="35" t="str">
        <f t="shared" si="31"/>
        <v/>
      </c>
      <c r="AD102" s="40" t="str">
        <f t="shared" si="32"/>
        <v/>
      </c>
      <c r="AE102" s="37" t="str">
        <f t="shared" si="33"/>
        <v/>
      </c>
      <c r="AF102" s="40" t="str">
        <f t="shared" si="26"/>
        <v/>
      </c>
      <c r="AG102" s="37" t="str">
        <f t="shared" si="27"/>
        <v/>
      </c>
      <c r="AH102" s="40" t="str">
        <f t="shared" si="28"/>
        <v/>
      </c>
      <c r="AI102" s="37" t="str">
        <f t="shared" si="34"/>
        <v/>
      </c>
      <c r="AJ102" s="40" t="str">
        <f t="shared" si="35"/>
        <v/>
      </c>
      <c r="AK102" s="33" t="str">
        <f>IF(SEM!AK102="","",SEM!AK102)</f>
        <v/>
      </c>
      <c r="AL102" s="6"/>
      <c r="AM102" s="79" t="str">
        <f t="shared" si="29"/>
        <v/>
      </c>
      <c r="AN102" s="12"/>
      <c r="AO102" s="12"/>
      <c r="AP102" s="14"/>
      <c r="AQ102" s="16"/>
      <c r="AR102" s="15"/>
      <c r="AU102" s="198"/>
      <c r="AV102" s="198"/>
      <c r="AW102" s="198"/>
      <c r="AX102" s="198"/>
    </row>
    <row r="103" spans="2:50" ht="17.25" customHeight="1" x14ac:dyDescent="0.2">
      <c r="B103" s="6"/>
      <c r="C103" s="49" t="str">
        <f>IF(SEM!C103="","",SEM!C103)</f>
        <v/>
      </c>
      <c r="D103" s="220" t="str">
        <f>IF(C103="","",VLOOKUP(SEM!C103,FROTA!$B$5:$C$305,2,0))</f>
        <v/>
      </c>
      <c r="E103" s="24" t="str">
        <f>IF(C103="","",VLOOKUP(C103,FROTA!$B$5:$N$305,7,0))</f>
        <v/>
      </c>
      <c r="F103" s="38" t="str">
        <f t="shared" si="25"/>
        <v/>
      </c>
      <c r="G103" s="71" t="str">
        <f t="shared" si="30"/>
        <v/>
      </c>
      <c r="H103" s="32" t="str">
        <f t="shared" si="36"/>
        <v/>
      </c>
      <c r="I103" s="73" t="str">
        <f t="shared" si="36"/>
        <v/>
      </c>
      <c r="J103" s="73" t="str">
        <f t="shared" si="36"/>
        <v/>
      </c>
      <c r="K103" s="73" t="str">
        <f t="shared" si="38"/>
        <v/>
      </c>
      <c r="L103" s="73" t="str">
        <f t="shared" si="38"/>
        <v/>
      </c>
      <c r="M103" s="73" t="str">
        <f t="shared" si="38"/>
        <v/>
      </c>
      <c r="N103" s="73" t="str">
        <f t="shared" si="38"/>
        <v/>
      </c>
      <c r="O103" s="73" t="str">
        <f t="shared" si="38"/>
        <v/>
      </c>
      <c r="P103" s="73" t="str">
        <f t="shared" si="38"/>
        <v/>
      </c>
      <c r="Q103" s="73" t="str">
        <f t="shared" si="38"/>
        <v/>
      </c>
      <c r="R103" s="73" t="str">
        <f t="shared" si="37"/>
        <v/>
      </c>
      <c r="S103" s="73" t="str">
        <f t="shared" si="37"/>
        <v/>
      </c>
      <c r="T103" s="73" t="str">
        <f t="shared" si="37"/>
        <v/>
      </c>
      <c r="U103" s="73" t="str">
        <f t="shared" si="37"/>
        <v/>
      </c>
      <c r="V103" s="73" t="str">
        <f t="shared" si="37"/>
        <v/>
      </c>
      <c r="W103" s="73" t="str">
        <f t="shared" si="37"/>
        <v/>
      </c>
      <c r="X103" s="73" t="str">
        <f t="shared" si="37"/>
        <v/>
      </c>
      <c r="Y103" s="73" t="str">
        <f t="shared" si="37"/>
        <v/>
      </c>
      <c r="Z103" s="73" t="str">
        <f t="shared" si="37"/>
        <v/>
      </c>
      <c r="AA103" s="73" t="str">
        <f t="shared" si="37"/>
        <v/>
      </c>
      <c r="AB103" s="74" t="str">
        <f t="shared" si="37"/>
        <v/>
      </c>
      <c r="AC103" s="35" t="str">
        <f t="shared" si="31"/>
        <v/>
      </c>
      <c r="AD103" s="40" t="str">
        <f t="shared" si="32"/>
        <v/>
      </c>
      <c r="AE103" s="37" t="str">
        <f t="shared" si="33"/>
        <v/>
      </c>
      <c r="AF103" s="40" t="str">
        <f t="shared" si="26"/>
        <v/>
      </c>
      <c r="AG103" s="37" t="str">
        <f t="shared" si="27"/>
        <v/>
      </c>
      <c r="AH103" s="40" t="str">
        <f t="shared" si="28"/>
        <v/>
      </c>
      <c r="AI103" s="37" t="str">
        <f t="shared" si="34"/>
        <v/>
      </c>
      <c r="AJ103" s="40" t="str">
        <f t="shared" si="35"/>
        <v/>
      </c>
      <c r="AK103" s="33" t="str">
        <f>IF(SEM!AK103="","",SEM!AK103)</f>
        <v/>
      </c>
      <c r="AL103" s="6"/>
      <c r="AM103" s="79" t="str">
        <f t="shared" si="29"/>
        <v/>
      </c>
      <c r="AN103" s="12"/>
      <c r="AO103" s="12"/>
      <c r="AP103" s="14"/>
      <c r="AQ103" s="16"/>
      <c r="AR103" s="15"/>
      <c r="AU103" s="198"/>
      <c r="AV103" s="198"/>
      <c r="AW103" s="198"/>
      <c r="AX103" s="198"/>
    </row>
    <row r="104" spans="2:50" ht="17.25" customHeight="1" x14ac:dyDescent="0.2">
      <c r="B104" s="6"/>
      <c r="C104" s="49" t="str">
        <f>IF(SEM!C104="","",SEM!C104)</f>
        <v/>
      </c>
      <c r="D104" s="220" t="str">
        <f>IF(C104="","",VLOOKUP(SEM!C104,FROTA!$B$5:$C$305,2,0))</f>
        <v/>
      </c>
      <c r="E104" s="24" t="str">
        <f>IF(C104="","",VLOOKUP(C104,FROTA!$B$5:$N$305,7,0))</f>
        <v/>
      </c>
      <c r="F104" s="38" t="str">
        <f t="shared" si="25"/>
        <v/>
      </c>
      <c r="G104" s="71" t="str">
        <f t="shared" si="30"/>
        <v/>
      </c>
      <c r="H104" s="32" t="str">
        <f t="shared" si="36"/>
        <v/>
      </c>
      <c r="I104" s="73" t="str">
        <f t="shared" si="36"/>
        <v/>
      </c>
      <c r="J104" s="73" t="str">
        <f t="shared" si="36"/>
        <v/>
      </c>
      <c r="K104" s="73" t="str">
        <f t="shared" si="38"/>
        <v/>
      </c>
      <c r="L104" s="73" t="str">
        <f t="shared" si="38"/>
        <v/>
      </c>
      <c r="M104" s="73" t="str">
        <f t="shared" si="38"/>
        <v/>
      </c>
      <c r="N104" s="73" t="str">
        <f t="shared" si="38"/>
        <v/>
      </c>
      <c r="O104" s="73" t="str">
        <f t="shared" si="38"/>
        <v/>
      </c>
      <c r="P104" s="73" t="str">
        <f t="shared" si="38"/>
        <v/>
      </c>
      <c r="Q104" s="73" t="str">
        <f t="shared" si="38"/>
        <v/>
      </c>
      <c r="R104" s="73" t="str">
        <f t="shared" si="37"/>
        <v/>
      </c>
      <c r="S104" s="73" t="str">
        <f t="shared" si="37"/>
        <v/>
      </c>
      <c r="T104" s="73" t="str">
        <f t="shared" si="37"/>
        <v/>
      </c>
      <c r="U104" s="73" t="str">
        <f t="shared" si="37"/>
        <v/>
      </c>
      <c r="V104" s="73" t="str">
        <f t="shared" si="37"/>
        <v/>
      </c>
      <c r="W104" s="73" t="str">
        <f t="shared" si="37"/>
        <v/>
      </c>
      <c r="X104" s="73" t="str">
        <f t="shared" si="37"/>
        <v/>
      </c>
      <c r="Y104" s="73" t="str">
        <f t="shared" si="37"/>
        <v/>
      </c>
      <c r="Z104" s="73" t="str">
        <f t="shared" si="37"/>
        <v/>
      </c>
      <c r="AA104" s="73" t="str">
        <f t="shared" si="37"/>
        <v/>
      </c>
      <c r="AB104" s="74" t="str">
        <f t="shared" si="37"/>
        <v/>
      </c>
      <c r="AC104" s="35" t="str">
        <f t="shared" si="31"/>
        <v/>
      </c>
      <c r="AD104" s="40" t="str">
        <f t="shared" si="32"/>
        <v/>
      </c>
      <c r="AE104" s="37" t="str">
        <f t="shared" si="33"/>
        <v/>
      </c>
      <c r="AF104" s="40" t="str">
        <f t="shared" si="26"/>
        <v/>
      </c>
      <c r="AG104" s="37" t="str">
        <f t="shared" si="27"/>
        <v/>
      </c>
      <c r="AH104" s="40" t="str">
        <f t="shared" si="28"/>
        <v/>
      </c>
      <c r="AI104" s="37" t="str">
        <f t="shared" si="34"/>
        <v/>
      </c>
      <c r="AJ104" s="40" t="str">
        <f t="shared" si="35"/>
        <v/>
      </c>
      <c r="AK104" s="33" t="str">
        <f>IF(SEM!AK104="","",SEM!AK104)</f>
        <v/>
      </c>
      <c r="AL104" s="6"/>
      <c r="AM104" s="79" t="str">
        <f t="shared" si="29"/>
        <v/>
      </c>
      <c r="AN104" s="12"/>
      <c r="AO104" s="12"/>
      <c r="AP104" s="14"/>
      <c r="AQ104" s="16"/>
      <c r="AR104" s="15"/>
      <c r="AU104" s="198"/>
      <c r="AV104" s="198"/>
      <c r="AW104" s="198"/>
      <c r="AX104" s="198"/>
    </row>
    <row r="105" spans="2:50" ht="17.25" customHeight="1" x14ac:dyDescent="0.2">
      <c r="B105" s="6"/>
      <c r="C105" s="49" t="str">
        <f>IF(SEM!C105="","",SEM!C105)</f>
        <v/>
      </c>
      <c r="D105" s="220" t="str">
        <f>IF(C105="","",VLOOKUP(SEM!C105,FROTA!$B$5:$C$305,2,0))</f>
        <v/>
      </c>
      <c r="E105" s="24" t="str">
        <f>IF(C105="","",VLOOKUP(C105,FROTA!$B$5:$N$305,7,0))</f>
        <v/>
      </c>
      <c r="F105" s="38" t="str">
        <f t="shared" si="25"/>
        <v/>
      </c>
      <c r="G105" s="71" t="str">
        <f t="shared" si="30"/>
        <v/>
      </c>
      <c r="H105" s="32" t="str">
        <f t="shared" si="36"/>
        <v/>
      </c>
      <c r="I105" s="73" t="str">
        <f t="shared" si="36"/>
        <v/>
      </c>
      <c r="J105" s="73" t="str">
        <f t="shared" si="36"/>
        <v/>
      </c>
      <c r="K105" s="73" t="str">
        <f t="shared" si="38"/>
        <v/>
      </c>
      <c r="L105" s="73" t="str">
        <f t="shared" si="38"/>
        <v/>
      </c>
      <c r="M105" s="73" t="str">
        <f t="shared" si="38"/>
        <v/>
      </c>
      <c r="N105" s="73" t="str">
        <f t="shared" si="38"/>
        <v/>
      </c>
      <c r="O105" s="73" t="str">
        <f t="shared" si="38"/>
        <v/>
      </c>
      <c r="P105" s="73" t="str">
        <f t="shared" si="38"/>
        <v/>
      </c>
      <c r="Q105" s="73" t="str">
        <f t="shared" si="38"/>
        <v/>
      </c>
      <c r="R105" s="73" t="str">
        <f t="shared" si="37"/>
        <v/>
      </c>
      <c r="S105" s="73" t="str">
        <f t="shared" si="37"/>
        <v/>
      </c>
      <c r="T105" s="73" t="str">
        <f t="shared" si="37"/>
        <v/>
      </c>
      <c r="U105" s="73" t="str">
        <f t="shared" si="37"/>
        <v/>
      </c>
      <c r="V105" s="73" t="str">
        <f t="shared" si="37"/>
        <v/>
      </c>
      <c r="W105" s="73" t="str">
        <f t="shared" si="37"/>
        <v/>
      </c>
      <c r="X105" s="73" t="str">
        <f t="shared" si="37"/>
        <v/>
      </c>
      <c r="Y105" s="73" t="str">
        <f t="shared" si="37"/>
        <v/>
      </c>
      <c r="Z105" s="73" t="str">
        <f t="shared" si="37"/>
        <v/>
      </c>
      <c r="AA105" s="73" t="str">
        <f t="shared" si="37"/>
        <v/>
      </c>
      <c r="AB105" s="74" t="str">
        <f t="shared" si="37"/>
        <v/>
      </c>
      <c r="AC105" s="35" t="str">
        <f t="shared" si="31"/>
        <v/>
      </c>
      <c r="AD105" s="40" t="str">
        <f t="shared" si="32"/>
        <v/>
      </c>
      <c r="AE105" s="37" t="str">
        <f t="shared" si="33"/>
        <v/>
      </c>
      <c r="AF105" s="40" t="str">
        <f t="shared" si="26"/>
        <v/>
      </c>
      <c r="AG105" s="37" t="str">
        <f t="shared" si="27"/>
        <v/>
      </c>
      <c r="AH105" s="40" t="str">
        <f t="shared" si="28"/>
        <v/>
      </c>
      <c r="AI105" s="37" t="str">
        <f t="shared" si="34"/>
        <v/>
      </c>
      <c r="AJ105" s="40" t="str">
        <f t="shared" si="35"/>
        <v/>
      </c>
      <c r="AK105" s="33" t="str">
        <f>IF(SEM!AK105="","",SEM!AK105)</f>
        <v/>
      </c>
      <c r="AL105" s="6"/>
      <c r="AM105" s="79" t="str">
        <f t="shared" si="29"/>
        <v/>
      </c>
      <c r="AN105" s="12"/>
      <c r="AO105" s="12"/>
      <c r="AP105" s="14"/>
      <c r="AQ105" s="16"/>
      <c r="AR105" s="15"/>
      <c r="AU105" s="198"/>
      <c r="AV105" s="198"/>
      <c r="AW105" s="198"/>
      <c r="AX105" s="198"/>
    </row>
    <row r="106" spans="2:50" ht="17.25" customHeight="1" x14ac:dyDescent="0.2">
      <c r="B106" s="6"/>
      <c r="C106" s="49" t="str">
        <f>IF(SEM!C106="","",SEM!C106)</f>
        <v/>
      </c>
      <c r="D106" s="220" t="str">
        <f>IF(C106="","",VLOOKUP(SEM!C106,FROTA!$B$5:$C$305,2,0))</f>
        <v/>
      </c>
      <c r="E106" s="24" t="str">
        <f>IF(C106="","",VLOOKUP(C106,FROTA!$B$5:$N$305,7,0))</f>
        <v/>
      </c>
      <c r="F106" s="38" t="str">
        <f t="shared" si="25"/>
        <v/>
      </c>
      <c r="G106" s="71" t="str">
        <f t="shared" si="30"/>
        <v/>
      </c>
      <c r="H106" s="32" t="str">
        <f t="shared" si="36"/>
        <v/>
      </c>
      <c r="I106" s="73" t="str">
        <f t="shared" si="36"/>
        <v/>
      </c>
      <c r="J106" s="73" t="str">
        <f t="shared" si="36"/>
        <v/>
      </c>
      <c r="K106" s="73" t="str">
        <f t="shared" si="38"/>
        <v/>
      </c>
      <c r="L106" s="73" t="str">
        <f t="shared" si="38"/>
        <v/>
      </c>
      <c r="M106" s="73" t="str">
        <f t="shared" si="38"/>
        <v/>
      </c>
      <c r="N106" s="73" t="str">
        <f t="shared" si="38"/>
        <v/>
      </c>
      <c r="O106" s="73" t="str">
        <f t="shared" si="38"/>
        <v/>
      </c>
      <c r="P106" s="73" t="str">
        <f t="shared" si="38"/>
        <v/>
      </c>
      <c r="Q106" s="73" t="str">
        <f t="shared" si="38"/>
        <v/>
      </c>
      <c r="R106" s="73" t="str">
        <f t="shared" si="37"/>
        <v/>
      </c>
      <c r="S106" s="73" t="str">
        <f t="shared" si="37"/>
        <v/>
      </c>
      <c r="T106" s="73" t="str">
        <f t="shared" si="37"/>
        <v/>
      </c>
      <c r="U106" s="73" t="str">
        <f t="shared" si="37"/>
        <v/>
      </c>
      <c r="V106" s="73" t="str">
        <f t="shared" si="37"/>
        <v/>
      </c>
      <c r="W106" s="73" t="str">
        <f t="shared" si="37"/>
        <v/>
      </c>
      <c r="X106" s="73" t="str">
        <f t="shared" si="37"/>
        <v/>
      </c>
      <c r="Y106" s="73" t="str">
        <f t="shared" si="37"/>
        <v/>
      </c>
      <c r="Z106" s="73" t="str">
        <f t="shared" si="37"/>
        <v/>
      </c>
      <c r="AA106" s="73" t="str">
        <f t="shared" si="37"/>
        <v/>
      </c>
      <c r="AB106" s="74" t="str">
        <f t="shared" si="37"/>
        <v/>
      </c>
      <c r="AC106" s="35" t="str">
        <f t="shared" si="31"/>
        <v/>
      </c>
      <c r="AD106" s="40" t="str">
        <f t="shared" si="32"/>
        <v/>
      </c>
      <c r="AE106" s="37" t="str">
        <f t="shared" si="33"/>
        <v/>
      </c>
      <c r="AF106" s="40" t="str">
        <f t="shared" si="26"/>
        <v/>
      </c>
      <c r="AG106" s="37" t="str">
        <f t="shared" si="27"/>
        <v/>
      </c>
      <c r="AH106" s="40" t="str">
        <f t="shared" si="28"/>
        <v/>
      </c>
      <c r="AI106" s="37" t="str">
        <f t="shared" si="34"/>
        <v/>
      </c>
      <c r="AJ106" s="40" t="str">
        <f t="shared" si="35"/>
        <v/>
      </c>
      <c r="AK106" s="33" t="str">
        <f>IF(SEM!AK106="","",SEM!AK106)</f>
        <v/>
      </c>
      <c r="AL106" s="6"/>
      <c r="AM106" s="79" t="str">
        <f t="shared" si="29"/>
        <v/>
      </c>
      <c r="AN106" s="12"/>
      <c r="AO106" s="12"/>
      <c r="AP106" s="14"/>
      <c r="AQ106" s="16"/>
      <c r="AR106" s="15"/>
      <c r="AU106" s="198"/>
      <c r="AV106" s="198"/>
      <c r="AW106" s="198"/>
      <c r="AX106" s="198"/>
    </row>
    <row r="107" spans="2:50" ht="17.25" customHeight="1" x14ac:dyDescent="0.2">
      <c r="B107" s="6"/>
      <c r="C107" s="49" t="str">
        <f>IF(SEM!C107="","",SEM!C107)</f>
        <v/>
      </c>
      <c r="D107" s="220" t="str">
        <f>IF(C107="","",VLOOKUP(SEM!C107,FROTA!$B$5:$C$305,2,0))</f>
        <v/>
      </c>
      <c r="E107" s="24" t="str">
        <f>IF(C107="","",VLOOKUP(C107,FROTA!$B$5:$N$305,7,0))</f>
        <v/>
      </c>
      <c r="F107" s="38" t="str">
        <f t="shared" si="25"/>
        <v/>
      </c>
      <c r="G107" s="71" t="str">
        <f t="shared" si="30"/>
        <v/>
      </c>
      <c r="H107" s="32" t="str">
        <f t="shared" si="36"/>
        <v/>
      </c>
      <c r="I107" s="73" t="str">
        <f t="shared" si="36"/>
        <v/>
      </c>
      <c r="J107" s="73" t="str">
        <f t="shared" si="36"/>
        <v/>
      </c>
      <c r="K107" s="73" t="str">
        <f t="shared" si="38"/>
        <v/>
      </c>
      <c r="L107" s="73" t="str">
        <f t="shared" si="38"/>
        <v/>
      </c>
      <c r="M107" s="73" t="str">
        <f t="shared" si="38"/>
        <v/>
      </c>
      <c r="N107" s="73" t="str">
        <f t="shared" si="38"/>
        <v/>
      </c>
      <c r="O107" s="73" t="str">
        <f t="shared" si="38"/>
        <v/>
      </c>
      <c r="P107" s="73" t="str">
        <f t="shared" si="38"/>
        <v/>
      </c>
      <c r="Q107" s="73" t="str">
        <f t="shared" si="38"/>
        <v/>
      </c>
      <c r="R107" s="73" t="str">
        <f t="shared" si="37"/>
        <v/>
      </c>
      <c r="S107" s="73" t="str">
        <f t="shared" si="37"/>
        <v/>
      </c>
      <c r="T107" s="73" t="str">
        <f t="shared" si="37"/>
        <v/>
      </c>
      <c r="U107" s="73" t="str">
        <f t="shared" si="37"/>
        <v/>
      </c>
      <c r="V107" s="73" t="str">
        <f t="shared" si="37"/>
        <v/>
      </c>
      <c r="W107" s="73" t="str">
        <f t="shared" si="37"/>
        <v/>
      </c>
      <c r="X107" s="73" t="str">
        <f t="shared" si="37"/>
        <v/>
      </c>
      <c r="Y107" s="73" t="str">
        <f t="shared" si="37"/>
        <v/>
      </c>
      <c r="Z107" s="73" t="str">
        <f t="shared" si="37"/>
        <v/>
      </c>
      <c r="AA107" s="73" t="str">
        <f t="shared" si="37"/>
        <v/>
      </c>
      <c r="AB107" s="74" t="str">
        <f t="shared" si="37"/>
        <v/>
      </c>
      <c r="AC107" s="35" t="str">
        <f t="shared" si="31"/>
        <v/>
      </c>
      <c r="AD107" s="40" t="str">
        <f t="shared" si="32"/>
        <v/>
      </c>
      <c r="AE107" s="37" t="str">
        <f t="shared" si="33"/>
        <v/>
      </c>
      <c r="AF107" s="40" t="str">
        <f t="shared" si="26"/>
        <v/>
      </c>
      <c r="AG107" s="37" t="str">
        <f t="shared" si="27"/>
        <v/>
      </c>
      <c r="AH107" s="40" t="str">
        <f t="shared" si="28"/>
        <v/>
      </c>
      <c r="AI107" s="37" t="str">
        <f t="shared" si="34"/>
        <v/>
      </c>
      <c r="AJ107" s="40" t="str">
        <f t="shared" si="35"/>
        <v/>
      </c>
      <c r="AK107" s="33" t="str">
        <f>IF(SEM!AK107="","",SEM!AK107)</f>
        <v/>
      </c>
      <c r="AL107" s="6"/>
      <c r="AM107" s="79" t="str">
        <f t="shared" si="29"/>
        <v/>
      </c>
      <c r="AN107" s="12"/>
      <c r="AO107" s="12"/>
      <c r="AP107" s="14"/>
      <c r="AQ107" s="16"/>
      <c r="AR107" s="15"/>
      <c r="AU107" s="198"/>
      <c r="AV107" s="198"/>
      <c r="AW107" s="198"/>
      <c r="AX107" s="198"/>
    </row>
    <row r="108" spans="2:50" ht="17.25" customHeight="1" x14ac:dyDescent="0.2">
      <c r="B108" s="6"/>
      <c r="C108" s="49" t="str">
        <f>IF(SEM!C108="","",SEM!C108)</f>
        <v/>
      </c>
      <c r="D108" s="220" t="str">
        <f>IF(C108="","",VLOOKUP(SEM!C108,FROTA!$B$5:$C$305,2,0))</f>
        <v/>
      </c>
      <c r="E108" s="24" t="str">
        <f>IF(C108="","",VLOOKUP(C108,FROTA!$B$5:$N$305,7,0))</f>
        <v/>
      </c>
      <c r="F108" s="38" t="str">
        <f t="shared" si="25"/>
        <v/>
      </c>
      <c r="G108" s="71" t="str">
        <f t="shared" si="30"/>
        <v/>
      </c>
      <c r="H108" s="32" t="str">
        <f t="shared" si="36"/>
        <v/>
      </c>
      <c r="I108" s="73" t="str">
        <f t="shared" si="36"/>
        <v/>
      </c>
      <c r="J108" s="73" t="str">
        <f t="shared" si="36"/>
        <v/>
      </c>
      <c r="K108" s="73" t="str">
        <f t="shared" si="38"/>
        <v/>
      </c>
      <c r="L108" s="73" t="str">
        <f t="shared" si="38"/>
        <v/>
      </c>
      <c r="M108" s="73" t="str">
        <f t="shared" si="38"/>
        <v/>
      </c>
      <c r="N108" s="73" t="str">
        <f t="shared" si="38"/>
        <v/>
      </c>
      <c r="O108" s="73" t="str">
        <f t="shared" si="38"/>
        <v/>
      </c>
      <c r="P108" s="73" t="str">
        <f t="shared" si="38"/>
        <v/>
      </c>
      <c r="Q108" s="73" t="str">
        <f t="shared" si="38"/>
        <v/>
      </c>
      <c r="R108" s="73" t="str">
        <f t="shared" si="37"/>
        <v/>
      </c>
      <c r="S108" s="73" t="str">
        <f t="shared" si="37"/>
        <v/>
      </c>
      <c r="T108" s="73" t="str">
        <f t="shared" si="37"/>
        <v/>
      </c>
      <c r="U108" s="73" t="str">
        <f t="shared" si="37"/>
        <v/>
      </c>
      <c r="V108" s="73" t="str">
        <f t="shared" si="37"/>
        <v/>
      </c>
      <c r="W108" s="73" t="str">
        <f t="shared" si="37"/>
        <v/>
      </c>
      <c r="X108" s="73" t="str">
        <f t="shared" si="37"/>
        <v/>
      </c>
      <c r="Y108" s="73" t="str">
        <f t="shared" si="37"/>
        <v/>
      </c>
      <c r="Z108" s="73" t="str">
        <f t="shared" si="37"/>
        <v/>
      </c>
      <c r="AA108" s="73" t="str">
        <f t="shared" si="37"/>
        <v/>
      </c>
      <c r="AB108" s="74" t="str">
        <f t="shared" si="37"/>
        <v/>
      </c>
      <c r="AC108" s="35" t="str">
        <f t="shared" si="31"/>
        <v/>
      </c>
      <c r="AD108" s="40" t="str">
        <f t="shared" si="32"/>
        <v/>
      </c>
      <c r="AE108" s="37" t="str">
        <f t="shared" si="33"/>
        <v/>
      </c>
      <c r="AF108" s="40" t="str">
        <f t="shared" si="26"/>
        <v/>
      </c>
      <c r="AG108" s="37" t="str">
        <f t="shared" si="27"/>
        <v/>
      </c>
      <c r="AH108" s="40" t="str">
        <f t="shared" si="28"/>
        <v/>
      </c>
      <c r="AI108" s="37" t="str">
        <f t="shared" si="34"/>
        <v/>
      </c>
      <c r="AJ108" s="40" t="str">
        <f t="shared" si="35"/>
        <v/>
      </c>
      <c r="AK108" s="33" t="str">
        <f>IF(SEM!AK108="","",SEM!AK108)</f>
        <v/>
      </c>
      <c r="AL108" s="6"/>
      <c r="AM108" s="79" t="str">
        <f t="shared" si="29"/>
        <v/>
      </c>
      <c r="AN108" s="12"/>
      <c r="AO108" s="12"/>
      <c r="AP108" s="14"/>
      <c r="AQ108" s="16"/>
      <c r="AR108" s="15"/>
      <c r="AU108" s="198"/>
      <c r="AV108" s="198"/>
      <c r="AW108" s="198"/>
      <c r="AX108" s="198"/>
    </row>
    <row r="109" spans="2:50" ht="17.25" customHeight="1" x14ac:dyDescent="0.2">
      <c r="B109" s="6"/>
      <c r="C109" s="49" t="str">
        <f>IF(SEM!C109="","",SEM!C109)</f>
        <v/>
      </c>
      <c r="D109" s="220" t="str">
        <f>IF(C109="","",VLOOKUP(SEM!C109,FROTA!$B$5:$C$305,2,0))</f>
        <v/>
      </c>
      <c r="E109" s="24" t="str">
        <f>IF(C109="","",VLOOKUP(C109,FROTA!$B$5:$N$305,7,0))</f>
        <v/>
      </c>
      <c r="F109" s="38" t="str">
        <f t="shared" si="25"/>
        <v/>
      </c>
      <c r="G109" s="71" t="str">
        <f t="shared" si="30"/>
        <v/>
      </c>
      <c r="H109" s="32" t="str">
        <f t="shared" si="36"/>
        <v/>
      </c>
      <c r="I109" s="73" t="str">
        <f t="shared" si="36"/>
        <v/>
      </c>
      <c r="J109" s="73" t="str">
        <f t="shared" si="36"/>
        <v/>
      </c>
      <c r="K109" s="73" t="str">
        <f t="shared" si="38"/>
        <v/>
      </c>
      <c r="L109" s="73" t="str">
        <f t="shared" si="38"/>
        <v/>
      </c>
      <c r="M109" s="73" t="str">
        <f t="shared" si="38"/>
        <v/>
      </c>
      <c r="N109" s="73" t="str">
        <f t="shared" si="38"/>
        <v/>
      </c>
      <c r="O109" s="73" t="str">
        <f t="shared" si="38"/>
        <v/>
      </c>
      <c r="P109" s="73" t="str">
        <f t="shared" si="38"/>
        <v/>
      </c>
      <c r="Q109" s="73" t="str">
        <f t="shared" si="38"/>
        <v/>
      </c>
      <c r="R109" s="73" t="str">
        <f t="shared" si="37"/>
        <v/>
      </c>
      <c r="S109" s="73" t="str">
        <f t="shared" si="37"/>
        <v/>
      </c>
      <c r="T109" s="73" t="str">
        <f t="shared" si="37"/>
        <v/>
      </c>
      <c r="U109" s="73" t="str">
        <f t="shared" si="37"/>
        <v/>
      </c>
      <c r="V109" s="73" t="str">
        <f t="shared" si="37"/>
        <v/>
      </c>
      <c r="W109" s="73" t="str">
        <f t="shared" si="37"/>
        <v/>
      </c>
      <c r="X109" s="73" t="str">
        <f t="shared" si="37"/>
        <v/>
      </c>
      <c r="Y109" s="73" t="str">
        <f t="shared" si="37"/>
        <v/>
      </c>
      <c r="Z109" s="73" t="str">
        <f t="shared" si="37"/>
        <v/>
      </c>
      <c r="AA109" s="73" t="str">
        <f t="shared" si="37"/>
        <v/>
      </c>
      <c r="AB109" s="74" t="str">
        <f t="shared" si="37"/>
        <v/>
      </c>
      <c r="AC109" s="35" t="str">
        <f t="shared" si="31"/>
        <v/>
      </c>
      <c r="AD109" s="40" t="str">
        <f t="shared" si="32"/>
        <v/>
      </c>
      <c r="AE109" s="37" t="str">
        <f t="shared" si="33"/>
        <v/>
      </c>
      <c r="AF109" s="40" t="str">
        <f t="shared" si="26"/>
        <v/>
      </c>
      <c r="AG109" s="37" t="str">
        <f t="shared" si="27"/>
        <v/>
      </c>
      <c r="AH109" s="40" t="str">
        <f t="shared" si="28"/>
        <v/>
      </c>
      <c r="AI109" s="37" t="str">
        <f t="shared" si="34"/>
        <v/>
      </c>
      <c r="AJ109" s="40" t="str">
        <f t="shared" si="35"/>
        <v/>
      </c>
      <c r="AK109" s="33" t="str">
        <f>IF(SEM!AK109="","",SEM!AK109)</f>
        <v/>
      </c>
      <c r="AL109" s="6"/>
      <c r="AM109" s="79" t="str">
        <f t="shared" si="29"/>
        <v/>
      </c>
      <c r="AN109" s="12"/>
      <c r="AO109" s="12"/>
      <c r="AP109" s="14"/>
      <c r="AQ109" s="16"/>
      <c r="AR109" s="15"/>
      <c r="AU109" s="198"/>
      <c r="AV109" s="198"/>
      <c r="AW109" s="198"/>
      <c r="AX109" s="198"/>
    </row>
    <row r="110" spans="2:50" ht="17.25" customHeight="1" x14ac:dyDescent="0.2">
      <c r="B110" s="6"/>
      <c r="C110" s="49" t="str">
        <f>IF(SEM!C110="","",SEM!C110)</f>
        <v/>
      </c>
      <c r="D110" s="220" t="str">
        <f>IF(C110="","",VLOOKUP(SEM!C110,FROTA!$B$5:$C$305,2,0))</f>
        <v/>
      </c>
      <c r="E110" s="24" t="str">
        <f>IF(C110="","",VLOOKUP(C110,FROTA!$B$5:$N$305,7,0))</f>
        <v/>
      </c>
      <c r="F110" s="38" t="str">
        <f t="shared" si="25"/>
        <v/>
      </c>
      <c r="G110" s="71" t="str">
        <f t="shared" si="30"/>
        <v/>
      </c>
      <c r="H110" s="32" t="str">
        <f t="shared" si="36"/>
        <v/>
      </c>
      <c r="I110" s="73" t="str">
        <f t="shared" si="36"/>
        <v/>
      </c>
      <c r="J110" s="73" t="str">
        <f t="shared" si="36"/>
        <v/>
      </c>
      <c r="K110" s="73" t="str">
        <f t="shared" si="38"/>
        <v/>
      </c>
      <c r="L110" s="73" t="str">
        <f t="shared" si="38"/>
        <v/>
      </c>
      <c r="M110" s="73" t="str">
        <f t="shared" si="38"/>
        <v/>
      </c>
      <c r="N110" s="73" t="str">
        <f t="shared" si="38"/>
        <v/>
      </c>
      <c r="O110" s="73" t="str">
        <f t="shared" si="38"/>
        <v/>
      </c>
      <c r="P110" s="73" t="str">
        <f t="shared" si="38"/>
        <v/>
      </c>
      <c r="Q110" s="73" t="str">
        <f t="shared" si="38"/>
        <v/>
      </c>
      <c r="R110" s="73" t="str">
        <f t="shared" si="37"/>
        <v/>
      </c>
      <c r="S110" s="73" t="str">
        <f t="shared" si="37"/>
        <v/>
      </c>
      <c r="T110" s="73" t="str">
        <f t="shared" si="37"/>
        <v/>
      </c>
      <c r="U110" s="73" t="str">
        <f t="shared" si="37"/>
        <v/>
      </c>
      <c r="V110" s="73" t="str">
        <f t="shared" si="37"/>
        <v/>
      </c>
      <c r="W110" s="73" t="str">
        <f t="shared" si="37"/>
        <v/>
      </c>
      <c r="X110" s="73" t="str">
        <f t="shared" si="37"/>
        <v/>
      </c>
      <c r="Y110" s="73" t="str">
        <f t="shared" si="37"/>
        <v/>
      </c>
      <c r="Z110" s="73" t="str">
        <f t="shared" si="37"/>
        <v/>
      </c>
      <c r="AA110" s="73" t="str">
        <f t="shared" si="37"/>
        <v/>
      </c>
      <c r="AB110" s="74" t="str">
        <f t="shared" si="37"/>
        <v/>
      </c>
      <c r="AC110" s="35" t="str">
        <f t="shared" si="31"/>
        <v/>
      </c>
      <c r="AD110" s="40" t="str">
        <f t="shared" si="32"/>
        <v/>
      </c>
      <c r="AE110" s="37" t="str">
        <f t="shared" si="33"/>
        <v/>
      </c>
      <c r="AF110" s="40" t="str">
        <f t="shared" si="26"/>
        <v/>
      </c>
      <c r="AG110" s="37" t="str">
        <f t="shared" si="27"/>
        <v/>
      </c>
      <c r="AH110" s="40" t="str">
        <f t="shared" si="28"/>
        <v/>
      </c>
      <c r="AI110" s="37" t="str">
        <f t="shared" si="34"/>
        <v/>
      </c>
      <c r="AJ110" s="40" t="str">
        <f t="shared" si="35"/>
        <v/>
      </c>
      <c r="AK110" s="33" t="str">
        <f>IF(SEM!AK110="","",SEM!AK110)</f>
        <v/>
      </c>
      <c r="AL110" s="6"/>
      <c r="AM110" s="79" t="str">
        <f t="shared" si="29"/>
        <v/>
      </c>
      <c r="AN110" s="12"/>
      <c r="AO110" s="12"/>
      <c r="AP110" s="14"/>
      <c r="AQ110" s="16"/>
      <c r="AR110" s="15"/>
      <c r="AU110" s="198"/>
      <c r="AV110" s="198"/>
      <c r="AW110" s="198"/>
      <c r="AX110" s="198"/>
    </row>
    <row r="111" spans="2:50" ht="17.25" customHeight="1" x14ac:dyDescent="0.2">
      <c r="B111" s="6"/>
      <c r="C111" s="49" t="str">
        <f>IF(SEM!C111="","",SEM!C111)</f>
        <v/>
      </c>
      <c r="D111" s="220" t="str">
        <f>IF(C111="","",VLOOKUP(SEM!C111,FROTA!$B$5:$C$305,2,0))</f>
        <v/>
      </c>
      <c r="E111" s="24" t="str">
        <f>IF(C111="","",VLOOKUP(C111,FROTA!$B$5:$N$305,7,0))</f>
        <v/>
      </c>
      <c r="F111" s="38" t="str">
        <f t="shared" si="25"/>
        <v/>
      </c>
      <c r="G111" s="71" t="str">
        <f t="shared" si="30"/>
        <v/>
      </c>
      <c r="H111" s="32" t="str">
        <f t="shared" si="36"/>
        <v/>
      </c>
      <c r="I111" s="73" t="str">
        <f t="shared" si="36"/>
        <v/>
      </c>
      <c r="J111" s="73" t="str">
        <f t="shared" si="36"/>
        <v/>
      </c>
      <c r="K111" s="73" t="str">
        <f t="shared" si="38"/>
        <v/>
      </c>
      <c r="L111" s="73" t="str">
        <f t="shared" si="38"/>
        <v/>
      </c>
      <c r="M111" s="73" t="str">
        <f t="shared" si="38"/>
        <v/>
      </c>
      <c r="N111" s="73" t="str">
        <f t="shared" si="38"/>
        <v/>
      </c>
      <c r="O111" s="73" t="str">
        <f t="shared" si="38"/>
        <v/>
      </c>
      <c r="P111" s="73" t="str">
        <f t="shared" si="38"/>
        <v/>
      </c>
      <c r="Q111" s="73" t="str">
        <f t="shared" si="38"/>
        <v/>
      </c>
      <c r="R111" s="73" t="str">
        <f t="shared" si="37"/>
        <v/>
      </c>
      <c r="S111" s="73" t="str">
        <f t="shared" si="37"/>
        <v/>
      </c>
      <c r="T111" s="73" t="str">
        <f t="shared" si="37"/>
        <v/>
      </c>
      <c r="U111" s="73" t="str">
        <f t="shared" si="37"/>
        <v/>
      </c>
      <c r="V111" s="73" t="str">
        <f t="shared" si="37"/>
        <v/>
      </c>
      <c r="W111" s="73" t="str">
        <f t="shared" si="37"/>
        <v/>
      </c>
      <c r="X111" s="73" t="str">
        <f t="shared" si="37"/>
        <v/>
      </c>
      <c r="Y111" s="73" t="str">
        <f t="shared" si="37"/>
        <v/>
      </c>
      <c r="Z111" s="73" t="str">
        <f t="shared" si="37"/>
        <v/>
      </c>
      <c r="AA111" s="73" t="str">
        <f t="shared" si="37"/>
        <v/>
      </c>
      <c r="AB111" s="74" t="str">
        <f t="shared" si="37"/>
        <v/>
      </c>
      <c r="AC111" s="35" t="str">
        <f t="shared" si="31"/>
        <v/>
      </c>
      <c r="AD111" s="40" t="str">
        <f t="shared" si="32"/>
        <v/>
      </c>
      <c r="AE111" s="37" t="str">
        <f t="shared" si="33"/>
        <v/>
      </c>
      <c r="AF111" s="40" t="str">
        <f t="shared" si="26"/>
        <v/>
      </c>
      <c r="AG111" s="37" t="str">
        <f t="shared" si="27"/>
        <v/>
      </c>
      <c r="AH111" s="40" t="str">
        <f t="shared" si="28"/>
        <v/>
      </c>
      <c r="AI111" s="37" t="str">
        <f t="shared" si="34"/>
        <v/>
      </c>
      <c r="AJ111" s="40" t="str">
        <f t="shared" si="35"/>
        <v/>
      </c>
      <c r="AK111" s="33" t="str">
        <f>IF(SEM!AK111="","",SEM!AK111)</f>
        <v/>
      </c>
      <c r="AL111" s="6"/>
      <c r="AM111" s="79" t="str">
        <f t="shared" si="29"/>
        <v/>
      </c>
      <c r="AN111" s="12"/>
      <c r="AO111" s="12"/>
      <c r="AP111" s="14"/>
      <c r="AQ111" s="16"/>
      <c r="AR111" s="15"/>
      <c r="AU111" s="198"/>
      <c r="AV111" s="198"/>
      <c r="AW111" s="198"/>
      <c r="AX111" s="198"/>
    </row>
    <row r="112" spans="2:50" ht="17.25" customHeight="1" x14ac:dyDescent="0.2">
      <c r="B112" s="6"/>
      <c r="C112" s="49" t="str">
        <f>IF(SEM!C112="","",SEM!C112)</f>
        <v/>
      </c>
      <c r="D112" s="220" t="str">
        <f>IF(C112="","",VLOOKUP(SEM!C112,FROTA!$B$5:$C$305,2,0))</f>
        <v/>
      </c>
      <c r="E112" s="24" t="str">
        <f>IF(C112="","",VLOOKUP(C112,FROTA!$B$5:$N$305,7,0))</f>
        <v/>
      </c>
      <c r="F112" s="38" t="str">
        <f t="shared" si="25"/>
        <v/>
      </c>
      <c r="G112" s="71" t="str">
        <f t="shared" si="30"/>
        <v/>
      </c>
      <c r="H112" s="32" t="str">
        <f t="shared" si="36"/>
        <v/>
      </c>
      <c r="I112" s="73" t="str">
        <f t="shared" si="36"/>
        <v/>
      </c>
      <c r="J112" s="73" t="str">
        <f t="shared" si="36"/>
        <v/>
      </c>
      <c r="K112" s="73" t="str">
        <f t="shared" si="38"/>
        <v/>
      </c>
      <c r="L112" s="73" t="str">
        <f t="shared" si="38"/>
        <v/>
      </c>
      <c r="M112" s="73" t="str">
        <f t="shared" si="38"/>
        <v/>
      </c>
      <c r="N112" s="73" t="str">
        <f t="shared" si="38"/>
        <v/>
      </c>
      <c r="O112" s="73" t="str">
        <f t="shared" si="38"/>
        <v/>
      </c>
      <c r="P112" s="73" t="str">
        <f t="shared" si="38"/>
        <v/>
      </c>
      <c r="Q112" s="73" t="str">
        <f t="shared" si="38"/>
        <v/>
      </c>
      <c r="R112" s="73" t="str">
        <f t="shared" si="37"/>
        <v/>
      </c>
      <c r="S112" s="73" t="str">
        <f t="shared" si="37"/>
        <v/>
      </c>
      <c r="T112" s="73" t="str">
        <f t="shared" si="37"/>
        <v/>
      </c>
      <c r="U112" s="73" t="str">
        <f t="shared" si="37"/>
        <v/>
      </c>
      <c r="V112" s="73" t="str">
        <f t="shared" si="37"/>
        <v/>
      </c>
      <c r="W112" s="73" t="str">
        <f t="shared" si="37"/>
        <v/>
      </c>
      <c r="X112" s="73" t="str">
        <f t="shared" si="37"/>
        <v/>
      </c>
      <c r="Y112" s="73" t="str">
        <f t="shared" si="37"/>
        <v/>
      </c>
      <c r="Z112" s="73" t="str">
        <f t="shared" si="37"/>
        <v/>
      </c>
      <c r="AA112" s="73" t="str">
        <f t="shared" si="37"/>
        <v/>
      </c>
      <c r="AB112" s="74" t="str">
        <f t="shared" si="37"/>
        <v/>
      </c>
      <c r="AC112" s="35" t="str">
        <f t="shared" si="31"/>
        <v/>
      </c>
      <c r="AD112" s="40" t="str">
        <f t="shared" si="32"/>
        <v/>
      </c>
      <c r="AE112" s="37" t="str">
        <f t="shared" si="33"/>
        <v/>
      </c>
      <c r="AF112" s="40" t="str">
        <f t="shared" si="26"/>
        <v/>
      </c>
      <c r="AG112" s="37" t="str">
        <f t="shared" si="27"/>
        <v/>
      </c>
      <c r="AH112" s="40" t="str">
        <f t="shared" si="28"/>
        <v/>
      </c>
      <c r="AI112" s="37" t="str">
        <f t="shared" si="34"/>
        <v/>
      </c>
      <c r="AJ112" s="40" t="str">
        <f t="shared" si="35"/>
        <v/>
      </c>
      <c r="AK112" s="33" t="str">
        <f>IF(SEM!AK112="","",SEM!AK112)</f>
        <v/>
      </c>
      <c r="AL112" s="6"/>
      <c r="AM112" s="79" t="str">
        <f t="shared" si="29"/>
        <v/>
      </c>
      <c r="AN112" s="12"/>
      <c r="AO112" s="12"/>
      <c r="AP112" s="14"/>
      <c r="AQ112" s="16"/>
      <c r="AR112" s="15"/>
      <c r="AU112" s="198"/>
      <c r="AV112" s="198"/>
      <c r="AW112" s="198"/>
      <c r="AX112" s="198"/>
    </row>
    <row r="113" spans="2:50" ht="17.25" customHeight="1" x14ac:dyDescent="0.2">
      <c r="B113" s="6"/>
      <c r="C113" s="49" t="str">
        <f>IF(SEM!C113="","",SEM!C113)</f>
        <v/>
      </c>
      <c r="D113" s="220" t="str">
        <f>IF(C113="","",VLOOKUP(SEM!C113,FROTA!$B$5:$C$305,2,0))</f>
        <v/>
      </c>
      <c r="E113" s="24" t="str">
        <f>IF(C113="","",VLOOKUP(C113,FROTA!$B$5:$N$305,7,0))</f>
        <v/>
      </c>
      <c r="F113" s="38" t="str">
        <f t="shared" si="25"/>
        <v/>
      </c>
      <c r="G113" s="71" t="str">
        <f t="shared" si="30"/>
        <v/>
      </c>
      <c r="H113" s="32" t="str">
        <f t="shared" si="36"/>
        <v/>
      </c>
      <c r="I113" s="73" t="str">
        <f t="shared" si="36"/>
        <v/>
      </c>
      <c r="J113" s="73" t="str">
        <f t="shared" si="36"/>
        <v/>
      </c>
      <c r="K113" s="73" t="str">
        <f t="shared" si="38"/>
        <v/>
      </c>
      <c r="L113" s="73" t="str">
        <f t="shared" si="38"/>
        <v/>
      </c>
      <c r="M113" s="73" t="str">
        <f t="shared" si="38"/>
        <v/>
      </c>
      <c r="N113" s="73" t="str">
        <f t="shared" si="38"/>
        <v/>
      </c>
      <c r="O113" s="73" t="str">
        <f t="shared" si="38"/>
        <v/>
      </c>
      <c r="P113" s="73" t="str">
        <f t="shared" si="38"/>
        <v/>
      </c>
      <c r="Q113" s="73" t="str">
        <f t="shared" si="38"/>
        <v/>
      </c>
      <c r="R113" s="73" t="str">
        <f t="shared" si="37"/>
        <v/>
      </c>
      <c r="S113" s="73" t="str">
        <f t="shared" si="37"/>
        <v/>
      </c>
      <c r="T113" s="73" t="str">
        <f t="shared" si="37"/>
        <v/>
      </c>
      <c r="U113" s="73" t="str">
        <f t="shared" si="37"/>
        <v/>
      </c>
      <c r="V113" s="73" t="str">
        <f t="shared" si="37"/>
        <v/>
      </c>
      <c r="W113" s="73" t="str">
        <f t="shared" si="37"/>
        <v/>
      </c>
      <c r="X113" s="73" t="str">
        <f t="shared" si="37"/>
        <v/>
      </c>
      <c r="Y113" s="73" t="str">
        <f t="shared" si="37"/>
        <v/>
      </c>
      <c r="Z113" s="73" t="str">
        <f t="shared" si="37"/>
        <v/>
      </c>
      <c r="AA113" s="73" t="str">
        <f t="shared" si="37"/>
        <v/>
      </c>
      <c r="AB113" s="74" t="str">
        <f t="shared" si="37"/>
        <v/>
      </c>
      <c r="AC113" s="35" t="str">
        <f t="shared" si="31"/>
        <v/>
      </c>
      <c r="AD113" s="40" t="str">
        <f t="shared" si="32"/>
        <v/>
      </c>
      <c r="AE113" s="37" t="str">
        <f t="shared" si="33"/>
        <v/>
      </c>
      <c r="AF113" s="40" t="str">
        <f t="shared" si="26"/>
        <v/>
      </c>
      <c r="AG113" s="37" t="str">
        <f t="shared" si="27"/>
        <v/>
      </c>
      <c r="AH113" s="40" t="str">
        <f t="shared" si="28"/>
        <v/>
      </c>
      <c r="AI113" s="37" t="str">
        <f t="shared" si="34"/>
        <v/>
      </c>
      <c r="AJ113" s="40" t="str">
        <f t="shared" si="35"/>
        <v/>
      </c>
      <c r="AK113" s="33" t="str">
        <f>IF(SEM!AK113="","",SEM!AK113)</f>
        <v/>
      </c>
      <c r="AL113" s="6"/>
      <c r="AM113" s="79" t="str">
        <f t="shared" si="29"/>
        <v/>
      </c>
      <c r="AN113" s="12"/>
      <c r="AO113" s="12"/>
      <c r="AP113" s="14"/>
      <c r="AQ113" s="16"/>
      <c r="AR113" s="15"/>
      <c r="AU113" s="198"/>
      <c r="AV113" s="198"/>
      <c r="AW113" s="198"/>
      <c r="AX113" s="198"/>
    </row>
    <row r="114" spans="2:50" ht="17.25" customHeight="1" x14ac:dyDescent="0.2">
      <c r="B114" s="6"/>
      <c r="C114" s="49" t="str">
        <f>IF(SEM!C114="","",SEM!C114)</f>
        <v/>
      </c>
      <c r="D114" s="220" t="str">
        <f>IF(C114="","",VLOOKUP(SEM!C114,FROTA!$B$5:$C$305,2,0))</f>
        <v/>
      </c>
      <c r="E114" s="24" t="str">
        <f>IF(C114="","",VLOOKUP(C114,FROTA!$B$5:$N$305,7,0))</f>
        <v/>
      </c>
      <c r="F114" s="38" t="str">
        <f t="shared" si="25"/>
        <v/>
      </c>
      <c r="G114" s="71" t="str">
        <f t="shared" si="30"/>
        <v/>
      </c>
      <c r="H114" s="32" t="str">
        <f t="shared" si="36"/>
        <v/>
      </c>
      <c r="I114" s="73" t="str">
        <f t="shared" si="36"/>
        <v/>
      </c>
      <c r="J114" s="73" t="str">
        <f t="shared" si="36"/>
        <v/>
      </c>
      <c r="K114" s="73" t="str">
        <f t="shared" si="38"/>
        <v/>
      </c>
      <c r="L114" s="73" t="str">
        <f t="shared" si="38"/>
        <v/>
      </c>
      <c r="M114" s="73" t="str">
        <f t="shared" si="38"/>
        <v/>
      </c>
      <c r="N114" s="73" t="str">
        <f t="shared" si="38"/>
        <v/>
      </c>
      <c r="O114" s="73" t="str">
        <f t="shared" si="38"/>
        <v/>
      </c>
      <c r="P114" s="73" t="str">
        <f t="shared" si="38"/>
        <v/>
      </c>
      <c r="Q114" s="73" t="str">
        <f t="shared" si="38"/>
        <v/>
      </c>
      <c r="R114" s="73" t="str">
        <f t="shared" si="37"/>
        <v/>
      </c>
      <c r="S114" s="73" t="str">
        <f t="shared" si="37"/>
        <v/>
      </c>
      <c r="T114" s="73" t="str">
        <f t="shared" si="37"/>
        <v/>
      </c>
      <c r="U114" s="73" t="str">
        <f t="shared" si="37"/>
        <v/>
      </c>
      <c r="V114" s="73" t="str">
        <f t="shared" si="37"/>
        <v/>
      </c>
      <c r="W114" s="73" t="str">
        <f t="shared" si="37"/>
        <v/>
      </c>
      <c r="X114" s="73" t="str">
        <f t="shared" si="37"/>
        <v/>
      </c>
      <c r="Y114" s="73" t="str">
        <f t="shared" si="37"/>
        <v/>
      </c>
      <c r="Z114" s="73" t="str">
        <f t="shared" ref="R114:AB137" si="39">IF($C114="","",IF(SUM(Z$307*$G114)&gt;$F114,$F114,SUM(Z$307*$G114)))</f>
        <v/>
      </c>
      <c r="AA114" s="73" t="str">
        <f t="shared" si="39"/>
        <v/>
      </c>
      <c r="AB114" s="74" t="str">
        <f t="shared" si="39"/>
        <v/>
      </c>
      <c r="AC114" s="35" t="str">
        <f t="shared" si="31"/>
        <v/>
      </c>
      <c r="AD114" s="40" t="str">
        <f t="shared" si="32"/>
        <v/>
      </c>
      <c r="AE114" s="37" t="str">
        <f t="shared" si="33"/>
        <v/>
      </c>
      <c r="AF114" s="40" t="str">
        <f t="shared" si="26"/>
        <v/>
      </c>
      <c r="AG114" s="37" t="str">
        <f t="shared" si="27"/>
        <v/>
      </c>
      <c r="AH114" s="40" t="str">
        <f t="shared" si="28"/>
        <v/>
      </c>
      <c r="AI114" s="37" t="str">
        <f t="shared" si="34"/>
        <v/>
      </c>
      <c r="AJ114" s="40" t="str">
        <f t="shared" si="35"/>
        <v/>
      </c>
      <c r="AK114" s="33" t="str">
        <f>IF(SEM!AK114="","",SEM!AK114)</f>
        <v/>
      </c>
      <c r="AL114" s="6"/>
      <c r="AM114" s="79" t="str">
        <f t="shared" si="29"/>
        <v/>
      </c>
      <c r="AN114" s="12"/>
      <c r="AO114" s="12"/>
      <c r="AP114" s="14"/>
      <c r="AQ114" s="16"/>
      <c r="AR114" s="15"/>
      <c r="AU114" s="198"/>
      <c r="AV114" s="198"/>
      <c r="AW114" s="198"/>
      <c r="AX114" s="198"/>
    </row>
    <row r="115" spans="2:50" ht="17.25" customHeight="1" x14ac:dyDescent="0.2">
      <c r="B115" s="6"/>
      <c r="C115" s="49" t="str">
        <f>IF(SEM!C115="","",SEM!C115)</f>
        <v/>
      </c>
      <c r="D115" s="220" t="str">
        <f>IF(C115="","",VLOOKUP(SEM!C115,FROTA!$B$5:$C$305,2,0))</f>
        <v/>
      </c>
      <c r="E115" s="24" t="str">
        <f>IF(C115="","",VLOOKUP(C115,FROTA!$B$5:$N$305,7,0))</f>
        <v/>
      </c>
      <c r="F115" s="38" t="str">
        <f t="shared" si="25"/>
        <v/>
      </c>
      <c r="G115" s="71" t="str">
        <f t="shared" si="30"/>
        <v/>
      </c>
      <c r="H115" s="32" t="str">
        <f t="shared" si="36"/>
        <v/>
      </c>
      <c r="I115" s="73" t="str">
        <f t="shared" si="36"/>
        <v/>
      </c>
      <c r="J115" s="73" t="str">
        <f t="shared" si="36"/>
        <v/>
      </c>
      <c r="K115" s="73" t="str">
        <f t="shared" si="38"/>
        <v/>
      </c>
      <c r="L115" s="73" t="str">
        <f t="shared" si="38"/>
        <v/>
      </c>
      <c r="M115" s="73" t="str">
        <f t="shared" si="38"/>
        <v/>
      </c>
      <c r="N115" s="73" t="str">
        <f t="shared" si="38"/>
        <v/>
      </c>
      <c r="O115" s="73" t="str">
        <f t="shared" si="38"/>
        <v/>
      </c>
      <c r="P115" s="73" t="str">
        <f t="shared" si="38"/>
        <v/>
      </c>
      <c r="Q115" s="73" t="str">
        <f t="shared" si="38"/>
        <v/>
      </c>
      <c r="R115" s="73" t="str">
        <f t="shared" si="39"/>
        <v/>
      </c>
      <c r="S115" s="73" t="str">
        <f t="shared" si="39"/>
        <v/>
      </c>
      <c r="T115" s="73" t="str">
        <f t="shared" si="39"/>
        <v/>
      </c>
      <c r="U115" s="73" t="str">
        <f t="shared" si="39"/>
        <v/>
      </c>
      <c r="V115" s="73" t="str">
        <f t="shared" si="39"/>
        <v/>
      </c>
      <c r="W115" s="73" t="str">
        <f t="shared" si="39"/>
        <v/>
      </c>
      <c r="X115" s="73" t="str">
        <f t="shared" si="39"/>
        <v/>
      </c>
      <c r="Y115" s="73" t="str">
        <f t="shared" si="39"/>
        <v/>
      </c>
      <c r="Z115" s="73" t="str">
        <f t="shared" si="39"/>
        <v/>
      </c>
      <c r="AA115" s="73" t="str">
        <f t="shared" si="39"/>
        <v/>
      </c>
      <c r="AB115" s="74" t="str">
        <f t="shared" si="39"/>
        <v/>
      </c>
      <c r="AC115" s="35" t="str">
        <f t="shared" si="31"/>
        <v/>
      </c>
      <c r="AD115" s="40" t="str">
        <f t="shared" si="32"/>
        <v/>
      </c>
      <c r="AE115" s="37" t="str">
        <f t="shared" si="33"/>
        <v/>
      </c>
      <c r="AF115" s="40" t="str">
        <f t="shared" si="26"/>
        <v/>
      </c>
      <c r="AG115" s="37" t="str">
        <f t="shared" si="27"/>
        <v/>
      </c>
      <c r="AH115" s="40" t="str">
        <f t="shared" si="28"/>
        <v/>
      </c>
      <c r="AI115" s="37" t="str">
        <f t="shared" si="34"/>
        <v/>
      </c>
      <c r="AJ115" s="40" t="str">
        <f t="shared" si="35"/>
        <v/>
      </c>
      <c r="AK115" s="33" t="str">
        <f>IF(SEM!AK115="","",SEM!AK115)</f>
        <v/>
      </c>
      <c r="AL115" s="6"/>
      <c r="AM115" s="79" t="str">
        <f t="shared" si="29"/>
        <v/>
      </c>
      <c r="AN115" s="12"/>
      <c r="AO115" s="12"/>
      <c r="AP115" s="14"/>
      <c r="AQ115" s="16"/>
      <c r="AR115" s="15"/>
      <c r="AU115" s="198"/>
      <c r="AV115" s="198"/>
      <c r="AW115" s="198"/>
      <c r="AX115" s="198"/>
    </row>
    <row r="116" spans="2:50" ht="17.25" customHeight="1" x14ac:dyDescent="0.2">
      <c r="B116" s="6"/>
      <c r="C116" s="49" t="str">
        <f>IF(SEM!C116="","",SEM!C116)</f>
        <v/>
      </c>
      <c r="D116" s="220" t="str">
        <f>IF(C116="","",VLOOKUP(SEM!C116,FROTA!$B$5:$C$305,2,0))</f>
        <v/>
      </c>
      <c r="E116" s="24" t="str">
        <f>IF(C116="","",VLOOKUP(C116,FROTA!$B$5:$N$305,7,0))</f>
        <v/>
      </c>
      <c r="F116" s="38" t="str">
        <f t="shared" si="25"/>
        <v/>
      </c>
      <c r="G116" s="71" t="str">
        <f t="shared" si="30"/>
        <v/>
      </c>
      <c r="H116" s="32" t="str">
        <f t="shared" si="36"/>
        <v/>
      </c>
      <c r="I116" s="73" t="str">
        <f t="shared" si="36"/>
        <v/>
      </c>
      <c r="J116" s="73" t="str">
        <f t="shared" si="36"/>
        <v/>
      </c>
      <c r="K116" s="73" t="str">
        <f t="shared" si="38"/>
        <v/>
      </c>
      <c r="L116" s="73" t="str">
        <f t="shared" si="38"/>
        <v/>
      </c>
      <c r="M116" s="73" t="str">
        <f t="shared" si="38"/>
        <v/>
      </c>
      <c r="N116" s="73" t="str">
        <f t="shared" si="38"/>
        <v/>
      </c>
      <c r="O116" s="73" t="str">
        <f t="shared" si="38"/>
        <v/>
      </c>
      <c r="P116" s="73" t="str">
        <f t="shared" si="38"/>
        <v/>
      </c>
      <c r="Q116" s="73" t="str">
        <f t="shared" si="38"/>
        <v/>
      </c>
      <c r="R116" s="73" t="str">
        <f t="shared" si="39"/>
        <v/>
      </c>
      <c r="S116" s="73" t="str">
        <f t="shared" si="39"/>
        <v/>
      </c>
      <c r="T116" s="73" t="str">
        <f t="shared" si="39"/>
        <v/>
      </c>
      <c r="U116" s="73" t="str">
        <f t="shared" si="39"/>
        <v/>
      </c>
      <c r="V116" s="73" t="str">
        <f t="shared" si="39"/>
        <v/>
      </c>
      <c r="W116" s="73" t="str">
        <f t="shared" si="39"/>
        <v/>
      </c>
      <c r="X116" s="73" t="str">
        <f t="shared" si="39"/>
        <v/>
      </c>
      <c r="Y116" s="73" t="str">
        <f t="shared" si="39"/>
        <v/>
      </c>
      <c r="Z116" s="73" t="str">
        <f t="shared" si="39"/>
        <v/>
      </c>
      <c r="AA116" s="73" t="str">
        <f t="shared" si="39"/>
        <v/>
      </c>
      <c r="AB116" s="74" t="str">
        <f t="shared" si="39"/>
        <v/>
      </c>
      <c r="AC116" s="35" t="str">
        <f t="shared" si="31"/>
        <v/>
      </c>
      <c r="AD116" s="40" t="str">
        <f t="shared" si="32"/>
        <v/>
      </c>
      <c r="AE116" s="37" t="str">
        <f t="shared" si="33"/>
        <v/>
      </c>
      <c r="AF116" s="40" t="str">
        <f t="shared" si="26"/>
        <v/>
      </c>
      <c r="AG116" s="37" t="str">
        <f t="shared" si="27"/>
        <v/>
      </c>
      <c r="AH116" s="40" t="str">
        <f t="shared" si="28"/>
        <v/>
      </c>
      <c r="AI116" s="37" t="str">
        <f t="shared" si="34"/>
        <v/>
      </c>
      <c r="AJ116" s="40" t="str">
        <f t="shared" si="35"/>
        <v/>
      </c>
      <c r="AK116" s="33" t="str">
        <f>IF(SEM!AK116="","",SEM!AK116)</f>
        <v/>
      </c>
      <c r="AL116" s="6"/>
      <c r="AM116" s="79" t="str">
        <f t="shared" si="29"/>
        <v/>
      </c>
      <c r="AN116" s="12"/>
      <c r="AO116" s="12"/>
      <c r="AP116" s="14"/>
      <c r="AQ116" s="16"/>
      <c r="AR116" s="15"/>
      <c r="AU116" s="198"/>
      <c r="AV116" s="198"/>
      <c r="AW116" s="198"/>
      <c r="AX116" s="198"/>
    </row>
    <row r="117" spans="2:50" ht="17.25" customHeight="1" x14ac:dyDescent="0.2">
      <c r="B117" s="6"/>
      <c r="C117" s="49" t="str">
        <f>IF(SEM!C117="","",SEM!C117)</f>
        <v/>
      </c>
      <c r="D117" s="220" t="str">
        <f>IF(C117="","",VLOOKUP(SEM!C117,FROTA!$B$5:$C$305,2,0))</f>
        <v/>
      </c>
      <c r="E117" s="24" t="str">
        <f>IF(C117="","",VLOOKUP(C117,FROTA!$B$5:$N$305,7,0))</f>
        <v/>
      </c>
      <c r="F117" s="38" t="str">
        <f t="shared" si="25"/>
        <v/>
      </c>
      <c r="G117" s="71" t="str">
        <f t="shared" si="30"/>
        <v/>
      </c>
      <c r="H117" s="32" t="str">
        <f t="shared" si="36"/>
        <v/>
      </c>
      <c r="I117" s="73" t="str">
        <f t="shared" si="36"/>
        <v/>
      </c>
      <c r="J117" s="73" t="str">
        <f t="shared" si="36"/>
        <v/>
      </c>
      <c r="K117" s="73" t="str">
        <f t="shared" si="38"/>
        <v/>
      </c>
      <c r="L117" s="73" t="str">
        <f t="shared" si="38"/>
        <v/>
      </c>
      <c r="M117" s="73" t="str">
        <f t="shared" si="38"/>
        <v/>
      </c>
      <c r="N117" s="73" t="str">
        <f t="shared" si="38"/>
        <v/>
      </c>
      <c r="O117" s="73" t="str">
        <f t="shared" si="38"/>
        <v/>
      </c>
      <c r="P117" s="73" t="str">
        <f t="shared" si="38"/>
        <v/>
      </c>
      <c r="Q117" s="73" t="str">
        <f t="shared" si="38"/>
        <v/>
      </c>
      <c r="R117" s="73" t="str">
        <f t="shared" si="39"/>
        <v/>
      </c>
      <c r="S117" s="73" t="str">
        <f t="shared" si="39"/>
        <v/>
      </c>
      <c r="T117" s="73" t="str">
        <f t="shared" si="39"/>
        <v/>
      </c>
      <c r="U117" s="73" t="str">
        <f t="shared" si="39"/>
        <v/>
      </c>
      <c r="V117" s="73" t="str">
        <f t="shared" si="39"/>
        <v/>
      </c>
      <c r="W117" s="73" t="str">
        <f t="shared" si="39"/>
        <v/>
      </c>
      <c r="X117" s="73" t="str">
        <f t="shared" si="39"/>
        <v/>
      </c>
      <c r="Y117" s="73" t="str">
        <f t="shared" si="39"/>
        <v/>
      </c>
      <c r="Z117" s="73" t="str">
        <f t="shared" si="39"/>
        <v/>
      </c>
      <c r="AA117" s="73" t="str">
        <f t="shared" si="39"/>
        <v/>
      </c>
      <c r="AB117" s="74" t="str">
        <f t="shared" si="39"/>
        <v/>
      </c>
      <c r="AC117" s="35" t="str">
        <f t="shared" si="31"/>
        <v/>
      </c>
      <c r="AD117" s="40" t="str">
        <f t="shared" si="32"/>
        <v/>
      </c>
      <c r="AE117" s="37" t="str">
        <f t="shared" si="33"/>
        <v/>
      </c>
      <c r="AF117" s="40" t="str">
        <f t="shared" si="26"/>
        <v/>
      </c>
      <c r="AG117" s="37" t="str">
        <f t="shared" si="27"/>
        <v/>
      </c>
      <c r="AH117" s="40" t="str">
        <f t="shared" si="28"/>
        <v/>
      </c>
      <c r="AI117" s="37" t="str">
        <f t="shared" si="34"/>
        <v/>
      </c>
      <c r="AJ117" s="40" t="str">
        <f t="shared" si="35"/>
        <v/>
      </c>
      <c r="AK117" s="33" t="str">
        <f>IF(SEM!AK117="","",SEM!AK117)</f>
        <v/>
      </c>
      <c r="AL117" s="6"/>
      <c r="AM117" s="79" t="str">
        <f t="shared" si="29"/>
        <v/>
      </c>
      <c r="AN117" s="12"/>
      <c r="AO117" s="12"/>
      <c r="AP117" s="14"/>
      <c r="AQ117" s="16"/>
      <c r="AR117" s="15"/>
      <c r="AU117" s="198"/>
      <c r="AV117" s="198"/>
      <c r="AW117" s="198"/>
      <c r="AX117" s="198"/>
    </row>
    <row r="118" spans="2:50" ht="17.25" customHeight="1" x14ac:dyDescent="0.2">
      <c r="B118" s="6"/>
      <c r="C118" s="49" t="str">
        <f>IF(SEM!C118="","",SEM!C118)</f>
        <v/>
      </c>
      <c r="D118" s="220" t="str">
        <f>IF(C118="","",VLOOKUP(SEM!C118,FROTA!$B$5:$C$305,2,0))</f>
        <v/>
      </c>
      <c r="E118" s="24" t="str">
        <f>IF(C118="","",VLOOKUP(C118,FROTA!$B$5:$N$305,7,0))</f>
        <v/>
      </c>
      <c r="F118" s="38" t="str">
        <f t="shared" si="25"/>
        <v/>
      </c>
      <c r="G118" s="71" t="str">
        <f t="shared" si="30"/>
        <v/>
      </c>
      <c r="H118" s="32" t="str">
        <f t="shared" si="36"/>
        <v/>
      </c>
      <c r="I118" s="73" t="str">
        <f t="shared" si="36"/>
        <v/>
      </c>
      <c r="J118" s="73" t="str">
        <f t="shared" si="36"/>
        <v/>
      </c>
      <c r="K118" s="73" t="str">
        <f t="shared" si="38"/>
        <v/>
      </c>
      <c r="L118" s="73" t="str">
        <f t="shared" si="38"/>
        <v/>
      </c>
      <c r="M118" s="73" t="str">
        <f t="shared" si="38"/>
        <v/>
      </c>
      <c r="N118" s="73" t="str">
        <f t="shared" si="38"/>
        <v/>
      </c>
      <c r="O118" s="73" t="str">
        <f t="shared" si="38"/>
        <v/>
      </c>
      <c r="P118" s="73" t="str">
        <f t="shared" si="38"/>
        <v/>
      </c>
      <c r="Q118" s="73" t="str">
        <f t="shared" si="38"/>
        <v/>
      </c>
      <c r="R118" s="73" t="str">
        <f t="shared" si="39"/>
        <v/>
      </c>
      <c r="S118" s="73" t="str">
        <f t="shared" si="39"/>
        <v/>
      </c>
      <c r="T118" s="73" t="str">
        <f t="shared" si="39"/>
        <v/>
      </c>
      <c r="U118" s="73" t="str">
        <f t="shared" si="39"/>
        <v/>
      </c>
      <c r="V118" s="73" t="str">
        <f t="shared" si="39"/>
        <v/>
      </c>
      <c r="W118" s="73" t="str">
        <f t="shared" si="39"/>
        <v/>
      </c>
      <c r="X118" s="73" t="str">
        <f t="shared" si="39"/>
        <v/>
      </c>
      <c r="Y118" s="73" t="str">
        <f t="shared" si="39"/>
        <v/>
      </c>
      <c r="Z118" s="73" t="str">
        <f t="shared" si="39"/>
        <v/>
      </c>
      <c r="AA118" s="73" t="str">
        <f t="shared" si="39"/>
        <v/>
      </c>
      <c r="AB118" s="74" t="str">
        <f t="shared" si="39"/>
        <v/>
      </c>
      <c r="AC118" s="35" t="str">
        <f t="shared" si="31"/>
        <v/>
      </c>
      <c r="AD118" s="40" t="str">
        <f t="shared" si="32"/>
        <v/>
      </c>
      <c r="AE118" s="37" t="str">
        <f t="shared" si="33"/>
        <v/>
      </c>
      <c r="AF118" s="40" t="str">
        <f t="shared" si="26"/>
        <v/>
      </c>
      <c r="AG118" s="37" t="str">
        <f t="shared" si="27"/>
        <v/>
      </c>
      <c r="AH118" s="40" t="str">
        <f t="shared" si="28"/>
        <v/>
      </c>
      <c r="AI118" s="37" t="str">
        <f t="shared" si="34"/>
        <v/>
      </c>
      <c r="AJ118" s="40" t="str">
        <f t="shared" si="35"/>
        <v/>
      </c>
      <c r="AK118" s="33" t="str">
        <f>IF(SEM!AK118="","",SEM!AK118)</f>
        <v/>
      </c>
      <c r="AL118" s="6"/>
      <c r="AM118" s="79" t="str">
        <f t="shared" si="29"/>
        <v/>
      </c>
      <c r="AN118" s="12"/>
      <c r="AO118" s="12"/>
      <c r="AP118" s="14"/>
      <c r="AQ118" s="16"/>
      <c r="AR118" s="15"/>
      <c r="AU118" s="198"/>
      <c r="AV118" s="198"/>
      <c r="AW118" s="198"/>
      <c r="AX118" s="198"/>
    </row>
    <row r="119" spans="2:50" ht="17.25" customHeight="1" x14ac:dyDescent="0.2">
      <c r="B119" s="6"/>
      <c r="C119" s="49" t="str">
        <f>IF(SEM!C119="","",SEM!C119)</f>
        <v/>
      </c>
      <c r="D119" s="220" t="str">
        <f>IF(C119="","",VLOOKUP(SEM!C119,FROTA!$B$5:$C$305,2,0))</f>
        <v/>
      </c>
      <c r="E119" s="24" t="str">
        <f>IF(C119="","",VLOOKUP(C119,FROTA!$B$5:$N$305,7,0))</f>
        <v/>
      </c>
      <c r="F119" s="38" t="str">
        <f t="shared" si="25"/>
        <v/>
      </c>
      <c r="G119" s="71" t="str">
        <f t="shared" si="30"/>
        <v/>
      </c>
      <c r="H119" s="32" t="str">
        <f t="shared" si="36"/>
        <v/>
      </c>
      <c r="I119" s="73" t="str">
        <f t="shared" si="36"/>
        <v/>
      </c>
      <c r="J119" s="73" t="str">
        <f t="shared" si="36"/>
        <v/>
      </c>
      <c r="K119" s="73" t="str">
        <f t="shared" si="38"/>
        <v/>
      </c>
      <c r="L119" s="73" t="str">
        <f t="shared" si="38"/>
        <v/>
      </c>
      <c r="M119" s="73" t="str">
        <f t="shared" si="38"/>
        <v/>
      </c>
      <c r="N119" s="73" t="str">
        <f t="shared" si="38"/>
        <v/>
      </c>
      <c r="O119" s="73" t="str">
        <f t="shared" si="38"/>
        <v/>
      </c>
      <c r="P119" s="73" t="str">
        <f t="shared" si="38"/>
        <v/>
      </c>
      <c r="Q119" s="73" t="str">
        <f t="shared" si="38"/>
        <v/>
      </c>
      <c r="R119" s="73" t="str">
        <f t="shared" si="39"/>
        <v/>
      </c>
      <c r="S119" s="73" t="str">
        <f t="shared" si="39"/>
        <v/>
      </c>
      <c r="T119" s="73" t="str">
        <f t="shared" si="39"/>
        <v/>
      </c>
      <c r="U119" s="73" t="str">
        <f t="shared" si="39"/>
        <v/>
      </c>
      <c r="V119" s="73" t="str">
        <f t="shared" si="39"/>
        <v/>
      </c>
      <c r="W119" s="73" t="str">
        <f t="shared" si="39"/>
        <v/>
      </c>
      <c r="X119" s="73" t="str">
        <f t="shared" si="39"/>
        <v/>
      </c>
      <c r="Y119" s="73" t="str">
        <f t="shared" si="39"/>
        <v/>
      </c>
      <c r="Z119" s="73" t="str">
        <f t="shared" si="39"/>
        <v/>
      </c>
      <c r="AA119" s="73" t="str">
        <f t="shared" si="39"/>
        <v/>
      </c>
      <c r="AB119" s="74" t="str">
        <f t="shared" si="39"/>
        <v/>
      </c>
      <c r="AC119" s="35" t="str">
        <f t="shared" si="31"/>
        <v/>
      </c>
      <c r="AD119" s="40" t="str">
        <f t="shared" si="32"/>
        <v/>
      </c>
      <c r="AE119" s="37" t="str">
        <f t="shared" si="33"/>
        <v/>
      </c>
      <c r="AF119" s="40" t="str">
        <f t="shared" si="26"/>
        <v/>
      </c>
      <c r="AG119" s="37" t="str">
        <f t="shared" si="27"/>
        <v/>
      </c>
      <c r="AH119" s="40" t="str">
        <f t="shared" si="28"/>
        <v/>
      </c>
      <c r="AI119" s="37" t="str">
        <f t="shared" si="34"/>
        <v/>
      </c>
      <c r="AJ119" s="40" t="str">
        <f t="shared" si="35"/>
        <v/>
      </c>
      <c r="AK119" s="33" t="str">
        <f>IF(SEM!AK119="","",SEM!AK119)</f>
        <v/>
      </c>
      <c r="AL119" s="6"/>
      <c r="AM119" s="79" t="str">
        <f t="shared" si="29"/>
        <v/>
      </c>
      <c r="AN119" s="12"/>
      <c r="AO119" s="12"/>
      <c r="AP119" s="14"/>
      <c r="AQ119" s="16"/>
      <c r="AR119" s="15"/>
      <c r="AU119" s="198"/>
      <c r="AV119" s="198"/>
      <c r="AW119" s="198"/>
      <c r="AX119" s="198"/>
    </row>
    <row r="120" spans="2:50" ht="17.25" customHeight="1" x14ac:dyDescent="0.2">
      <c r="B120" s="6"/>
      <c r="C120" s="49" t="str">
        <f>IF(SEM!C120="","",SEM!C120)</f>
        <v/>
      </c>
      <c r="D120" s="220" t="str">
        <f>IF(C120="","",VLOOKUP(SEM!C120,FROTA!$B$5:$C$305,2,0))</f>
        <v/>
      </c>
      <c r="E120" s="24" t="str">
        <f>IF(C120="","",VLOOKUP(C120,FROTA!$B$5:$N$305,7,0))</f>
        <v/>
      </c>
      <c r="F120" s="38" t="str">
        <f t="shared" si="25"/>
        <v/>
      </c>
      <c r="G120" s="71" t="str">
        <f t="shared" si="30"/>
        <v/>
      </c>
      <c r="H120" s="32" t="str">
        <f t="shared" si="36"/>
        <v/>
      </c>
      <c r="I120" s="73" t="str">
        <f t="shared" si="36"/>
        <v/>
      </c>
      <c r="J120" s="73" t="str">
        <f t="shared" si="36"/>
        <v/>
      </c>
      <c r="K120" s="73" t="str">
        <f t="shared" si="38"/>
        <v/>
      </c>
      <c r="L120" s="73" t="str">
        <f t="shared" si="38"/>
        <v/>
      </c>
      <c r="M120" s="73" t="str">
        <f t="shared" si="38"/>
        <v/>
      </c>
      <c r="N120" s="73" t="str">
        <f t="shared" si="38"/>
        <v/>
      </c>
      <c r="O120" s="73" t="str">
        <f t="shared" si="38"/>
        <v/>
      </c>
      <c r="P120" s="73" t="str">
        <f t="shared" si="38"/>
        <v/>
      </c>
      <c r="Q120" s="73" t="str">
        <f t="shared" si="38"/>
        <v/>
      </c>
      <c r="R120" s="73" t="str">
        <f t="shared" si="39"/>
        <v/>
      </c>
      <c r="S120" s="73" t="str">
        <f t="shared" si="39"/>
        <v/>
      </c>
      <c r="T120" s="73" t="str">
        <f t="shared" si="39"/>
        <v/>
      </c>
      <c r="U120" s="73" t="str">
        <f t="shared" si="39"/>
        <v/>
      </c>
      <c r="V120" s="73" t="str">
        <f t="shared" si="39"/>
        <v/>
      </c>
      <c r="W120" s="73" t="str">
        <f t="shared" si="39"/>
        <v/>
      </c>
      <c r="X120" s="73" t="str">
        <f t="shared" si="39"/>
        <v/>
      </c>
      <c r="Y120" s="73" t="str">
        <f t="shared" si="39"/>
        <v/>
      </c>
      <c r="Z120" s="73" t="str">
        <f t="shared" si="39"/>
        <v/>
      </c>
      <c r="AA120" s="73" t="str">
        <f t="shared" si="39"/>
        <v/>
      </c>
      <c r="AB120" s="74" t="str">
        <f t="shared" si="39"/>
        <v/>
      </c>
      <c r="AC120" s="35" t="str">
        <f t="shared" si="31"/>
        <v/>
      </c>
      <c r="AD120" s="40" t="str">
        <f t="shared" si="32"/>
        <v/>
      </c>
      <c r="AE120" s="37" t="str">
        <f t="shared" si="33"/>
        <v/>
      </c>
      <c r="AF120" s="40" t="str">
        <f t="shared" si="26"/>
        <v/>
      </c>
      <c r="AG120" s="37" t="str">
        <f t="shared" si="27"/>
        <v/>
      </c>
      <c r="AH120" s="40" t="str">
        <f t="shared" si="28"/>
        <v/>
      </c>
      <c r="AI120" s="37" t="str">
        <f t="shared" si="34"/>
        <v/>
      </c>
      <c r="AJ120" s="40" t="str">
        <f t="shared" si="35"/>
        <v/>
      </c>
      <c r="AK120" s="33" t="str">
        <f>IF(SEM!AK120="","",SEM!AK120)</f>
        <v/>
      </c>
      <c r="AL120" s="6"/>
      <c r="AM120" s="79" t="str">
        <f t="shared" si="29"/>
        <v/>
      </c>
      <c r="AN120" s="12"/>
      <c r="AO120" s="12"/>
      <c r="AP120" s="14"/>
      <c r="AQ120" s="16"/>
      <c r="AR120" s="15"/>
      <c r="AU120" s="198"/>
      <c r="AV120" s="198"/>
      <c r="AW120" s="198"/>
      <c r="AX120" s="198"/>
    </row>
    <row r="121" spans="2:50" ht="17.25" customHeight="1" x14ac:dyDescent="0.2">
      <c r="B121" s="6"/>
      <c r="C121" s="49" t="str">
        <f>IF(SEM!C121="","",SEM!C121)</f>
        <v/>
      </c>
      <c r="D121" s="220" t="str">
        <f>IF(C121="","",VLOOKUP(SEM!C121,FROTA!$B$5:$C$305,2,0))</f>
        <v/>
      </c>
      <c r="E121" s="24" t="str">
        <f>IF(C121="","",VLOOKUP(C121,FROTA!$B$5:$N$305,7,0))</f>
        <v/>
      </c>
      <c r="F121" s="38" t="str">
        <f t="shared" si="25"/>
        <v/>
      </c>
      <c r="G121" s="71" t="str">
        <f t="shared" si="30"/>
        <v/>
      </c>
      <c r="H121" s="32" t="str">
        <f t="shared" si="36"/>
        <v/>
      </c>
      <c r="I121" s="73" t="str">
        <f t="shared" si="36"/>
        <v/>
      </c>
      <c r="J121" s="73" t="str">
        <f t="shared" si="36"/>
        <v/>
      </c>
      <c r="K121" s="73" t="str">
        <f t="shared" si="38"/>
        <v/>
      </c>
      <c r="L121" s="73" t="str">
        <f t="shared" si="38"/>
        <v/>
      </c>
      <c r="M121" s="73" t="str">
        <f t="shared" si="38"/>
        <v/>
      </c>
      <c r="N121" s="73" t="str">
        <f t="shared" si="38"/>
        <v/>
      </c>
      <c r="O121" s="73" t="str">
        <f t="shared" si="38"/>
        <v/>
      </c>
      <c r="P121" s="73" t="str">
        <f t="shared" si="38"/>
        <v/>
      </c>
      <c r="Q121" s="73" t="str">
        <f t="shared" si="38"/>
        <v/>
      </c>
      <c r="R121" s="73" t="str">
        <f t="shared" si="39"/>
        <v/>
      </c>
      <c r="S121" s="73" t="str">
        <f t="shared" si="39"/>
        <v/>
      </c>
      <c r="T121" s="73" t="str">
        <f t="shared" si="39"/>
        <v/>
      </c>
      <c r="U121" s="73" t="str">
        <f t="shared" si="39"/>
        <v/>
      </c>
      <c r="V121" s="73" t="str">
        <f t="shared" si="39"/>
        <v/>
      </c>
      <c r="W121" s="73" t="str">
        <f t="shared" si="39"/>
        <v/>
      </c>
      <c r="X121" s="73" t="str">
        <f t="shared" si="39"/>
        <v/>
      </c>
      <c r="Y121" s="73" t="str">
        <f t="shared" si="39"/>
        <v/>
      </c>
      <c r="Z121" s="73" t="str">
        <f t="shared" si="39"/>
        <v/>
      </c>
      <c r="AA121" s="73" t="str">
        <f t="shared" si="39"/>
        <v/>
      </c>
      <c r="AB121" s="74" t="str">
        <f t="shared" si="39"/>
        <v/>
      </c>
      <c r="AC121" s="35" t="str">
        <f t="shared" si="31"/>
        <v/>
      </c>
      <c r="AD121" s="40" t="str">
        <f t="shared" si="32"/>
        <v/>
      </c>
      <c r="AE121" s="37" t="str">
        <f t="shared" si="33"/>
        <v/>
      </c>
      <c r="AF121" s="40" t="str">
        <f t="shared" si="26"/>
        <v/>
      </c>
      <c r="AG121" s="37" t="str">
        <f t="shared" si="27"/>
        <v/>
      </c>
      <c r="AH121" s="40" t="str">
        <f t="shared" si="28"/>
        <v/>
      </c>
      <c r="AI121" s="37" t="str">
        <f t="shared" si="34"/>
        <v/>
      </c>
      <c r="AJ121" s="40" t="str">
        <f t="shared" si="35"/>
        <v/>
      </c>
      <c r="AK121" s="33" t="str">
        <f>IF(SEM!AK121="","",SEM!AK121)</f>
        <v/>
      </c>
      <c r="AL121" s="6"/>
      <c r="AM121" s="79" t="str">
        <f t="shared" si="29"/>
        <v/>
      </c>
      <c r="AN121" s="12"/>
      <c r="AO121" s="12"/>
      <c r="AP121" s="14"/>
      <c r="AQ121" s="16"/>
      <c r="AR121" s="15"/>
      <c r="AU121" s="198"/>
      <c r="AV121" s="198"/>
      <c r="AW121" s="198"/>
      <c r="AX121" s="198"/>
    </row>
    <row r="122" spans="2:50" ht="17.25" customHeight="1" x14ac:dyDescent="0.2">
      <c r="B122" s="6"/>
      <c r="C122" s="49" t="str">
        <f>IF(SEM!C122="","",SEM!C122)</f>
        <v/>
      </c>
      <c r="D122" s="220" t="str">
        <f>IF(C122="","",VLOOKUP(SEM!C122,FROTA!$B$5:$C$305,2,0))</f>
        <v/>
      </c>
      <c r="E122" s="24" t="str">
        <f>IF(C122="","",VLOOKUP(C122,FROTA!$B$5:$N$305,7,0))</f>
        <v/>
      </c>
      <c r="F122" s="38" t="str">
        <f t="shared" si="25"/>
        <v/>
      </c>
      <c r="G122" s="71" t="str">
        <f t="shared" si="30"/>
        <v/>
      </c>
      <c r="H122" s="32" t="str">
        <f t="shared" si="36"/>
        <v/>
      </c>
      <c r="I122" s="73" t="str">
        <f t="shared" si="36"/>
        <v/>
      </c>
      <c r="J122" s="73" t="str">
        <f t="shared" si="36"/>
        <v/>
      </c>
      <c r="K122" s="73" t="str">
        <f t="shared" si="38"/>
        <v/>
      </c>
      <c r="L122" s="73" t="str">
        <f t="shared" si="38"/>
        <v/>
      </c>
      <c r="M122" s="73" t="str">
        <f t="shared" si="38"/>
        <v/>
      </c>
      <c r="N122" s="73" t="str">
        <f t="shared" si="38"/>
        <v/>
      </c>
      <c r="O122" s="73" t="str">
        <f t="shared" si="38"/>
        <v/>
      </c>
      <c r="P122" s="73" t="str">
        <f t="shared" si="38"/>
        <v/>
      </c>
      <c r="Q122" s="73" t="str">
        <f t="shared" si="38"/>
        <v/>
      </c>
      <c r="R122" s="73" t="str">
        <f t="shared" si="39"/>
        <v/>
      </c>
      <c r="S122" s="73" t="str">
        <f t="shared" si="39"/>
        <v/>
      </c>
      <c r="T122" s="73" t="str">
        <f t="shared" si="39"/>
        <v/>
      </c>
      <c r="U122" s="73" t="str">
        <f t="shared" si="39"/>
        <v/>
      </c>
      <c r="V122" s="73" t="str">
        <f t="shared" si="39"/>
        <v/>
      </c>
      <c r="W122" s="73" t="str">
        <f t="shared" si="39"/>
        <v/>
      </c>
      <c r="X122" s="73" t="str">
        <f t="shared" si="39"/>
        <v/>
      </c>
      <c r="Y122" s="73" t="str">
        <f t="shared" si="39"/>
        <v/>
      </c>
      <c r="Z122" s="73" t="str">
        <f t="shared" si="39"/>
        <v/>
      </c>
      <c r="AA122" s="73" t="str">
        <f t="shared" si="39"/>
        <v/>
      </c>
      <c r="AB122" s="74" t="str">
        <f t="shared" si="39"/>
        <v/>
      </c>
      <c r="AC122" s="35" t="str">
        <f t="shared" si="31"/>
        <v/>
      </c>
      <c r="AD122" s="40" t="str">
        <f t="shared" si="32"/>
        <v/>
      </c>
      <c r="AE122" s="37" t="str">
        <f t="shared" si="33"/>
        <v/>
      </c>
      <c r="AF122" s="40" t="str">
        <f t="shared" si="26"/>
        <v/>
      </c>
      <c r="AG122" s="37" t="str">
        <f t="shared" si="27"/>
        <v/>
      </c>
      <c r="AH122" s="40" t="str">
        <f t="shared" si="28"/>
        <v/>
      </c>
      <c r="AI122" s="37" t="str">
        <f t="shared" si="34"/>
        <v/>
      </c>
      <c r="AJ122" s="40" t="str">
        <f t="shared" si="35"/>
        <v/>
      </c>
      <c r="AK122" s="33" t="str">
        <f>IF(SEM!AK122="","",SEM!AK122)</f>
        <v/>
      </c>
      <c r="AL122" s="6"/>
      <c r="AM122" s="79" t="str">
        <f t="shared" si="29"/>
        <v/>
      </c>
      <c r="AN122" s="12"/>
      <c r="AO122" s="12"/>
      <c r="AP122" s="14"/>
      <c r="AQ122" s="16"/>
      <c r="AR122" s="15"/>
      <c r="AU122" s="198"/>
      <c r="AV122" s="198"/>
      <c r="AW122" s="198"/>
      <c r="AX122" s="198"/>
    </row>
    <row r="123" spans="2:50" ht="17.25" customHeight="1" x14ac:dyDescent="0.2">
      <c r="B123" s="6"/>
      <c r="C123" s="49" t="str">
        <f>IF(SEM!C123="","",SEM!C123)</f>
        <v/>
      </c>
      <c r="D123" s="220" t="str">
        <f>IF(C123="","",VLOOKUP(SEM!C123,FROTA!$B$5:$C$305,2,0))</f>
        <v/>
      </c>
      <c r="E123" s="24" t="str">
        <f>IF(C123="","",VLOOKUP(C123,FROTA!$B$5:$N$305,7,0))</f>
        <v/>
      </c>
      <c r="F123" s="38" t="str">
        <f t="shared" si="25"/>
        <v/>
      </c>
      <c r="G123" s="71" t="str">
        <f t="shared" si="30"/>
        <v/>
      </c>
      <c r="H123" s="32" t="str">
        <f t="shared" si="36"/>
        <v/>
      </c>
      <c r="I123" s="73" t="str">
        <f t="shared" si="36"/>
        <v/>
      </c>
      <c r="J123" s="73" t="str">
        <f t="shared" si="36"/>
        <v/>
      </c>
      <c r="K123" s="73" t="str">
        <f t="shared" si="38"/>
        <v/>
      </c>
      <c r="L123" s="73" t="str">
        <f t="shared" si="38"/>
        <v/>
      </c>
      <c r="M123" s="73" t="str">
        <f t="shared" si="38"/>
        <v/>
      </c>
      <c r="N123" s="73" t="str">
        <f t="shared" si="38"/>
        <v/>
      </c>
      <c r="O123" s="73" t="str">
        <f t="shared" si="38"/>
        <v/>
      </c>
      <c r="P123" s="73" t="str">
        <f t="shared" si="38"/>
        <v/>
      </c>
      <c r="Q123" s="73" t="str">
        <f t="shared" si="38"/>
        <v/>
      </c>
      <c r="R123" s="73" t="str">
        <f t="shared" si="39"/>
        <v/>
      </c>
      <c r="S123" s="73" t="str">
        <f t="shared" si="39"/>
        <v/>
      </c>
      <c r="T123" s="73" t="str">
        <f t="shared" si="39"/>
        <v/>
      </c>
      <c r="U123" s="73" t="str">
        <f t="shared" si="39"/>
        <v/>
      </c>
      <c r="V123" s="73" t="str">
        <f t="shared" si="39"/>
        <v/>
      </c>
      <c r="W123" s="73" t="str">
        <f t="shared" si="39"/>
        <v/>
      </c>
      <c r="X123" s="73" t="str">
        <f t="shared" si="39"/>
        <v/>
      </c>
      <c r="Y123" s="73" t="str">
        <f t="shared" si="39"/>
        <v/>
      </c>
      <c r="Z123" s="73" t="str">
        <f t="shared" si="39"/>
        <v/>
      </c>
      <c r="AA123" s="73" t="str">
        <f t="shared" si="39"/>
        <v/>
      </c>
      <c r="AB123" s="74" t="str">
        <f t="shared" si="39"/>
        <v/>
      </c>
      <c r="AC123" s="35" t="str">
        <f t="shared" si="31"/>
        <v/>
      </c>
      <c r="AD123" s="40" t="str">
        <f t="shared" si="32"/>
        <v/>
      </c>
      <c r="AE123" s="37" t="str">
        <f t="shared" si="33"/>
        <v/>
      </c>
      <c r="AF123" s="40" t="str">
        <f t="shared" si="26"/>
        <v/>
      </c>
      <c r="AG123" s="37" t="str">
        <f t="shared" si="27"/>
        <v/>
      </c>
      <c r="AH123" s="40" t="str">
        <f t="shared" si="28"/>
        <v/>
      </c>
      <c r="AI123" s="37" t="str">
        <f t="shared" si="34"/>
        <v/>
      </c>
      <c r="AJ123" s="40" t="str">
        <f t="shared" si="35"/>
        <v/>
      </c>
      <c r="AK123" s="33" t="str">
        <f>IF(SEM!AK123="","",SEM!AK123)</f>
        <v/>
      </c>
      <c r="AL123" s="6"/>
      <c r="AM123" s="79" t="str">
        <f t="shared" si="29"/>
        <v/>
      </c>
      <c r="AN123" s="12"/>
      <c r="AO123" s="12"/>
      <c r="AP123" s="14"/>
      <c r="AQ123" s="16"/>
      <c r="AR123" s="15"/>
      <c r="AU123" s="198"/>
      <c r="AV123" s="198"/>
      <c r="AW123" s="198"/>
      <c r="AX123" s="198"/>
    </row>
    <row r="124" spans="2:50" ht="17.25" customHeight="1" x14ac:dyDescent="0.2">
      <c r="B124" s="6"/>
      <c r="C124" s="49" t="str">
        <f>IF(SEM!C124="","",SEM!C124)</f>
        <v/>
      </c>
      <c r="D124" s="220" t="str">
        <f>IF(C124="","",VLOOKUP(SEM!C124,FROTA!$B$5:$C$305,2,0))</f>
        <v/>
      </c>
      <c r="E124" s="24" t="str">
        <f>IF(C124="","",VLOOKUP(C124,FROTA!$B$5:$N$305,7,0))</f>
        <v/>
      </c>
      <c r="F124" s="38" t="str">
        <f t="shared" si="25"/>
        <v/>
      </c>
      <c r="G124" s="71" t="str">
        <f t="shared" si="30"/>
        <v/>
      </c>
      <c r="H124" s="32" t="str">
        <f t="shared" si="36"/>
        <v/>
      </c>
      <c r="I124" s="73" t="str">
        <f t="shared" si="36"/>
        <v/>
      </c>
      <c r="J124" s="73" t="str">
        <f t="shared" si="36"/>
        <v/>
      </c>
      <c r="K124" s="73" t="str">
        <f t="shared" si="38"/>
        <v/>
      </c>
      <c r="L124" s="73" t="str">
        <f t="shared" si="38"/>
        <v/>
      </c>
      <c r="M124" s="73" t="str">
        <f t="shared" si="38"/>
        <v/>
      </c>
      <c r="N124" s="73" t="str">
        <f t="shared" si="38"/>
        <v/>
      </c>
      <c r="O124" s="73" t="str">
        <f t="shared" si="38"/>
        <v/>
      </c>
      <c r="P124" s="73" t="str">
        <f t="shared" si="38"/>
        <v/>
      </c>
      <c r="Q124" s="73" t="str">
        <f t="shared" si="38"/>
        <v/>
      </c>
      <c r="R124" s="73" t="str">
        <f t="shared" si="39"/>
        <v/>
      </c>
      <c r="S124" s="73" t="str">
        <f t="shared" si="39"/>
        <v/>
      </c>
      <c r="T124" s="73" t="str">
        <f t="shared" si="39"/>
        <v/>
      </c>
      <c r="U124" s="73" t="str">
        <f t="shared" si="39"/>
        <v/>
      </c>
      <c r="V124" s="73" t="str">
        <f t="shared" si="39"/>
        <v/>
      </c>
      <c r="W124" s="73" t="str">
        <f t="shared" si="39"/>
        <v/>
      </c>
      <c r="X124" s="73" t="str">
        <f t="shared" si="39"/>
        <v/>
      </c>
      <c r="Y124" s="73" t="str">
        <f t="shared" si="39"/>
        <v/>
      </c>
      <c r="Z124" s="73" t="str">
        <f t="shared" si="39"/>
        <v/>
      </c>
      <c r="AA124" s="73" t="str">
        <f t="shared" si="39"/>
        <v/>
      </c>
      <c r="AB124" s="74" t="str">
        <f t="shared" si="39"/>
        <v/>
      </c>
      <c r="AC124" s="35" t="str">
        <f t="shared" si="31"/>
        <v/>
      </c>
      <c r="AD124" s="40" t="str">
        <f t="shared" si="32"/>
        <v/>
      </c>
      <c r="AE124" s="37" t="str">
        <f t="shared" si="33"/>
        <v/>
      </c>
      <c r="AF124" s="40" t="str">
        <f t="shared" si="26"/>
        <v/>
      </c>
      <c r="AG124" s="37" t="str">
        <f t="shared" si="27"/>
        <v/>
      </c>
      <c r="AH124" s="40" t="str">
        <f t="shared" si="28"/>
        <v/>
      </c>
      <c r="AI124" s="37" t="str">
        <f t="shared" si="34"/>
        <v/>
      </c>
      <c r="AJ124" s="40" t="str">
        <f t="shared" si="35"/>
        <v/>
      </c>
      <c r="AK124" s="33" t="str">
        <f>IF(SEM!AK124="","",SEM!AK124)</f>
        <v/>
      </c>
      <c r="AL124" s="6"/>
      <c r="AM124" s="79" t="str">
        <f t="shared" si="29"/>
        <v/>
      </c>
      <c r="AN124" s="12"/>
      <c r="AO124" s="12"/>
      <c r="AP124" s="14"/>
      <c r="AQ124" s="16"/>
      <c r="AR124" s="15"/>
      <c r="AU124" s="198"/>
      <c r="AV124" s="198"/>
      <c r="AW124" s="198"/>
      <c r="AX124" s="198"/>
    </row>
    <row r="125" spans="2:50" ht="17.25" customHeight="1" x14ac:dyDescent="0.2">
      <c r="B125" s="6"/>
      <c r="C125" s="49" t="str">
        <f>IF(SEM!C125="","",SEM!C125)</f>
        <v/>
      </c>
      <c r="D125" s="220" t="str">
        <f>IF(C125="","",VLOOKUP(SEM!C125,FROTA!$B$5:$C$305,2,0))</f>
        <v/>
      </c>
      <c r="E125" s="24" t="str">
        <f>IF(C125="","",VLOOKUP(C125,FROTA!$B$5:$N$305,7,0))</f>
        <v/>
      </c>
      <c r="F125" s="38" t="str">
        <f t="shared" si="25"/>
        <v/>
      </c>
      <c r="G125" s="71" t="str">
        <f t="shared" si="30"/>
        <v/>
      </c>
      <c r="H125" s="32" t="str">
        <f t="shared" si="36"/>
        <v/>
      </c>
      <c r="I125" s="73" t="str">
        <f t="shared" si="36"/>
        <v/>
      </c>
      <c r="J125" s="73" t="str">
        <f t="shared" si="36"/>
        <v/>
      </c>
      <c r="K125" s="73" t="str">
        <f t="shared" si="38"/>
        <v/>
      </c>
      <c r="L125" s="73" t="str">
        <f t="shared" si="38"/>
        <v/>
      </c>
      <c r="M125" s="73" t="str">
        <f t="shared" si="38"/>
        <v/>
      </c>
      <c r="N125" s="73" t="str">
        <f t="shared" si="38"/>
        <v/>
      </c>
      <c r="O125" s="73" t="str">
        <f t="shared" si="38"/>
        <v/>
      </c>
      <c r="P125" s="73" t="str">
        <f t="shared" si="38"/>
        <v/>
      </c>
      <c r="Q125" s="73" t="str">
        <f t="shared" si="38"/>
        <v/>
      </c>
      <c r="R125" s="73" t="str">
        <f t="shared" si="39"/>
        <v/>
      </c>
      <c r="S125" s="73" t="str">
        <f t="shared" si="39"/>
        <v/>
      </c>
      <c r="T125" s="73" t="str">
        <f t="shared" si="39"/>
        <v/>
      </c>
      <c r="U125" s="73" t="str">
        <f t="shared" si="39"/>
        <v/>
      </c>
      <c r="V125" s="73" t="str">
        <f t="shared" si="39"/>
        <v/>
      </c>
      <c r="W125" s="73" t="str">
        <f t="shared" si="39"/>
        <v/>
      </c>
      <c r="X125" s="73" t="str">
        <f t="shared" si="39"/>
        <v/>
      </c>
      <c r="Y125" s="73" t="str">
        <f t="shared" si="39"/>
        <v/>
      </c>
      <c r="Z125" s="73" t="str">
        <f t="shared" si="39"/>
        <v/>
      </c>
      <c r="AA125" s="73" t="str">
        <f t="shared" si="39"/>
        <v/>
      </c>
      <c r="AB125" s="74" t="str">
        <f t="shared" si="39"/>
        <v/>
      </c>
      <c r="AC125" s="35" t="str">
        <f t="shared" si="31"/>
        <v/>
      </c>
      <c r="AD125" s="40" t="str">
        <f t="shared" si="32"/>
        <v/>
      </c>
      <c r="AE125" s="37" t="str">
        <f t="shared" si="33"/>
        <v/>
      </c>
      <c r="AF125" s="40" t="str">
        <f t="shared" si="26"/>
        <v/>
      </c>
      <c r="AG125" s="37" t="str">
        <f t="shared" si="27"/>
        <v/>
      </c>
      <c r="AH125" s="40" t="str">
        <f t="shared" si="28"/>
        <v/>
      </c>
      <c r="AI125" s="37" t="str">
        <f t="shared" si="34"/>
        <v/>
      </c>
      <c r="AJ125" s="40" t="str">
        <f t="shared" si="35"/>
        <v/>
      </c>
      <c r="AK125" s="33" t="str">
        <f>IF(SEM!AK125="","",SEM!AK125)</f>
        <v/>
      </c>
      <c r="AL125" s="6"/>
      <c r="AM125" s="79" t="str">
        <f t="shared" si="29"/>
        <v/>
      </c>
      <c r="AN125" s="12"/>
      <c r="AO125" s="12"/>
      <c r="AP125" s="14"/>
      <c r="AQ125" s="16"/>
      <c r="AR125" s="15"/>
      <c r="AU125" s="198"/>
      <c r="AV125" s="198"/>
      <c r="AW125" s="198"/>
      <c r="AX125" s="198"/>
    </row>
    <row r="126" spans="2:50" ht="17.25" customHeight="1" x14ac:dyDescent="0.2">
      <c r="B126" s="6"/>
      <c r="C126" s="49" t="str">
        <f>IF(SEM!C126="","",SEM!C126)</f>
        <v/>
      </c>
      <c r="D126" s="220" t="str">
        <f>IF(C126="","",VLOOKUP(SEM!C126,FROTA!$B$5:$C$305,2,0))</f>
        <v/>
      </c>
      <c r="E126" s="24" t="str">
        <f>IF(C126="","",VLOOKUP(C126,FROTA!$B$5:$N$305,7,0))</f>
        <v/>
      </c>
      <c r="F126" s="38" t="str">
        <f t="shared" si="25"/>
        <v/>
      </c>
      <c r="G126" s="71" t="str">
        <f t="shared" si="30"/>
        <v/>
      </c>
      <c r="H126" s="32" t="str">
        <f t="shared" si="36"/>
        <v/>
      </c>
      <c r="I126" s="73" t="str">
        <f t="shared" si="36"/>
        <v/>
      </c>
      <c r="J126" s="73" t="str">
        <f t="shared" si="36"/>
        <v/>
      </c>
      <c r="K126" s="73" t="str">
        <f t="shared" si="38"/>
        <v/>
      </c>
      <c r="L126" s="73" t="str">
        <f t="shared" si="38"/>
        <v/>
      </c>
      <c r="M126" s="73" t="str">
        <f t="shared" si="38"/>
        <v/>
      </c>
      <c r="N126" s="73" t="str">
        <f t="shared" si="38"/>
        <v/>
      </c>
      <c r="O126" s="73" t="str">
        <f t="shared" si="38"/>
        <v/>
      </c>
      <c r="P126" s="73" t="str">
        <f t="shared" si="38"/>
        <v/>
      </c>
      <c r="Q126" s="73" t="str">
        <f t="shared" si="38"/>
        <v/>
      </c>
      <c r="R126" s="73" t="str">
        <f t="shared" si="39"/>
        <v/>
      </c>
      <c r="S126" s="73" t="str">
        <f t="shared" si="39"/>
        <v/>
      </c>
      <c r="T126" s="73" t="str">
        <f t="shared" si="39"/>
        <v/>
      </c>
      <c r="U126" s="73" t="str">
        <f t="shared" si="39"/>
        <v/>
      </c>
      <c r="V126" s="73" t="str">
        <f t="shared" si="39"/>
        <v/>
      </c>
      <c r="W126" s="73" t="str">
        <f t="shared" si="39"/>
        <v/>
      </c>
      <c r="X126" s="73" t="str">
        <f t="shared" si="39"/>
        <v/>
      </c>
      <c r="Y126" s="73" t="str">
        <f t="shared" si="39"/>
        <v/>
      </c>
      <c r="Z126" s="73" t="str">
        <f t="shared" si="39"/>
        <v/>
      </c>
      <c r="AA126" s="73" t="str">
        <f t="shared" si="39"/>
        <v/>
      </c>
      <c r="AB126" s="74" t="str">
        <f t="shared" si="39"/>
        <v/>
      </c>
      <c r="AC126" s="35" t="str">
        <f t="shared" si="31"/>
        <v/>
      </c>
      <c r="AD126" s="40" t="str">
        <f t="shared" si="32"/>
        <v/>
      </c>
      <c r="AE126" s="37" t="str">
        <f t="shared" si="33"/>
        <v/>
      </c>
      <c r="AF126" s="40" t="str">
        <f t="shared" si="26"/>
        <v/>
      </c>
      <c r="AG126" s="37" t="str">
        <f t="shared" si="27"/>
        <v/>
      </c>
      <c r="AH126" s="40" t="str">
        <f t="shared" si="28"/>
        <v/>
      </c>
      <c r="AI126" s="37" t="str">
        <f t="shared" si="34"/>
        <v/>
      </c>
      <c r="AJ126" s="40" t="str">
        <f t="shared" si="35"/>
        <v/>
      </c>
      <c r="AK126" s="33" t="str">
        <f>IF(SEM!AK126="","",SEM!AK126)</f>
        <v/>
      </c>
      <c r="AL126" s="6"/>
      <c r="AM126" s="79" t="str">
        <f t="shared" si="29"/>
        <v/>
      </c>
      <c r="AN126" s="12"/>
      <c r="AO126" s="12"/>
      <c r="AP126" s="14"/>
      <c r="AQ126" s="16"/>
      <c r="AR126" s="15"/>
      <c r="AU126" s="198"/>
      <c r="AV126" s="198"/>
      <c r="AW126" s="198"/>
      <c r="AX126" s="198"/>
    </row>
    <row r="127" spans="2:50" ht="17.25" customHeight="1" x14ac:dyDescent="0.2">
      <c r="B127" s="6"/>
      <c r="C127" s="49" t="str">
        <f>IF(SEM!C127="","",SEM!C127)</f>
        <v/>
      </c>
      <c r="D127" s="220" t="str">
        <f>IF(C127="","",VLOOKUP(SEM!C127,FROTA!$B$5:$C$305,2,0))</f>
        <v/>
      </c>
      <c r="E127" s="24" t="str">
        <f>IF(C127="","",VLOOKUP(C127,FROTA!$B$5:$N$305,7,0))</f>
        <v/>
      </c>
      <c r="F127" s="38" t="str">
        <f t="shared" si="25"/>
        <v/>
      </c>
      <c r="G127" s="71" t="str">
        <f t="shared" si="30"/>
        <v/>
      </c>
      <c r="H127" s="32" t="str">
        <f t="shared" si="36"/>
        <v/>
      </c>
      <c r="I127" s="73" t="str">
        <f t="shared" si="36"/>
        <v/>
      </c>
      <c r="J127" s="73" t="str">
        <f t="shared" si="36"/>
        <v/>
      </c>
      <c r="K127" s="73" t="str">
        <f t="shared" si="38"/>
        <v/>
      </c>
      <c r="L127" s="73" t="str">
        <f t="shared" si="38"/>
        <v/>
      </c>
      <c r="M127" s="73" t="str">
        <f t="shared" si="38"/>
        <v/>
      </c>
      <c r="N127" s="73" t="str">
        <f t="shared" si="38"/>
        <v/>
      </c>
      <c r="O127" s="73" t="str">
        <f t="shared" si="38"/>
        <v/>
      </c>
      <c r="P127" s="73" t="str">
        <f t="shared" si="38"/>
        <v/>
      </c>
      <c r="Q127" s="73" t="str">
        <f t="shared" si="38"/>
        <v/>
      </c>
      <c r="R127" s="73" t="str">
        <f t="shared" si="39"/>
        <v/>
      </c>
      <c r="S127" s="73" t="str">
        <f t="shared" si="39"/>
        <v/>
      </c>
      <c r="T127" s="73" t="str">
        <f t="shared" si="39"/>
        <v/>
      </c>
      <c r="U127" s="73" t="str">
        <f t="shared" si="39"/>
        <v/>
      </c>
      <c r="V127" s="73" t="str">
        <f t="shared" si="39"/>
        <v/>
      </c>
      <c r="W127" s="73" t="str">
        <f t="shared" si="39"/>
        <v/>
      </c>
      <c r="X127" s="73" t="str">
        <f t="shared" si="39"/>
        <v/>
      </c>
      <c r="Y127" s="73" t="str">
        <f t="shared" si="39"/>
        <v/>
      </c>
      <c r="Z127" s="73" t="str">
        <f t="shared" si="39"/>
        <v/>
      </c>
      <c r="AA127" s="73" t="str">
        <f t="shared" si="39"/>
        <v/>
      </c>
      <c r="AB127" s="74" t="str">
        <f t="shared" si="39"/>
        <v/>
      </c>
      <c r="AC127" s="35" t="str">
        <f t="shared" si="31"/>
        <v/>
      </c>
      <c r="AD127" s="40" t="str">
        <f t="shared" si="32"/>
        <v/>
      </c>
      <c r="AE127" s="37" t="str">
        <f t="shared" si="33"/>
        <v/>
      </c>
      <c r="AF127" s="40" t="str">
        <f t="shared" si="26"/>
        <v/>
      </c>
      <c r="AG127" s="37" t="str">
        <f t="shared" si="27"/>
        <v/>
      </c>
      <c r="AH127" s="40" t="str">
        <f t="shared" si="28"/>
        <v/>
      </c>
      <c r="AI127" s="37" t="str">
        <f t="shared" si="34"/>
        <v/>
      </c>
      <c r="AJ127" s="40" t="str">
        <f t="shared" si="35"/>
        <v/>
      </c>
      <c r="AK127" s="33" t="str">
        <f>IF(SEM!AK127="","",SEM!AK127)</f>
        <v/>
      </c>
      <c r="AL127" s="6"/>
      <c r="AM127" s="79" t="str">
        <f t="shared" si="29"/>
        <v/>
      </c>
      <c r="AN127" s="12"/>
      <c r="AO127" s="12"/>
      <c r="AP127" s="14"/>
      <c r="AQ127" s="16"/>
      <c r="AR127" s="15"/>
      <c r="AU127" s="198"/>
      <c r="AV127" s="198"/>
      <c r="AW127" s="198"/>
      <c r="AX127" s="198"/>
    </row>
    <row r="128" spans="2:50" ht="17.25" customHeight="1" x14ac:dyDescent="0.2">
      <c r="B128" s="6"/>
      <c r="C128" s="49" t="str">
        <f>IF(SEM!C128="","",SEM!C128)</f>
        <v/>
      </c>
      <c r="D128" s="220" t="str">
        <f>IF(C128="","",VLOOKUP(SEM!C128,FROTA!$B$5:$C$305,2,0))</f>
        <v/>
      </c>
      <c r="E128" s="24" t="str">
        <f>IF(C128="","",VLOOKUP(C128,FROTA!$B$5:$N$305,7,0))</f>
        <v/>
      </c>
      <c r="F128" s="38" t="str">
        <f t="shared" si="25"/>
        <v/>
      </c>
      <c r="G128" s="71" t="str">
        <f t="shared" si="30"/>
        <v/>
      </c>
      <c r="H128" s="32" t="str">
        <f t="shared" si="36"/>
        <v/>
      </c>
      <c r="I128" s="73" t="str">
        <f t="shared" si="36"/>
        <v/>
      </c>
      <c r="J128" s="73" t="str">
        <f t="shared" si="36"/>
        <v/>
      </c>
      <c r="K128" s="73" t="str">
        <f t="shared" si="38"/>
        <v/>
      </c>
      <c r="L128" s="73" t="str">
        <f t="shared" si="38"/>
        <v/>
      </c>
      <c r="M128" s="73" t="str">
        <f t="shared" si="38"/>
        <v/>
      </c>
      <c r="N128" s="73" t="str">
        <f t="shared" si="38"/>
        <v/>
      </c>
      <c r="O128" s="73" t="str">
        <f t="shared" si="38"/>
        <v/>
      </c>
      <c r="P128" s="73" t="str">
        <f t="shared" si="38"/>
        <v/>
      </c>
      <c r="Q128" s="73" t="str">
        <f t="shared" si="38"/>
        <v/>
      </c>
      <c r="R128" s="73" t="str">
        <f t="shared" si="39"/>
        <v/>
      </c>
      <c r="S128" s="73" t="str">
        <f t="shared" si="39"/>
        <v/>
      </c>
      <c r="T128" s="73" t="str">
        <f t="shared" si="39"/>
        <v/>
      </c>
      <c r="U128" s="73" t="str">
        <f t="shared" si="39"/>
        <v/>
      </c>
      <c r="V128" s="73" t="str">
        <f t="shared" si="39"/>
        <v/>
      </c>
      <c r="W128" s="73" t="str">
        <f t="shared" si="39"/>
        <v/>
      </c>
      <c r="X128" s="73" t="str">
        <f t="shared" si="39"/>
        <v/>
      </c>
      <c r="Y128" s="73" t="str">
        <f t="shared" si="39"/>
        <v/>
      </c>
      <c r="Z128" s="73" t="str">
        <f t="shared" si="39"/>
        <v/>
      </c>
      <c r="AA128" s="73" t="str">
        <f t="shared" si="39"/>
        <v/>
      </c>
      <c r="AB128" s="74" t="str">
        <f t="shared" si="39"/>
        <v/>
      </c>
      <c r="AC128" s="35" t="str">
        <f t="shared" si="31"/>
        <v/>
      </c>
      <c r="AD128" s="40" t="str">
        <f t="shared" si="32"/>
        <v/>
      </c>
      <c r="AE128" s="37" t="str">
        <f t="shared" si="33"/>
        <v/>
      </c>
      <c r="AF128" s="40" t="str">
        <f t="shared" si="26"/>
        <v/>
      </c>
      <c r="AG128" s="37" t="str">
        <f t="shared" si="27"/>
        <v/>
      </c>
      <c r="AH128" s="40" t="str">
        <f t="shared" si="28"/>
        <v/>
      </c>
      <c r="AI128" s="37" t="str">
        <f t="shared" si="34"/>
        <v/>
      </c>
      <c r="AJ128" s="40" t="str">
        <f t="shared" si="35"/>
        <v/>
      </c>
      <c r="AK128" s="33" t="str">
        <f>IF(SEM!AK128="","",SEM!AK128)</f>
        <v/>
      </c>
      <c r="AL128" s="6"/>
      <c r="AM128" s="79" t="str">
        <f t="shared" si="29"/>
        <v/>
      </c>
      <c r="AN128" s="12"/>
      <c r="AO128" s="12"/>
      <c r="AP128" s="14"/>
      <c r="AQ128" s="16"/>
      <c r="AR128" s="15"/>
      <c r="AU128" s="198"/>
      <c r="AV128" s="198"/>
      <c r="AW128" s="198"/>
      <c r="AX128" s="198"/>
    </row>
    <row r="129" spans="2:50" ht="17.25" customHeight="1" x14ac:dyDescent="0.2">
      <c r="B129" s="6"/>
      <c r="C129" s="49" t="str">
        <f>IF(SEM!C129="","",SEM!C129)</f>
        <v/>
      </c>
      <c r="D129" s="220" t="str">
        <f>IF(C129="","",VLOOKUP(SEM!C129,FROTA!$B$5:$C$305,2,0))</f>
        <v/>
      </c>
      <c r="E129" s="24" t="str">
        <f>IF(C129="","",VLOOKUP(C129,FROTA!$B$5:$N$305,7,0))</f>
        <v/>
      </c>
      <c r="F129" s="38" t="str">
        <f t="shared" si="25"/>
        <v/>
      </c>
      <c r="G129" s="71" t="str">
        <f t="shared" si="30"/>
        <v/>
      </c>
      <c r="H129" s="32" t="str">
        <f t="shared" si="36"/>
        <v/>
      </c>
      <c r="I129" s="73" t="str">
        <f t="shared" si="36"/>
        <v/>
      </c>
      <c r="J129" s="73" t="str">
        <f t="shared" si="36"/>
        <v/>
      </c>
      <c r="K129" s="73" t="str">
        <f t="shared" si="38"/>
        <v/>
      </c>
      <c r="L129" s="73" t="str">
        <f t="shared" si="38"/>
        <v/>
      </c>
      <c r="M129" s="73" t="str">
        <f t="shared" si="38"/>
        <v/>
      </c>
      <c r="N129" s="73" t="str">
        <f t="shared" si="38"/>
        <v/>
      </c>
      <c r="O129" s="73" t="str">
        <f t="shared" si="38"/>
        <v/>
      </c>
      <c r="P129" s="73" t="str">
        <f t="shared" si="38"/>
        <v/>
      </c>
      <c r="Q129" s="73" t="str">
        <f t="shared" si="38"/>
        <v/>
      </c>
      <c r="R129" s="73" t="str">
        <f t="shared" si="39"/>
        <v/>
      </c>
      <c r="S129" s="73" t="str">
        <f t="shared" si="39"/>
        <v/>
      </c>
      <c r="T129" s="73" t="str">
        <f t="shared" si="39"/>
        <v/>
      </c>
      <c r="U129" s="73" t="str">
        <f t="shared" si="39"/>
        <v/>
      </c>
      <c r="V129" s="73" t="str">
        <f t="shared" si="39"/>
        <v/>
      </c>
      <c r="W129" s="73" t="str">
        <f t="shared" si="39"/>
        <v/>
      </c>
      <c r="X129" s="73" t="str">
        <f t="shared" si="39"/>
        <v/>
      </c>
      <c r="Y129" s="73" t="str">
        <f t="shared" si="39"/>
        <v/>
      </c>
      <c r="Z129" s="73" t="str">
        <f t="shared" si="39"/>
        <v/>
      </c>
      <c r="AA129" s="73" t="str">
        <f t="shared" si="39"/>
        <v/>
      </c>
      <c r="AB129" s="74" t="str">
        <f t="shared" si="39"/>
        <v/>
      </c>
      <c r="AC129" s="35" t="str">
        <f t="shared" si="31"/>
        <v/>
      </c>
      <c r="AD129" s="40" t="str">
        <f t="shared" si="32"/>
        <v/>
      </c>
      <c r="AE129" s="37" t="str">
        <f t="shared" si="33"/>
        <v/>
      </c>
      <c r="AF129" s="40" t="str">
        <f t="shared" si="26"/>
        <v/>
      </c>
      <c r="AG129" s="37" t="str">
        <f t="shared" si="27"/>
        <v/>
      </c>
      <c r="AH129" s="40" t="str">
        <f t="shared" si="28"/>
        <v/>
      </c>
      <c r="AI129" s="37" t="str">
        <f t="shared" si="34"/>
        <v/>
      </c>
      <c r="AJ129" s="40" t="str">
        <f t="shared" si="35"/>
        <v/>
      </c>
      <c r="AK129" s="33" t="str">
        <f>IF(SEM!AK129="","",SEM!AK129)</f>
        <v/>
      </c>
      <c r="AL129" s="6"/>
      <c r="AM129" s="79" t="str">
        <f t="shared" si="29"/>
        <v/>
      </c>
      <c r="AN129" s="12"/>
      <c r="AO129" s="12"/>
      <c r="AP129" s="14"/>
      <c r="AQ129" s="16"/>
      <c r="AR129" s="15"/>
      <c r="AU129" s="198"/>
      <c r="AV129" s="198"/>
      <c r="AW129" s="198"/>
      <c r="AX129" s="198"/>
    </row>
    <row r="130" spans="2:50" ht="17.25" customHeight="1" x14ac:dyDescent="0.2">
      <c r="B130" s="6"/>
      <c r="C130" s="49" t="str">
        <f>IF(SEM!C130="","",SEM!C130)</f>
        <v/>
      </c>
      <c r="D130" s="220" t="str">
        <f>IF(C130="","",VLOOKUP(SEM!C130,FROTA!$B$5:$C$305,2,0))</f>
        <v/>
      </c>
      <c r="E130" s="24" t="str">
        <f>IF(C130="","",VLOOKUP(C130,FROTA!$B$5:$N$305,7,0))</f>
        <v/>
      </c>
      <c r="F130" s="38" t="str">
        <f t="shared" si="25"/>
        <v/>
      </c>
      <c r="G130" s="71" t="str">
        <f t="shared" si="30"/>
        <v/>
      </c>
      <c r="H130" s="32" t="str">
        <f t="shared" si="36"/>
        <v/>
      </c>
      <c r="I130" s="73" t="str">
        <f t="shared" si="36"/>
        <v/>
      </c>
      <c r="J130" s="73" t="str">
        <f t="shared" si="36"/>
        <v/>
      </c>
      <c r="K130" s="73" t="str">
        <f t="shared" si="38"/>
        <v/>
      </c>
      <c r="L130" s="73" t="str">
        <f t="shared" si="38"/>
        <v/>
      </c>
      <c r="M130" s="73" t="str">
        <f t="shared" si="38"/>
        <v/>
      </c>
      <c r="N130" s="73" t="str">
        <f t="shared" si="38"/>
        <v/>
      </c>
      <c r="O130" s="73" t="str">
        <f t="shared" si="38"/>
        <v/>
      </c>
      <c r="P130" s="73" t="str">
        <f t="shared" si="38"/>
        <v/>
      </c>
      <c r="Q130" s="73" t="str">
        <f t="shared" si="38"/>
        <v/>
      </c>
      <c r="R130" s="73" t="str">
        <f t="shared" si="39"/>
        <v/>
      </c>
      <c r="S130" s="73" t="str">
        <f t="shared" si="39"/>
        <v/>
      </c>
      <c r="T130" s="73" t="str">
        <f t="shared" si="39"/>
        <v/>
      </c>
      <c r="U130" s="73" t="str">
        <f t="shared" si="39"/>
        <v/>
      </c>
      <c r="V130" s="73" t="str">
        <f t="shared" si="39"/>
        <v/>
      </c>
      <c r="W130" s="73" t="str">
        <f t="shared" si="39"/>
        <v/>
      </c>
      <c r="X130" s="73" t="str">
        <f t="shared" si="39"/>
        <v/>
      </c>
      <c r="Y130" s="73" t="str">
        <f t="shared" si="39"/>
        <v/>
      </c>
      <c r="Z130" s="73" t="str">
        <f t="shared" si="39"/>
        <v/>
      </c>
      <c r="AA130" s="73" t="str">
        <f t="shared" si="39"/>
        <v/>
      </c>
      <c r="AB130" s="74" t="str">
        <f t="shared" si="39"/>
        <v/>
      </c>
      <c r="AC130" s="35" t="str">
        <f t="shared" si="31"/>
        <v/>
      </c>
      <c r="AD130" s="40" t="str">
        <f t="shared" si="32"/>
        <v/>
      </c>
      <c r="AE130" s="37" t="str">
        <f t="shared" si="33"/>
        <v/>
      </c>
      <c r="AF130" s="40" t="str">
        <f t="shared" si="26"/>
        <v/>
      </c>
      <c r="AG130" s="37" t="str">
        <f t="shared" si="27"/>
        <v/>
      </c>
      <c r="AH130" s="40" t="str">
        <f t="shared" si="28"/>
        <v/>
      </c>
      <c r="AI130" s="37" t="str">
        <f t="shared" si="34"/>
        <v/>
      </c>
      <c r="AJ130" s="40" t="str">
        <f t="shared" si="35"/>
        <v/>
      </c>
      <c r="AK130" s="33" t="str">
        <f>IF(SEM!AK130="","",SEM!AK130)</f>
        <v/>
      </c>
      <c r="AL130" s="6"/>
      <c r="AM130" s="79" t="str">
        <f t="shared" si="29"/>
        <v/>
      </c>
      <c r="AN130" s="12"/>
      <c r="AO130" s="12"/>
      <c r="AP130" s="14"/>
      <c r="AQ130" s="16"/>
      <c r="AR130" s="15"/>
      <c r="AU130" s="198"/>
      <c r="AV130" s="198"/>
      <c r="AW130" s="198"/>
      <c r="AX130" s="198"/>
    </row>
    <row r="131" spans="2:50" ht="17.25" customHeight="1" x14ac:dyDescent="0.2">
      <c r="B131" s="6"/>
      <c r="C131" s="49" t="str">
        <f>IF(SEM!C131="","",SEM!C131)</f>
        <v/>
      </c>
      <c r="D131" s="220" t="str">
        <f>IF(C131="","",VLOOKUP(SEM!C131,FROTA!$B$5:$C$305,2,0))</f>
        <v/>
      </c>
      <c r="E131" s="24" t="str">
        <f>IF(C131="","",VLOOKUP(C131,FROTA!$B$5:$N$305,7,0))</f>
        <v/>
      </c>
      <c r="F131" s="38" t="str">
        <f t="shared" si="25"/>
        <v/>
      </c>
      <c r="G131" s="71" t="str">
        <f t="shared" si="30"/>
        <v/>
      </c>
      <c r="H131" s="32" t="str">
        <f t="shared" si="36"/>
        <v/>
      </c>
      <c r="I131" s="73" t="str">
        <f t="shared" si="36"/>
        <v/>
      </c>
      <c r="J131" s="73" t="str">
        <f t="shared" si="36"/>
        <v/>
      </c>
      <c r="K131" s="73" t="str">
        <f t="shared" si="38"/>
        <v/>
      </c>
      <c r="L131" s="73" t="str">
        <f t="shared" si="38"/>
        <v/>
      </c>
      <c r="M131" s="73" t="str">
        <f t="shared" ref="K131:Q167" si="40">IF($C131="","",IF(SUM(M$307*$G131)&gt;$F131,$F131,SUM(M$307*$G131)))</f>
        <v/>
      </c>
      <c r="N131" s="73" t="str">
        <f t="shared" si="40"/>
        <v/>
      </c>
      <c r="O131" s="73" t="str">
        <f t="shared" si="40"/>
        <v/>
      </c>
      <c r="P131" s="73" t="str">
        <f t="shared" si="40"/>
        <v/>
      </c>
      <c r="Q131" s="73" t="str">
        <f t="shared" si="40"/>
        <v/>
      </c>
      <c r="R131" s="73" t="str">
        <f t="shared" si="39"/>
        <v/>
      </c>
      <c r="S131" s="73" t="str">
        <f t="shared" si="39"/>
        <v/>
      </c>
      <c r="T131" s="73" t="str">
        <f t="shared" si="39"/>
        <v/>
      </c>
      <c r="U131" s="73" t="str">
        <f t="shared" si="39"/>
        <v/>
      </c>
      <c r="V131" s="73" t="str">
        <f t="shared" si="39"/>
        <v/>
      </c>
      <c r="W131" s="73" t="str">
        <f t="shared" si="39"/>
        <v/>
      </c>
      <c r="X131" s="73" t="str">
        <f t="shared" si="39"/>
        <v/>
      </c>
      <c r="Y131" s="73" t="str">
        <f t="shared" si="39"/>
        <v/>
      </c>
      <c r="Z131" s="73" t="str">
        <f t="shared" si="39"/>
        <v/>
      </c>
      <c r="AA131" s="73" t="str">
        <f t="shared" si="39"/>
        <v/>
      </c>
      <c r="AB131" s="74" t="str">
        <f t="shared" si="39"/>
        <v/>
      </c>
      <c r="AC131" s="35" t="str">
        <f t="shared" si="31"/>
        <v/>
      </c>
      <c r="AD131" s="40" t="str">
        <f t="shared" si="32"/>
        <v/>
      </c>
      <c r="AE131" s="37" t="str">
        <f t="shared" si="33"/>
        <v/>
      </c>
      <c r="AF131" s="40" t="str">
        <f t="shared" si="26"/>
        <v/>
      </c>
      <c r="AG131" s="37" t="str">
        <f t="shared" si="27"/>
        <v/>
      </c>
      <c r="AH131" s="40" t="str">
        <f t="shared" si="28"/>
        <v/>
      </c>
      <c r="AI131" s="37" t="str">
        <f t="shared" si="34"/>
        <v/>
      </c>
      <c r="AJ131" s="40" t="str">
        <f t="shared" si="35"/>
        <v/>
      </c>
      <c r="AK131" s="33" t="str">
        <f>IF(SEM!AK131="","",SEM!AK131)</f>
        <v/>
      </c>
      <c r="AL131" s="6"/>
      <c r="AM131" s="79" t="str">
        <f t="shared" si="29"/>
        <v/>
      </c>
      <c r="AN131" s="12"/>
      <c r="AO131" s="12"/>
      <c r="AP131" s="14"/>
      <c r="AQ131" s="16"/>
      <c r="AR131" s="15"/>
      <c r="AU131" s="198"/>
      <c r="AV131" s="198"/>
      <c r="AW131" s="198"/>
      <c r="AX131" s="198"/>
    </row>
    <row r="132" spans="2:50" ht="17.25" customHeight="1" x14ac:dyDescent="0.2">
      <c r="B132" s="6"/>
      <c r="C132" s="49" t="str">
        <f>IF(SEM!C132="","",SEM!C132)</f>
        <v/>
      </c>
      <c r="D132" s="220" t="str">
        <f>IF(C132="","",VLOOKUP(SEM!C132,FROTA!$B$5:$C$305,2,0))</f>
        <v/>
      </c>
      <c r="E132" s="24" t="str">
        <f>IF(C132="","",VLOOKUP(C132,FROTA!$B$5:$N$305,7,0))</f>
        <v/>
      </c>
      <c r="F132" s="38" t="str">
        <f t="shared" si="25"/>
        <v/>
      </c>
      <c r="G132" s="71" t="str">
        <f t="shared" si="30"/>
        <v/>
      </c>
      <c r="H132" s="32" t="str">
        <f t="shared" si="36"/>
        <v/>
      </c>
      <c r="I132" s="73" t="str">
        <f t="shared" si="36"/>
        <v/>
      </c>
      <c r="J132" s="73" t="str">
        <f t="shared" si="36"/>
        <v/>
      </c>
      <c r="K132" s="73" t="str">
        <f t="shared" si="40"/>
        <v/>
      </c>
      <c r="L132" s="73" t="str">
        <f t="shared" si="40"/>
        <v/>
      </c>
      <c r="M132" s="73" t="str">
        <f t="shared" si="40"/>
        <v/>
      </c>
      <c r="N132" s="73" t="str">
        <f t="shared" si="40"/>
        <v/>
      </c>
      <c r="O132" s="73" t="str">
        <f t="shared" si="40"/>
        <v/>
      </c>
      <c r="P132" s="73" t="str">
        <f t="shared" si="40"/>
        <v/>
      </c>
      <c r="Q132" s="73" t="str">
        <f t="shared" si="40"/>
        <v/>
      </c>
      <c r="R132" s="73" t="str">
        <f t="shared" si="39"/>
        <v/>
      </c>
      <c r="S132" s="73" t="str">
        <f t="shared" si="39"/>
        <v/>
      </c>
      <c r="T132" s="73" t="str">
        <f t="shared" si="39"/>
        <v/>
      </c>
      <c r="U132" s="73" t="str">
        <f t="shared" si="39"/>
        <v/>
      </c>
      <c r="V132" s="73" t="str">
        <f t="shared" si="39"/>
        <v/>
      </c>
      <c r="W132" s="73" t="str">
        <f t="shared" si="39"/>
        <v/>
      </c>
      <c r="X132" s="73" t="str">
        <f t="shared" si="39"/>
        <v/>
      </c>
      <c r="Y132" s="73" t="str">
        <f t="shared" si="39"/>
        <v/>
      </c>
      <c r="Z132" s="73" t="str">
        <f t="shared" si="39"/>
        <v/>
      </c>
      <c r="AA132" s="73" t="str">
        <f t="shared" si="39"/>
        <v/>
      </c>
      <c r="AB132" s="74" t="str">
        <f t="shared" si="39"/>
        <v/>
      </c>
      <c r="AC132" s="35" t="str">
        <f t="shared" si="31"/>
        <v/>
      </c>
      <c r="AD132" s="40" t="str">
        <f t="shared" si="32"/>
        <v/>
      </c>
      <c r="AE132" s="37" t="str">
        <f t="shared" si="33"/>
        <v/>
      </c>
      <c r="AF132" s="40" t="str">
        <f t="shared" si="26"/>
        <v/>
      </c>
      <c r="AG132" s="37" t="str">
        <f t="shared" si="27"/>
        <v/>
      </c>
      <c r="AH132" s="40" t="str">
        <f t="shared" si="28"/>
        <v/>
      </c>
      <c r="AI132" s="37" t="str">
        <f t="shared" si="34"/>
        <v/>
      </c>
      <c r="AJ132" s="40" t="str">
        <f t="shared" si="35"/>
        <v/>
      </c>
      <c r="AK132" s="33" t="str">
        <f>IF(SEM!AK132="","",SEM!AK132)</f>
        <v/>
      </c>
      <c r="AL132" s="6"/>
      <c r="AM132" s="79" t="str">
        <f t="shared" si="29"/>
        <v/>
      </c>
      <c r="AN132" s="12"/>
      <c r="AO132" s="12"/>
      <c r="AP132" s="14"/>
      <c r="AQ132" s="16"/>
      <c r="AR132" s="15"/>
      <c r="AU132" s="198"/>
      <c r="AV132" s="198"/>
      <c r="AW132" s="198"/>
      <c r="AX132" s="198"/>
    </row>
    <row r="133" spans="2:50" ht="17.25" customHeight="1" x14ac:dyDescent="0.2">
      <c r="B133" s="6"/>
      <c r="C133" s="49" t="str">
        <f>IF(SEM!C133="","",SEM!C133)</f>
        <v/>
      </c>
      <c r="D133" s="220" t="str">
        <f>IF(C133="","",VLOOKUP(SEM!C133,FROTA!$B$5:$C$305,2,0))</f>
        <v/>
      </c>
      <c r="E133" s="24" t="str">
        <f>IF(C133="","",VLOOKUP(C133,FROTA!$B$5:$N$305,7,0))</f>
        <v/>
      </c>
      <c r="F133" s="38" t="str">
        <f t="shared" si="25"/>
        <v/>
      </c>
      <c r="G133" s="71" t="str">
        <f t="shared" si="30"/>
        <v/>
      </c>
      <c r="H133" s="32" t="str">
        <f t="shared" si="36"/>
        <v/>
      </c>
      <c r="I133" s="73" t="str">
        <f t="shared" si="36"/>
        <v/>
      </c>
      <c r="J133" s="73" t="str">
        <f t="shared" si="36"/>
        <v/>
      </c>
      <c r="K133" s="73" t="str">
        <f t="shared" si="40"/>
        <v/>
      </c>
      <c r="L133" s="73" t="str">
        <f t="shared" si="40"/>
        <v/>
      </c>
      <c r="M133" s="73" t="str">
        <f t="shared" si="40"/>
        <v/>
      </c>
      <c r="N133" s="73" t="str">
        <f t="shared" si="40"/>
        <v/>
      </c>
      <c r="O133" s="73" t="str">
        <f t="shared" si="40"/>
        <v/>
      </c>
      <c r="P133" s="73" t="str">
        <f t="shared" si="40"/>
        <v/>
      </c>
      <c r="Q133" s="73" t="str">
        <f t="shared" si="40"/>
        <v/>
      </c>
      <c r="R133" s="73" t="str">
        <f t="shared" si="39"/>
        <v/>
      </c>
      <c r="S133" s="73" t="str">
        <f t="shared" si="39"/>
        <v/>
      </c>
      <c r="T133" s="73" t="str">
        <f t="shared" si="39"/>
        <v/>
      </c>
      <c r="U133" s="73" t="str">
        <f t="shared" si="39"/>
        <v/>
      </c>
      <c r="V133" s="73" t="str">
        <f t="shared" si="39"/>
        <v/>
      </c>
      <c r="W133" s="73" t="str">
        <f t="shared" si="39"/>
        <v/>
      </c>
      <c r="X133" s="73" t="str">
        <f t="shared" si="39"/>
        <v/>
      </c>
      <c r="Y133" s="73" t="str">
        <f t="shared" si="39"/>
        <v/>
      </c>
      <c r="Z133" s="73" t="str">
        <f t="shared" si="39"/>
        <v/>
      </c>
      <c r="AA133" s="73" t="str">
        <f t="shared" si="39"/>
        <v/>
      </c>
      <c r="AB133" s="74" t="str">
        <f t="shared" si="39"/>
        <v/>
      </c>
      <c r="AC133" s="35" t="str">
        <f t="shared" si="31"/>
        <v/>
      </c>
      <c r="AD133" s="40" t="str">
        <f t="shared" si="32"/>
        <v/>
      </c>
      <c r="AE133" s="37" t="str">
        <f t="shared" si="33"/>
        <v/>
      </c>
      <c r="AF133" s="40" t="str">
        <f t="shared" si="26"/>
        <v/>
      </c>
      <c r="AG133" s="37" t="str">
        <f t="shared" si="27"/>
        <v/>
      </c>
      <c r="AH133" s="40" t="str">
        <f t="shared" si="28"/>
        <v/>
      </c>
      <c r="AI133" s="37" t="str">
        <f t="shared" si="34"/>
        <v/>
      </c>
      <c r="AJ133" s="40" t="str">
        <f t="shared" si="35"/>
        <v/>
      </c>
      <c r="AK133" s="33" t="str">
        <f>IF(SEM!AK133="","",SEM!AK133)</f>
        <v/>
      </c>
      <c r="AL133" s="6"/>
      <c r="AM133" s="79" t="str">
        <f t="shared" si="29"/>
        <v/>
      </c>
      <c r="AN133" s="12"/>
      <c r="AO133" s="12"/>
      <c r="AP133" s="14"/>
      <c r="AQ133" s="16"/>
      <c r="AR133" s="15"/>
      <c r="AU133" s="198"/>
      <c r="AV133" s="198"/>
      <c r="AW133" s="198"/>
      <c r="AX133" s="198"/>
    </row>
    <row r="134" spans="2:50" ht="17.25" customHeight="1" x14ac:dyDescent="0.2">
      <c r="B134" s="6"/>
      <c r="C134" s="49" t="str">
        <f>IF(SEM!C134="","",SEM!C134)</f>
        <v/>
      </c>
      <c r="D134" s="220" t="str">
        <f>IF(C134="","",VLOOKUP(SEM!C134,FROTA!$B$5:$C$305,2,0))</f>
        <v/>
      </c>
      <c r="E134" s="24" t="str">
        <f>IF(C134="","",VLOOKUP(C134,FROTA!$B$5:$N$305,7,0))</f>
        <v/>
      </c>
      <c r="F134" s="38" t="str">
        <f t="shared" si="25"/>
        <v/>
      </c>
      <c r="G134" s="71" t="str">
        <f t="shared" si="30"/>
        <v/>
      </c>
      <c r="H134" s="32" t="str">
        <f t="shared" si="36"/>
        <v/>
      </c>
      <c r="I134" s="73" t="str">
        <f t="shared" si="36"/>
        <v/>
      </c>
      <c r="J134" s="73" t="str">
        <f t="shared" si="36"/>
        <v/>
      </c>
      <c r="K134" s="73" t="str">
        <f t="shared" si="40"/>
        <v/>
      </c>
      <c r="L134" s="73" t="str">
        <f t="shared" si="40"/>
        <v/>
      </c>
      <c r="M134" s="73" t="str">
        <f t="shared" si="40"/>
        <v/>
      </c>
      <c r="N134" s="73" t="str">
        <f t="shared" si="40"/>
        <v/>
      </c>
      <c r="O134" s="73" t="str">
        <f t="shared" si="40"/>
        <v/>
      </c>
      <c r="P134" s="73" t="str">
        <f t="shared" si="40"/>
        <v/>
      </c>
      <c r="Q134" s="73" t="str">
        <f t="shared" si="40"/>
        <v/>
      </c>
      <c r="R134" s="73" t="str">
        <f t="shared" si="39"/>
        <v/>
      </c>
      <c r="S134" s="73" t="str">
        <f t="shared" si="39"/>
        <v/>
      </c>
      <c r="T134" s="73" t="str">
        <f t="shared" si="39"/>
        <v/>
      </c>
      <c r="U134" s="73" t="str">
        <f t="shared" si="39"/>
        <v/>
      </c>
      <c r="V134" s="73" t="str">
        <f t="shared" si="39"/>
        <v/>
      </c>
      <c r="W134" s="73" t="str">
        <f t="shared" si="39"/>
        <v/>
      </c>
      <c r="X134" s="73" t="str">
        <f t="shared" si="39"/>
        <v/>
      </c>
      <c r="Y134" s="73" t="str">
        <f t="shared" si="39"/>
        <v/>
      </c>
      <c r="Z134" s="73" t="str">
        <f t="shared" si="39"/>
        <v/>
      </c>
      <c r="AA134" s="73" t="str">
        <f t="shared" si="39"/>
        <v/>
      </c>
      <c r="AB134" s="74" t="str">
        <f t="shared" si="39"/>
        <v/>
      </c>
      <c r="AC134" s="35" t="str">
        <f t="shared" si="31"/>
        <v/>
      </c>
      <c r="AD134" s="40" t="str">
        <f t="shared" si="32"/>
        <v/>
      </c>
      <c r="AE134" s="37" t="str">
        <f t="shared" si="33"/>
        <v/>
      </c>
      <c r="AF134" s="40" t="str">
        <f t="shared" si="26"/>
        <v/>
      </c>
      <c r="AG134" s="37" t="str">
        <f t="shared" si="27"/>
        <v/>
      </c>
      <c r="AH134" s="40" t="str">
        <f t="shared" si="28"/>
        <v/>
      </c>
      <c r="AI134" s="37" t="str">
        <f t="shared" si="34"/>
        <v/>
      </c>
      <c r="AJ134" s="40" t="str">
        <f t="shared" si="35"/>
        <v/>
      </c>
      <c r="AK134" s="33" t="str">
        <f>IF(SEM!AK134="","",SEM!AK134)</f>
        <v/>
      </c>
      <c r="AL134" s="6"/>
      <c r="AM134" s="79" t="str">
        <f t="shared" si="29"/>
        <v/>
      </c>
      <c r="AN134" s="12"/>
      <c r="AO134" s="12"/>
      <c r="AP134" s="14"/>
      <c r="AQ134" s="16"/>
      <c r="AR134" s="15"/>
      <c r="AU134" s="198"/>
      <c r="AV134" s="198"/>
      <c r="AW134" s="198"/>
      <c r="AX134" s="198"/>
    </row>
    <row r="135" spans="2:50" ht="17.25" customHeight="1" x14ac:dyDescent="0.2">
      <c r="B135" s="6"/>
      <c r="C135" s="49" t="str">
        <f>IF(SEM!C135="","",SEM!C135)</f>
        <v/>
      </c>
      <c r="D135" s="220" t="str">
        <f>IF(C135="","",VLOOKUP(SEM!C135,FROTA!$B$5:$C$305,2,0))</f>
        <v/>
      </c>
      <c r="E135" s="24" t="str">
        <f>IF(C135="","",VLOOKUP(C135,FROTA!$B$5:$N$305,7,0))</f>
        <v/>
      </c>
      <c r="F135" s="38" t="str">
        <f t="shared" ref="F135:F198" si="41">IF(E135="","",VLOOKUP(E135,$AP$5:$AQ$18,2,0))</f>
        <v/>
      </c>
      <c r="G135" s="71" t="str">
        <f t="shared" si="30"/>
        <v/>
      </c>
      <c r="H135" s="32" t="str">
        <f t="shared" si="36"/>
        <v/>
      </c>
      <c r="I135" s="73" t="str">
        <f t="shared" si="36"/>
        <v/>
      </c>
      <c r="J135" s="73" t="str">
        <f t="shared" si="36"/>
        <v/>
      </c>
      <c r="K135" s="73" t="str">
        <f t="shared" si="40"/>
        <v/>
      </c>
      <c r="L135" s="73" t="str">
        <f t="shared" si="40"/>
        <v/>
      </c>
      <c r="M135" s="73" t="str">
        <f t="shared" si="40"/>
        <v/>
      </c>
      <c r="N135" s="73" t="str">
        <f t="shared" si="40"/>
        <v/>
      </c>
      <c r="O135" s="73" t="str">
        <f t="shared" si="40"/>
        <v/>
      </c>
      <c r="P135" s="73" t="str">
        <f t="shared" si="40"/>
        <v/>
      </c>
      <c r="Q135" s="73" t="str">
        <f t="shared" si="40"/>
        <v/>
      </c>
      <c r="R135" s="73" t="str">
        <f t="shared" si="39"/>
        <v/>
      </c>
      <c r="S135" s="73" t="str">
        <f t="shared" si="39"/>
        <v/>
      </c>
      <c r="T135" s="73" t="str">
        <f t="shared" si="39"/>
        <v/>
      </c>
      <c r="U135" s="73" t="str">
        <f t="shared" si="39"/>
        <v/>
      </c>
      <c r="V135" s="73" t="str">
        <f t="shared" si="39"/>
        <v/>
      </c>
      <c r="W135" s="73" t="str">
        <f t="shared" si="39"/>
        <v/>
      </c>
      <c r="X135" s="73" t="str">
        <f t="shared" si="39"/>
        <v/>
      </c>
      <c r="Y135" s="73" t="str">
        <f t="shared" si="39"/>
        <v/>
      </c>
      <c r="Z135" s="73" t="str">
        <f t="shared" si="39"/>
        <v/>
      </c>
      <c r="AA135" s="73" t="str">
        <f t="shared" si="39"/>
        <v/>
      </c>
      <c r="AB135" s="74" t="str">
        <f t="shared" si="39"/>
        <v/>
      </c>
      <c r="AC135" s="35" t="str">
        <f t="shared" si="31"/>
        <v/>
      </c>
      <c r="AD135" s="40" t="str">
        <f t="shared" si="32"/>
        <v/>
      </c>
      <c r="AE135" s="37" t="str">
        <f t="shared" si="33"/>
        <v/>
      </c>
      <c r="AF135" s="40" t="str">
        <f t="shared" ref="AF135:AF198" si="42">IF(C135="","",SUM(H135:Q135))</f>
        <v/>
      </c>
      <c r="AG135" s="37" t="str">
        <f t="shared" ref="AG135:AG198" si="43">IF(C135="","",SUM(R135:AB135)*AK135)</f>
        <v/>
      </c>
      <c r="AH135" s="40" t="str">
        <f t="shared" ref="AH135:AH198" si="44">IF(C135="","",SUM(R135:AB135))</f>
        <v/>
      </c>
      <c r="AI135" s="37" t="str">
        <f t="shared" si="34"/>
        <v/>
      </c>
      <c r="AJ135" s="40" t="str">
        <f t="shared" si="35"/>
        <v/>
      </c>
      <c r="AK135" s="33" t="str">
        <f>IF(SEM!AK135="","",SEM!AK135)</f>
        <v/>
      </c>
      <c r="AL135" s="6"/>
      <c r="AM135" s="79" t="str">
        <f t="shared" ref="AM135:AM198" si="45">IF(C135="","",SUM(H135:AB135))</f>
        <v/>
      </c>
      <c r="AN135" s="12"/>
      <c r="AO135" s="12"/>
      <c r="AP135" s="14"/>
      <c r="AQ135" s="16"/>
      <c r="AR135" s="15"/>
      <c r="AU135" s="198"/>
      <c r="AV135" s="198"/>
      <c r="AW135" s="198"/>
      <c r="AX135" s="198"/>
    </row>
    <row r="136" spans="2:50" ht="17.25" customHeight="1" x14ac:dyDescent="0.2">
      <c r="B136" s="6"/>
      <c r="C136" s="49" t="str">
        <f>IF(SEM!C136="","",SEM!C136)</f>
        <v/>
      </c>
      <c r="D136" s="220" t="str">
        <f>IF(C136="","",VLOOKUP(SEM!C136,FROTA!$B$5:$C$305,2,0))</f>
        <v/>
      </c>
      <c r="E136" s="24" t="str">
        <f>IF(C136="","",VLOOKUP(C136,FROTA!$B$5:$N$305,7,0))</f>
        <v/>
      </c>
      <c r="F136" s="38" t="str">
        <f t="shared" si="41"/>
        <v/>
      </c>
      <c r="G136" s="71" t="str">
        <f t="shared" si="30"/>
        <v/>
      </c>
      <c r="H136" s="32" t="str">
        <f t="shared" si="36"/>
        <v/>
      </c>
      <c r="I136" s="73" t="str">
        <f t="shared" si="36"/>
        <v/>
      </c>
      <c r="J136" s="73" t="str">
        <f t="shared" si="36"/>
        <v/>
      </c>
      <c r="K136" s="73" t="str">
        <f t="shared" si="40"/>
        <v/>
      </c>
      <c r="L136" s="73" t="str">
        <f t="shared" si="40"/>
        <v/>
      </c>
      <c r="M136" s="73" t="str">
        <f t="shared" si="40"/>
        <v/>
      </c>
      <c r="N136" s="73" t="str">
        <f t="shared" si="40"/>
        <v/>
      </c>
      <c r="O136" s="73" t="str">
        <f t="shared" si="40"/>
        <v/>
      </c>
      <c r="P136" s="73" t="str">
        <f t="shared" si="40"/>
        <v/>
      </c>
      <c r="Q136" s="73" t="str">
        <f t="shared" si="40"/>
        <v/>
      </c>
      <c r="R136" s="73" t="str">
        <f t="shared" si="39"/>
        <v/>
      </c>
      <c r="S136" s="73" t="str">
        <f t="shared" si="39"/>
        <v/>
      </c>
      <c r="T136" s="73" t="str">
        <f t="shared" si="39"/>
        <v/>
      </c>
      <c r="U136" s="73" t="str">
        <f t="shared" si="39"/>
        <v/>
      </c>
      <c r="V136" s="73" t="str">
        <f t="shared" si="39"/>
        <v/>
      </c>
      <c r="W136" s="73" t="str">
        <f t="shared" si="39"/>
        <v/>
      </c>
      <c r="X136" s="73" t="str">
        <f t="shared" si="39"/>
        <v/>
      </c>
      <c r="Y136" s="73" t="str">
        <f t="shared" si="39"/>
        <v/>
      </c>
      <c r="Z136" s="73" t="str">
        <f t="shared" si="39"/>
        <v/>
      </c>
      <c r="AA136" s="73" t="str">
        <f t="shared" si="39"/>
        <v/>
      </c>
      <c r="AB136" s="74" t="str">
        <f t="shared" si="39"/>
        <v/>
      </c>
      <c r="AC136" s="35" t="str">
        <f t="shared" si="31"/>
        <v/>
      </c>
      <c r="AD136" s="40" t="str">
        <f t="shared" si="32"/>
        <v/>
      </c>
      <c r="AE136" s="37" t="str">
        <f t="shared" si="33"/>
        <v/>
      </c>
      <c r="AF136" s="40" t="str">
        <f t="shared" si="42"/>
        <v/>
      </c>
      <c r="AG136" s="37" t="str">
        <f t="shared" si="43"/>
        <v/>
      </c>
      <c r="AH136" s="40" t="str">
        <f t="shared" si="44"/>
        <v/>
      </c>
      <c r="AI136" s="37" t="str">
        <f t="shared" si="34"/>
        <v/>
      </c>
      <c r="AJ136" s="40" t="str">
        <f t="shared" si="35"/>
        <v/>
      </c>
      <c r="AK136" s="33" t="str">
        <f>IF(SEM!AK136="","",SEM!AK136)</f>
        <v/>
      </c>
      <c r="AL136" s="6"/>
      <c r="AM136" s="79" t="str">
        <f t="shared" si="45"/>
        <v/>
      </c>
      <c r="AN136" s="12"/>
      <c r="AO136" s="12"/>
      <c r="AP136" s="14"/>
      <c r="AQ136" s="16"/>
      <c r="AR136" s="15"/>
      <c r="AU136" s="198"/>
      <c r="AV136" s="198"/>
      <c r="AW136" s="198"/>
      <c r="AX136" s="198"/>
    </row>
    <row r="137" spans="2:50" ht="17.25" customHeight="1" x14ac:dyDescent="0.2">
      <c r="B137" s="6"/>
      <c r="C137" s="49" t="str">
        <f>IF(SEM!C137="","",SEM!C137)</f>
        <v/>
      </c>
      <c r="D137" s="220" t="str">
        <f>IF(C137="","",VLOOKUP(SEM!C137,FROTA!$B$5:$C$305,2,0))</f>
        <v/>
      </c>
      <c r="E137" s="24" t="str">
        <f>IF(C137="","",VLOOKUP(C137,FROTA!$B$5:$N$305,7,0))</f>
        <v/>
      </c>
      <c r="F137" s="38" t="str">
        <f t="shared" si="41"/>
        <v/>
      </c>
      <c r="G137" s="71" t="str">
        <f t="shared" ref="G137:G200" si="46">IF(C137="","",F137/$F$307)</f>
        <v/>
      </c>
      <c r="H137" s="32" t="str">
        <f t="shared" si="36"/>
        <v/>
      </c>
      <c r="I137" s="73" t="str">
        <f t="shared" si="36"/>
        <v/>
      </c>
      <c r="J137" s="73" t="str">
        <f t="shared" si="36"/>
        <v/>
      </c>
      <c r="K137" s="73" t="str">
        <f t="shared" si="40"/>
        <v/>
      </c>
      <c r="L137" s="73" t="str">
        <f t="shared" si="40"/>
        <v/>
      </c>
      <c r="M137" s="73" t="str">
        <f t="shared" si="40"/>
        <v/>
      </c>
      <c r="N137" s="73" t="str">
        <f t="shared" si="40"/>
        <v/>
      </c>
      <c r="O137" s="73" t="str">
        <f t="shared" si="40"/>
        <v/>
      </c>
      <c r="P137" s="73" t="str">
        <f t="shared" si="40"/>
        <v/>
      </c>
      <c r="Q137" s="73" t="str">
        <f t="shared" si="40"/>
        <v/>
      </c>
      <c r="R137" s="73" t="str">
        <f t="shared" si="39"/>
        <v/>
      </c>
      <c r="S137" s="73" t="str">
        <f t="shared" si="39"/>
        <v/>
      </c>
      <c r="T137" s="73" t="str">
        <f t="shared" si="39"/>
        <v/>
      </c>
      <c r="U137" s="73" t="str">
        <f t="shared" si="39"/>
        <v/>
      </c>
      <c r="V137" s="73" t="str">
        <f t="shared" si="39"/>
        <v/>
      </c>
      <c r="W137" s="73" t="str">
        <f t="shared" si="39"/>
        <v/>
      </c>
      <c r="X137" s="73" t="str">
        <f t="shared" si="39"/>
        <v/>
      </c>
      <c r="Y137" s="73" t="str">
        <f t="shared" si="39"/>
        <v/>
      </c>
      <c r="Z137" s="73" t="str">
        <f t="shared" si="39"/>
        <v/>
      </c>
      <c r="AA137" s="73" t="str">
        <f t="shared" si="39"/>
        <v/>
      </c>
      <c r="AB137" s="74" t="str">
        <f t="shared" ref="R137:AB161" si="47">IF($C137="","",IF(SUM(AB$307*$G137)&gt;$F137,$F137,SUM(AB$307*$G137)))</f>
        <v/>
      </c>
      <c r="AC137" s="35" t="str">
        <f t="shared" si="31"/>
        <v/>
      </c>
      <c r="AD137" s="40" t="str">
        <f t="shared" si="32"/>
        <v/>
      </c>
      <c r="AE137" s="37" t="str">
        <f t="shared" si="33"/>
        <v/>
      </c>
      <c r="AF137" s="40" t="str">
        <f t="shared" si="42"/>
        <v/>
      </c>
      <c r="AG137" s="37" t="str">
        <f t="shared" si="43"/>
        <v/>
      </c>
      <c r="AH137" s="40" t="str">
        <f t="shared" si="44"/>
        <v/>
      </c>
      <c r="AI137" s="37" t="str">
        <f t="shared" si="34"/>
        <v/>
      </c>
      <c r="AJ137" s="40" t="str">
        <f t="shared" si="35"/>
        <v/>
      </c>
      <c r="AK137" s="33" t="str">
        <f>IF(SEM!AK137="","",SEM!AK137)</f>
        <v/>
      </c>
      <c r="AL137" s="6"/>
      <c r="AM137" s="79" t="str">
        <f t="shared" si="45"/>
        <v/>
      </c>
      <c r="AN137" s="12"/>
      <c r="AO137" s="12"/>
      <c r="AP137" s="14"/>
      <c r="AQ137" s="16"/>
      <c r="AR137" s="15"/>
      <c r="AU137" s="198"/>
      <c r="AV137" s="198"/>
      <c r="AW137" s="198"/>
      <c r="AX137" s="198"/>
    </row>
    <row r="138" spans="2:50" ht="17.25" customHeight="1" x14ac:dyDescent="0.2">
      <c r="B138" s="6"/>
      <c r="C138" s="49" t="str">
        <f>IF(SEM!C138="","",SEM!C138)</f>
        <v/>
      </c>
      <c r="D138" s="220" t="str">
        <f>IF(C138="","",VLOOKUP(SEM!C138,FROTA!$B$5:$C$305,2,0))</f>
        <v/>
      </c>
      <c r="E138" s="24" t="str">
        <f>IF(C138="","",VLOOKUP(C138,FROTA!$B$5:$N$305,7,0))</f>
        <v/>
      </c>
      <c r="F138" s="38" t="str">
        <f t="shared" si="41"/>
        <v/>
      </c>
      <c r="G138" s="71" t="str">
        <f t="shared" si="46"/>
        <v/>
      </c>
      <c r="H138" s="32" t="str">
        <f t="shared" si="36"/>
        <v/>
      </c>
      <c r="I138" s="73" t="str">
        <f t="shared" si="36"/>
        <v/>
      </c>
      <c r="J138" s="73" t="str">
        <f t="shared" si="36"/>
        <v/>
      </c>
      <c r="K138" s="73" t="str">
        <f t="shared" si="40"/>
        <v/>
      </c>
      <c r="L138" s="73" t="str">
        <f t="shared" si="40"/>
        <v/>
      </c>
      <c r="M138" s="73" t="str">
        <f t="shared" si="40"/>
        <v/>
      </c>
      <c r="N138" s="73" t="str">
        <f t="shared" si="40"/>
        <v/>
      </c>
      <c r="O138" s="73" t="str">
        <f t="shared" si="40"/>
        <v/>
      </c>
      <c r="P138" s="73" t="str">
        <f t="shared" si="40"/>
        <v/>
      </c>
      <c r="Q138" s="73" t="str">
        <f t="shared" si="40"/>
        <v/>
      </c>
      <c r="R138" s="73" t="str">
        <f t="shared" si="47"/>
        <v/>
      </c>
      <c r="S138" s="73" t="str">
        <f t="shared" si="47"/>
        <v/>
      </c>
      <c r="T138" s="73" t="str">
        <f t="shared" si="47"/>
        <v/>
      </c>
      <c r="U138" s="73" t="str">
        <f t="shared" si="47"/>
        <v/>
      </c>
      <c r="V138" s="73" t="str">
        <f t="shared" si="47"/>
        <v/>
      </c>
      <c r="W138" s="73" t="str">
        <f t="shared" si="47"/>
        <v/>
      </c>
      <c r="X138" s="73" t="str">
        <f t="shared" si="47"/>
        <v/>
      </c>
      <c r="Y138" s="73" t="str">
        <f t="shared" si="47"/>
        <v/>
      </c>
      <c r="Z138" s="73" t="str">
        <f t="shared" si="47"/>
        <v/>
      </c>
      <c r="AA138" s="73" t="str">
        <f t="shared" si="47"/>
        <v/>
      </c>
      <c r="AB138" s="74" t="str">
        <f t="shared" si="47"/>
        <v/>
      </c>
      <c r="AC138" s="35" t="str">
        <f t="shared" si="31"/>
        <v/>
      </c>
      <c r="AD138" s="40" t="str">
        <f t="shared" si="32"/>
        <v/>
      </c>
      <c r="AE138" s="37" t="str">
        <f t="shared" si="33"/>
        <v/>
      </c>
      <c r="AF138" s="40" t="str">
        <f t="shared" si="42"/>
        <v/>
      </c>
      <c r="AG138" s="37" t="str">
        <f t="shared" si="43"/>
        <v/>
      </c>
      <c r="AH138" s="40" t="str">
        <f t="shared" si="44"/>
        <v/>
      </c>
      <c r="AI138" s="37" t="str">
        <f t="shared" si="34"/>
        <v/>
      </c>
      <c r="AJ138" s="40" t="str">
        <f t="shared" si="35"/>
        <v/>
      </c>
      <c r="AK138" s="33" t="str">
        <f>IF(SEM!AK138="","",SEM!AK138)</f>
        <v/>
      </c>
      <c r="AL138" s="6"/>
      <c r="AM138" s="79" t="str">
        <f t="shared" si="45"/>
        <v/>
      </c>
      <c r="AN138" s="12"/>
      <c r="AO138" s="12"/>
      <c r="AP138" s="14"/>
      <c r="AQ138" s="16"/>
      <c r="AR138" s="15"/>
      <c r="AU138" s="198"/>
      <c r="AV138" s="198"/>
      <c r="AW138" s="198"/>
      <c r="AX138" s="198"/>
    </row>
    <row r="139" spans="2:50" ht="17.25" customHeight="1" x14ac:dyDescent="0.2">
      <c r="B139" s="6"/>
      <c r="C139" s="49" t="str">
        <f>IF(SEM!C139="","",SEM!C139)</f>
        <v/>
      </c>
      <c r="D139" s="220" t="str">
        <f>IF(C139="","",VLOOKUP(SEM!C139,FROTA!$B$5:$C$305,2,0))</f>
        <v/>
      </c>
      <c r="E139" s="24" t="str">
        <f>IF(C139="","",VLOOKUP(C139,FROTA!$B$5:$N$305,7,0))</f>
        <v/>
      </c>
      <c r="F139" s="38" t="str">
        <f t="shared" si="41"/>
        <v/>
      </c>
      <c r="G139" s="71" t="str">
        <f t="shared" si="46"/>
        <v/>
      </c>
      <c r="H139" s="32" t="str">
        <f t="shared" si="36"/>
        <v/>
      </c>
      <c r="I139" s="73" t="str">
        <f t="shared" si="36"/>
        <v/>
      </c>
      <c r="J139" s="73" t="str">
        <f t="shared" si="36"/>
        <v/>
      </c>
      <c r="K139" s="73" t="str">
        <f t="shared" si="40"/>
        <v/>
      </c>
      <c r="L139" s="73" t="str">
        <f t="shared" si="40"/>
        <v/>
      </c>
      <c r="M139" s="73" t="str">
        <f t="shared" si="40"/>
        <v/>
      </c>
      <c r="N139" s="73" t="str">
        <f t="shared" si="40"/>
        <v/>
      </c>
      <c r="O139" s="73" t="str">
        <f t="shared" si="40"/>
        <v/>
      </c>
      <c r="P139" s="73" t="str">
        <f t="shared" si="40"/>
        <v/>
      </c>
      <c r="Q139" s="73" t="str">
        <f t="shared" si="40"/>
        <v/>
      </c>
      <c r="R139" s="73" t="str">
        <f t="shared" si="47"/>
        <v/>
      </c>
      <c r="S139" s="73" t="str">
        <f t="shared" si="47"/>
        <v/>
      </c>
      <c r="T139" s="73" t="str">
        <f t="shared" si="47"/>
        <v/>
      </c>
      <c r="U139" s="73" t="str">
        <f t="shared" si="47"/>
        <v/>
      </c>
      <c r="V139" s="73" t="str">
        <f t="shared" si="47"/>
        <v/>
      </c>
      <c r="W139" s="73" t="str">
        <f t="shared" si="47"/>
        <v/>
      </c>
      <c r="X139" s="73" t="str">
        <f t="shared" si="47"/>
        <v/>
      </c>
      <c r="Y139" s="73" t="str">
        <f t="shared" si="47"/>
        <v/>
      </c>
      <c r="Z139" s="73" t="str">
        <f t="shared" si="47"/>
        <v/>
      </c>
      <c r="AA139" s="73" t="str">
        <f t="shared" si="47"/>
        <v/>
      </c>
      <c r="AB139" s="74" t="str">
        <f t="shared" si="47"/>
        <v/>
      </c>
      <c r="AC139" s="35" t="str">
        <f t="shared" si="31"/>
        <v/>
      </c>
      <c r="AD139" s="40" t="str">
        <f t="shared" si="32"/>
        <v/>
      </c>
      <c r="AE139" s="37" t="str">
        <f t="shared" si="33"/>
        <v/>
      </c>
      <c r="AF139" s="40" t="str">
        <f t="shared" si="42"/>
        <v/>
      </c>
      <c r="AG139" s="37" t="str">
        <f t="shared" si="43"/>
        <v/>
      </c>
      <c r="AH139" s="40" t="str">
        <f t="shared" si="44"/>
        <v/>
      </c>
      <c r="AI139" s="37" t="str">
        <f t="shared" si="34"/>
        <v/>
      </c>
      <c r="AJ139" s="40" t="str">
        <f t="shared" si="35"/>
        <v/>
      </c>
      <c r="AK139" s="33" t="str">
        <f>IF(SEM!AK139="","",SEM!AK139)</f>
        <v/>
      </c>
      <c r="AL139" s="6"/>
      <c r="AM139" s="79" t="str">
        <f t="shared" si="45"/>
        <v/>
      </c>
      <c r="AN139" s="12"/>
      <c r="AO139" s="12"/>
      <c r="AP139" s="14"/>
      <c r="AQ139" s="16"/>
      <c r="AR139" s="15"/>
      <c r="AU139" s="198"/>
      <c r="AV139" s="198"/>
      <c r="AW139" s="198"/>
      <c r="AX139" s="198"/>
    </row>
    <row r="140" spans="2:50" ht="17.25" customHeight="1" x14ac:dyDescent="0.2">
      <c r="B140" s="6"/>
      <c r="C140" s="49" t="str">
        <f>IF(SEM!C140="","",SEM!C140)</f>
        <v/>
      </c>
      <c r="D140" s="220" t="str">
        <f>IF(C140="","",VLOOKUP(SEM!C140,FROTA!$B$5:$C$305,2,0))</f>
        <v/>
      </c>
      <c r="E140" s="24" t="str">
        <f>IF(C140="","",VLOOKUP(C140,FROTA!$B$5:$N$305,7,0))</f>
        <v/>
      </c>
      <c r="F140" s="38" t="str">
        <f t="shared" si="41"/>
        <v/>
      </c>
      <c r="G140" s="71" t="str">
        <f t="shared" si="46"/>
        <v/>
      </c>
      <c r="H140" s="32" t="str">
        <f t="shared" si="36"/>
        <v/>
      </c>
      <c r="I140" s="73" t="str">
        <f t="shared" si="36"/>
        <v/>
      </c>
      <c r="J140" s="73" t="str">
        <f t="shared" si="36"/>
        <v/>
      </c>
      <c r="K140" s="73" t="str">
        <f t="shared" si="40"/>
        <v/>
      </c>
      <c r="L140" s="73" t="str">
        <f t="shared" si="40"/>
        <v/>
      </c>
      <c r="M140" s="73" t="str">
        <f t="shared" si="40"/>
        <v/>
      </c>
      <c r="N140" s="73" t="str">
        <f t="shared" si="40"/>
        <v/>
      </c>
      <c r="O140" s="73" t="str">
        <f t="shared" si="40"/>
        <v/>
      </c>
      <c r="P140" s="73" t="str">
        <f t="shared" si="40"/>
        <v/>
      </c>
      <c r="Q140" s="73" t="str">
        <f t="shared" si="40"/>
        <v/>
      </c>
      <c r="R140" s="73" t="str">
        <f t="shared" si="47"/>
        <v/>
      </c>
      <c r="S140" s="73" t="str">
        <f t="shared" si="47"/>
        <v/>
      </c>
      <c r="T140" s="73" t="str">
        <f t="shared" si="47"/>
        <v/>
      </c>
      <c r="U140" s="73" t="str">
        <f t="shared" si="47"/>
        <v/>
      </c>
      <c r="V140" s="73" t="str">
        <f t="shared" si="47"/>
        <v/>
      </c>
      <c r="W140" s="73" t="str">
        <f t="shared" si="47"/>
        <v/>
      </c>
      <c r="X140" s="73" t="str">
        <f t="shared" si="47"/>
        <v/>
      </c>
      <c r="Y140" s="73" t="str">
        <f t="shared" si="47"/>
        <v/>
      </c>
      <c r="Z140" s="73" t="str">
        <f t="shared" si="47"/>
        <v/>
      </c>
      <c r="AA140" s="73" t="str">
        <f t="shared" si="47"/>
        <v/>
      </c>
      <c r="AB140" s="74" t="str">
        <f t="shared" si="47"/>
        <v/>
      </c>
      <c r="AC140" s="35" t="str">
        <f t="shared" si="31"/>
        <v/>
      </c>
      <c r="AD140" s="40" t="str">
        <f t="shared" si="32"/>
        <v/>
      </c>
      <c r="AE140" s="37" t="str">
        <f t="shared" si="33"/>
        <v/>
      </c>
      <c r="AF140" s="40" t="str">
        <f t="shared" si="42"/>
        <v/>
      </c>
      <c r="AG140" s="37" t="str">
        <f t="shared" si="43"/>
        <v/>
      </c>
      <c r="AH140" s="40" t="str">
        <f t="shared" si="44"/>
        <v/>
      </c>
      <c r="AI140" s="37" t="str">
        <f t="shared" si="34"/>
        <v/>
      </c>
      <c r="AJ140" s="40" t="str">
        <f t="shared" si="35"/>
        <v/>
      </c>
      <c r="AK140" s="33" t="str">
        <f>IF(SEM!AK140="","",SEM!AK140)</f>
        <v/>
      </c>
      <c r="AL140" s="6"/>
      <c r="AM140" s="79" t="str">
        <f t="shared" si="45"/>
        <v/>
      </c>
      <c r="AN140" s="12"/>
      <c r="AO140" s="12"/>
      <c r="AP140" s="14"/>
      <c r="AQ140" s="16"/>
      <c r="AR140" s="15"/>
      <c r="AU140" s="198"/>
      <c r="AV140" s="198"/>
      <c r="AW140" s="198"/>
      <c r="AX140" s="198"/>
    </row>
    <row r="141" spans="2:50" ht="17.25" customHeight="1" x14ac:dyDescent="0.2">
      <c r="B141" s="6"/>
      <c r="C141" s="49" t="str">
        <f>IF(SEM!C141="","",SEM!C141)</f>
        <v/>
      </c>
      <c r="D141" s="220" t="str">
        <f>IF(C141="","",VLOOKUP(SEM!C141,FROTA!$B$5:$C$305,2,0))</f>
        <v/>
      </c>
      <c r="E141" s="24" t="str">
        <f>IF(C141="","",VLOOKUP(C141,FROTA!$B$5:$N$305,7,0))</f>
        <v/>
      </c>
      <c r="F141" s="38" t="str">
        <f t="shared" si="41"/>
        <v/>
      </c>
      <c r="G141" s="71" t="str">
        <f t="shared" si="46"/>
        <v/>
      </c>
      <c r="H141" s="32" t="str">
        <f t="shared" si="36"/>
        <v/>
      </c>
      <c r="I141" s="73" t="str">
        <f t="shared" si="36"/>
        <v/>
      </c>
      <c r="J141" s="73" t="str">
        <f t="shared" si="36"/>
        <v/>
      </c>
      <c r="K141" s="73" t="str">
        <f t="shared" si="40"/>
        <v/>
      </c>
      <c r="L141" s="73" t="str">
        <f t="shared" si="40"/>
        <v/>
      </c>
      <c r="M141" s="73" t="str">
        <f t="shared" si="40"/>
        <v/>
      </c>
      <c r="N141" s="73" t="str">
        <f t="shared" si="40"/>
        <v/>
      </c>
      <c r="O141" s="73" t="str">
        <f t="shared" si="40"/>
        <v/>
      </c>
      <c r="P141" s="73" t="str">
        <f t="shared" si="40"/>
        <v/>
      </c>
      <c r="Q141" s="73" t="str">
        <f t="shared" si="40"/>
        <v/>
      </c>
      <c r="R141" s="73" t="str">
        <f t="shared" si="47"/>
        <v/>
      </c>
      <c r="S141" s="73" t="str">
        <f t="shared" si="47"/>
        <v/>
      </c>
      <c r="T141" s="73" t="str">
        <f t="shared" si="47"/>
        <v/>
      </c>
      <c r="U141" s="73" t="str">
        <f t="shared" si="47"/>
        <v/>
      </c>
      <c r="V141" s="73" t="str">
        <f t="shared" si="47"/>
        <v/>
      </c>
      <c r="W141" s="73" t="str">
        <f t="shared" si="47"/>
        <v/>
      </c>
      <c r="X141" s="73" t="str">
        <f t="shared" si="47"/>
        <v/>
      </c>
      <c r="Y141" s="73" t="str">
        <f t="shared" si="47"/>
        <v/>
      </c>
      <c r="Z141" s="73" t="str">
        <f t="shared" si="47"/>
        <v/>
      </c>
      <c r="AA141" s="73" t="str">
        <f t="shared" si="47"/>
        <v/>
      </c>
      <c r="AB141" s="74" t="str">
        <f t="shared" si="47"/>
        <v/>
      </c>
      <c r="AC141" s="35" t="str">
        <f t="shared" si="31"/>
        <v/>
      </c>
      <c r="AD141" s="40" t="str">
        <f t="shared" si="32"/>
        <v/>
      </c>
      <c r="AE141" s="37" t="str">
        <f t="shared" si="33"/>
        <v/>
      </c>
      <c r="AF141" s="40" t="str">
        <f t="shared" si="42"/>
        <v/>
      </c>
      <c r="AG141" s="37" t="str">
        <f t="shared" si="43"/>
        <v/>
      </c>
      <c r="AH141" s="40" t="str">
        <f t="shared" si="44"/>
        <v/>
      </c>
      <c r="AI141" s="37" t="str">
        <f t="shared" si="34"/>
        <v/>
      </c>
      <c r="AJ141" s="40" t="str">
        <f t="shared" si="35"/>
        <v/>
      </c>
      <c r="AK141" s="33" t="str">
        <f>IF(SEM!AK141="","",SEM!AK141)</f>
        <v/>
      </c>
      <c r="AL141" s="6"/>
      <c r="AM141" s="79" t="str">
        <f t="shared" si="45"/>
        <v/>
      </c>
      <c r="AN141" s="12"/>
      <c r="AO141" s="12"/>
      <c r="AP141" s="14"/>
      <c r="AQ141" s="16"/>
      <c r="AR141" s="15"/>
      <c r="AU141" s="198"/>
      <c r="AV141" s="198"/>
      <c r="AW141" s="198"/>
      <c r="AX141" s="198"/>
    </row>
    <row r="142" spans="2:50" ht="17.25" customHeight="1" x14ac:dyDescent="0.2">
      <c r="B142" s="6"/>
      <c r="C142" s="49" t="str">
        <f>IF(SEM!C142="","",SEM!C142)</f>
        <v/>
      </c>
      <c r="D142" s="220" t="str">
        <f>IF(C142="","",VLOOKUP(SEM!C142,FROTA!$B$5:$C$305,2,0))</f>
        <v/>
      </c>
      <c r="E142" s="24" t="str">
        <f>IF(C142="","",VLOOKUP(C142,FROTA!$B$5:$N$305,7,0))</f>
        <v/>
      </c>
      <c r="F142" s="38" t="str">
        <f t="shared" si="41"/>
        <v/>
      </c>
      <c r="G142" s="71" t="str">
        <f t="shared" si="46"/>
        <v/>
      </c>
      <c r="H142" s="32" t="str">
        <f t="shared" si="36"/>
        <v/>
      </c>
      <c r="I142" s="73" t="str">
        <f t="shared" si="36"/>
        <v/>
      </c>
      <c r="J142" s="73" t="str">
        <f t="shared" si="36"/>
        <v/>
      </c>
      <c r="K142" s="73" t="str">
        <f t="shared" si="40"/>
        <v/>
      </c>
      <c r="L142" s="73" t="str">
        <f t="shared" si="40"/>
        <v/>
      </c>
      <c r="M142" s="73" t="str">
        <f t="shared" si="40"/>
        <v/>
      </c>
      <c r="N142" s="73" t="str">
        <f t="shared" si="40"/>
        <v/>
      </c>
      <c r="O142" s="73" t="str">
        <f t="shared" si="40"/>
        <v/>
      </c>
      <c r="P142" s="73" t="str">
        <f t="shared" si="40"/>
        <v/>
      </c>
      <c r="Q142" s="73" t="str">
        <f t="shared" si="40"/>
        <v/>
      </c>
      <c r="R142" s="73" t="str">
        <f t="shared" si="47"/>
        <v/>
      </c>
      <c r="S142" s="73" t="str">
        <f t="shared" si="47"/>
        <v/>
      </c>
      <c r="T142" s="73" t="str">
        <f t="shared" si="47"/>
        <v/>
      </c>
      <c r="U142" s="73" t="str">
        <f t="shared" si="47"/>
        <v/>
      </c>
      <c r="V142" s="73" t="str">
        <f t="shared" si="47"/>
        <v/>
      </c>
      <c r="W142" s="73" t="str">
        <f t="shared" si="47"/>
        <v/>
      </c>
      <c r="X142" s="73" t="str">
        <f t="shared" si="47"/>
        <v/>
      </c>
      <c r="Y142" s="73" t="str">
        <f t="shared" si="47"/>
        <v/>
      </c>
      <c r="Z142" s="73" t="str">
        <f t="shared" si="47"/>
        <v/>
      </c>
      <c r="AA142" s="73" t="str">
        <f t="shared" si="47"/>
        <v/>
      </c>
      <c r="AB142" s="74" t="str">
        <f t="shared" si="47"/>
        <v/>
      </c>
      <c r="AC142" s="35" t="str">
        <f t="shared" si="31"/>
        <v/>
      </c>
      <c r="AD142" s="40" t="str">
        <f t="shared" si="32"/>
        <v/>
      </c>
      <c r="AE142" s="37" t="str">
        <f t="shared" si="33"/>
        <v/>
      </c>
      <c r="AF142" s="40" t="str">
        <f t="shared" si="42"/>
        <v/>
      </c>
      <c r="AG142" s="37" t="str">
        <f t="shared" si="43"/>
        <v/>
      </c>
      <c r="AH142" s="40" t="str">
        <f t="shared" si="44"/>
        <v/>
      </c>
      <c r="AI142" s="37" t="str">
        <f t="shared" si="34"/>
        <v/>
      </c>
      <c r="AJ142" s="40" t="str">
        <f t="shared" si="35"/>
        <v/>
      </c>
      <c r="AK142" s="33" t="str">
        <f>IF(SEM!AK142="","",SEM!AK142)</f>
        <v/>
      </c>
      <c r="AL142" s="6"/>
      <c r="AM142" s="79" t="str">
        <f t="shared" si="45"/>
        <v/>
      </c>
      <c r="AN142" s="12"/>
      <c r="AO142" s="12"/>
      <c r="AP142" s="14"/>
      <c r="AQ142" s="16"/>
      <c r="AR142" s="15"/>
      <c r="AU142" s="198"/>
      <c r="AV142" s="198"/>
      <c r="AW142" s="198"/>
      <c r="AX142" s="198"/>
    </row>
    <row r="143" spans="2:50" ht="17.25" customHeight="1" x14ac:dyDescent="0.2">
      <c r="B143" s="6"/>
      <c r="C143" s="49" t="str">
        <f>IF(SEM!C143="","",SEM!C143)</f>
        <v/>
      </c>
      <c r="D143" s="220" t="str">
        <f>IF(C143="","",VLOOKUP(SEM!C143,FROTA!$B$5:$C$305,2,0))</f>
        <v/>
      </c>
      <c r="E143" s="24" t="str">
        <f>IF(C143="","",VLOOKUP(C143,FROTA!$B$5:$N$305,7,0))</f>
        <v/>
      </c>
      <c r="F143" s="38" t="str">
        <f t="shared" si="41"/>
        <v/>
      </c>
      <c r="G143" s="71" t="str">
        <f t="shared" si="46"/>
        <v/>
      </c>
      <c r="H143" s="32" t="str">
        <f t="shared" si="36"/>
        <v/>
      </c>
      <c r="I143" s="73" t="str">
        <f t="shared" si="36"/>
        <v/>
      </c>
      <c r="J143" s="73" t="str">
        <f t="shared" si="36"/>
        <v/>
      </c>
      <c r="K143" s="73" t="str">
        <f t="shared" si="40"/>
        <v/>
      </c>
      <c r="L143" s="73" t="str">
        <f t="shared" si="40"/>
        <v/>
      </c>
      <c r="M143" s="73" t="str">
        <f t="shared" si="40"/>
        <v/>
      </c>
      <c r="N143" s="73" t="str">
        <f t="shared" si="40"/>
        <v/>
      </c>
      <c r="O143" s="73" t="str">
        <f t="shared" si="40"/>
        <v/>
      </c>
      <c r="P143" s="73" t="str">
        <f t="shared" si="40"/>
        <v/>
      </c>
      <c r="Q143" s="73" t="str">
        <f t="shared" si="40"/>
        <v/>
      </c>
      <c r="R143" s="73" t="str">
        <f t="shared" si="47"/>
        <v/>
      </c>
      <c r="S143" s="73" t="str">
        <f t="shared" si="47"/>
        <v/>
      </c>
      <c r="T143" s="73" t="str">
        <f t="shared" si="47"/>
        <v/>
      </c>
      <c r="U143" s="73" t="str">
        <f t="shared" si="47"/>
        <v/>
      </c>
      <c r="V143" s="73" t="str">
        <f t="shared" si="47"/>
        <v/>
      </c>
      <c r="W143" s="73" t="str">
        <f t="shared" si="47"/>
        <v/>
      </c>
      <c r="X143" s="73" t="str">
        <f t="shared" si="47"/>
        <v/>
      </c>
      <c r="Y143" s="73" t="str">
        <f t="shared" si="47"/>
        <v/>
      </c>
      <c r="Z143" s="73" t="str">
        <f t="shared" si="47"/>
        <v/>
      </c>
      <c r="AA143" s="73" t="str">
        <f t="shared" si="47"/>
        <v/>
      </c>
      <c r="AB143" s="74" t="str">
        <f t="shared" si="47"/>
        <v/>
      </c>
      <c r="AC143" s="35" t="str">
        <f t="shared" si="31"/>
        <v/>
      </c>
      <c r="AD143" s="40" t="str">
        <f t="shared" si="32"/>
        <v/>
      </c>
      <c r="AE143" s="37" t="str">
        <f t="shared" si="33"/>
        <v/>
      </c>
      <c r="AF143" s="40" t="str">
        <f t="shared" si="42"/>
        <v/>
      </c>
      <c r="AG143" s="37" t="str">
        <f t="shared" si="43"/>
        <v/>
      </c>
      <c r="AH143" s="40" t="str">
        <f t="shared" si="44"/>
        <v/>
      </c>
      <c r="AI143" s="37" t="str">
        <f t="shared" si="34"/>
        <v/>
      </c>
      <c r="AJ143" s="40" t="str">
        <f t="shared" si="35"/>
        <v/>
      </c>
      <c r="AK143" s="33" t="str">
        <f>IF(SEM!AK143="","",SEM!AK143)</f>
        <v/>
      </c>
      <c r="AL143" s="6"/>
      <c r="AM143" s="79" t="str">
        <f t="shared" si="45"/>
        <v/>
      </c>
      <c r="AN143" s="12"/>
      <c r="AO143" s="12"/>
      <c r="AP143" s="14"/>
      <c r="AQ143" s="16"/>
      <c r="AR143" s="15"/>
      <c r="AU143" s="198"/>
      <c r="AV143" s="198"/>
      <c r="AW143" s="198"/>
      <c r="AX143" s="198"/>
    </row>
    <row r="144" spans="2:50" ht="17.25" customHeight="1" x14ac:dyDescent="0.2">
      <c r="B144" s="6"/>
      <c r="C144" s="49" t="str">
        <f>IF(SEM!C144="","",SEM!C144)</f>
        <v/>
      </c>
      <c r="D144" s="220" t="str">
        <f>IF(C144="","",VLOOKUP(SEM!C144,FROTA!$B$5:$C$305,2,0))</f>
        <v/>
      </c>
      <c r="E144" s="24" t="str">
        <f>IF(C144="","",VLOOKUP(C144,FROTA!$B$5:$N$305,7,0))</f>
        <v/>
      </c>
      <c r="F144" s="38" t="str">
        <f t="shared" si="41"/>
        <v/>
      </c>
      <c r="G144" s="71" t="str">
        <f t="shared" si="46"/>
        <v/>
      </c>
      <c r="H144" s="32" t="str">
        <f t="shared" si="36"/>
        <v/>
      </c>
      <c r="I144" s="73" t="str">
        <f t="shared" si="36"/>
        <v/>
      </c>
      <c r="J144" s="73" t="str">
        <f t="shared" si="36"/>
        <v/>
      </c>
      <c r="K144" s="73" t="str">
        <f t="shared" si="40"/>
        <v/>
      </c>
      <c r="L144" s="73" t="str">
        <f t="shared" si="40"/>
        <v/>
      </c>
      <c r="M144" s="73" t="str">
        <f t="shared" si="40"/>
        <v/>
      </c>
      <c r="N144" s="73" t="str">
        <f t="shared" si="40"/>
        <v/>
      </c>
      <c r="O144" s="73" t="str">
        <f t="shared" si="40"/>
        <v/>
      </c>
      <c r="P144" s="73" t="str">
        <f t="shared" si="40"/>
        <v/>
      </c>
      <c r="Q144" s="73" t="str">
        <f t="shared" si="40"/>
        <v/>
      </c>
      <c r="R144" s="73" t="str">
        <f t="shared" si="47"/>
        <v/>
      </c>
      <c r="S144" s="73" t="str">
        <f t="shared" si="47"/>
        <v/>
      </c>
      <c r="T144" s="73" t="str">
        <f t="shared" si="47"/>
        <v/>
      </c>
      <c r="U144" s="73" t="str">
        <f t="shared" si="47"/>
        <v/>
      </c>
      <c r="V144" s="73" t="str">
        <f t="shared" si="47"/>
        <v/>
      </c>
      <c r="W144" s="73" t="str">
        <f t="shared" si="47"/>
        <v/>
      </c>
      <c r="X144" s="73" t="str">
        <f t="shared" si="47"/>
        <v/>
      </c>
      <c r="Y144" s="73" t="str">
        <f t="shared" si="47"/>
        <v/>
      </c>
      <c r="Z144" s="73" t="str">
        <f t="shared" si="47"/>
        <v/>
      </c>
      <c r="AA144" s="73" t="str">
        <f t="shared" si="47"/>
        <v/>
      </c>
      <c r="AB144" s="74" t="str">
        <f t="shared" si="47"/>
        <v/>
      </c>
      <c r="AC144" s="35" t="str">
        <f t="shared" ref="AC144:AC204" si="48">IF(C144="","",SUM(H144:AB144)*AK144)</f>
        <v/>
      </c>
      <c r="AD144" s="40" t="str">
        <f t="shared" ref="AD144:AD204" si="49">IF(C144="","",SUM(H144:AB144))</f>
        <v/>
      </c>
      <c r="AE144" s="37" t="str">
        <f t="shared" ref="AE144:AE204" si="50">IF(C144="","",SUM(H144:R144)*AK144)</f>
        <v/>
      </c>
      <c r="AF144" s="40" t="str">
        <f t="shared" si="42"/>
        <v/>
      </c>
      <c r="AG144" s="37" t="str">
        <f t="shared" si="43"/>
        <v/>
      </c>
      <c r="AH144" s="40" t="str">
        <f t="shared" si="44"/>
        <v/>
      </c>
      <c r="AI144" s="37" t="str">
        <f t="shared" ref="AI144:AI204" si="51">IF(C144="","",SUM(J144:M144,T144:W144)*AK144)</f>
        <v/>
      </c>
      <c r="AJ144" s="40" t="str">
        <f t="shared" ref="AJ144:AJ204" si="52">IF(C144="","",SUM(J144:M144,T144:W144))</f>
        <v/>
      </c>
      <c r="AK144" s="33" t="str">
        <f>IF(SEM!AK144="","",SEM!AK144)</f>
        <v/>
      </c>
      <c r="AL144" s="6"/>
      <c r="AM144" s="79" t="str">
        <f t="shared" si="45"/>
        <v/>
      </c>
      <c r="AN144" s="12"/>
      <c r="AO144" s="12"/>
      <c r="AP144" s="14"/>
      <c r="AQ144" s="16"/>
      <c r="AR144" s="15"/>
      <c r="AU144" s="198"/>
      <c r="AV144" s="198"/>
      <c r="AW144" s="198"/>
      <c r="AX144" s="198"/>
    </row>
    <row r="145" spans="2:50" ht="17.25" customHeight="1" x14ac:dyDescent="0.2">
      <c r="B145" s="6"/>
      <c r="C145" s="49" t="str">
        <f>IF(SEM!C145="","",SEM!C145)</f>
        <v/>
      </c>
      <c r="D145" s="220" t="str">
        <f>IF(C145="","",VLOOKUP(SEM!C145,FROTA!$B$5:$C$305,2,0))</f>
        <v/>
      </c>
      <c r="E145" s="24" t="str">
        <f>IF(C145="","",VLOOKUP(C145,FROTA!$B$5:$N$305,7,0))</f>
        <v/>
      </c>
      <c r="F145" s="38" t="str">
        <f t="shared" si="41"/>
        <v/>
      </c>
      <c r="G145" s="71" t="str">
        <f t="shared" si="46"/>
        <v/>
      </c>
      <c r="H145" s="32" t="str">
        <f t="shared" si="36"/>
        <v/>
      </c>
      <c r="I145" s="73" t="str">
        <f t="shared" si="36"/>
        <v/>
      </c>
      <c r="J145" s="73" t="str">
        <f t="shared" si="36"/>
        <v/>
      </c>
      <c r="K145" s="73" t="str">
        <f t="shared" si="40"/>
        <v/>
      </c>
      <c r="L145" s="73" t="str">
        <f t="shared" si="40"/>
        <v/>
      </c>
      <c r="M145" s="73" t="str">
        <f t="shared" si="40"/>
        <v/>
      </c>
      <c r="N145" s="73" t="str">
        <f t="shared" si="40"/>
        <v/>
      </c>
      <c r="O145" s="73" t="str">
        <f t="shared" si="40"/>
        <v/>
      </c>
      <c r="P145" s="73" t="str">
        <f t="shared" si="40"/>
        <v/>
      </c>
      <c r="Q145" s="73" t="str">
        <f t="shared" si="40"/>
        <v/>
      </c>
      <c r="R145" s="73" t="str">
        <f t="shared" si="47"/>
        <v/>
      </c>
      <c r="S145" s="73" t="str">
        <f t="shared" si="47"/>
        <v/>
      </c>
      <c r="T145" s="73" t="str">
        <f t="shared" si="47"/>
        <v/>
      </c>
      <c r="U145" s="73" t="str">
        <f t="shared" si="47"/>
        <v/>
      </c>
      <c r="V145" s="73" t="str">
        <f t="shared" si="47"/>
        <v/>
      </c>
      <c r="W145" s="73" t="str">
        <f t="shared" si="47"/>
        <v/>
      </c>
      <c r="X145" s="73" t="str">
        <f t="shared" si="47"/>
        <v/>
      </c>
      <c r="Y145" s="73" t="str">
        <f t="shared" si="47"/>
        <v/>
      </c>
      <c r="Z145" s="73" t="str">
        <f t="shared" si="47"/>
        <v/>
      </c>
      <c r="AA145" s="73" t="str">
        <f t="shared" si="47"/>
        <v/>
      </c>
      <c r="AB145" s="74" t="str">
        <f t="shared" si="47"/>
        <v/>
      </c>
      <c r="AC145" s="35" t="str">
        <f t="shared" si="48"/>
        <v/>
      </c>
      <c r="AD145" s="40" t="str">
        <f t="shared" si="49"/>
        <v/>
      </c>
      <c r="AE145" s="37" t="str">
        <f t="shared" si="50"/>
        <v/>
      </c>
      <c r="AF145" s="40" t="str">
        <f t="shared" si="42"/>
        <v/>
      </c>
      <c r="AG145" s="37" t="str">
        <f t="shared" si="43"/>
        <v/>
      </c>
      <c r="AH145" s="40" t="str">
        <f t="shared" si="44"/>
        <v/>
      </c>
      <c r="AI145" s="37" t="str">
        <f t="shared" si="51"/>
        <v/>
      </c>
      <c r="AJ145" s="40" t="str">
        <f t="shared" si="52"/>
        <v/>
      </c>
      <c r="AK145" s="33" t="str">
        <f>IF(SEM!AK145="","",SEM!AK145)</f>
        <v/>
      </c>
      <c r="AL145" s="6"/>
      <c r="AM145" s="79" t="str">
        <f t="shared" si="45"/>
        <v/>
      </c>
      <c r="AN145" s="12"/>
      <c r="AO145" s="12"/>
      <c r="AP145" s="14"/>
      <c r="AQ145" s="16"/>
      <c r="AR145" s="15"/>
      <c r="AU145" s="198"/>
      <c r="AV145" s="198"/>
      <c r="AW145" s="198"/>
      <c r="AX145" s="198"/>
    </row>
    <row r="146" spans="2:50" ht="17.25" customHeight="1" x14ac:dyDescent="0.2">
      <c r="B146" s="6"/>
      <c r="C146" s="49" t="str">
        <f>IF(SEM!C146="","",SEM!C146)</f>
        <v/>
      </c>
      <c r="D146" s="220" t="str">
        <f>IF(C146="","",VLOOKUP(SEM!C146,FROTA!$B$5:$C$305,2,0))</f>
        <v/>
      </c>
      <c r="E146" s="24" t="str">
        <f>IF(C146="","",VLOOKUP(C146,FROTA!$B$5:$N$305,7,0))</f>
        <v/>
      </c>
      <c r="F146" s="38" t="str">
        <f t="shared" si="41"/>
        <v/>
      </c>
      <c r="G146" s="71" t="str">
        <f t="shared" si="46"/>
        <v/>
      </c>
      <c r="H146" s="32" t="str">
        <f t="shared" si="36"/>
        <v/>
      </c>
      <c r="I146" s="73" t="str">
        <f t="shared" si="36"/>
        <v/>
      </c>
      <c r="J146" s="73" t="str">
        <f t="shared" si="36"/>
        <v/>
      </c>
      <c r="K146" s="73" t="str">
        <f t="shared" si="40"/>
        <v/>
      </c>
      <c r="L146" s="73" t="str">
        <f t="shared" si="40"/>
        <v/>
      </c>
      <c r="M146" s="73" t="str">
        <f t="shared" si="40"/>
        <v/>
      </c>
      <c r="N146" s="73" t="str">
        <f t="shared" si="40"/>
        <v/>
      </c>
      <c r="O146" s="73" t="str">
        <f t="shared" si="40"/>
        <v/>
      </c>
      <c r="P146" s="73" t="str">
        <f t="shared" si="40"/>
        <v/>
      </c>
      <c r="Q146" s="73" t="str">
        <f t="shared" si="40"/>
        <v/>
      </c>
      <c r="R146" s="73" t="str">
        <f t="shared" si="47"/>
        <v/>
      </c>
      <c r="S146" s="73" t="str">
        <f t="shared" si="47"/>
        <v/>
      </c>
      <c r="T146" s="73" t="str">
        <f t="shared" si="47"/>
        <v/>
      </c>
      <c r="U146" s="73" t="str">
        <f t="shared" si="47"/>
        <v/>
      </c>
      <c r="V146" s="73" t="str">
        <f t="shared" si="47"/>
        <v/>
      </c>
      <c r="W146" s="73" t="str">
        <f t="shared" si="47"/>
        <v/>
      </c>
      <c r="X146" s="73" t="str">
        <f t="shared" si="47"/>
        <v/>
      </c>
      <c r="Y146" s="73" t="str">
        <f t="shared" si="47"/>
        <v/>
      </c>
      <c r="Z146" s="73" t="str">
        <f t="shared" si="47"/>
        <v/>
      </c>
      <c r="AA146" s="73" t="str">
        <f t="shared" si="47"/>
        <v/>
      </c>
      <c r="AB146" s="74" t="str">
        <f t="shared" si="47"/>
        <v/>
      </c>
      <c r="AC146" s="35" t="str">
        <f t="shared" si="48"/>
        <v/>
      </c>
      <c r="AD146" s="40" t="str">
        <f t="shared" si="49"/>
        <v/>
      </c>
      <c r="AE146" s="37" t="str">
        <f t="shared" si="50"/>
        <v/>
      </c>
      <c r="AF146" s="40" t="str">
        <f t="shared" si="42"/>
        <v/>
      </c>
      <c r="AG146" s="37" t="str">
        <f t="shared" si="43"/>
        <v/>
      </c>
      <c r="AH146" s="40" t="str">
        <f t="shared" si="44"/>
        <v/>
      </c>
      <c r="AI146" s="37" t="str">
        <f t="shared" si="51"/>
        <v/>
      </c>
      <c r="AJ146" s="40" t="str">
        <f t="shared" si="52"/>
        <v/>
      </c>
      <c r="AK146" s="33" t="str">
        <f>IF(SEM!AK146="","",SEM!AK146)</f>
        <v/>
      </c>
      <c r="AL146" s="6"/>
      <c r="AM146" s="79" t="str">
        <f t="shared" si="45"/>
        <v/>
      </c>
      <c r="AN146" s="12"/>
      <c r="AO146" s="12"/>
      <c r="AP146" s="14"/>
      <c r="AQ146" s="16"/>
      <c r="AR146" s="15"/>
      <c r="AU146" s="198"/>
      <c r="AV146" s="198"/>
      <c r="AW146" s="198"/>
      <c r="AX146" s="198"/>
    </row>
    <row r="147" spans="2:50" ht="17.25" customHeight="1" x14ac:dyDescent="0.2">
      <c r="B147" s="6"/>
      <c r="C147" s="49" t="str">
        <f>IF(SEM!C147="","",SEM!C147)</f>
        <v/>
      </c>
      <c r="D147" s="220" t="str">
        <f>IF(C147="","",VLOOKUP(SEM!C147,FROTA!$B$5:$C$305,2,0))</f>
        <v/>
      </c>
      <c r="E147" s="24" t="str">
        <f>IF(C147="","",VLOOKUP(C147,FROTA!$B$5:$N$305,7,0))</f>
        <v/>
      </c>
      <c r="F147" s="38" t="str">
        <f t="shared" si="41"/>
        <v/>
      </c>
      <c r="G147" s="71" t="str">
        <f t="shared" si="46"/>
        <v/>
      </c>
      <c r="H147" s="32" t="str">
        <f t="shared" si="36"/>
        <v/>
      </c>
      <c r="I147" s="73" t="str">
        <f t="shared" si="36"/>
        <v/>
      </c>
      <c r="J147" s="73" t="str">
        <f t="shared" si="36"/>
        <v/>
      </c>
      <c r="K147" s="73" t="str">
        <f t="shared" si="40"/>
        <v/>
      </c>
      <c r="L147" s="73" t="str">
        <f t="shared" si="40"/>
        <v/>
      </c>
      <c r="M147" s="73" t="str">
        <f t="shared" si="40"/>
        <v/>
      </c>
      <c r="N147" s="73" t="str">
        <f t="shared" si="40"/>
        <v/>
      </c>
      <c r="O147" s="73" t="str">
        <f t="shared" si="40"/>
        <v/>
      </c>
      <c r="P147" s="73" t="str">
        <f t="shared" si="40"/>
        <v/>
      </c>
      <c r="Q147" s="73" t="str">
        <f t="shared" si="40"/>
        <v/>
      </c>
      <c r="R147" s="73" t="str">
        <f t="shared" si="47"/>
        <v/>
      </c>
      <c r="S147" s="73" t="str">
        <f t="shared" si="47"/>
        <v/>
      </c>
      <c r="T147" s="73" t="str">
        <f t="shared" si="47"/>
        <v/>
      </c>
      <c r="U147" s="73" t="str">
        <f t="shared" si="47"/>
        <v/>
      </c>
      <c r="V147" s="73" t="str">
        <f t="shared" si="47"/>
        <v/>
      </c>
      <c r="W147" s="73" t="str">
        <f t="shared" si="47"/>
        <v/>
      </c>
      <c r="X147" s="73" t="str">
        <f t="shared" si="47"/>
        <v/>
      </c>
      <c r="Y147" s="73" t="str">
        <f t="shared" si="47"/>
        <v/>
      </c>
      <c r="Z147" s="73" t="str">
        <f t="shared" si="47"/>
        <v/>
      </c>
      <c r="AA147" s="73" t="str">
        <f t="shared" si="47"/>
        <v/>
      </c>
      <c r="AB147" s="74" t="str">
        <f t="shared" si="47"/>
        <v/>
      </c>
      <c r="AC147" s="35" t="str">
        <f t="shared" si="48"/>
        <v/>
      </c>
      <c r="AD147" s="40" t="str">
        <f t="shared" si="49"/>
        <v/>
      </c>
      <c r="AE147" s="37" t="str">
        <f t="shared" si="50"/>
        <v/>
      </c>
      <c r="AF147" s="40" t="str">
        <f t="shared" si="42"/>
        <v/>
      </c>
      <c r="AG147" s="37" t="str">
        <f t="shared" si="43"/>
        <v/>
      </c>
      <c r="AH147" s="40" t="str">
        <f t="shared" si="44"/>
        <v/>
      </c>
      <c r="AI147" s="37" t="str">
        <f t="shared" si="51"/>
        <v/>
      </c>
      <c r="AJ147" s="40" t="str">
        <f t="shared" si="52"/>
        <v/>
      </c>
      <c r="AK147" s="33" t="str">
        <f>IF(SEM!AK147="","",SEM!AK147)</f>
        <v/>
      </c>
      <c r="AL147" s="6"/>
      <c r="AM147" s="79" t="str">
        <f t="shared" si="45"/>
        <v/>
      </c>
      <c r="AN147" s="12"/>
      <c r="AO147" s="12"/>
      <c r="AP147" s="14"/>
      <c r="AQ147" s="16"/>
      <c r="AR147" s="15"/>
      <c r="AU147" s="198"/>
      <c r="AV147" s="198"/>
      <c r="AW147" s="198"/>
      <c r="AX147" s="198"/>
    </row>
    <row r="148" spans="2:50" ht="17.25" customHeight="1" x14ac:dyDescent="0.2">
      <c r="B148" s="6"/>
      <c r="C148" s="49" t="str">
        <f>IF(SEM!C148="","",SEM!C148)</f>
        <v/>
      </c>
      <c r="D148" s="220" t="str">
        <f>IF(C148="","",VLOOKUP(SEM!C148,FROTA!$B$5:$C$305,2,0))</f>
        <v/>
      </c>
      <c r="E148" s="24" t="str">
        <f>IF(C148="","",VLOOKUP(C148,FROTA!$B$5:$N$305,7,0))</f>
        <v/>
      </c>
      <c r="F148" s="38" t="str">
        <f t="shared" si="41"/>
        <v/>
      </c>
      <c r="G148" s="71" t="str">
        <f t="shared" si="46"/>
        <v/>
      </c>
      <c r="H148" s="32" t="str">
        <f t="shared" si="36"/>
        <v/>
      </c>
      <c r="I148" s="73" t="str">
        <f t="shared" si="36"/>
        <v/>
      </c>
      <c r="J148" s="73" t="str">
        <f t="shared" si="36"/>
        <v/>
      </c>
      <c r="K148" s="73" t="str">
        <f t="shared" si="40"/>
        <v/>
      </c>
      <c r="L148" s="73" t="str">
        <f t="shared" si="40"/>
        <v/>
      </c>
      <c r="M148" s="73" t="str">
        <f t="shared" si="40"/>
        <v/>
      </c>
      <c r="N148" s="73" t="str">
        <f t="shared" si="40"/>
        <v/>
      </c>
      <c r="O148" s="73" t="str">
        <f t="shared" si="40"/>
        <v/>
      </c>
      <c r="P148" s="73" t="str">
        <f t="shared" si="40"/>
        <v/>
      </c>
      <c r="Q148" s="73" t="str">
        <f t="shared" si="40"/>
        <v/>
      </c>
      <c r="R148" s="73" t="str">
        <f t="shared" si="47"/>
        <v/>
      </c>
      <c r="S148" s="73" t="str">
        <f t="shared" si="47"/>
        <v/>
      </c>
      <c r="T148" s="73" t="str">
        <f t="shared" si="47"/>
        <v/>
      </c>
      <c r="U148" s="73" t="str">
        <f t="shared" si="47"/>
        <v/>
      </c>
      <c r="V148" s="73" t="str">
        <f t="shared" si="47"/>
        <v/>
      </c>
      <c r="W148" s="73" t="str">
        <f t="shared" si="47"/>
        <v/>
      </c>
      <c r="X148" s="73" t="str">
        <f t="shared" si="47"/>
        <v/>
      </c>
      <c r="Y148" s="73" t="str">
        <f t="shared" si="47"/>
        <v/>
      </c>
      <c r="Z148" s="73" t="str">
        <f t="shared" si="47"/>
        <v/>
      </c>
      <c r="AA148" s="73" t="str">
        <f t="shared" si="47"/>
        <v/>
      </c>
      <c r="AB148" s="74" t="str">
        <f t="shared" si="47"/>
        <v/>
      </c>
      <c r="AC148" s="35" t="str">
        <f t="shared" si="48"/>
        <v/>
      </c>
      <c r="AD148" s="40" t="str">
        <f t="shared" si="49"/>
        <v/>
      </c>
      <c r="AE148" s="37" t="str">
        <f t="shared" si="50"/>
        <v/>
      </c>
      <c r="AF148" s="40" t="str">
        <f t="shared" si="42"/>
        <v/>
      </c>
      <c r="AG148" s="37" t="str">
        <f t="shared" si="43"/>
        <v/>
      </c>
      <c r="AH148" s="40" t="str">
        <f t="shared" si="44"/>
        <v/>
      </c>
      <c r="AI148" s="37" t="str">
        <f t="shared" si="51"/>
        <v/>
      </c>
      <c r="AJ148" s="40" t="str">
        <f t="shared" si="52"/>
        <v/>
      </c>
      <c r="AK148" s="33" t="str">
        <f>IF(SEM!AK148="","",SEM!AK148)</f>
        <v/>
      </c>
      <c r="AL148" s="6"/>
      <c r="AM148" s="79" t="str">
        <f t="shared" si="45"/>
        <v/>
      </c>
      <c r="AN148" s="12"/>
      <c r="AO148" s="12"/>
      <c r="AP148" s="14"/>
      <c r="AQ148" s="16"/>
      <c r="AR148" s="15"/>
      <c r="AU148" s="198"/>
      <c r="AV148" s="198"/>
      <c r="AW148" s="198"/>
      <c r="AX148" s="198"/>
    </row>
    <row r="149" spans="2:50" ht="17.25" customHeight="1" x14ac:dyDescent="0.2">
      <c r="B149" s="6"/>
      <c r="C149" s="49" t="str">
        <f>IF(SEM!C149="","",SEM!C149)</f>
        <v/>
      </c>
      <c r="D149" s="220" t="str">
        <f>IF(C149="","",VLOOKUP(SEM!C149,FROTA!$B$5:$C$305,2,0))</f>
        <v/>
      </c>
      <c r="E149" s="24" t="str">
        <f>IF(C149="","",VLOOKUP(C149,FROTA!$B$5:$N$305,7,0))</f>
        <v/>
      </c>
      <c r="F149" s="38" t="str">
        <f t="shared" si="41"/>
        <v/>
      </c>
      <c r="G149" s="71" t="str">
        <f t="shared" si="46"/>
        <v/>
      </c>
      <c r="H149" s="32" t="str">
        <f t="shared" si="36"/>
        <v/>
      </c>
      <c r="I149" s="73" t="str">
        <f t="shared" si="36"/>
        <v/>
      </c>
      <c r="J149" s="73" t="str">
        <f t="shared" si="36"/>
        <v/>
      </c>
      <c r="K149" s="73" t="str">
        <f t="shared" si="40"/>
        <v/>
      </c>
      <c r="L149" s="73" t="str">
        <f t="shared" si="40"/>
        <v/>
      </c>
      <c r="M149" s="73" t="str">
        <f t="shared" si="40"/>
        <v/>
      </c>
      <c r="N149" s="73" t="str">
        <f t="shared" si="40"/>
        <v/>
      </c>
      <c r="O149" s="73" t="str">
        <f t="shared" si="40"/>
        <v/>
      </c>
      <c r="P149" s="73" t="str">
        <f t="shared" si="40"/>
        <v/>
      </c>
      <c r="Q149" s="73" t="str">
        <f t="shared" si="40"/>
        <v/>
      </c>
      <c r="R149" s="73" t="str">
        <f t="shared" si="47"/>
        <v/>
      </c>
      <c r="S149" s="73" t="str">
        <f t="shared" si="47"/>
        <v/>
      </c>
      <c r="T149" s="73" t="str">
        <f t="shared" si="47"/>
        <v/>
      </c>
      <c r="U149" s="73" t="str">
        <f t="shared" si="47"/>
        <v/>
      </c>
      <c r="V149" s="73" t="str">
        <f t="shared" si="47"/>
        <v/>
      </c>
      <c r="W149" s="73" t="str">
        <f t="shared" si="47"/>
        <v/>
      </c>
      <c r="X149" s="73" t="str">
        <f t="shared" si="47"/>
        <v/>
      </c>
      <c r="Y149" s="73" t="str">
        <f t="shared" si="47"/>
        <v/>
      </c>
      <c r="Z149" s="73" t="str">
        <f t="shared" si="47"/>
        <v/>
      </c>
      <c r="AA149" s="73" t="str">
        <f t="shared" si="47"/>
        <v/>
      </c>
      <c r="AB149" s="74" t="str">
        <f t="shared" si="47"/>
        <v/>
      </c>
      <c r="AC149" s="35" t="str">
        <f t="shared" si="48"/>
        <v/>
      </c>
      <c r="AD149" s="40" t="str">
        <f t="shared" si="49"/>
        <v/>
      </c>
      <c r="AE149" s="37" t="str">
        <f t="shared" si="50"/>
        <v/>
      </c>
      <c r="AF149" s="40" t="str">
        <f t="shared" si="42"/>
        <v/>
      </c>
      <c r="AG149" s="37" t="str">
        <f t="shared" si="43"/>
        <v/>
      </c>
      <c r="AH149" s="40" t="str">
        <f t="shared" si="44"/>
        <v/>
      </c>
      <c r="AI149" s="37" t="str">
        <f t="shared" si="51"/>
        <v/>
      </c>
      <c r="AJ149" s="40" t="str">
        <f t="shared" si="52"/>
        <v/>
      </c>
      <c r="AK149" s="33" t="str">
        <f>IF(SEM!AK149="","",SEM!AK149)</f>
        <v/>
      </c>
      <c r="AL149" s="6"/>
      <c r="AM149" s="79" t="str">
        <f t="shared" si="45"/>
        <v/>
      </c>
      <c r="AN149" s="12"/>
      <c r="AO149" s="12"/>
      <c r="AP149" s="14"/>
      <c r="AQ149" s="16"/>
      <c r="AR149" s="15"/>
      <c r="AU149" s="198"/>
      <c r="AV149" s="198"/>
      <c r="AW149" s="198"/>
      <c r="AX149" s="198"/>
    </row>
    <row r="150" spans="2:50" ht="17.25" customHeight="1" x14ac:dyDescent="0.2">
      <c r="B150" s="6"/>
      <c r="C150" s="49" t="str">
        <f>IF(SEM!C150="","",SEM!C150)</f>
        <v/>
      </c>
      <c r="D150" s="220" t="str">
        <f>IF(C150="","",VLOOKUP(SEM!C150,FROTA!$B$5:$C$305,2,0))</f>
        <v/>
      </c>
      <c r="E150" s="24" t="str">
        <f>IF(C150="","",VLOOKUP(C150,FROTA!$B$5:$N$305,7,0))</f>
        <v/>
      </c>
      <c r="F150" s="38" t="str">
        <f t="shared" si="41"/>
        <v/>
      </c>
      <c r="G150" s="71" t="str">
        <f t="shared" si="46"/>
        <v/>
      </c>
      <c r="H150" s="32" t="str">
        <f t="shared" si="36"/>
        <v/>
      </c>
      <c r="I150" s="73" t="str">
        <f t="shared" si="36"/>
        <v/>
      </c>
      <c r="J150" s="73" t="str">
        <f t="shared" si="36"/>
        <v/>
      </c>
      <c r="K150" s="73" t="str">
        <f t="shared" si="40"/>
        <v/>
      </c>
      <c r="L150" s="73" t="str">
        <f t="shared" si="40"/>
        <v/>
      </c>
      <c r="M150" s="73" t="str">
        <f t="shared" si="40"/>
        <v/>
      </c>
      <c r="N150" s="73" t="str">
        <f t="shared" si="40"/>
        <v/>
      </c>
      <c r="O150" s="73" t="str">
        <f t="shared" si="40"/>
        <v/>
      </c>
      <c r="P150" s="73" t="str">
        <f t="shared" si="40"/>
        <v/>
      </c>
      <c r="Q150" s="73" t="str">
        <f t="shared" si="40"/>
        <v/>
      </c>
      <c r="R150" s="73" t="str">
        <f t="shared" si="47"/>
        <v/>
      </c>
      <c r="S150" s="73" t="str">
        <f t="shared" si="47"/>
        <v/>
      </c>
      <c r="T150" s="73" t="str">
        <f t="shared" si="47"/>
        <v/>
      </c>
      <c r="U150" s="73" t="str">
        <f t="shared" si="47"/>
        <v/>
      </c>
      <c r="V150" s="73" t="str">
        <f t="shared" si="47"/>
        <v/>
      </c>
      <c r="W150" s="73" t="str">
        <f t="shared" si="47"/>
        <v/>
      </c>
      <c r="X150" s="73" t="str">
        <f t="shared" si="47"/>
        <v/>
      </c>
      <c r="Y150" s="73" t="str">
        <f t="shared" si="47"/>
        <v/>
      </c>
      <c r="Z150" s="73" t="str">
        <f t="shared" si="47"/>
        <v/>
      </c>
      <c r="AA150" s="73" t="str">
        <f t="shared" si="47"/>
        <v/>
      </c>
      <c r="AB150" s="74" t="str">
        <f t="shared" si="47"/>
        <v/>
      </c>
      <c r="AC150" s="35" t="str">
        <f t="shared" si="48"/>
        <v/>
      </c>
      <c r="AD150" s="40" t="str">
        <f t="shared" si="49"/>
        <v/>
      </c>
      <c r="AE150" s="37" t="str">
        <f t="shared" si="50"/>
        <v/>
      </c>
      <c r="AF150" s="40" t="str">
        <f t="shared" si="42"/>
        <v/>
      </c>
      <c r="AG150" s="37" t="str">
        <f t="shared" si="43"/>
        <v/>
      </c>
      <c r="AH150" s="40" t="str">
        <f t="shared" si="44"/>
        <v/>
      </c>
      <c r="AI150" s="37" t="str">
        <f t="shared" si="51"/>
        <v/>
      </c>
      <c r="AJ150" s="40" t="str">
        <f t="shared" si="52"/>
        <v/>
      </c>
      <c r="AK150" s="33" t="str">
        <f>IF(SEM!AK150="","",SEM!AK150)</f>
        <v/>
      </c>
      <c r="AL150" s="6"/>
      <c r="AM150" s="79" t="str">
        <f t="shared" si="45"/>
        <v/>
      </c>
      <c r="AN150" s="12"/>
      <c r="AO150" s="12"/>
      <c r="AP150" s="14"/>
      <c r="AQ150" s="16"/>
      <c r="AR150" s="15"/>
      <c r="AU150" s="198"/>
      <c r="AV150" s="198"/>
      <c r="AW150" s="198"/>
      <c r="AX150" s="198"/>
    </row>
    <row r="151" spans="2:50" ht="17.25" customHeight="1" x14ac:dyDescent="0.2">
      <c r="B151" s="6"/>
      <c r="C151" s="49" t="str">
        <f>IF(SEM!C151="","",SEM!C151)</f>
        <v/>
      </c>
      <c r="D151" s="220" t="str">
        <f>IF(C151="","",VLOOKUP(SEM!C151,FROTA!$B$5:$C$305,2,0))</f>
        <v/>
      </c>
      <c r="E151" s="24" t="str">
        <f>IF(C151="","",VLOOKUP(C151,FROTA!$B$5:$N$305,7,0))</f>
        <v/>
      </c>
      <c r="F151" s="38" t="str">
        <f t="shared" si="41"/>
        <v/>
      </c>
      <c r="G151" s="71" t="str">
        <f t="shared" si="46"/>
        <v/>
      </c>
      <c r="H151" s="32" t="str">
        <f t="shared" ref="H151:J214" si="53">IF($C151="","",IF(SUM(H$307*$G151)&gt;$F151,$F151,SUM(H$307*$G151)))</f>
        <v/>
      </c>
      <c r="I151" s="73" t="str">
        <f t="shared" si="53"/>
        <v/>
      </c>
      <c r="J151" s="73" t="str">
        <f t="shared" si="53"/>
        <v/>
      </c>
      <c r="K151" s="73" t="str">
        <f t="shared" si="40"/>
        <v/>
      </c>
      <c r="L151" s="73" t="str">
        <f t="shared" si="40"/>
        <v/>
      </c>
      <c r="M151" s="73" t="str">
        <f t="shared" si="40"/>
        <v/>
      </c>
      <c r="N151" s="73" t="str">
        <f t="shared" si="40"/>
        <v/>
      </c>
      <c r="O151" s="73" t="str">
        <f t="shared" si="40"/>
        <v/>
      </c>
      <c r="P151" s="73" t="str">
        <f t="shared" si="40"/>
        <v/>
      </c>
      <c r="Q151" s="73" t="str">
        <f t="shared" si="40"/>
        <v/>
      </c>
      <c r="R151" s="73" t="str">
        <f t="shared" si="47"/>
        <v/>
      </c>
      <c r="S151" s="73" t="str">
        <f t="shared" si="47"/>
        <v/>
      </c>
      <c r="T151" s="73" t="str">
        <f t="shared" si="47"/>
        <v/>
      </c>
      <c r="U151" s="73" t="str">
        <f t="shared" si="47"/>
        <v/>
      </c>
      <c r="V151" s="73" t="str">
        <f t="shared" si="47"/>
        <v/>
      </c>
      <c r="W151" s="73" t="str">
        <f t="shared" si="47"/>
        <v/>
      </c>
      <c r="X151" s="73" t="str">
        <f t="shared" si="47"/>
        <v/>
      </c>
      <c r="Y151" s="73" t="str">
        <f t="shared" si="47"/>
        <v/>
      </c>
      <c r="Z151" s="73" t="str">
        <f t="shared" si="47"/>
        <v/>
      </c>
      <c r="AA151" s="73" t="str">
        <f t="shared" si="47"/>
        <v/>
      </c>
      <c r="AB151" s="74" t="str">
        <f t="shared" si="47"/>
        <v/>
      </c>
      <c r="AC151" s="35" t="str">
        <f t="shared" si="48"/>
        <v/>
      </c>
      <c r="AD151" s="40" t="str">
        <f t="shared" si="49"/>
        <v/>
      </c>
      <c r="AE151" s="37" t="str">
        <f t="shared" si="50"/>
        <v/>
      </c>
      <c r="AF151" s="40" t="str">
        <f t="shared" si="42"/>
        <v/>
      </c>
      <c r="AG151" s="37" t="str">
        <f t="shared" si="43"/>
        <v/>
      </c>
      <c r="AH151" s="40" t="str">
        <f t="shared" si="44"/>
        <v/>
      </c>
      <c r="AI151" s="37" t="str">
        <f t="shared" si="51"/>
        <v/>
      </c>
      <c r="AJ151" s="40" t="str">
        <f t="shared" si="52"/>
        <v/>
      </c>
      <c r="AK151" s="33" t="str">
        <f>IF(SEM!AK151="","",SEM!AK151)</f>
        <v/>
      </c>
      <c r="AL151" s="6"/>
      <c r="AM151" s="79" t="str">
        <f t="shared" si="45"/>
        <v/>
      </c>
      <c r="AN151" s="12"/>
      <c r="AO151" s="12"/>
      <c r="AP151" s="14"/>
      <c r="AQ151" s="16"/>
      <c r="AR151" s="15"/>
      <c r="AU151" s="198"/>
      <c r="AV151" s="198"/>
      <c r="AW151" s="198"/>
      <c r="AX151" s="198"/>
    </row>
    <row r="152" spans="2:50" ht="17.25" customHeight="1" x14ac:dyDescent="0.2">
      <c r="B152" s="6"/>
      <c r="C152" s="49" t="str">
        <f>IF(SEM!C152="","",SEM!C152)</f>
        <v/>
      </c>
      <c r="D152" s="220" t="str">
        <f>IF(C152="","",VLOOKUP(SEM!C152,FROTA!$B$5:$C$305,2,0))</f>
        <v/>
      </c>
      <c r="E152" s="24" t="str">
        <f>IF(C152="","",VLOOKUP(C152,FROTA!$B$5:$N$305,7,0))</f>
        <v/>
      </c>
      <c r="F152" s="38" t="str">
        <f t="shared" si="41"/>
        <v/>
      </c>
      <c r="G152" s="71" t="str">
        <f t="shared" si="46"/>
        <v/>
      </c>
      <c r="H152" s="32" t="str">
        <f t="shared" si="53"/>
        <v/>
      </c>
      <c r="I152" s="73" t="str">
        <f t="shared" si="53"/>
        <v/>
      </c>
      <c r="J152" s="73" t="str">
        <f t="shared" si="53"/>
        <v/>
      </c>
      <c r="K152" s="73" t="str">
        <f t="shared" si="40"/>
        <v/>
      </c>
      <c r="L152" s="73" t="str">
        <f t="shared" si="40"/>
        <v/>
      </c>
      <c r="M152" s="73" t="str">
        <f t="shared" si="40"/>
        <v/>
      </c>
      <c r="N152" s="73" t="str">
        <f t="shared" si="40"/>
        <v/>
      </c>
      <c r="O152" s="73" t="str">
        <f t="shared" si="40"/>
        <v/>
      </c>
      <c r="P152" s="73" t="str">
        <f t="shared" si="40"/>
        <v/>
      </c>
      <c r="Q152" s="73" t="str">
        <f t="shared" si="40"/>
        <v/>
      </c>
      <c r="R152" s="73" t="str">
        <f t="shared" si="47"/>
        <v/>
      </c>
      <c r="S152" s="73" t="str">
        <f t="shared" si="47"/>
        <v/>
      </c>
      <c r="T152" s="73" t="str">
        <f t="shared" si="47"/>
        <v/>
      </c>
      <c r="U152" s="73" t="str">
        <f t="shared" si="47"/>
        <v/>
      </c>
      <c r="V152" s="73" t="str">
        <f t="shared" si="47"/>
        <v/>
      </c>
      <c r="W152" s="73" t="str">
        <f t="shared" si="47"/>
        <v/>
      </c>
      <c r="X152" s="73" t="str">
        <f t="shared" si="47"/>
        <v/>
      </c>
      <c r="Y152" s="73" t="str">
        <f t="shared" si="47"/>
        <v/>
      </c>
      <c r="Z152" s="73" t="str">
        <f t="shared" si="47"/>
        <v/>
      </c>
      <c r="AA152" s="73" t="str">
        <f t="shared" si="47"/>
        <v/>
      </c>
      <c r="AB152" s="74" t="str">
        <f t="shared" si="47"/>
        <v/>
      </c>
      <c r="AC152" s="35" t="str">
        <f t="shared" si="48"/>
        <v/>
      </c>
      <c r="AD152" s="40" t="str">
        <f t="shared" si="49"/>
        <v/>
      </c>
      <c r="AE152" s="37" t="str">
        <f t="shared" si="50"/>
        <v/>
      </c>
      <c r="AF152" s="40" t="str">
        <f t="shared" si="42"/>
        <v/>
      </c>
      <c r="AG152" s="37" t="str">
        <f t="shared" si="43"/>
        <v/>
      </c>
      <c r="AH152" s="40" t="str">
        <f t="shared" si="44"/>
        <v/>
      </c>
      <c r="AI152" s="37" t="str">
        <f t="shared" si="51"/>
        <v/>
      </c>
      <c r="AJ152" s="40" t="str">
        <f t="shared" si="52"/>
        <v/>
      </c>
      <c r="AK152" s="33" t="str">
        <f>IF(SEM!AK152="","",SEM!AK152)</f>
        <v/>
      </c>
      <c r="AL152" s="6"/>
      <c r="AM152" s="79" t="str">
        <f t="shared" si="45"/>
        <v/>
      </c>
      <c r="AN152" s="12"/>
      <c r="AO152" s="12"/>
      <c r="AP152" s="14"/>
      <c r="AQ152" s="16"/>
      <c r="AR152" s="15"/>
      <c r="AU152" s="198"/>
      <c r="AV152" s="198"/>
      <c r="AW152" s="198"/>
      <c r="AX152" s="198"/>
    </row>
    <row r="153" spans="2:50" ht="17.25" customHeight="1" x14ac:dyDescent="0.2">
      <c r="B153" s="6"/>
      <c r="C153" s="49" t="str">
        <f>IF(SEM!C153="","",SEM!C153)</f>
        <v/>
      </c>
      <c r="D153" s="220" t="str">
        <f>IF(C153="","",VLOOKUP(SEM!C153,FROTA!$B$5:$C$305,2,0))</f>
        <v/>
      </c>
      <c r="E153" s="24" t="str">
        <f>IF(C153="","",VLOOKUP(C153,FROTA!$B$5:$N$305,7,0))</f>
        <v/>
      </c>
      <c r="F153" s="38" t="str">
        <f t="shared" si="41"/>
        <v/>
      </c>
      <c r="G153" s="71" t="str">
        <f t="shared" si="46"/>
        <v/>
      </c>
      <c r="H153" s="32" t="str">
        <f t="shared" si="53"/>
        <v/>
      </c>
      <c r="I153" s="73" t="str">
        <f t="shared" si="53"/>
        <v/>
      </c>
      <c r="J153" s="73" t="str">
        <f t="shared" si="53"/>
        <v/>
      </c>
      <c r="K153" s="73" t="str">
        <f t="shared" si="40"/>
        <v/>
      </c>
      <c r="L153" s="73" t="str">
        <f t="shared" si="40"/>
        <v/>
      </c>
      <c r="M153" s="73" t="str">
        <f t="shared" si="40"/>
        <v/>
      </c>
      <c r="N153" s="73" t="str">
        <f t="shared" si="40"/>
        <v/>
      </c>
      <c r="O153" s="73" t="str">
        <f t="shared" si="40"/>
        <v/>
      </c>
      <c r="P153" s="73" t="str">
        <f t="shared" si="40"/>
        <v/>
      </c>
      <c r="Q153" s="73" t="str">
        <f t="shared" si="40"/>
        <v/>
      </c>
      <c r="R153" s="73" t="str">
        <f t="shared" si="47"/>
        <v/>
      </c>
      <c r="S153" s="73" t="str">
        <f t="shared" si="47"/>
        <v/>
      </c>
      <c r="T153" s="73" t="str">
        <f t="shared" si="47"/>
        <v/>
      </c>
      <c r="U153" s="73" t="str">
        <f t="shared" si="47"/>
        <v/>
      </c>
      <c r="V153" s="73" t="str">
        <f t="shared" si="47"/>
        <v/>
      </c>
      <c r="W153" s="73" t="str">
        <f t="shared" si="47"/>
        <v/>
      </c>
      <c r="X153" s="73" t="str">
        <f t="shared" si="47"/>
        <v/>
      </c>
      <c r="Y153" s="73" t="str">
        <f t="shared" si="47"/>
        <v/>
      </c>
      <c r="Z153" s="73" t="str">
        <f t="shared" si="47"/>
        <v/>
      </c>
      <c r="AA153" s="73" t="str">
        <f t="shared" si="47"/>
        <v/>
      </c>
      <c r="AB153" s="74" t="str">
        <f t="shared" si="47"/>
        <v/>
      </c>
      <c r="AC153" s="35" t="str">
        <f t="shared" si="48"/>
        <v/>
      </c>
      <c r="AD153" s="40" t="str">
        <f t="shared" si="49"/>
        <v/>
      </c>
      <c r="AE153" s="37" t="str">
        <f t="shared" si="50"/>
        <v/>
      </c>
      <c r="AF153" s="40" t="str">
        <f t="shared" si="42"/>
        <v/>
      </c>
      <c r="AG153" s="37" t="str">
        <f t="shared" si="43"/>
        <v/>
      </c>
      <c r="AH153" s="40" t="str">
        <f t="shared" si="44"/>
        <v/>
      </c>
      <c r="AI153" s="37" t="str">
        <f t="shared" si="51"/>
        <v/>
      </c>
      <c r="AJ153" s="40" t="str">
        <f t="shared" si="52"/>
        <v/>
      </c>
      <c r="AK153" s="33" t="str">
        <f>IF(SEM!AK153="","",SEM!AK153)</f>
        <v/>
      </c>
      <c r="AL153" s="6"/>
      <c r="AM153" s="79" t="str">
        <f t="shared" si="45"/>
        <v/>
      </c>
      <c r="AN153" s="12"/>
      <c r="AO153" s="12"/>
      <c r="AP153" s="14"/>
      <c r="AQ153" s="16"/>
      <c r="AR153" s="15"/>
      <c r="AU153" s="198"/>
      <c r="AV153" s="198"/>
      <c r="AW153" s="198"/>
      <c r="AX153" s="198"/>
    </row>
    <row r="154" spans="2:50" ht="17.25" customHeight="1" x14ac:dyDescent="0.2">
      <c r="B154" s="6"/>
      <c r="C154" s="49" t="str">
        <f>IF(SEM!C154="","",SEM!C154)</f>
        <v/>
      </c>
      <c r="D154" s="220" t="str">
        <f>IF(C154="","",VLOOKUP(SEM!C154,FROTA!$B$5:$C$305,2,0))</f>
        <v/>
      </c>
      <c r="E154" s="24" t="str">
        <f>IF(C154="","",VLOOKUP(C154,FROTA!$B$5:$N$305,7,0))</f>
        <v/>
      </c>
      <c r="F154" s="38" t="str">
        <f t="shared" si="41"/>
        <v/>
      </c>
      <c r="G154" s="71" t="str">
        <f t="shared" si="46"/>
        <v/>
      </c>
      <c r="H154" s="32" t="str">
        <f t="shared" si="53"/>
        <v/>
      </c>
      <c r="I154" s="73" t="str">
        <f t="shared" si="53"/>
        <v/>
      </c>
      <c r="J154" s="73" t="str">
        <f t="shared" si="53"/>
        <v/>
      </c>
      <c r="K154" s="73" t="str">
        <f t="shared" si="40"/>
        <v/>
      </c>
      <c r="L154" s="73" t="str">
        <f t="shared" si="40"/>
        <v/>
      </c>
      <c r="M154" s="73" t="str">
        <f t="shared" si="40"/>
        <v/>
      </c>
      <c r="N154" s="73" t="str">
        <f t="shared" si="40"/>
        <v/>
      </c>
      <c r="O154" s="73" t="str">
        <f t="shared" si="40"/>
        <v/>
      </c>
      <c r="P154" s="73" t="str">
        <f t="shared" si="40"/>
        <v/>
      </c>
      <c r="Q154" s="73" t="str">
        <f t="shared" si="40"/>
        <v/>
      </c>
      <c r="R154" s="73" t="str">
        <f t="shared" si="47"/>
        <v/>
      </c>
      <c r="S154" s="73" t="str">
        <f t="shared" si="47"/>
        <v/>
      </c>
      <c r="T154" s="73" t="str">
        <f t="shared" si="47"/>
        <v/>
      </c>
      <c r="U154" s="73" t="str">
        <f t="shared" si="47"/>
        <v/>
      </c>
      <c r="V154" s="73" t="str">
        <f t="shared" si="47"/>
        <v/>
      </c>
      <c r="W154" s="73" t="str">
        <f t="shared" si="47"/>
        <v/>
      </c>
      <c r="X154" s="73" t="str">
        <f t="shared" si="47"/>
        <v/>
      </c>
      <c r="Y154" s="73" t="str">
        <f t="shared" si="47"/>
        <v/>
      </c>
      <c r="Z154" s="73" t="str">
        <f t="shared" si="47"/>
        <v/>
      </c>
      <c r="AA154" s="73" t="str">
        <f t="shared" si="47"/>
        <v/>
      </c>
      <c r="AB154" s="74" t="str">
        <f t="shared" si="47"/>
        <v/>
      </c>
      <c r="AC154" s="35" t="str">
        <f t="shared" si="48"/>
        <v/>
      </c>
      <c r="AD154" s="40" t="str">
        <f t="shared" si="49"/>
        <v/>
      </c>
      <c r="AE154" s="37" t="str">
        <f t="shared" si="50"/>
        <v/>
      </c>
      <c r="AF154" s="40" t="str">
        <f t="shared" si="42"/>
        <v/>
      </c>
      <c r="AG154" s="37" t="str">
        <f t="shared" si="43"/>
        <v/>
      </c>
      <c r="AH154" s="40" t="str">
        <f t="shared" si="44"/>
        <v/>
      </c>
      <c r="AI154" s="37" t="str">
        <f t="shared" si="51"/>
        <v/>
      </c>
      <c r="AJ154" s="40" t="str">
        <f t="shared" si="52"/>
        <v/>
      </c>
      <c r="AK154" s="33" t="str">
        <f>IF(SEM!AK154="","",SEM!AK154)</f>
        <v/>
      </c>
      <c r="AL154" s="6"/>
      <c r="AM154" s="79" t="str">
        <f t="shared" si="45"/>
        <v/>
      </c>
      <c r="AN154" s="12"/>
      <c r="AO154" s="12"/>
      <c r="AP154" s="14"/>
      <c r="AQ154" s="16"/>
      <c r="AR154" s="15"/>
      <c r="AU154" s="198"/>
      <c r="AV154" s="198"/>
      <c r="AW154" s="198"/>
      <c r="AX154" s="198"/>
    </row>
    <row r="155" spans="2:50" ht="17.25" customHeight="1" x14ac:dyDescent="0.2">
      <c r="B155" s="6"/>
      <c r="C155" s="49" t="str">
        <f>IF(SEM!C155="","",SEM!C155)</f>
        <v/>
      </c>
      <c r="D155" s="220" t="str">
        <f>IF(C155="","",VLOOKUP(SEM!C155,FROTA!$B$5:$C$305,2,0))</f>
        <v/>
      </c>
      <c r="E155" s="24" t="str">
        <f>IF(C155="","",VLOOKUP(C155,FROTA!$B$5:$N$305,7,0))</f>
        <v/>
      </c>
      <c r="F155" s="38" t="str">
        <f t="shared" si="41"/>
        <v/>
      </c>
      <c r="G155" s="71" t="str">
        <f t="shared" si="46"/>
        <v/>
      </c>
      <c r="H155" s="32" t="str">
        <f t="shared" si="53"/>
        <v/>
      </c>
      <c r="I155" s="73" t="str">
        <f t="shared" si="53"/>
        <v/>
      </c>
      <c r="J155" s="73" t="str">
        <f t="shared" si="53"/>
        <v/>
      </c>
      <c r="K155" s="73" t="str">
        <f t="shared" si="40"/>
        <v/>
      </c>
      <c r="L155" s="73" t="str">
        <f t="shared" si="40"/>
        <v/>
      </c>
      <c r="M155" s="73" t="str">
        <f t="shared" si="40"/>
        <v/>
      </c>
      <c r="N155" s="73" t="str">
        <f t="shared" si="40"/>
        <v/>
      </c>
      <c r="O155" s="73" t="str">
        <f t="shared" si="40"/>
        <v/>
      </c>
      <c r="P155" s="73" t="str">
        <f t="shared" si="40"/>
        <v/>
      </c>
      <c r="Q155" s="73" t="str">
        <f t="shared" si="40"/>
        <v/>
      </c>
      <c r="R155" s="73" t="str">
        <f t="shared" si="47"/>
        <v/>
      </c>
      <c r="S155" s="73" t="str">
        <f t="shared" si="47"/>
        <v/>
      </c>
      <c r="T155" s="73" t="str">
        <f t="shared" si="47"/>
        <v/>
      </c>
      <c r="U155" s="73" t="str">
        <f t="shared" si="47"/>
        <v/>
      </c>
      <c r="V155" s="73" t="str">
        <f t="shared" si="47"/>
        <v/>
      </c>
      <c r="W155" s="73" t="str">
        <f t="shared" si="47"/>
        <v/>
      </c>
      <c r="X155" s="73" t="str">
        <f t="shared" si="47"/>
        <v/>
      </c>
      <c r="Y155" s="73" t="str">
        <f t="shared" si="47"/>
        <v/>
      </c>
      <c r="Z155" s="73" t="str">
        <f t="shared" si="47"/>
        <v/>
      </c>
      <c r="AA155" s="73" t="str">
        <f t="shared" si="47"/>
        <v/>
      </c>
      <c r="AB155" s="74" t="str">
        <f t="shared" si="47"/>
        <v/>
      </c>
      <c r="AC155" s="35" t="str">
        <f t="shared" si="48"/>
        <v/>
      </c>
      <c r="AD155" s="40" t="str">
        <f t="shared" si="49"/>
        <v/>
      </c>
      <c r="AE155" s="37" t="str">
        <f t="shared" si="50"/>
        <v/>
      </c>
      <c r="AF155" s="40" t="str">
        <f t="shared" si="42"/>
        <v/>
      </c>
      <c r="AG155" s="37" t="str">
        <f t="shared" si="43"/>
        <v/>
      </c>
      <c r="AH155" s="40" t="str">
        <f t="shared" si="44"/>
        <v/>
      </c>
      <c r="AI155" s="37" t="str">
        <f t="shared" si="51"/>
        <v/>
      </c>
      <c r="AJ155" s="40" t="str">
        <f t="shared" si="52"/>
        <v/>
      </c>
      <c r="AK155" s="33" t="str">
        <f>IF(SEM!AK155="","",SEM!AK155)</f>
        <v/>
      </c>
      <c r="AL155" s="6"/>
      <c r="AM155" s="79" t="str">
        <f t="shared" si="45"/>
        <v/>
      </c>
      <c r="AN155" s="12"/>
      <c r="AO155" s="12"/>
      <c r="AP155" s="14"/>
      <c r="AQ155" s="16"/>
      <c r="AR155" s="15"/>
      <c r="AU155" s="198"/>
      <c r="AV155" s="198"/>
      <c r="AW155" s="198"/>
      <c r="AX155" s="198"/>
    </row>
    <row r="156" spans="2:50" ht="17.25" customHeight="1" x14ac:dyDescent="0.2">
      <c r="B156" s="6"/>
      <c r="C156" s="49" t="str">
        <f>IF(SEM!C156="","",SEM!C156)</f>
        <v/>
      </c>
      <c r="D156" s="220" t="str">
        <f>IF(C156="","",VLOOKUP(SEM!C156,FROTA!$B$5:$C$305,2,0))</f>
        <v/>
      </c>
      <c r="E156" s="24" t="str">
        <f>IF(C156="","",VLOOKUP(C156,FROTA!$B$5:$N$305,7,0))</f>
        <v/>
      </c>
      <c r="F156" s="38" t="str">
        <f t="shared" si="41"/>
        <v/>
      </c>
      <c r="G156" s="71" t="str">
        <f t="shared" si="46"/>
        <v/>
      </c>
      <c r="H156" s="32" t="str">
        <f t="shared" si="53"/>
        <v/>
      </c>
      <c r="I156" s="73" t="str">
        <f t="shared" si="53"/>
        <v/>
      </c>
      <c r="J156" s="73" t="str">
        <f t="shared" si="53"/>
        <v/>
      </c>
      <c r="K156" s="73" t="str">
        <f t="shared" si="40"/>
        <v/>
      </c>
      <c r="L156" s="73" t="str">
        <f t="shared" si="40"/>
        <v/>
      </c>
      <c r="M156" s="73" t="str">
        <f t="shared" si="40"/>
        <v/>
      </c>
      <c r="N156" s="73" t="str">
        <f t="shared" si="40"/>
        <v/>
      </c>
      <c r="O156" s="73" t="str">
        <f t="shared" si="40"/>
        <v/>
      </c>
      <c r="P156" s="73" t="str">
        <f t="shared" si="40"/>
        <v/>
      </c>
      <c r="Q156" s="73" t="str">
        <f t="shared" si="40"/>
        <v/>
      </c>
      <c r="R156" s="73" t="str">
        <f t="shared" si="47"/>
        <v/>
      </c>
      <c r="S156" s="73" t="str">
        <f t="shared" si="47"/>
        <v/>
      </c>
      <c r="T156" s="73" t="str">
        <f t="shared" si="47"/>
        <v/>
      </c>
      <c r="U156" s="73" t="str">
        <f t="shared" si="47"/>
        <v/>
      </c>
      <c r="V156" s="73" t="str">
        <f t="shared" si="47"/>
        <v/>
      </c>
      <c r="W156" s="73" t="str">
        <f t="shared" si="47"/>
        <v/>
      </c>
      <c r="X156" s="73" t="str">
        <f t="shared" si="47"/>
        <v/>
      </c>
      <c r="Y156" s="73" t="str">
        <f t="shared" si="47"/>
        <v/>
      </c>
      <c r="Z156" s="73" t="str">
        <f t="shared" si="47"/>
        <v/>
      </c>
      <c r="AA156" s="73" t="str">
        <f t="shared" si="47"/>
        <v/>
      </c>
      <c r="AB156" s="74" t="str">
        <f t="shared" si="47"/>
        <v/>
      </c>
      <c r="AC156" s="35" t="str">
        <f t="shared" si="48"/>
        <v/>
      </c>
      <c r="AD156" s="40" t="str">
        <f t="shared" si="49"/>
        <v/>
      </c>
      <c r="AE156" s="37" t="str">
        <f t="shared" si="50"/>
        <v/>
      </c>
      <c r="AF156" s="40" t="str">
        <f t="shared" si="42"/>
        <v/>
      </c>
      <c r="AG156" s="37" t="str">
        <f t="shared" si="43"/>
        <v/>
      </c>
      <c r="AH156" s="40" t="str">
        <f t="shared" si="44"/>
        <v/>
      </c>
      <c r="AI156" s="37" t="str">
        <f t="shared" si="51"/>
        <v/>
      </c>
      <c r="AJ156" s="40" t="str">
        <f t="shared" si="52"/>
        <v/>
      </c>
      <c r="AK156" s="33" t="str">
        <f>IF(SEM!AK156="","",SEM!AK156)</f>
        <v/>
      </c>
      <c r="AL156" s="6"/>
      <c r="AM156" s="79" t="str">
        <f t="shared" si="45"/>
        <v/>
      </c>
      <c r="AN156" s="12"/>
      <c r="AO156" s="12"/>
      <c r="AP156" s="14"/>
      <c r="AQ156" s="16"/>
      <c r="AR156" s="15"/>
      <c r="AU156" s="198"/>
      <c r="AV156" s="198"/>
      <c r="AW156" s="198"/>
      <c r="AX156" s="198"/>
    </row>
    <row r="157" spans="2:50" ht="17.25" customHeight="1" x14ac:dyDescent="0.2">
      <c r="B157" s="6"/>
      <c r="C157" s="49" t="str">
        <f>IF(SEM!C157="","",SEM!C157)</f>
        <v/>
      </c>
      <c r="D157" s="220" t="str">
        <f>IF(C157="","",VLOOKUP(SEM!C157,FROTA!$B$5:$C$305,2,0))</f>
        <v/>
      </c>
      <c r="E157" s="24" t="str">
        <f>IF(C157="","",VLOOKUP(C157,FROTA!$B$5:$N$305,7,0))</f>
        <v/>
      </c>
      <c r="F157" s="38" t="str">
        <f t="shared" si="41"/>
        <v/>
      </c>
      <c r="G157" s="71" t="str">
        <f t="shared" si="46"/>
        <v/>
      </c>
      <c r="H157" s="32" t="str">
        <f t="shared" si="53"/>
        <v/>
      </c>
      <c r="I157" s="73" t="str">
        <f t="shared" si="53"/>
        <v/>
      </c>
      <c r="J157" s="73" t="str">
        <f t="shared" si="53"/>
        <v/>
      </c>
      <c r="K157" s="73" t="str">
        <f t="shared" si="40"/>
        <v/>
      </c>
      <c r="L157" s="73" t="str">
        <f t="shared" si="40"/>
        <v/>
      </c>
      <c r="M157" s="73" t="str">
        <f t="shared" si="40"/>
        <v/>
      </c>
      <c r="N157" s="73" t="str">
        <f t="shared" si="40"/>
        <v/>
      </c>
      <c r="O157" s="73" t="str">
        <f t="shared" si="40"/>
        <v/>
      </c>
      <c r="P157" s="73" t="str">
        <f t="shared" si="40"/>
        <v/>
      </c>
      <c r="Q157" s="73" t="str">
        <f t="shared" si="40"/>
        <v/>
      </c>
      <c r="R157" s="73" t="str">
        <f t="shared" si="47"/>
        <v/>
      </c>
      <c r="S157" s="73" t="str">
        <f t="shared" si="47"/>
        <v/>
      </c>
      <c r="T157" s="73" t="str">
        <f t="shared" si="47"/>
        <v/>
      </c>
      <c r="U157" s="73" t="str">
        <f t="shared" si="47"/>
        <v/>
      </c>
      <c r="V157" s="73" t="str">
        <f t="shared" si="47"/>
        <v/>
      </c>
      <c r="W157" s="73" t="str">
        <f t="shared" si="47"/>
        <v/>
      </c>
      <c r="X157" s="73" t="str">
        <f t="shared" si="47"/>
        <v/>
      </c>
      <c r="Y157" s="73" t="str">
        <f t="shared" si="47"/>
        <v/>
      </c>
      <c r="Z157" s="73" t="str">
        <f t="shared" si="47"/>
        <v/>
      </c>
      <c r="AA157" s="73" t="str">
        <f t="shared" si="47"/>
        <v/>
      </c>
      <c r="AB157" s="74" t="str">
        <f t="shared" si="47"/>
        <v/>
      </c>
      <c r="AC157" s="35" t="str">
        <f t="shared" si="48"/>
        <v/>
      </c>
      <c r="AD157" s="40" t="str">
        <f t="shared" si="49"/>
        <v/>
      </c>
      <c r="AE157" s="37" t="str">
        <f t="shared" si="50"/>
        <v/>
      </c>
      <c r="AF157" s="40" t="str">
        <f t="shared" si="42"/>
        <v/>
      </c>
      <c r="AG157" s="37" t="str">
        <f t="shared" si="43"/>
        <v/>
      </c>
      <c r="AH157" s="40" t="str">
        <f t="shared" si="44"/>
        <v/>
      </c>
      <c r="AI157" s="37" t="str">
        <f t="shared" si="51"/>
        <v/>
      </c>
      <c r="AJ157" s="40" t="str">
        <f t="shared" si="52"/>
        <v/>
      </c>
      <c r="AK157" s="33" t="str">
        <f>IF(SEM!AK157="","",SEM!AK157)</f>
        <v/>
      </c>
      <c r="AL157" s="6"/>
      <c r="AM157" s="79" t="str">
        <f t="shared" si="45"/>
        <v/>
      </c>
      <c r="AN157" s="12"/>
      <c r="AO157" s="12"/>
      <c r="AP157" s="14"/>
      <c r="AQ157" s="16"/>
      <c r="AR157" s="15"/>
      <c r="AU157" s="198"/>
      <c r="AV157" s="198"/>
      <c r="AW157" s="198"/>
      <c r="AX157" s="198"/>
    </row>
    <row r="158" spans="2:50" ht="17.25" customHeight="1" x14ac:dyDescent="0.2">
      <c r="B158" s="6"/>
      <c r="C158" s="49" t="str">
        <f>IF(SEM!C158="","",SEM!C158)</f>
        <v/>
      </c>
      <c r="D158" s="220" t="str">
        <f>IF(C158="","",VLOOKUP(SEM!C158,FROTA!$B$5:$C$305,2,0))</f>
        <v/>
      </c>
      <c r="E158" s="24" t="str">
        <f>IF(C158="","",VLOOKUP(C158,FROTA!$B$5:$N$305,7,0))</f>
        <v/>
      </c>
      <c r="F158" s="38" t="str">
        <f t="shared" si="41"/>
        <v/>
      </c>
      <c r="G158" s="71" t="str">
        <f t="shared" si="46"/>
        <v/>
      </c>
      <c r="H158" s="32" t="str">
        <f t="shared" si="53"/>
        <v/>
      </c>
      <c r="I158" s="73" t="str">
        <f t="shared" si="53"/>
        <v/>
      </c>
      <c r="J158" s="73" t="str">
        <f t="shared" si="53"/>
        <v/>
      </c>
      <c r="K158" s="73" t="str">
        <f t="shared" si="40"/>
        <v/>
      </c>
      <c r="L158" s="73" t="str">
        <f t="shared" si="40"/>
        <v/>
      </c>
      <c r="M158" s="73" t="str">
        <f t="shared" si="40"/>
        <v/>
      </c>
      <c r="N158" s="73" t="str">
        <f t="shared" si="40"/>
        <v/>
      </c>
      <c r="O158" s="73" t="str">
        <f t="shared" si="40"/>
        <v/>
      </c>
      <c r="P158" s="73" t="str">
        <f t="shared" si="40"/>
        <v/>
      </c>
      <c r="Q158" s="73" t="str">
        <f t="shared" si="40"/>
        <v/>
      </c>
      <c r="R158" s="73" t="str">
        <f t="shared" si="47"/>
        <v/>
      </c>
      <c r="S158" s="73" t="str">
        <f t="shared" si="47"/>
        <v/>
      </c>
      <c r="T158" s="73" t="str">
        <f t="shared" si="47"/>
        <v/>
      </c>
      <c r="U158" s="73" t="str">
        <f t="shared" si="47"/>
        <v/>
      </c>
      <c r="V158" s="73" t="str">
        <f t="shared" si="47"/>
        <v/>
      </c>
      <c r="W158" s="73" t="str">
        <f t="shared" si="47"/>
        <v/>
      </c>
      <c r="X158" s="73" t="str">
        <f t="shared" si="47"/>
        <v/>
      </c>
      <c r="Y158" s="73" t="str">
        <f t="shared" si="47"/>
        <v/>
      </c>
      <c r="Z158" s="73" t="str">
        <f t="shared" si="47"/>
        <v/>
      </c>
      <c r="AA158" s="73" t="str">
        <f t="shared" si="47"/>
        <v/>
      </c>
      <c r="AB158" s="74" t="str">
        <f t="shared" si="47"/>
        <v/>
      </c>
      <c r="AC158" s="35" t="str">
        <f t="shared" si="48"/>
        <v/>
      </c>
      <c r="AD158" s="40" t="str">
        <f t="shared" si="49"/>
        <v/>
      </c>
      <c r="AE158" s="37" t="str">
        <f t="shared" si="50"/>
        <v/>
      </c>
      <c r="AF158" s="40" t="str">
        <f t="shared" si="42"/>
        <v/>
      </c>
      <c r="AG158" s="37" t="str">
        <f t="shared" si="43"/>
        <v/>
      </c>
      <c r="AH158" s="40" t="str">
        <f t="shared" si="44"/>
        <v/>
      </c>
      <c r="AI158" s="37" t="str">
        <f t="shared" si="51"/>
        <v/>
      </c>
      <c r="AJ158" s="40" t="str">
        <f t="shared" si="52"/>
        <v/>
      </c>
      <c r="AK158" s="33" t="str">
        <f>IF(SEM!AK158="","",SEM!AK158)</f>
        <v/>
      </c>
      <c r="AL158" s="6"/>
      <c r="AM158" s="79" t="str">
        <f t="shared" si="45"/>
        <v/>
      </c>
      <c r="AN158" s="12"/>
      <c r="AO158" s="12"/>
      <c r="AP158" s="14"/>
      <c r="AQ158" s="16"/>
      <c r="AR158" s="15"/>
      <c r="AU158" s="198"/>
      <c r="AV158" s="198"/>
      <c r="AW158" s="198"/>
      <c r="AX158" s="198"/>
    </row>
    <row r="159" spans="2:50" ht="17.25" customHeight="1" x14ac:dyDescent="0.2">
      <c r="B159" s="6"/>
      <c r="C159" s="49" t="str">
        <f>IF(SEM!C159="","",SEM!C159)</f>
        <v/>
      </c>
      <c r="D159" s="220" t="str">
        <f>IF(C159="","",VLOOKUP(SEM!C159,FROTA!$B$5:$C$305,2,0))</f>
        <v/>
      </c>
      <c r="E159" s="24" t="str">
        <f>IF(C159="","",VLOOKUP(C159,FROTA!$B$5:$N$305,7,0))</f>
        <v/>
      </c>
      <c r="F159" s="38" t="str">
        <f t="shared" si="41"/>
        <v/>
      </c>
      <c r="G159" s="71" t="str">
        <f t="shared" si="46"/>
        <v/>
      </c>
      <c r="H159" s="32" t="str">
        <f t="shared" si="53"/>
        <v/>
      </c>
      <c r="I159" s="73" t="str">
        <f t="shared" si="53"/>
        <v/>
      </c>
      <c r="J159" s="73" t="str">
        <f t="shared" si="53"/>
        <v/>
      </c>
      <c r="K159" s="73" t="str">
        <f t="shared" si="40"/>
        <v/>
      </c>
      <c r="L159" s="73" t="str">
        <f t="shared" si="40"/>
        <v/>
      </c>
      <c r="M159" s="73" t="str">
        <f t="shared" si="40"/>
        <v/>
      </c>
      <c r="N159" s="73" t="str">
        <f t="shared" si="40"/>
        <v/>
      </c>
      <c r="O159" s="73" t="str">
        <f t="shared" si="40"/>
        <v/>
      </c>
      <c r="P159" s="73" t="str">
        <f t="shared" si="40"/>
        <v/>
      </c>
      <c r="Q159" s="73" t="str">
        <f t="shared" si="40"/>
        <v/>
      </c>
      <c r="R159" s="73" t="str">
        <f t="shared" si="47"/>
        <v/>
      </c>
      <c r="S159" s="73" t="str">
        <f t="shared" si="47"/>
        <v/>
      </c>
      <c r="T159" s="73" t="str">
        <f t="shared" si="47"/>
        <v/>
      </c>
      <c r="U159" s="73" t="str">
        <f t="shared" si="47"/>
        <v/>
      </c>
      <c r="V159" s="73" t="str">
        <f t="shared" si="47"/>
        <v/>
      </c>
      <c r="W159" s="73" t="str">
        <f t="shared" si="47"/>
        <v/>
      </c>
      <c r="X159" s="73" t="str">
        <f t="shared" si="47"/>
        <v/>
      </c>
      <c r="Y159" s="73" t="str">
        <f t="shared" si="47"/>
        <v/>
      </c>
      <c r="Z159" s="73" t="str">
        <f t="shared" si="47"/>
        <v/>
      </c>
      <c r="AA159" s="73" t="str">
        <f t="shared" si="47"/>
        <v/>
      </c>
      <c r="AB159" s="74" t="str">
        <f t="shared" si="47"/>
        <v/>
      </c>
      <c r="AC159" s="35" t="str">
        <f t="shared" si="48"/>
        <v/>
      </c>
      <c r="AD159" s="40" t="str">
        <f t="shared" si="49"/>
        <v/>
      </c>
      <c r="AE159" s="37" t="str">
        <f t="shared" si="50"/>
        <v/>
      </c>
      <c r="AF159" s="40" t="str">
        <f t="shared" si="42"/>
        <v/>
      </c>
      <c r="AG159" s="37" t="str">
        <f t="shared" si="43"/>
        <v/>
      </c>
      <c r="AH159" s="40" t="str">
        <f t="shared" si="44"/>
        <v/>
      </c>
      <c r="AI159" s="37" t="str">
        <f t="shared" si="51"/>
        <v/>
      </c>
      <c r="AJ159" s="40" t="str">
        <f t="shared" si="52"/>
        <v/>
      </c>
      <c r="AK159" s="33" t="str">
        <f>IF(SEM!AK159="","",SEM!AK159)</f>
        <v/>
      </c>
      <c r="AL159" s="6"/>
      <c r="AM159" s="79" t="str">
        <f t="shared" si="45"/>
        <v/>
      </c>
      <c r="AN159" s="12"/>
      <c r="AO159" s="12"/>
      <c r="AP159" s="14"/>
      <c r="AQ159" s="16"/>
      <c r="AR159" s="15"/>
      <c r="AU159" s="198"/>
      <c r="AV159" s="198"/>
      <c r="AW159" s="198"/>
      <c r="AX159" s="198"/>
    </row>
    <row r="160" spans="2:50" ht="17.25" customHeight="1" x14ac:dyDescent="0.2">
      <c r="B160" s="6"/>
      <c r="C160" s="49" t="str">
        <f>IF(SEM!C160="","",SEM!C160)</f>
        <v/>
      </c>
      <c r="D160" s="220" t="str">
        <f>IF(C160="","",VLOOKUP(SEM!C160,FROTA!$B$5:$C$305,2,0))</f>
        <v/>
      </c>
      <c r="E160" s="24" t="str">
        <f>IF(C160="","",VLOOKUP(C160,FROTA!$B$5:$N$305,7,0))</f>
        <v/>
      </c>
      <c r="F160" s="38" t="str">
        <f t="shared" si="41"/>
        <v/>
      </c>
      <c r="G160" s="71" t="str">
        <f t="shared" si="46"/>
        <v/>
      </c>
      <c r="H160" s="32" t="str">
        <f t="shared" si="53"/>
        <v/>
      </c>
      <c r="I160" s="73" t="str">
        <f t="shared" si="53"/>
        <v/>
      </c>
      <c r="J160" s="73" t="str">
        <f t="shared" si="53"/>
        <v/>
      </c>
      <c r="K160" s="73" t="str">
        <f t="shared" si="40"/>
        <v/>
      </c>
      <c r="L160" s="73" t="str">
        <f t="shared" si="40"/>
        <v/>
      </c>
      <c r="M160" s="73" t="str">
        <f t="shared" si="40"/>
        <v/>
      </c>
      <c r="N160" s="73" t="str">
        <f t="shared" si="40"/>
        <v/>
      </c>
      <c r="O160" s="73" t="str">
        <f t="shared" si="40"/>
        <v/>
      </c>
      <c r="P160" s="73" t="str">
        <f t="shared" si="40"/>
        <v/>
      </c>
      <c r="Q160" s="73" t="str">
        <f t="shared" si="40"/>
        <v/>
      </c>
      <c r="R160" s="73" t="str">
        <f t="shared" si="47"/>
        <v/>
      </c>
      <c r="S160" s="73" t="str">
        <f t="shared" si="47"/>
        <v/>
      </c>
      <c r="T160" s="73" t="str">
        <f t="shared" si="47"/>
        <v/>
      </c>
      <c r="U160" s="73" t="str">
        <f t="shared" si="47"/>
        <v/>
      </c>
      <c r="V160" s="73" t="str">
        <f t="shared" si="47"/>
        <v/>
      </c>
      <c r="W160" s="73" t="str">
        <f t="shared" si="47"/>
        <v/>
      </c>
      <c r="X160" s="73" t="str">
        <f t="shared" si="47"/>
        <v/>
      </c>
      <c r="Y160" s="73" t="str">
        <f t="shared" si="47"/>
        <v/>
      </c>
      <c r="Z160" s="73" t="str">
        <f t="shared" si="47"/>
        <v/>
      </c>
      <c r="AA160" s="73" t="str">
        <f t="shared" si="47"/>
        <v/>
      </c>
      <c r="AB160" s="74" t="str">
        <f t="shared" si="47"/>
        <v/>
      </c>
      <c r="AC160" s="35" t="str">
        <f t="shared" si="48"/>
        <v/>
      </c>
      <c r="AD160" s="40" t="str">
        <f t="shared" si="49"/>
        <v/>
      </c>
      <c r="AE160" s="37" t="str">
        <f t="shared" si="50"/>
        <v/>
      </c>
      <c r="AF160" s="40" t="str">
        <f t="shared" si="42"/>
        <v/>
      </c>
      <c r="AG160" s="37" t="str">
        <f t="shared" si="43"/>
        <v/>
      </c>
      <c r="AH160" s="40" t="str">
        <f t="shared" si="44"/>
        <v/>
      </c>
      <c r="AI160" s="37" t="str">
        <f t="shared" si="51"/>
        <v/>
      </c>
      <c r="AJ160" s="40" t="str">
        <f t="shared" si="52"/>
        <v/>
      </c>
      <c r="AK160" s="33" t="str">
        <f>IF(SEM!AK160="","",SEM!AK160)</f>
        <v/>
      </c>
      <c r="AL160" s="6"/>
      <c r="AM160" s="79" t="str">
        <f t="shared" si="45"/>
        <v/>
      </c>
      <c r="AN160" s="12"/>
      <c r="AO160" s="12"/>
      <c r="AP160" s="14"/>
      <c r="AQ160" s="16"/>
      <c r="AR160" s="15"/>
      <c r="AU160" s="198"/>
      <c r="AV160" s="198"/>
      <c r="AW160" s="198"/>
      <c r="AX160" s="198"/>
    </row>
    <row r="161" spans="2:50" ht="17.25" customHeight="1" x14ac:dyDescent="0.2">
      <c r="B161" s="6"/>
      <c r="C161" s="49" t="str">
        <f>IF(SEM!C161="","",SEM!C161)</f>
        <v/>
      </c>
      <c r="D161" s="220" t="str">
        <f>IF(C161="","",VLOOKUP(SEM!C161,FROTA!$B$5:$C$305,2,0))</f>
        <v/>
      </c>
      <c r="E161" s="24" t="str">
        <f>IF(C161="","",VLOOKUP(C161,FROTA!$B$5:$N$305,7,0))</f>
        <v/>
      </c>
      <c r="F161" s="38" t="str">
        <f t="shared" si="41"/>
        <v/>
      </c>
      <c r="G161" s="71" t="str">
        <f t="shared" si="46"/>
        <v/>
      </c>
      <c r="H161" s="32" t="str">
        <f t="shared" si="53"/>
        <v/>
      </c>
      <c r="I161" s="73" t="str">
        <f t="shared" si="53"/>
        <v/>
      </c>
      <c r="J161" s="73" t="str">
        <f t="shared" si="53"/>
        <v/>
      </c>
      <c r="K161" s="73" t="str">
        <f t="shared" si="40"/>
        <v/>
      </c>
      <c r="L161" s="73" t="str">
        <f t="shared" si="40"/>
        <v/>
      </c>
      <c r="M161" s="73" t="str">
        <f t="shared" si="40"/>
        <v/>
      </c>
      <c r="N161" s="73" t="str">
        <f t="shared" si="40"/>
        <v/>
      </c>
      <c r="O161" s="73" t="str">
        <f t="shared" si="40"/>
        <v/>
      </c>
      <c r="P161" s="73" t="str">
        <f t="shared" si="40"/>
        <v/>
      </c>
      <c r="Q161" s="73" t="str">
        <f t="shared" si="40"/>
        <v/>
      </c>
      <c r="R161" s="73" t="str">
        <f t="shared" si="47"/>
        <v/>
      </c>
      <c r="S161" s="73" t="str">
        <f t="shared" ref="R161:AB184" si="54">IF($C161="","",IF(SUM(S$307*$G161)&gt;$F161,$F161,SUM(S$307*$G161)))</f>
        <v/>
      </c>
      <c r="T161" s="73" t="str">
        <f t="shared" si="54"/>
        <v/>
      </c>
      <c r="U161" s="73" t="str">
        <f t="shared" si="54"/>
        <v/>
      </c>
      <c r="V161" s="73" t="str">
        <f t="shared" si="54"/>
        <v/>
      </c>
      <c r="W161" s="73" t="str">
        <f t="shared" si="54"/>
        <v/>
      </c>
      <c r="X161" s="73" t="str">
        <f t="shared" si="54"/>
        <v/>
      </c>
      <c r="Y161" s="73" t="str">
        <f t="shared" si="54"/>
        <v/>
      </c>
      <c r="Z161" s="73" t="str">
        <f t="shared" si="54"/>
        <v/>
      </c>
      <c r="AA161" s="73" t="str">
        <f t="shared" si="54"/>
        <v/>
      </c>
      <c r="AB161" s="74" t="str">
        <f t="shared" si="54"/>
        <v/>
      </c>
      <c r="AC161" s="35" t="str">
        <f t="shared" si="48"/>
        <v/>
      </c>
      <c r="AD161" s="40" t="str">
        <f t="shared" si="49"/>
        <v/>
      </c>
      <c r="AE161" s="37" t="str">
        <f t="shared" si="50"/>
        <v/>
      </c>
      <c r="AF161" s="40" t="str">
        <f t="shared" si="42"/>
        <v/>
      </c>
      <c r="AG161" s="37" t="str">
        <f t="shared" si="43"/>
        <v/>
      </c>
      <c r="AH161" s="40" t="str">
        <f t="shared" si="44"/>
        <v/>
      </c>
      <c r="AI161" s="37" t="str">
        <f t="shared" si="51"/>
        <v/>
      </c>
      <c r="AJ161" s="40" t="str">
        <f t="shared" si="52"/>
        <v/>
      </c>
      <c r="AK161" s="33" t="str">
        <f>IF(SEM!AK161="","",SEM!AK161)</f>
        <v/>
      </c>
      <c r="AL161" s="6"/>
      <c r="AM161" s="79" t="str">
        <f t="shared" si="45"/>
        <v/>
      </c>
      <c r="AN161" s="12"/>
      <c r="AO161" s="12"/>
      <c r="AP161" s="14"/>
      <c r="AQ161" s="16"/>
      <c r="AR161" s="15"/>
      <c r="AU161" s="198"/>
      <c r="AV161" s="198"/>
      <c r="AW161" s="198"/>
      <c r="AX161" s="198"/>
    </row>
    <row r="162" spans="2:50" ht="17.25" customHeight="1" x14ac:dyDescent="0.2">
      <c r="B162" s="6"/>
      <c r="C162" s="49" t="str">
        <f>IF(SEM!C162="","",SEM!C162)</f>
        <v/>
      </c>
      <c r="D162" s="220" t="str">
        <f>IF(C162="","",VLOOKUP(SEM!C162,FROTA!$B$5:$C$305,2,0))</f>
        <v/>
      </c>
      <c r="E162" s="24" t="str">
        <f>IF(C162="","",VLOOKUP(C162,FROTA!$B$5:$N$305,7,0))</f>
        <v/>
      </c>
      <c r="F162" s="38" t="str">
        <f t="shared" si="41"/>
        <v/>
      </c>
      <c r="G162" s="71" t="str">
        <f t="shared" si="46"/>
        <v/>
      </c>
      <c r="H162" s="32" t="str">
        <f t="shared" si="53"/>
        <v/>
      </c>
      <c r="I162" s="73" t="str">
        <f t="shared" si="53"/>
        <v/>
      </c>
      <c r="J162" s="73" t="str">
        <f t="shared" si="53"/>
        <v/>
      </c>
      <c r="K162" s="73" t="str">
        <f t="shared" si="40"/>
        <v/>
      </c>
      <c r="L162" s="73" t="str">
        <f t="shared" si="40"/>
        <v/>
      </c>
      <c r="M162" s="73" t="str">
        <f t="shared" si="40"/>
        <v/>
      </c>
      <c r="N162" s="73" t="str">
        <f t="shared" si="40"/>
        <v/>
      </c>
      <c r="O162" s="73" t="str">
        <f t="shared" si="40"/>
        <v/>
      </c>
      <c r="P162" s="73" t="str">
        <f t="shared" si="40"/>
        <v/>
      </c>
      <c r="Q162" s="73" t="str">
        <f t="shared" si="40"/>
        <v/>
      </c>
      <c r="R162" s="73" t="str">
        <f t="shared" si="54"/>
        <v/>
      </c>
      <c r="S162" s="73" t="str">
        <f t="shared" si="54"/>
        <v/>
      </c>
      <c r="T162" s="73" t="str">
        <f t="shared" si="54"/>
        <v/>
      </c>
      <c r="U162" s="73" t="str">
        <f t="shared" si="54"/>
        <v/>
      </c>
      <c r="V162" s="73" t="str">
        <f t="shared" si="54"/>
        <v/>
      </c>
      <c r="W162" s="73" t="str">
        <f t="shared" si="54"/>
        <v/>
      </c>
      <c r="X162" s="73" t="str">
        <f t="shared" si="54"/>
        <v/>
      </c>
      <c r="Y162" s="73" t="str">
        <f t="shared" si="54"/>
        <v/>
      </c>
      <c r="Z162" s="73" t="str">
        <f t="shared" si="54"/>
        <v/>
      </c>
      <c r="AA162" s="73" t="str">
        <f t="shared" si="54"/>
        <v/>
      </c>
      <c r="AB162" s="74" t="str">
        <f t="shared" si="54"/>
        <v/>
      </c>
      <c r="AC162" s="35" t="str">
        <f t="shared" si="48"/>
        <v/>
      </c>
      <c r="AD162" s="40" t="str">
        <f t="shared" si="49"/>
        <v/>
      </c>
      <c r="AE162" s="37" t="str">
        <f t="shared" si="50"/>
        <v/>
      </c>
      <c r="AF162" s="40" t="str">
        <f t="shared" si="42"/>
        <v/>
      </c>
      <c r="AG162" s="37" t="str">
        <f t="shared" si="43"/>
        <v/>
      </c>
      <c r="AH162" s="40" t="str">
        <f t="shared" si="44"/>
        <v/>
      </c>
      <c r="AI162" s="37" t="str">
        <f t="shared" si="51"/>
        <v/>
      </c>
      <c r="AJ162" s="40" t="str">
        <f t="shared" si="52"/>
        <v/>
      </c>
      <c r="AK162" s="33" t="str">
        <f>IF(SEM!AK162="","",SEM!AK162)</f>
        <v/>
      </c>
      <c r="AL162" s="6"/>
      <c r="AM162" s="79" t="str">
        <f t="shared" si="45"/>
        <v/>
      </c>
      <c r="AN162" s="12"/>
      <c r="AO162" s="12"/>
      <c r="AP162" s="14"/>
      <c r="AQ162" s="16"/>
      <c r="AR162" s="15"/>
      <c r="AU162" s="198"/>
      <c r="AV162" s="198"/>
      <c r="AW162" s="198"/>
      <c r="AX162" s="198"/>
    </row>
    <row r="163" spans="2:50" ht="17.25" customHeight="1" x14ac:dyDescent="0.2">
      <c r="B163" s="6"/>
      <c r="C163" s="49" t="str">
        <f>IF(SEM!C163="","",SEM!C163)</f>
        <v/>
      </c>
      <c r="D163" s="220" t="str">
        <f>IF(C163="","",VLOOKUP(SEM!C163,FROTA!$B$5:$C$305,2,0))</f>
        <v/>
      </c>
      <c r="E163" s="24" t="str">
        <f>IF(C163="","",VLOOKUP(C163,FROTA!$B$5:$N$305,7,0))</f>
        <v/>
      </c>
      <c r="F163" s="38" t="str">
        <f t="shared" si="41"/>
        <v/>
      </c>
      <c r="G163" s="71" t="str">
        <f t="shared" si="46"/>
        <v/>
      </c>
      <c r="H163" s="32" t="str">
        <f t="shared" si="53"/>
        <v/>
      </c>
      <c r="I163" s="73" t="str">
        <f t="shared" si="53"/>
        <v/>
      </c>
      <c r="J163" s="73" t="str">
        <f t="shared" si="53"/>
        <v/>
      </c>
      <c r="K163" s="73" t="str">
        <f t="shared" si="40"/>
        <v/>
      </c>
      <c r="L163" s="73" t="str">
        <f t="shared" si="40"/>
        <v/>
      </c>
      <c r="M163" s="73" t="str">
        <f t="shared" si="40"/>
        <v/>
      </c>
      <c r="N163" s="73" t="str">
        <f t="shared" si="40"/>
        <v/>
      </c>
      <c r="O163" s="73" t="str">
        <f t="shared" si="40"/>
        <v/>
      </c>
      <c r="P163" s="73" t="str">
        <f t="shared" si="40"/>
        <v/>
      </c>
      <c r="Q163" s="73" t="str">
        <f t="shared" si="40"/>
        <v/>
      </c>
      <c r="R163" s="73" t="str">
        <f t="shared" si="54"/>
        <v/>
      </c>
      <c r="S163" s="73" t="str">
        <f t="shared" si="54"/>
        <v/>
      </c>
      <c r="T163" s="73" t="str">
        <f t="shared" si="54"/>
        <v/>
      </c>
      <c r="U163" s="73" t="str">
        <f t="shared" si="54"/>
        <v/>
      </c>
      <c r="V163" s="73" t="str">
        <f t="shared" si="54"/>
        <v/>
      </c>
      <c r="W163" s="73" t="str">
        <f t="shared" si="54"/>
        <v/>
      </c>
      <c r="X163" s="73" t="str">
        <f t="shared" si="54"/>
        <v/>
      </c>
      <c r="Y163" s="73" t="str">
        <f t="shared" si="54"/>
        <v/>
      </c>
      <c r="Z163" s="73" t="str">
        <f t="shared" si="54"/>
        <v/>
      </c>
      <c r="AA163" s="73" t="str">
        <f t="shared" si="54"/>
        <v/>
      </c>
      <c r="AB163" s="74" t="str">
        <f t="shared" si="54"/>
        <v/>
      </c>
      <c r="AC163" s="35" t="str">
        <f t="shared" si="48"/>
        <v/>
      </c>
      <c r="AD163" s="40" t="str">
        <f t="shared" si="49"/>
        <v/>
      </c>
      <c r="AE163" s="37" t="str">
        <f t="shared" si="50"/>
        <v/>
      </c>
      <c r="AF163" s="40" t="str">
        <f t="shared" si="42"/>
        <v/>
      </c>
      <c r="AG163" s="37" t="str">
        <f t="shared" si="43"/>
        <v/>
      </c>
      <c r="AH163" s="40" t="str">
        <f t="shared" si="44"/>
        <v/>
      </c>
      <c r="AI163" s="37" t="str">
        <f t="shared" si="51"/>
        <v/>
      </c>
      <c r="AJ163" s="40" t="str">
        <f t="shared" si="52"/>
        <v/>
      </c>
      <c r="AK163" s="33" t="str">
        <f>IF(SEM!AK163="","",SEM!AK163)</f>
        <v/>
      </c>
      <c r="AL163" s="6"/>
      <c r="AM163" s="79" t="str">
        <f t="shared" si="45"/>
        <v/>
      </c>
      <c r="AN163" s="12"/>
      <c r="AO163" s="12"/>
      <c r="AP163" s="14"/>
      <c r="AQ163" s="16"/>
      <c r="AR163" s="15"/>
      <c r="AU163" s="198"/>
      <c r="AV163" s="198"/>
      <c r="AW163" s="198"/>
      <c r="AX163" s="198"/>
    </row>
    <row r="164" spans="2:50" ht="17.25" customHeight="1" x14ac:dyDescent="0.2">
      <c r="B164" s="6"/>
      <c r="C164" s="49" t="str">
        <f>IF(SEM!C164="","",SEM!C164)</f>
        <v/>
      </c>
      <c r="D164" s="220" t="str">
        <f>IF(C164="","",VLOOKUP(SEM!C164,FROTA!$B$5:$C$305,2,0))</f>
        <v/>
      </c>
      <c r="E164" s="24" t="str">
        <f>IF(C164="","",VLOOKUP(C164,FROTA!$B$5:$N$305,7,0))</f>
        <v/>
      </c>
      <c r="F164" s="38" t="str">
        <f t="shared" si="41"/>
        <v/>
      </c>
      <c r="G164" s="71" t="str">
        <f t="shared" si="46"/>
        <v/>
      </c>
      <c r="H164" s="32" t="str">
        <f t="shared" si="53"/>
        <v/>
      </c>
      <c r="I164" s="73" t="str">
        <f t="shared" si="53"/>
        <v/>
      </c>
      <c r="J164" s="73" t="str">
        <f t="shared" si="53"/>
        <v/>
      </c>
      <c r="K164" s="73" t="str">
        <f t="shared" si="40"/>
        <v/>
      </c>
      <c r="L164" s="73" t="str">
        <f t="shared" si="40"/>
        <v/>
      </c>
      <c r="M164" s="73" t="str">
        <f t="shared" si="40"/>
        <v/>
      </c>
      <c r="N164" s="73" t="str">
        <f t="shared" si="40"/>
        <v/>
      </c>
      <c r="O164" s="73" t="str">
        <f t="shared" si="40"/>
        <v/>
      </c>
      <c r="P164" s="73" t="str">
        <f t="shared" si="40"/>
        <v/>
      </c>
      <c r="Q164" s="73" t="str">
        <f t="shared" si="40"/>
        <v/>
      </c>
      <c r="R164" s="73" t="str">
        <f t="shared" si="54"/>
        <v/>
      </c>
      <c r="S164" s="73" t="str">
        <f t="shared" si="54"/>
        <v/>
      </c>
      <c r="T164" s="73" t="str">
        <f t="shared" si="54"/>
        <v/>
      </c>
      <c r="U164" s="73" t="str">
        <f t="shared" si="54"/>
        <v/>
      </c>
      <c r="V164" s="73" t="str">
        <f t="shared" si="54"/>
        <v/>
      </c>
      <c r="W164" s="73" t="str">
        <f t="shared" si="54"/>
        <v/>
      </c>
      <c r="X164" s="73" t="str">
        <f t="shared" si="54"/>
        <v/>
      </c>
      <c r="Y164" s="73" t="str">
        <f t="shared" si="54"/>
        <v/>
      </c>
      <c r="Z164" s="73" t="str">
        <f t="shared" si="54"/>
        <v/>
      </c>
      <c r="AA164" s="73" t="str">
        <f t="shared" si="54"/>
        <v/>
      </c>
      <c r="AB164" s="74" t="str">
        <f t="shared" si="54"/>
        <v/>
      </c>
      <c r="AC164" s="35" t="str">
        <f t="shared" si="48"/>
        <v/>
      </c>
      <c r="AD164" s="40" t="str">
        <f t="shared" si="49"/>
        <v/>
      </c>
      <c r="AE164" s="37" t="str">
        <f t="shared" si="50"/>
        <v/>
      </c>
      <c r="AF164" s="40" t="str">
        <f t="shared" si="42"/>
        <v/>
      </c>
      <c r="AG164" s="37" t="str">
        <f t="shared" si="43"/>
        <v/>
      </c>
      <c r="AH164" s="40" t="str">
        <f t="shared" si="44"/>
        <v/>
      </c>
      <c r="AI164" s="37" t="str">
        <f t="shared" si="51"/>
        <v/>
      </c>
      <c r="AJ164" s="40" t="str">
        <f t="shared" si="52"/>
        <v/>
      </c>
      <c r="AK164" s="33" t="str">
        <f>IF(SEM!AK164="","",SEM!AK164)</f>
        <v/>
      </c>
      <c r="AL164" s="6"/>
      <c r="AM164" s="79" t="str">
        <f t="shared" si="45"/>
        <v/>
      </c>
      <c r="AN164" s="12"/>
      <c r="AO164" s="12"/>
      <c r="AP164" s="14"/>
      <c r="AQ164" s="16"/>
      <c r="AR164" s="15"/>
      <c r="AU164" s="198"/>
      <c r="AV164" s="198"/>
      <c r="AW164" s="198"/>
      <c r="AX164" s="198"/>
    </row>
    <row r="165" spans="2:50" ht="17.25" customHeight="1" x14ac:dyDescent="0.2">
      <c r="B165" s="6"/>
      <c r="C165" s="49" t="str">
        <f>IF(SEM!C165="","",SEM!C165)</f>
        <v/>
      </c>
      <c r="D165" s="220" t="str">
        <f>IF(C165="","",VLOOKUP(SEM!C165,FROTA!$B$5:$C$305,2,0))</f>
        <v/>
      </c>
      <c r="E165" s="24" t="str">
        <f>IF(C165="","",VLOOKUP(C165,FROTA!$B$5:$N$305,7,0))</f>
        <v/>
      </c>
      <c r="F165" s="38" t="str">
        <f t="shared" si="41"/>
        <v/>
      </c>
      <c r="G165" s="71" t="str">
        <f t="shared" si="46"/>
        <v/>
      </c>
      <c r="H165" s="32" t="str">
        <f t="shared" si="53"/>
        <v/>
      </c>
      <c r="I165" s="73" t="str">
        <f t="shared" si="53"/>
        <v/>
      </c>
      <c r="J165" s="73" t="str">
        <f t="shared" si="53"/>
        <v/>
      </c>
      <c r="K165" s="73" t="str">
        <f t="shared" si="40"/>
        <v/>
      </c>
      <c r="L165" s="73" t="str">
        <f t="shared" si="40"/>
        <v/>
      </c>
      <c r="M165" s="73" t="str">
        <f t="shared" si="40"/>
        <v/>
      </c>
      <c r="N165" s="73" t="str">
        <f t="shared" si="40"/>
        <v/>
      </c>
      <c r="O165" s="73" t="str">
        <f t="shared" si="40"/>
        <v/>
      </c>
      <c r="P165" s="73" t="str">
        <f t="shared" si="40"/>
        <v/>
      </c>
      <c r="Q165" s="73" t="str">
        <f t="shared" si="40"/>
        <v/>
      </c>
      <c r="R165" s="73" t="str">
        <f t="shared" si="54"/>
        <v/>
      </c>
      <c r="S165" s="73" t="str">
        <f t="shared" si="54"/>
        <v/>
      </c>
      <c r="T165" s="73" t="str">
        <f t="shared" si="54"/>
        <v/>
      </c>
      <c r="U165" s="73" t="str">
        <f t="shared" si="54"/>
        <v/>
      </c>
      <c r="V165" s="73" t="str">
        <f t="shared" si="54"/>
        <v/>
      </c>
      <c r="W165" s="73" t="str">
        <f t="shared" si="54"/>
        <v/>
      </c>
      <c r="X165" s="73" t="str">
        <f t="shared" si="54"/>
        <v/>
      </c>
      <c r="Y165" s="73" t="str">
        <f t="shared" si="54"/>
        <v/>
      </c>
      <c r="Z165" s="73" t="str">
        <f t="shared" si="54"/>
        <v/>
      </c>
      <c r="AA165" s="73" t="str">
        <f t="shared" si="54"/>
        <v/>
      </c>
      <c r="AB165" s="74" t="str">
        <f t="shared" si="54"/>
        <v/>
      </c>
      <c r="AC165" s="35" t="str">
        <f t="shared" si="48"/>
        <v/>
      </c>
      <c r="AD165" s="40" t="str">
        <f t="shared" si="49"/>
        <v/>
      </c>
      <c r="AE165" s="37" t="str">
        <f t="shared" si="50"/>
        <v/>
      </c>
      <c r="AF165" s="40" t="str">
        <f t="shared" si="42"/>
        <v/>
      </c>
      <c r="AG165" s="37" t="str">
        <f t="shared" si="43"/>
        <v/>
      </c>
      <c r="AH165" s="40" t="str">
        <f t="shared" si="44"/>
        <v/>
      </c>
      <c r="AI165" s="37" t="str">
        <f t="shared" si="51"/>
        <v/>
      </c>
      <c r="AJ165" s="40" t="str">
        <f t="shared" si="52"/>
        <v/>
      </c>
      <c r="AK165" s="33" t="str">
        <f>IF(SEM!AK165="","",SEM!AK165)</f>
        <v/>
      </c>
      <c r="AL165" s="6"/>
      <c r="AM165" s="79" t="str">
        <f t="shared" si="45"/>
        <v/>
      </c>
      <c r="AN165" s="12"/>
      <c r="AO165" s="12"/>
      <c r="AP165" s="14"/>
      <c r="AQ165" s="16"/>
      <c r="AR165" s="15"/>
      <c r="AU165" s="198"/>
      <c r="AV165" s="198"/>
      <c r="AW165" s="198"/>
      <c r="AX165" s="198"/>
    </row>
    <row r="166" spans="2:50" ht="17.25" customHeight="1" x14ac:dyDescent="0.2">
      <c r="B166" s="6"/>
      <c r="C166" s="49" t="str">
        <f>IF(SEM!C166="","",SEM!C166)</f>
        <v/>
      </c>
      <c r="D166" s="220" t="str">
        <f>IF(C166="","",VLOOKUP(SEM!C166,FROTA!$B$5:$C$305,2,0))</f>
        <v/>
      </c>
      <c r="E166" s="24" t="str">
        <f>IF(C166="","",VLOOKUP(C166,FROTA!$B$5:$N$305,7,0))</f>
        <v/>
      </c>
      <c r="F166" s="38" t="str">
        <f t="shared" si="41"/>
        <v/>
      </c>
      <c r="G166" s="71" t="str">
        <f t="shared" si="46"/>
        <v/>
      </c>
      <c r="H166" s="32" t="str">
        <f t="shared" si="53"/>
        <v/>
      </c>
      <c r="I166" s="73" t="str">
        <f t="shared" si="53"/>
        <v/>
      </c>
      <c r="J166" s="73" t="str">
        <f t="shared" si="53"/>
        <v/>
      </c>
      <c r="K166" s="73" t="str">
        <f t="shared" si="40"/>
        <v/>
      </c>
      <c r="L166" s="73" t="str">
        <f t="shared" si="40"/>
        <v/>
      </c>
      <c r="M166" s="73" t="str">
        <f t="shared" si="40"/>
        <v/>
      </c>
      <c r="N166" s="73" t="str">
        <f t="shared" si="40"/>
        <v/>
      </c>
      <c r="O166" s="73" t="str">
        <f t="shared" si="40"/>
        <v/>
      </c>
      <c r="P166" s="73" t="str">
        <f t="shared" si="40"/>
        <v/>
      </c>
      <c r="Q166" s="73" t="str">
        <f t="shared" si="40"/>
        <v/>
      </c>
      <c r="R166" s="73" t="str">
        <f t="shared" si="54"/>
        <v/>
      </c>
      <c r="S166" s="73" t="str">
        <f t="shared" si="54"/>
        <v/>
      </c>
      <c r="T166" s="73" t="str">
        <f t="shared" si="54"/>
        <v/>
      </c>
      <c r="U166" s="73" t="str">
        <f t="shared" si="54"/>
        <v/>
      </c>
      <c r="V166" s="73" t="str">
        <f t="shared" si="54"/>
        <v/>
      </c>
      <c r="W166" s="73" t="str">
        <f t="shared" si="54"/>
        <v/>
      </c>
      <c r="X166" s="73" t="str">
        <f t="shared" si="54"/>
        <v/>
      </c>
      <c r="Y166" s="73" t="str">
        <f t="shared" si="54"/>
        <v/>
      </c>
      <c r="Z166" s="73" t="str">
        <f t="shared" si="54"/>
        <v/>
      </c>
      <c r="AA166" s="73" t="str">
        <f t="shared" si="54"/>
        <v/>
      </c>
      <c r="AB166" s="74" t="str">
        <f t="shared" si="54"/>
        <v/>
      </c>
      <c r="AC166" s="35" t="str">
        <f t="shared" si="48"/>
        <v/>
      </c>
      <c r="AD166" s="40" t="str">
        <f t="shared" si="49"/>
        <v/>
      </c>
      <c r="AE166" s="37" t="str">
        <f t="shared" si="50"/>
        <v/>
      </c>
      <c r="AF166" s="40" t="str">
        <f t="shared" si="42"/>
        <v/>
      </c>
      <c r="AG166" s="37" t="str">
        <f t="shared" si="43"/>
        <v/>
      </c>
      <c r="AH166" s="40" t="str">
        <f t="shared" si="44"/>
        <v/>
      </c>
      <c r="AI166" s="37" t="str">
        <f t="shared" si="51"/>
        <v/>
      </c>
      <c r="AJ166" s="40" t="str">
        <f t="shared" si="52"/>
        <v/>
      </c>
      <c r="AK166" s="33" t="str">
        <f>IF(SEM!AK166="","",SEM!AK166)</f>
        <v/>
      </c>
      <c r="AL166" s="6"/>
      <c r="AM166" s="79" t="str">
        <f t="shared" si="45"/>
        <v/>
      </c>
      <c r="AN166" s="12"/>
      <c r="AO166" s="12"/>
      <c r="AP166" s="14"/>
      <c r="AQ166" s="16"/>
      <c r="AR166" s="15"/>
      <c r="AU166" s="198"/>
      <c r="AV166" s="198"/>
      <c r="AW166" s="198"/>
      <c r="AX166" s="198"/>
    </row>
    <row r="167" spans="2:50" ht="17.25" customHeight="1" x14ac:dyDescent="0.2">
      <c r="B167" s="6"/>
      <c r="C167" s="49" t="str">
        <f>IF(SEM!C167="","",SEM!C167)</f>
        <v/>
      </c>
      <c r="D167" s="220" t="str">
        <f>IF(C167="","",VLOOKUP(SEM!C167,FROTA!$B$5:$C$305,2,0))</f>
        <v/>
      </c>
      <c r="E167" s="24" t="str">
        <f>IF(C167="","",VLOOKUP(C167,FROTA!$B$5:$N$305,7,0))</f>
        <v/>
      </c>
      <c r="F167" s="38" t="str">
        <f t="shared" si="41"/>
        <v/>
      </c>
      <c r="G167" s="71" t="str">
        <f t="shared" si="46"/>
        <v/>
      </c>
      <c r="H167" s="32" t="str">
        <f t="shared" si="53"/>
        <v/>
      </c>
      <c r="I167" s="73" t="str">
        <f t="shared" si="53"/>
        <v/>
      </c>
      <c r="J167" s="73" t="str">
        <f t="shared" si="53"/>
        <v/>
      </c>
      <c r="K167" s="73" t="str">
        <f t="shared" si="40"/>
        <v/>
      </c>
      <c r="L167" s="73" t="str">
        <f t="shared" si="40"/>
        <v/>
      </c>
      <c r="M167" s="73" t="str">
        <f t="shared" si="40"/>
        <v/>
      </c>
      <c r="N167" s="73" t="str">
        <f t="shared" si="40"/>
        <v/>
      </c>
      <c r="O167" s="73" t="str">
        <f t="shared" si="40"/>
        <v/>
      </c>
      <c r="P167" s="73" t="str">
        <f t="shared" ref="K167:Q204" si="55">IF($C167="","",IF(SUM(P$307*$G167)&gt;$F167,$F167,SUM(P$307*$G167)))</f>
        <v/>
      </c>
      <c r="Q167" s="73" t="str">
        <f t="shared" si="55"/>
        <v/>
      </c>
      <c r="R167" s="73" t="str">
        <f t="shared" si="54"/>
        <v/>
      </c>
      <c r="S167" s="73" t="str">
        <f t="shared" si="54"/>
        <v/>
      </c>
      <c r="T167" s="73" t="str">
        <f t="shared" si="54"/>
        <v/>
      </c>
      <c r="U167" s="73" t="str">
        <f t="shared" si="54"/>
        <v/>
      </c>
      <c r="V167" s="73" t="str">
        <f t="shared" si="54"/>
        <v/>
      </c>
      <c r="W167" s="73" t="str">
        <f t="shared" si="54"/>
        <v/>
      </c>
      <c r="X167" s="73" t="str">
        <f t="shared" si="54"/>
        <v/>
      </c>
      <c r="Y167" s="73" t="str">
        <f t="shared" si="54"/>
        <v/>
      </c>
      <c r="Z167" s="73" t="str">
        <f t="shared" si="54"/>
        <v/>
      </c>
      <c r="AA167" s="73" t="str">
        <f t="shared" si="54"/>
        <v/>
      </c>
      <c r="AB167" s="74" t="str">
        <f t="shared" si="54"/>
        <v/>
      </c>
      <c r="AC167" s="35" t="str">
        <f t="shared" si="48"/>
        <v/>
      </c>
      <c r="AD167" s="40" t="str">
        <f t="shared" si="49"/>
        <v/>
      </c>
      <c r="AE167" s="37" t="str">
        <f t="shared" si="50"/>
        <v/>
      </c>
      <c r="AF167" s="40" t="str">
        <f t="shared" si="42"/>
        <v/>
      </c>
      <c r="AG167" s="37" t="str">
        <f t="shared" si="43"/>
        <v/>
      </c>
      <c r="AH167" s="40" t="str">
        <f t="shared" si="44"/>
        <v/>
      </c>
      <c r="AI167" s="37" t="str">
        <f t="shared" si="51"/>
        <v/>
      </c>
      <c r="AJ167" s="40" t="str">
        <f t="shared" si="52"/>
        <v/>
      </c>
      <c r="AK167" s="33" t="str">
        <f>IF(SEM!AK167="","",SEM!AK167)</f>
        <v/>
      </c>
      <c r="AL167" s="6"/>
      <c r="AM167" s="79" t="str">
        <f t="shared" si="45"/>
        <v/>
      </c>
      <c r="AN167" s="12"/>
      <c r="AO167" s="12"/>
      <c r="AP167" s="14"/>
      <c r="AQ167" s="16"/>
      <c r="AR167" s="15"/>
      <c r="AU167" s="198"/>
      <c r="AV167" s="198"/>
      <c r="AW167" s="198"/>
      <c r="AX167" s="198"/>
    </row>
    <row r="168" spans="2:50" ht="17.25" customHeight="1" x14ac:dyDescent="0.2">
      <c r="B168" s="6"/>
      <c r="C168" s="49" t="str">
        <f>IF(SEM!C168="","",SEM!C168)</f>
        <v/>
      </c>
      <c r="D168" s="220" t="str">
        <f>IF(C168="","",VLOOKUP(SEM!C168,FROTA!$B$5:$C$305,2,0))</f>
        <v/>
      </c>
      <c r="E168" s="24" t="str">
        <f>IF(C168="","",VLOOKUP(C168,FROTA!$B$5:$N$305,7,0))</f>
        <v/>
      </c>
      <c r="F168" s="38" t="str">
        <f t="shared" si="41"/>
        <v/>
      </c>
      <c r="G168" s="71" t="str">
        <f t="shared" si="46"/>
        <v/>
      </c>
      <c r="H168" s="32" t="str">
        <f t="shared" si="53"/>
        <v/>
      </c>
      <c r="I168" s="73" t="str">
        <f t="shared" si="53"/>
        <v/>
      </c>
      <c r="J168" s="73" t="str">
        <f t="shared" si="53"/>
        <v/>
      </c>
      <c r="K168" s="73" t="str">
        <f t="shared" si="55"/>
        <v/>
      </c>
      <c r="L168" s="73" t="str">
        <f t="shared" si="55"/>
        <v/>
      </c>
      <c r="M168" s="73" t="str">
        <f t="shared" si="55"/>
        <v/>
      </c>
      <c r="N168" s="73" t="str">
        <f t="shared" si="55"/>
        <v/>
      </c>
      <c r="O168" s="73" t="str">
        <f t="shared" si="55"/>
        <v/>
      </c>
      <c r="P168" s="73" t="str">
        <f t="shared" si="55"/>
        <v/>
      </c>
      <c r="Q168" s="73" t="str">
        <f t="shared" si="55"/>
        <v/>
      </c>
      <c r="R168" s="73" t="str">
        <f t="shared" si="54"/>
        <v/>
      </c>
      <c r="S168" s="73" t="str">
        <f t="shared" si="54"/>
        <v/>
      </c>
      <c r="T168" s="73" t="str">
        <f t="shared" si="54"/>
        <v/>
      </c>
      <c r="U168" s="73" t="str">
        <f t="shared" si="54"/>
        <v/>
      </c>
      <c r="V168" s="73" t="str">
        <f t="shared" si="54"/>
        <v/>
      </c>
      <c r="W168" s="73" t="str">
        <f t="shared" si="54"/>
        <v/>
      </c>
      <c r="X168" s="73" t="str">
        <f t="shared" si="54"/>
        <v/>
      </c>
      <c r="Y168" s="73" t="str">
        <f t="shared" si="54"/>
        <v/>
      </c>
      <c r="Z168" s="73" t="str">
        <f t="shared" si="54"/>
        <v/>
      </c>
      <c r="AA168" s="73" t="str">
        <f t="shared" si="54"/>
        <v/>
      </c>
      <c r="AB168" s="74" t="str">
        <f t="shared" si="54"/>
        <v/>
      </c>
      <c r="AC168" s="35" t="str">
        <f t="shared" si="48"/>
        <v/>
      </c>
      <c r="AD168" s="40" t="str">
        <f t="shared" si="49"/>
        <v/>
      </c>
      <c r="AE168" s="37" t="str">
        <f t="shared" si="50"/>
        <v/>
      </c>
      <c r="AF168" s="40" t="str">
        <f t="shared" si="42"/>
        <v/>
      </c>
      <c r="AG168" s="37" t="str">
        <f t="shared" si="43"/>
        <v/>
      </c>
      <c r="AH168" s="40" t="str">
        <f t="shared" si="44"/>
        <v/>
      </c>
      <c r="AI168" s="37" t="str">
        <f t="shared" si="51"/>
        <v/>
      </c>
      <c r="AJ168" s="40" t="str">
        <f t="shared" si="52"/>
        <v/>
      </c>
      <c r="AK168" s="33" t="str">
        <f>IF(SEM!AK168="","",SEM!AK168)</f>
        <v/>
      </c>
      <c r="AL168" s="6"/>
      <c r="AM168" s="79" t="str">
        <f t="shared" si="45"/>
        <v/>
      </c>
      <c r="AN168" s="12"/>
      <c r="AO168" s="12"/>
      <c r="AP168" s="14"/>
      <c r="AQ168" s="16"/>
      <c r="AR168" s="15"/>
      <c r="AU168" s="198"/>
      <c r="AV168" s="198"/>
      <c r="AW168" s="198"/>
      <c r="AX168" s="198"/>
    </row>
    <row r="169" spans="2:50" ht="17.25" customHeight="1" x14ac:dyDescent="0.2">
      <c r="B169" s="6"/>
      <c r="C169" s="49" t="str">
        <f>IF(SEM!C169="","",SEM!C169)</f>
        <v/>
      </c>
      <c r="D169" s="220" t="str">
        <f>IF(C169="","",VLOOKUP(SEM!C169,FROTA!$B$5:$C$305,2,0))</f>
        <v/>
      </c>
      <c r="E169" s="24" t="str">
        <f>IF(C169="","",VLOOKUP(C169,FROTA!$B$5:$N$305,7,0))</f>
        <v/>
      </c>
      <c r="F169" s="38" t="str">
        <f t="shared" si="41"/>
        <v/>
      </c>
      <c r="G169" s="71" t="str">
        <f t="shared" si="46"/>
        <v/>
      </c>
      <c r="H169" s="32" t="str">
        <f t="shared" si="53"/>
        <v/>
      </c>
      <c r="I169" s="73" t="str">
        <f t="shared" si="53"/>
        <v/>
      </c>
      <c r="J169" s="73" t="str">
        <f t="shared" si="53"/>
        <v/>
      </c>
      <c r="K169" s="73" t="str">
        <f t="shared" si="55"/>
        <v/>
      </c>
      <c r="L169" s="73" t="str">
        <f t="shared" si="55"/>
        <v/>
      </c>
      <c r="M169" s="73" t="str">
        <f t="shared" si="55"/>
        <v/>
      </c>
      <c r="N169" s="73" t="str">
        <f t="shared" si="55"/>
        <v/>
      </c>
      <c r="O169" s="73" t="str">
        <f t="shared" si="55"/>
        <v/>
      </c>
      <c r="P169" s="73" t="str">
        <f t="shared" si="55"/>
        <v/>
      </c>
      <c r="Q169" s="73" t="str">
        <f t="shared" si="55"/>
        <v/>
      </c>
      <c r="R169" s="73" t="str">
        <f t="shared" si="54"/>
        <v/>
      </c>
      <c r="S169" s="73" t="str">
        <f t="shared" si="54"/>
        <v/>
      </c>
      <c r="T169" s="73" t="str">
        <f t="shared" si="54"/>
        <v/>
      </c>
      <c r="U169" s="73" t="str">
        <f t="shared" si="54"/>
        <v/>
      </c>
      <c r="V169" s="73" t="str">
        <f t="shared" si="54"/>
        <v/>
      </c>
      <c r="W169" s="73" t="str">
        <f t="shared" si="54"/>
        <v/>
      </c>
      <c r="X169" s="73" t="str">
        <f t="shared" si="54"/>
        <v/>
      </c>
      <c r="Y169" s="73" t="str">
        <f t="shared" si="54"/>
        <v/>
      </c>
      <c r="Z169" s="73" t="str">
        <f t="shared" si="54"/>
        <v/>
      </c>
      <c r="AA169" s="73" t="str">
        <f t="shared" si="54"/>
        <v/>
      </c>
      <c r="AB169" s="74" t="str">
        <f t="shared" si="54"/>
        <v/>
      </c>
      <c r="AC169" s="35" t="str">
        <f t="shared" si="48"/>
        <v/>
      </c>
      <c r="AD169" s="40" t="str">
        <f t="shared" si="49"/>
        <v/>
      </c>
      <c r="AE169" s="37" t="str">
        <f t="shared" si="50"/>
        <v/>
      </c>
      <c r="AF169" s="40" t="str">
        <f t="shared" si="42"/>
        <v/>
      </c>
      <c r="AG169" s="37" t="str">
        <f t="shared" si="43"/>
        <v/>
      </c>
      <c r="AH169" s="40" t="str">
        <f t="shared" si="44"/>
        <v/>
      </c>
      <c r="AI169" s="37" t="str">
        <f t="shared" si="51"/>
        <v/>
      </c>
      <c r="AJ169" s="40" t="str">
        <f t="shared" si="52"/>
        <v/>
      </c>
      <c r="AK169" s="33" t="str">
        <f>IF(SEM!AK169="","",SEM!AK169)</f>
        <v/>
      </c>
      <c r="AL169" s="6"/>
      <c r="AM169" s="79" t="str">
        <f t="shared" si="45"/>
        <v/>
      </c>
      <c r="AN169" s="12"/>
      <c r="AO169" s="12"/>
      <c r="AP169" s="14"/>
      <c r="AQ169" s="16"/>
      <c r="AR169" s="15"/>
      <c r="AU169" s="198"/>
      <c r="AV169" s="198"/>
      <c r="AW169" s="198"/>
      <c r="AX169" s="198"/>
    </row>
    <row r="170" spans="2:50" ht="17.25" customHeight="1" x14ac:dyDescent="0.2">
      <c r="B170" s="6"/>
      <c r="C170" s="49" t="str">
        <f>IF(SEM!C170="","",SEM!C170)</f>
        <v/>
      </c>
      <c r="D170" s="220" t="str">
        <f>IF(C170="","",VLOOKUP(SEM!C170,FROTA!$B$5:$C$305,2,0))</f>
        <v/>
      </c>
      <c r="E170" s="24" t="str">
        <f>IF(C170="","",VLOOKUP(C170,FROTA!$B$5:$N$305,7,0))</f>
        <v/>
      </c>
      <c r="F170" s="38" t="str">
        <f t="shared" si="41"/>
        <v/>
      </c>
      <c r="G170" s="71" t="str">
        <f t="shared" si="46"/>
        <v/>
      </c>
      <c r="H170" s="32" t="str">
        <f t="shared" si="53"/>
        <v/>
      </c>
      <c r="I170" s="73" t="str">
        <f t="shared" si="53"/>
        <v/>
      </c>
      <c r="J170" s="73" t="str">
        <f t="shared" si="53"/>
        <v/>
      </c>
      <c r="K170" s="73" t="str">
        <f t="shared" si="55"/>
        <v/>
      </c>
      <c r="L170" s="73" t="str">
        <f t="shared" si="55"/>
        <v/>
      </c>
      <c r="M170" s="73" t="str">
        <f t="shared" si="55"/>
        <v/>
      </c>
      <c r="N170" s="73" t="str">
        <f t="shared" si="55"/>
        <v/>
      </c>
      <c r="O170" s="73" t="str">
        <f t="shared" si="55"/>
        <v/>
      </c>
      <c r="P170" s="73" t="str">
        <f t="shared" si="55"/>
        <v/>
      </c>
      <c r="Q170" s="73" t="str">
        <f t="shared" si="55"/>
        <v/>
      </c>
      <c r="R170" s="73" t="str">
        <f t="shared" si="54"/>
        <v/>
      </c>
      <c r="S170" s="73" t="str">
        <f t="shared" si="54"/>
        <v/>
      </c>
      <c r="T170" s="73" t="str">
        <f t="shared" si="54"/>
        <v/>
      </c>
      <c r="U170" s="73" t="str">
        <f t="shared" si="54"/>
        <v/>
      </c>
      <c r="V170" s="73" t="str">
        <f t="shared" si="54"/>
        <v/>
      </c>
      <c r="W170" s="73" t="str">
        <f t="shared" si="54"/>
        <v/>
      </c>
      <c r="X170" s="73" t="str">
        <f t="shared" si="54"/>
        <v/>
      </c>
      <c r="Y170" s="73" t="str">
        <f t="shared" si="54"/>
        <v/>
      </c>
      <c r="Z170" s="73" t="str">
        <f t="shared" si="54"/>
        <v/>
      </c>
      <c r="AA170" s="73" t="str">
        <f t="shared" si="54"/>
        <v/>
      </c>
      <c r="AB170" s="74" t="str">
        <f t="shared" si="54"/>
        <v/>
      </c>
      <c r="AC170" s="35" t="str">
        <f t="shared" si="48"/>
        <v/>
      </c>
      <c r="AD170" s="40" t="str">
        <f t="shared" si="49"/>
        <v/>
      </c>
      <c r="AE170" s="37" t="str">
        <f t="shared" si="50"/>
        <v/>
      </c>
      <c r="AF170" s="40" t="str">
        <f t="shared" si="42"/>
        <v/>
      </c>
      <c r="AG170" s="37" t="str">
        <f t="shared" si="43"/>
        <v/>
      </c>
      <c r="AH170" s="40" t="str">
        <f t="shared" si="44"/>
        <v/>
      </c>
      <c r="AI170" s="37" t="str">
        <f t="shared" si="51"/>
        <v/>
      </c>
      <c r="AJ170" s="40" t="str">
        <f t="shared" si="52"/>
        <v/>
      </c>
      <c r="AK170" s="33" t="str">
        <f>IF(SEM!AK170="","",SEM!AK170)</f>
        <v/>
      </c>
      <c r="AL170" s="6"/>
      <c r="AM170" s="79" t="str">
        <f t="shared" si="45"/>
        <v/>
      </c>
      <c r="AN170" s="12"/>
      <c r="AO170" s="12"/>
      <c r="AP170" s="14"/>
      <c r="AQ170" s="16"/>
      <c r="AR170" s="15"/>
      <c r="AU170" s="198"/>
      <c r="AV170" s="198"/>
      <c r="AW170" s="198"/>
      <c r="AX170" s="198"/>
    </row>
    <row r="171" spans="2:50" ht="17.25" customHeight="1" x14ac:dyDescent="0.2">
      <c r="B171" s="6"/>
      <c r="C171" s="49" t="str">
        <f>IF(SEM!C171="","",SEM!C171)</f>
        <v/>
      </c>
      <c r="D171" s="220" t="str">
        <f>IF(C171="","",VLOOKUP(SEM!C171,FROTA!$B$5:$C$305,2,0))</f>
        <v/>
      </c>
      <c r="E171" s="24" t="str">
        <f>IF(C171="","",VLOOKUP(C171,FROTA!$B$5:$N$305,7,0))</f>
        <v/>
      </c>
      <c r="F171" s="38" t="str">
        <f t="shared" si="41"/>
        <v/>
      </c>
      <c r="G171" s="71" t="str">
        <f t="shared" si="46"/>
        <v/>
      </c>
      <c r="H171" s="32" t="str">
        <f t="shared" si="53"/>
        <v/>
      </c>
      <c r="I171" s="73" t="str">
        <f t="shared" si="53"/>
        <v/>
      </c>
      <c r="J171" s="73" t="str">
        <f t="shared" si="53"/>
        <v/>
      </c>
      <c r="K171" s="73" t="str">
        <f t="shared" si="55"/>
        <v/>
      </c>
      <c r="L171" s="73" t="str">
        <f t="shared" si="55"/>
        <v/>
      </c>
      <c r="M171" s="73" t="str">
        <f t="shared" si="55"/>
        <v/>
      </c>
      <c r="N171" s="73" t="str">
        <f t="shared" si="55"/>
        <v/>
      </c>
      <c r="O171" s="73" t="str">
        <f t="shared" si="55"/>
        <v/>
      </c>
      <c r="P171" s="73" t="str">
        <f t="shared" si="55"/>
        <v/>
      </c>
      <c r="Q171" s="73" t="str">
        <f t="shared" si="55"/>
        <v/>
      </c>
      <c r="R171" s="73" t="str">
        <f t="shared" si="54"/>
        <v/>
      </c>
      <c r="S171" s="73" t="str">
        <f t="shared" si="54"/>
        <v/>
      </c>
      <c r="T171" s="73" t="str">
        <f t="shared" si="54"/>
        <v/>
      </c>
      <c r="U171" s="73" t="str">
        <f t="shared" si="54"/>
        <v/>
      </c>
      <c r="V171" s="73" t="str">
        <f t="shared" si="54"/>
        <v/>
      </c>
      <c r="W171" s="73" t="str">
        <f t="shared" si="54"/>
        <v/>
      </c>
      <c r="X171" s="73" t="str">
        <f t="shared" si="54"/>
        <v/>
      </c>
      <c r="Y171" s="73" t="str">
        <f t="shared" si="54"/>
        <v/>
      </c>
      <c r="Z171" s="73" t="str">
        <f t="shared" si="54"/>
        <v/>
      </c>
      <c r="AA171" s="73" t="str">
        <f t="shared" si="54"/>
        <v/>
      </c>
      <c r="AB171" s="74" t="str">
        <f t="shared" si="54"/>
        <v/>
      </c>
      <c r="AC171" s="35" t="str">
        <f t="shared" si="48"/>
        <v/>
      </c>
      <c r="AD171" s="40" t="str">
        <f t="shared" si="49"/>
        <v/>
      </c>
      <c r="AE171" s="37" t="str">
        <f t="shared" si="50"/>
        <v/>
      </c>
      <c r="AF171" s="40" t="str">
        <f t="shared" si="42"/>
        <v/>
      </c>
      <c r="AG171" s="37" t="str">
        <f t="shared" si="43"/>
        <v/>
      </c>
      <c r="AH171" s="40" t="str">
        <f t="shared" si="44"/>
        <v/>
      </c>
      <c r="AI171" s="37" t="str">
        <f t="shared" si="51"/>
        <v/>
      </c>
      <c r="AJ171" s="40" t="str">
        <f t="shared" si="52"/>
        <v/>
      </c>
      <c r="AK171" s="33" t="str">
        <f>IF(SEM!AK171="","",SEM!AK171)</f>
        <v/>
      </c>
      <c r="AL171" s="6"/>
      <c r="AM171" s="79" t="str">
        <f t="shared" si="45"/>
        <v/>
      </c>
      <c r="AN171" s="12"/>
      <c r="AO171" s="12"/>
      <c r="AP171" s="14"/>
      <c r="AQ171" s="16"/>
      <c r="AR171" s="15"/>
      <c r="AU171" s="198"/>
      <c r="AV171" s="198"/>
      <c r="AW171" s="198"/>
      <c r="AX171" s="198"/>
    </row>
    <row r="172" spans="2:50" ht="17.25" customHeight="1" x14ac:dyDescent="0.2">
      <c r="B172" s="6"/>
      <c r="C172" s="49" t="str">
        <f>IF(SEM!C172="","",SEM!C172)</f>
        <v/>
      </c>
      <c r="D172" s="220" t="str">
        <f>IF(C172="","",VLOOKUP(SEM!C172,FROTA!$B$5:$C$305,2,0))</f>
        <v/>
      </c>
      <c r="E172" s="24" t="str">
        <f>IF(C172="","",VLOOKUP(C172,FROTA!$B$5:$N$305,7,0))</f>
        <v/>
      </c>
      <c r="F172" s="38" t="str">
        <f t="shared" si="41"/>
        <v/>
      </c>
      <c r="G172" s="71" t="str">
        <f t="shared" si="46"/>
        <v/>
      </c>
      <c r="H172" s="32" t="str">
        <f t="shared" si="53"/>
        <v/>
      </c>
      <c r="I172" s="73" t="str">
        <f t="shared" si="53"/>
        <v/>
      </c>
      <c r="J172" s="73" t="str">
        <f t="shared" si="53"/>
        <v/>
      </c>
      <c r="K172" s="73" t="str">
        <f t="shared" si="55"/>
        <v/>
      </c>
      <c r="L172" s="73" t="str">
        <f t="shared" si="55"/>
        <v/>
      </c>
      <c r="M172" s="73" t="str">
        <f t="shared" si="55"/>
        <v/>
      </c>
      <c r="N172" s="73" t="str">
        <f t="shared" si="55"/>
        <v/>
      </c>
      <c r="O172" s="73" t="str">
        <f t="shared" si="55"/>
        <v/>
      </c>
      <c r="P172" s="73" t="str">
        <f t="shared" si="55"/>
        <v/>
      </c>
      <c r="Q172" s="73" t="str">
        <f t="shared" si="55"/>
        <v/>
      </c>
      <c r="R172" s="73" t="str">
        <f t="shared" si="54"/>
        <v/>
      </c>
      <c r="S172" s="73" t="str">
        <f t="shared" si="54"/>
        <v/>
      </c>
      <c r="T172" s="73" t="str">
        <f t="shared" si="54"/>
        <v/>
      </c>
      <c r="U172" s="73" t="str">
        <f t="shared" si="54"/>
        <v/>
      </c>
      <c r="V172" s="73" t="str">
        <f t="shared" si="54"/>
        <v/>
      </c>
      <c r="W172" s="73" t="str">
        <f t="shared" si="54"/>
        <v/>
      </c>
      <c r="X172" s="73" t="str">
        <f t="shared" si="54"/>
        <v/>
      </c>
      <c r="Y172" s="73" t="str">
        <f t="shared" si="54"/>
        <v/>
      </c>
      <c r="Z172" s="73" t="str">
        <f t="shared" si="54"/>
        <v/>
      </c>
      <c r="AA172" s="73" t="str">
        <f t="shared" si="54"/>
        <v/>
      </c>
      <c r="AB172" s="74" t="str">
        <f t="shared" si="54"/>
        <v/>
      </c>
      <c r="AC172" s="35" t="str">
        <f t="shared" si="48"/>
        <v/>
      </c>
      <c r="AD172" s="40" t="str">
        <f t="shared" si="49"/>
        <v/>
      </c>
      <c r="AE172" s="37" t="str">
        <f t="shared" si="50"/>
        <v/>
      </c>
      <c r="AF172" s="40" t="str">
        <f t="shared" si="42"/>
        <v/>
      </c>
      <c r="AG172" s="37" t="str">
        <f t="shared" si="43"/>
        <v/>
      </c>
      <c r="AH172" s="40" t="str">
        <f t="shared" si="44"/>
        <v/>
      </c>
      <c r="AI172" s="37" t="str">
        <f t="shared" si="51"/>
        <v/>
      </c>
      <c r="AJ172" s="40" t="str">
        <f t="shared" si="52"/>
        <v/>
      </c>
      <c r="AK172" s="33" t="str">
        <f>IF(SEM!AK172="","",SEM!AK172)</f>
        <v/>
      </c>
      <c r="AL172" s="6"/>
      <c r="AM172" s="79" t="str">
        <f t="shared" si="45"/>
        <v/>
      </c>
      <c r="AN172" s="12"/>
      <c r="AO172" s="12"/>
      <c r="AP172" s="14"/>
      <c r="AQ172" s="16"/>
      <c r="AR172" s="15"/>
      <c r="AU172" s="198"/>
      <c r="AV172" s="198"/>
      <c r="AW172" s="198"/>
      <c r="AX172" s="198"/>
    </row>
    <row r="173" spans="2:50" ht="17.25" customHeight="1" x14ac:dyDescent="0.2">
      <c r="B173" s="6"/>
      <c r="C173" s="49" t="str">
        <f>IF(SEM!C173="","",SEM!C173)</f>
        <v/>
      </c>
      <c r="D173" s="220" t="str">
        <f>IF(C173="","",VLOOKUP(SEM!C173,FROTA!$B$5:$C$305,2,0))</f>
        <v/>
      </c>
      <c r="E173" s="24" t="str">
        <f>IF(C173="","",VLOOKUP(C173,FROTA!$B$5:$N$305,7,0))</f>
        <v/>
      </c>
      <c r="F173" s="38" t="str">
        <f t="shared" si="41"/>
        <v/>
      </c>
      <c r="G173" s="71" t="str">
        <f t="shared" si="46"/>
        <v/>
      </c>
      <c r="H173" s="32" t="str">
        <f t="shared" si="53"/>
        <v/>
      </c>
      <c r="I173" s="73" t="str">
        <f t="shared" si="53"/>
        <v/>
      </c>
      <c r="J173" s="73" t="str">
        <f t="shared" si="53"/>
        <v/>
      </c>
      <c r="K173" s="73" t="str">
        <f t="shared" si="55"/>
        <v/>
      </c>
      <c r="L173" s="73" t="str">
        <f t="shared" si="55"/>
        <v/>
      </c>
      <c r="M173" s="73" t="str">
        <f t="shared" si="55"/>
        <v/>
      </c>
      <c r="N173" s="73" t="str">
        <f t="shared" si="55"/>
        <v/>
      </c>
      <c r="O173" s="73" t="str">
        <f t="shared" si="55"/>
        <v/>
      </c>
      <c r="P173" s="73" t="str">
        <f t="shared" si="55"/>
        <v/>
      </c>
      <c r="Q173" s="73" t="str">
        <f t="shared" si="55"/>
        <v/>
      </c>
      <c r="R173" s="73" t="str">
        <f t="shared" si="54"/>
        <v/>
      </c>
      <c r="S173" s="73" t="str">
        <f t="shared" si="54"/>
        <v/>
      </c>
      <c r="T173" s="73" t="str">
        <f t="shared" si="54"/>
        <v/>
      </c>
      <c r="U173" s="73" t="str">
        <f t="shared" si="54"/>
        <v/>
      </c>
      <c r="V173" s="73" t="str">
        <f t="shared" si="54"/>
        <v/>
      </c>
      <c r="W173" s="73" t="str">
        <f t="shared" si="54"/>
        <v/>
      </c>
      <c r="X173" s="73" t="str">
        <f t="shared" si="54"/>
        <v/>
      </c>
      <c r="Y173" s="73" t="str">
        <f t="shared" si="54"/>
        <v/>
      </c>
      <c r="Z173" s="73" t="str">
        <f t="shared" si="54"/>
        <v/>
      </c>
      <c r="AA173" s="73" t="str">
        <f t="shared" si="54"/>
        <v/>
      </c>
      <c r="AB173" s="74" t="str">
        <f t="shared" si="54"/>
        <v/>
      </c>
      <c r="AC173" s="35" t="str">
        <f t="shared" si="48"/>
        <v/>
      </c>
      <c r="AD173" s="40" t="str">
        <f t="shared" si="49"/>
        <v/>
      </c>
      <c r="AE173" s="37" t="str">
        <f t="shared" si="50"/>
        <v/>
      </c>
      <c r="AF173" s="40" t="str">
        <f t="shared" si="42"/>
        <v/>
      </c>
      <c r="AG173" s="37" t="str">
        <f t="shared" si="43"/>
        <v/>
      </c>
      <c r="AH173" s="40" t="str">
        <f t="shared" si="44"/>
        <v/>
      </c>
      <c r="AI173" s="37" t="str">
        <f t="shared" si="51"/>
        <v/>
      </c>
      <c r="AJ173" s="40" t="str">
        <f t="shared" si="52"/>
        <v/>
      </c>
      <c r="AK173" s="33" t="str">
        <f>IF(SEM!AK173="","",SEM!AK173)</f>
        <v/>
      </c>
      <c r="AL173" s="6"/>
      <c r="AM173" s="79" t="str">
        <f t="shared" si="45"/>
        <v/>
      </c>
      <c r="AN173" s="12"/>
      <c r="AO173" s="12"/>
      <c r="AP173" s="14"/>
      <c r="AQ173" s="16"/>
      <c r="AR173" s="15"/>
      <c r="AU173" s="198"/>
      <c r="AV173" s="198"/>
      <c r="AW173" s="198"/>
      <c r="AX173" s="198"/>
    </row>
    <row r="174" spans="2:50" ht="17.25" customHeight="1" x14ac:dyDescent="0.2">
      <c r="B174" s="6"/>
      <c r="C174" s="49" t="str">
        <f>IF(SEM!C174="","",SEM!C174)</f>
        <v/>
      </c>
      <c r="D174" s="220" t="str">
        <f>IF(C174="","",VLOOKUP(SEM!C174,FROTA!$B$5:$C$305,2,0))</f>
        <v/>
      </c>
      <c r="E174" s="24" t="str">
        <f>IF(C174="","",VLOOKUP(C174,FROTA!$B$5:$N$305,7,0))</f>
        <v/>
      </c>
      <c r="F174" s="38" t="str">
        <f t="shared" si="41"/>
        <v/>
      </c>
      <c r="G174" s="71" t="str">
        <f t="shared" si="46"/>
        <v/>
      </c>
      <c r="H174" s="32" t="str">
        <f t="shared" si="53"/>
        <v/>
      </c>
      <c r="I174" s="73" t="str">
        <f t="shared" si="53"/>
        <v/>
      </c>
      <c r="J174" s="73" t="str">
        <f t="shared" si="53"/>
        <v/>
      </c>
      <c r="K174" s="73" t="str">
        <f t="shared" si="55"/>
        <v/>
      </c>
      <c r="L174" s="73" t="str">
        <f t="shared" si="55"/>
        <v/>
      </c>
      <c r="M174" s="73" t="str">
        <f t="shared" si="55"/>
        <v/>
      </c>
      <c r="N174" s="73" t="str">
        <f t="shared" si="55"/>
        <v/>
      </c>
      <c r="O174" s="73" t="str">
        <f t="shared" si="55"/>
        <v/>
      </c>
      <c r="P174" s="73" t="str">
        <f t="shared" si="55"/>
        <v/>
      </c>
      <c r="Q174" s="73" t="str">
        <f t="shared" si="55"/>
        <v/>
      </c>
      <c r="R174" s="73" t="str">
        <f t="shared" si="54"/>
        <v/>
      </c>
      <c r="S174" s="73" t="str">
        <f t="shared" si="54"/>
        <v/>
      </c>
      <c r="T174" s="73" t="str">
        <f t="shared" si="54"/>
        <v/>
      </c>
      <c r="U174" s="73" t="str">
        <f t="shared" si="54"/>
        <v/>
      </c>
      <c r="V174" s="73" t="str">
        <f t="shared" si="54"/>
        <v/>
      </c>
      <c r="W174" s="73" t="str">
        <f t="shared" si="54"/>
        <v/>
      </c>
      <c r="X174" s="73" t="str">
        <f t="shared" si="54"/>
        <v/>
      </c>
      <c r="Y174" s="73" t="str">
        <f t="shared" si="54"/>
        <v/>
      </c>
      <c r="Z174" s="73" t="str">
        <f t="shared" si="54"/>
        <v/>
      </c>
      <c r="AA174" s="73" t="str">
        <f t="shared" si="54"/>
        <v/>
      </c>
      <c r="AB174" s="74" t="str">
        <f t="shared" si="54"/>
        <v/>
      </c>
      <c r="AC174" s="35" t="str">
        <f t="shared" si="48"/>
        <v/>
      </c>
      <c r="AD174" s="40" t="str">
        <f t="shared" si="49"/>
        <v/>
      </c>
      <c r="AE174" s="37" t="str">
        <f t="shared" si="50"/>
        <v/>
      </c>
      <c r="AF174" s="40" t="str">
        <f t="shared" si="42"/>
        <v/>
      </c>
      <c r="AG174" s="37" t="str">
        <f t="shared" si="43"/>
        <v/>
      </c>
      <c r="AH174" s="40" t="str">
        <f t="shared" si="44"/>
        <v/>
      </c>
      <c r="AI174" s="37" t="str">
        <f t="shared" si="51"/>
        <v/>
      </c>
      <c r="AJ174" s="40" t="str">
        <f t="shared" si="52"/>
        <v/>
      </c>
      <c r="AK174" s="33" t="str">
        <f>IF(SEM!AK174="","",SEM!AK174)</f>
        <v/>
      </c>
      <c r="AL174" s="6"/>
      <c r="AM174" s="79" t="str">
        <f t="shared" si="45"/>
        <v/>
      </c>
      <c r="AN174" s="12"/>
      <c r="AO174" s="12"/>
      <c r="AP174" s="14"/>
      <c r="AQ174" s="16"/>
      <c r="AR174" s="15"/>
      <c r="AU174" s="198"/>
      <c r="AV174" s="198"/>
      <c r="AW174" s="198"/>
      <c r="AX174" s="198"/>
    </row>
    <row r="175" spans="2:50" ht="17.25" customHeight="1" x14ac:dyDescent="0.2">
      <c r="B175" s="6"/>
      <c r="C175" s="49" t="str">
        <f>IF(SEM!C175="","",SEM!C175)</f>
        <v/>
      </c>
      <c r="D175" s="220" t="str">
        <f>IF(C175="","",VLOOKUP(SEM!C175,FROTA!$B$5:$C$305,2,0))</f>
        <v/>
      </c>
      <c r="E175" s="24" t="str">
        <f>IF(C175="","",VLOOKUP(C175,FROTA!$B$5:$N$305,7,0))</f>
        <v/>
      </c>
      <c r="F175" s="38" t="str">
        <f t="shared" si="41"/>
        <v/>
      </c>
      <c r="G175" s="71" t="str">
        <f t="shared" si="46"/>
        <v/>
      </c>
      <c r="H175" s="32" t="str">
        <f t="shared" si="53"/>
        <v/>
      </c>
      <c r="I175" s="73" t="str">
        <f t="shared" si="53"/>
        <v/>
      </c>
      <c r="J175" s="73" t="str">
        <f t="shared" si="53"/>
        <v/>
      </c>
      <c r="K175" s="73" t="str">
        <f t="shared" si="55"/>
        <v/>
      </c>
      <c r="L175" s="73" t="str">
        <f t="shared" si="55"/>
        <v/>
      </c>
      <c r="M175" s="73" t="str">
        <f t="shared" si="55"/>
        <v/>
      </c>
      <c r="N175" s="73" t="str">
        <f t="shared" si="55"/>
        <v/>
      </c>
      <c r="O175" s="73" t="str">
        <f t="shared" si="55"/>
        <v/>
      </c>
      <c r="P175" s="73" t="str">
        <f t="shared" si="55"/>
        <v/>
      </c>
      <c r="Q175" s="73" t="str">
        <f t="shared" si="55"/>
        <v/>
      </c>
      <c r="R175" s="73" t="str">
        <f t="shared" si="54"/>
        <v/>
      </c>
      <c r="S175" s="73" t="str">
        <f t="shared" si="54"/>
        <v/>
      </c>
      <c r="T175" s="73" t="str">
        <f t="shared" si="54"/>
        <v/>
      </c>
      <c r="U175" s="73" t="str">
        <f t="shared" si="54"/>
        <v/>
      </c>
      <c r="V175" s="73" t="str">
        <f t="shared" si="54"/>
        <v/>
      </c>
      <c r="W175" s="73" t="str">
        <f t="shared" si="54"/>
        <v/>
      </c>
      <c r="X175" s="73" t="str">
        <f t="shared" si="54"/>
        <v/>
      </c>
      <c r="Y175" s="73" t="str">
        <f t="shared" si="54"/>
        <v/>
      </c>
      <c r="Z175" s="73" t="str">
        <f t="shared" si="54"/>
        <v/>
      </c>
      <c r="AA175" s="73" t="str">
        <f t="shared" si="54"/>
        <v/>
      </c>
      <c r="AB175" s="74" t="str">
        <f t="shared" si="54"/>
        <v/>
      </c>
      <c r="AC175" s="35" t="str">
        <f t="shared" si="48"/>
        <v/>
      </c>
      <c r="AD175" s="40" t="str">
        <f t="shared" si="49"/>
        <v/>
      </c>
      <c r="AE175" s="37" t="str">
        <f t="shared" si="50"/>
        <v/>
      </c>
      <c r="AF175" s="40" t="str">
        <f t="shared" si="42"/>
        <v/>
      </c>
      <c r="AG175" s="37" t="str">
        <f t="shared" si="43"/>
        <v/>
      </c>
      <c r="AH175" s="40" t="str">
        <f t="shared" si="44"/>
        <v/>
      </c>
      <c r="AI175" s="37" t="str">
        <f t="shared" si="51"/>
        <v/>
      </c>
      <c r="AJ175" s="40" t="str">
        <f t="shared" si="52"/>
        <v/>
      </c>
      <c r="AK175" s="33" t="str">
        <f>IF(SEM!AK175="","",SEM!AK175)</f>
        <v/>
      </c>
      <c r="AL175" s="6"/>
      <c r="AM175" s="79" t="str">
        <f t="shared" si="45"/>
        <v/>
      </c>
      <c r="AN175" s="12"/>
      <c r="AO175" s="12"/>
      <c r="AP175" s="14"/>
      <c r="AQ175" s="16"/>
      <c r="AR175" s="15"/>
      <c r="AU175" s="198"/>
      <c r="AV175" s="198"/>
      <c r="AW175" s="198"/>
      <c r="AX175" s="198"/>
    </row>
    <row r="176" spans="2:50" ht="17.25" customHeight="1" x14ac:dyDescent="0.2">
      <c r="B176" s="6"/>
      <c r="C176" s="49" t="str">
        <f>IF(SEM!C176="","",SEM!C176)</f>
        <v/>
      </c>
      <c r="D176" s="220" t="str">
        <f>IF(C176="","",VLOOKUP(SEM!C176,FROTA!$B$5:$C$305,2,0))</f>
        <v/>
      </c>
      <c r="E176" s="24" t="str">
        <f>IF(C176="","",VLOOKUP(C176,FROTA!$B$5:$N$305,7,0))</f>
        <v/>
      </c>
      <c r="F176" s="38" t="str">
        <f t="shared" si="41"/>
        <v/>
      </c>
      <c r="G176" s="71" t="str">
        <f t="shared" si="46"/>
        <v/>
      </c>
      <c r="H176" s="32" t="str">
        <f t="shared" si="53"/>
        <v/>
      </c>
      <c r="I176" s="73" t="str">
        <f t="shared" si="53"/>
        <v/>
      </c>
      <c r="J176" s="73" t="str">
        <f t="shared" si="53"/>
        <v/>
      </c>
      <c r="K176" s="73" t="str">
        <f t="shared" si="55"/>
        <v/>
      </c>
      <c r="L176" s="73" t="str">
        <f t="shared" si="55"/>
        <v/>
      </c>
      <c r="M176" s="73" t="str">
        <f t="shared" si="55"/>
        <v/>
      </c>
      <c r="N176" s="73" t="str">
        <f t="shared" si="55"/>
        <v/>
      </c>
      <c r="O176" s="73" t="str">
        <f t="shared" si="55"/>
        <v/>
      </c>
      <c r="P176" s="73" t="str">
        <f t="shared" si="55"/>
        <v/>
      </c>
      <c r="Q176" s="73" t="str">
        <f t="shared" si="55"/>
        <v/>
      </c>
      <c r="R176" s="73" t="str">
        <f t="shared" si="54"/>
        <v/>
      </c>
      <c r="S176" s="73" t="str">
        <f t="shared" si="54"/>
        <v/>
      </c>
      <c r="T176" s="73" t="str">
        <f t="shared" si="54"/>
        <v/>
      </c>
      <c r="U176" s="73" t="str">
        <f t="shared" si="54"/>
        <v/>
      </c>
      <c r="V176" s="73" t="str">
        <f t="shared" si="54"/>
        <v/>
      </c>
      <c r="W176" s="73" t="str">
        <f t="shared" si="54"/>
        <v/>
      </c>
      <c r="X176" s="73" t="str">
        <f t="shared" si="54"/>
        <v/>
      </c>
      <c r="Y176" s="73" t="str">
        <f t="shared" si="54"/>
        <v/>
      </c>
      <c r="Z176" s="73" t="str">
        <f t="shared" si="54"/>
        <v/>
      </c>
      <c r="AA176" s="73" t="str">
        <f t="shared" si="54"/>
        <v/>
      </c>
      <c r="AB176" s="74" t="str">
        <f t="shared" si="54"/>
        <v/>
      </c>
      <c r="AC176" s="35" t="str">
        <f t="shared" si="48"/>
        <v/>
      </c>
      <c r="AD176" s="40" t="str">
        <f t="shared" si="49"/>
        <v/>
      </c>
      <c r="AE176" s="37" t="str">
        <f t="shared" si="50"/>
        <v/>
      </c>
      <c r="AF176" s="40" t="str">
        <f t="shared" si="42"/>
        <v/>
      </c>
      <c r="AG176" s="37" t="str">
        <f t="shared" si="43"/>
        <v/>
      </c>
      <c r="AH176" s="40" t="str">
        <f t="shared" si="44"/>
        <v/>
      </c>
      <c r="AI176" s="37" t="str">
        <f t="shared" si="51"/>
        <v/>
      </c>
      <c r="AJ176" s="40" t="str">
        <f t="shared" si="52"/>
        <v/>
      </c>
      <c r="AK176" s="33" t="str">
        <f>IF(SEM!AK176="","",SEM!AK176)</f>
        <v/>
      </c>
      <c r="AL176" s="6"/>
      <c r="AM176" s="79" t="str">
        <f t="shared" si="45"/>
        <v/>
      </c>
      <c r="AN176" s="12"/>
      <c r="AO176" s="12"/>
      <c r="AP176" s="14"/>
      <c r="AQ176" s="16"/>
      <c r="AR176" s="15"/>
      <c r="AU176" s="198"/>
      <c r="AV176" s="198"/>
      <c r="AW176" s="198"/>
      <c r="AX176" s="198"/>
    </row>
    <row r="177" spans="2:50" ht="17.25" customHeight="1" x14ac:dyDescent="0.2">
      <c r="B177" s="6"/>
      <c r="C177" s="49" t="str">
        <f>IF(SEM!C177="","",SEM!C177)</f>
        <v/>
      </c>
      <c r="D177" s="220" t="str">
        <f>IF(C177="","",VLOOKUP(SEM!C177,FROTA!$B$5:$C$305,2,0))</f>
        <v/>
      </c>
      <c r="E177" s="24" t="str">
        <f>IF(C177="","",VLOOKUP(C177,FROTA!$B$5:$N$305,7,0))</f>
        <v/>
      </c>
      <c r="F177" s="38" t="str">
        <f t="shared" si="41"/>
        <v/>
      </c>
      <c r="G177" s="71" t="str">
        <f t="shared" si="46"/>
        <v/>
      </c>
      <c r="H177" s="32" t="str">
        <f t="shared" si="53"/>
        <v/>
      </c>
      <c r="I177" s="73" t="str">
        <f t="shared" si="53"/>
        <v/>
      </c>
      <c r="J177" s="73" t="str">
        <f t="shared" si="53"/>
        <v/>
      </c>
      <c r="K177" s="73" t="str">
        <f t="shared" si="55"/>
        <v/>
      </c>
      <c r="L177" s="73" t="str">
        <f t="shared" si="55"/>
        <v/>
      </c>
      <c r="M177" s="73" t="str">
        <f t="shared" si="55"/>
        <v/>
      </c>
      <c r="N177" s="73" t="str">
        <f t="shared" si="55"/>
        <v/>
      </c>
      <c r="O177" s="73" t="str">
        <f t="shared" si="55"/>
        <v/>
      </c>
      <c r="P177" s="73" t="str">
        <f t="shared" si="55"/>
        <v/>
      </c>
      <c r="Q177" s="73" t="str">
        <f t="shared" si="55"/>
        <v/>
      </c>
      <c r="R177" s="73" t="str">
        <f t="shared" si="54"/>
        <v/>
      </c>
      <c r="S177" s="73" t="str">
        <f t="shared" si="54"/>
        <v/>
      </c>
      <c r="T177" s="73" t="str">
        <f t="shared" si="54"/>
        <v/>
      </c>
      <c r="U177" s="73" t="str">
        <f t="shared" si="54"/>
        <v/>
      </c>
      <c r="V177" s="73" t="str">
        <f t="shared" si="54"/>
        <v/>
      </c>
      <c r="W177" s="73" t="str">
        <f t="shared" si="54"/>
        <v/>
      </c>
      <c r="X177" s="73" t="str">
        <f t="shared" si="54"/>
        <v/>
      </c>
      <c r="Y177" s="73" t="str">
        <f t="shared" si="54"/>
        <v/>
      </c>
      <c r="Z177" s="73" t="str">
        <f t="shared" si="54"/>
        <v/>
      </c>
      <c r="AA177" s="73" t="str">
        <f t="shared" si="54"/>
        <v/>
      </c>
      <c r="AB177" s="74" t="str">
        <f t="shared" si="54"/>
        <v/>
      </c>
      <c r="AC177" s="35" t="str">
        <f t="shared" si="48"/>
        <v/>
      </c>
      <c r="AD177" s="40" t="str">
        <f t="shared" si="49"/>
        <v/>
      </c>
      <c r="AE177" s="37" t="str">
        <f t="shared" si="50"/>
        <v/>
      </c>
      <c r="AF177" s="40" t="str">
        <f t="shared" si="42"/>
        <v/>
      </c>
      <c r="AG177" s="37" t="str">
        <f t="shared" si="43"/>
        <v/>
      </c>
      <c r="AH177" s="40" t="str">
        <f t="shared" si="44"/>
        <v/>
      </c>
      <c r="AI177" s="37" t="str">
        <f t="shared" si="51"/>
        <v/>
      </c>
      <c r="AJ177" s="40" t="str">
        <f t="shared" si="52"/>
        <v/>
      </c>
      <c r="AK177" s="33" t="str">
        <f>IF(SEM!AK177="","",SEM!AK177)</f>
        <v/>
      </c>
      <c r="AL177" s="6"/>
      <c r="AM177" s="79" t="str">
        <f t="shared" si="45"/>
        <v/>
      </c>
      <c r="AN177" s="12"/>
      <c r="AO177" s="12"/>
      <c r="AP177" s="14"/>
      <c r="AQ177" s="16"/>
      <c r="AR177" s="15"/>
      <c r="AU177" s="198"/>
      <c r="AV177" s="198"/>
      <c r="AW177" s="198"/>
      <c r="AX177" s="198"/>
    </row>
    <row r="178" spans="2:50" ht="17.25" customHeight="1" x14ac:dyDescent="0.2">
      <c r="B178" s="6"/>
      <c r="C178" s="49" t="str">
        <f>IF(SEM!C178="","",SEM!C178)</f>
        <v/>
      </c>
      <c r="D178" s="220" t="str">
        <f>IF(C178="","",VLOOKUP(SEM!C178,FROTA!$B$5:$C$305,2,0))</f>
        <v/>
      </c>
      <c r="E178" s="24" t="str">
        <f>IF(C178="","",VLOOKUP(C178,FROTA!$B$5:$N$305,7,0))</f>
        <v/>
      </c>
      <c r="F178" s="38" t="str">
        <f t="shared" si="41"/>
        <v/>
      </c>
      <c r="G178" s="71" t="str">
        <f t="shared" si="46"/>
        <v/>
      </c>
      <c r="H178" s="32" t="str">
        <f t="shared" si="53"/>
        <v/>
      </c>
      <c r="I178" s="73" t="str">
        <f t="shared" si="53"/>
        <v/>
      </c>
      <c r="J178" s="73" t="str">
        <f t="shared" si="53"/>
        <v/>
      </c>
      <c r="K178" s="73" t="str">
        <f t="shared" si="55"/>
        <v/>
      </c>
      <c r="L178" s="73" t="str">
        <f t="shared" si="55"/>
        <v/>
      </c>
      <c r="M178" s="73" t="str">
        <f t="shared" si="55"/>
        <v/>
      </c>
      <c r="N178" s="73" t="str">
        <f t="shared" si="55"/>
        <v/>
      </c>
      <c r="O178" s="73" t="str">
        <f t="shared" si="55"/>
        <v/>
      </c>
      <c r="P178" s="73" t="str">
        <f t="shared" si="55"/>
        <v/>
      </c>
      <c r="Q178" s="73" t="str">
        <f t="shared" si="55"/>
        <v/>
      </c>
      <c r="R178" s="73" t="str">
        <f t="shared" si="54"/>
        <v/>
      </c>
      <c r="S178" s="73" t="str">
        <f t="shared" si="54"/>
        <v/>
      </c>
      <c r="T178" s="73" t="str">
        <f t="shared" si="54"/>
        <v/>
      </c>
      <c r="U178" s="73" t="str">
        <f t="shared" si="54"/>
        <v/>
      </c>
      <c r="V178" s="73" t="str">
        <f t="shared" si="54"/>
        <v/>
      </c>
      <c r="W178" s="73" t="str">
        <f t="shared" si="54"/>
        <v/>
      </c>
      <c r="X178" s="73" t="str">
        <f t="shared" si="54"/>
        <v/>
      </c>
      <c r="Y178" s="73" t="str">
        <f t="shared" si="54"/>
        <v/>
      </c>
      <c r="Z178" s="73" t="str">
        <f t="shared" si="54"/>
        <v/>
      </c>
      <c r="AA178" s="73" t="str">
        <f t="shared" si="54"/>
        <v/>
      </c>
      <c r="AB178" s="74" t="str">
        <f t="shared" si="54"/>
        <v/>
      </c>
      <c r="AC178" s="35" t="str">
        <f t="shared" si="48"/>
        <v/>
      </c>
      <c r="AD178" s="40" t="str">
        <f t="shared" si="49"/>
        <v/>
      </c>
      <c r="AE178" s="37" t="str">
        <f t="shared" si="50"/>
        <v/>
      </c>
      <c r="AF178" s="40" t="str">
        <f t="shared" si="42"/>
        <v/>
      </c>
      <c r="AG178" s="37" t="str">
        <f t="shared" si="43"/>
        <v/>
      </c>
      <c r="AH178" s="40" t="str">
        <f t="shared" si="44"/>
        <v/>
      </c>
      <c r="AI178" s="37" t="str">
        <f t="shared" si="51"/>
        <v/>
      </c>
      <c r="AJ178" s="40" t="str">
        <f t="shared" si="52"/>
        <v/>
      </c>
      <c r="AK178" s="33" t="str">
        <f>IF(SEM!AK178="","",SEM!AK178)</f>
        <v/>
      </c>
      <c r="AL178" s="6"/>
      <c r="AM178" s="79" t="str">
        <f t="shared" si="45"/>
        <v/>
      </c>
      <c r="AN178" s="12"/>
      <c r="AO178" s="12"/>
      <c r="AP178" s="14"/>
      <c r="AQ178" s="16"/>
      <c r="AR178" s="15"/>
      <c r="AU178" s="198"/>
      <c r="AV178" s="198"/>
      <c r="AW178" s="198"/>
      <c r="AX178" s="198"/>
    </row>
    <row r="179" spans="2:50" ht="17.25" customHeight="1" x14ac:dyDescent="0.2">
      <c r="B179" s="6"/>
      <c r="C179" s="49" t="str">
        <f>IF(SEM!C179="","",SEM!C179)</f>
        <v/>
      </c>
      <c r="D179" s="220" t="str">
        <f>IF(C179="","",VLOOKUP(SEM!C179,FROTA!$B$5:$C$305,2,0))</f>
        <v/>
      </c>
      <c r="E179" s="24" t="str">
        <f>IF(C179="","",VLOOKUP(C179,FROTA!$B$5:$N$305,7,0))</f>
        <v/>
      </c>
      <c r="F179" s="38" t="str">
        <f t="shared" si="41"/>
        <v/>
      </c>
      <c r="G179" s="71" t="str">
        <f t="shared" si="46"/>
        <v/>
      </c>
      <c r="H179" s="32" t="str">
        <f t="shared" si="53"/>
        <v/>
      </c>
      <c r="I179" s="73" t="str">
        <f t="shared" si="53"/>
        <v/>
      </c>
      <c r="J179" s="73" t="str">
        <f t="shared" si="53"/>
        <v/>
      </c>
      <c r="K179" s="73" t="str">
        <f t="shared" si="55"/>
        <v/>
      </c>
      <c r="L179" s="73" t="str">
        <f t="shared" si="55"/>
        <v/>
      </c>
      <c r="M179" s="73" t="str">
        <f t="shared" si="55"/>
        <v/>
      </c>
      <c r="N179" s="73" t="str">
        <f t="shared" si="55"/>
        <v/>
      </c>
      <c r="O179" s="73" t="str">
        <f t="shared" si="55"/>
        <v/>
      </c>
      <c r="P179" s="73" t="str">
        <f t="shared" si="55"/>
        <v/>
      </c>
      <c r="Q179" s="73" t="str">
        <f t="shared" si="55"/>
        <v/>
      </c>
      <c r="R179" s="73" t="str">
        <f t="shared" si="54"/>
        <v/>
      </c>
      <c r="S179" s="73" t="str">
        <f t="shared" si="54"/>
        <v/>
      </c>
      <c r="T179" s="73" t="str">
        <f t="shared" si="54"/>
        <v/>
      </c>
      <c r="U179" s="73" t="str">
        <f t="shared" si="54"/>
        <v/>
      </c>
      <c r="V179" s="73" t="str">
        <f t="shared" si="54"/>
        <v/>
      </c>
      <c r="W179" s="73" t="str">
        <f t="shared" si="54"/>
        <v/>
      </c>
      <c r="X179" s="73" t="str">
        <f t="shared" si="54"/>
        <v/>
      </c>
      <c r="Y179" s="73" t="str">
        <f t="shared" si="54"/>
        <v/>
      </c>
      <c r="Z179" s="73" t="str">
        <f t="shared" si="54"/>
        <v/>
      </c>
      <c r="AA179" s="73" t="str">
        <f t="shared" si="54"/>
        <v/>
      </c>
      <c r="AB179" s="74" t="str">
        <f t="shared" si="54"/>
        <v/>
      </c>
      <c r="AC179" s="35" t="str">
        <f t="shared" si="48"/>
        <v/>
      </c>
      <c r="AD179" s="40" t="str">
        <f t="shared" si="49"/>
        <v/>
      </c>
      <c r="AE179" s="37" t="str">
        <f t="shared" si="50"/>
        <v/>
      </c>
      <c r="AF179" s="40" t="str">
        <f t="shared" si="42"/>
        <v/>
      </c>
      <c r="AG179" s="37" t="str">
        <f t="shared" si="43"/>
        <v/>
      </c>
      <c r="AH179" s="40" t="str">
        <f t="shared" si="44"/>
        <v/>
      </c>
      <c r="AI179" s="37" t="str">
        <f t="shared" si="51"/>
        <v/>
      </c>
      <c r="AJ179" s="40" t="str">
        <f t="shared" si="52"/>
        <v/>
      </c>
      <c r="AK179" s="33" t="str">
        <f>IF(SEM!AK179="","",SEM!AK179)</f>
        <v/>
      </c>
      <c r="AL179" s="6"/>
      <c r="AM179" s="79" t="str">
        <f t="shared" si="45"/>
        <v/>
      </c>
      <c r="AN179" s="12"/>
      <c r="AO179" s="12"/>
      <c r="AP179" s="14"/>
      <c r="AQ179" s="16"/>
      <c r="AR179" s="15"/>
      <c r="AU179" s="198"/>
      <c r="AV179" s="198"/>
      <c r="AW179" s="198"/>
      <c r="AX179" s="198"/>
    </row>
    <row r="180" spans="2:50" ht="17.25" customHeight="1" x14ac:dyDescent="0.2">
      <c r="B180" s="6"/>
      <c r="C180" s="49" t="str">
        <f>IF(SEM!C180="","",SEM!C180)</f>
        <v/>
      </c>
      <c r="D180" s="220" t="str">
        <f>IF(C180="","",VLOOKUP(SEM!C180,FROTA!$B$5:$C$305,2,0))</f>
        <v/>
      </c>
      <c r="E180" s="24" t="str">
        <f>IF(C180="","",VLOOKUP(C180,FROTA!$B$5:$N$305,7,0))</f>
        <v/>
      </c>
      <c r="F180" s="38" t="str">
        <f t="shared" si="41"/>
        <v/>
      </c>
      <c r="G180" s="71" t="str">
        <f t="shared" si="46"/>
        <v/>
      </c>
      <c r="H180" s="32" t="str">
        <f t="shared" si="53"/>
        <v/>
      </c>
      <c r="I180" s="73" t="str">
        <f t="shared" si="53"/>
        <v/>
      </c>
      <c r="J180" s="73" t="str">
        <f t="shared" si="53"/>
        <v/>
      </c>
      <c r="K180" s="73" t="str">
        <f t="shared" si="55"/>
        <v/>
      </c>
      <c r="L180" s="73" t="str">
        <f t="shared" si="55"/>
        <v/>
      </c>
      <c r="M180" s="73" t="str">
        <f t="shared" si="55"/>
        <v/>
      </c>
      <c r="N180" s="73" t="str">
        <f t="shared" si="55"/>
        <v/>
      </c>
      <c r="O180" s="73" t="str">
        <f t="shared" si="55"/>
        <v/>
      </c>
      <c r="P180" s="73" t="str">
        <f t="shared" si="55"/>
        <v/>
      </c>
      <c r="Q180" s="73" t="str">
        <f t="shared" si="55"/>
        <v/>
      </c>
      <c r="R180" s="73" t="str">
        <f t="shared" si="54"/>
        <v/>
      </c>
      <c r="S180" s="73" t="str">
        <f t="shared" si="54"/>
        <v/>
      </c>
      <c r="T180" s="73" t="str">
        <f t="shared" si="54"/>
        <v/>
      </c>
      <c r="U180" s="73" t="str">
        <f t="shared" si="54"/>
        <v/>
      </c>
      <c r="V180" s="73" t="str">
        <f t="shared" si="54"/>
        <v/>
      </c>
      <c r="W180" s="73" t="str">
        <f t="shared" si="54"/>
        <v/>
      </c>
      <c r="X180" s="73" t="str">
        <f t="shared" si="54"/>
        <v/>
      </c>
      <c r="Y180" s="73" t="str">
        <f t="shared" si="54"/>
        <v/>
      </c>
      <c r="Z180" s="73" t="str">
        <f t="shared" si="54"/>
        <v/>
      </c>
      <c r="AA180" s="73" t="str">
        <f t="shared" si="54"/>
        <v/>
      </c>
      <c r="AB180" s="74" t="str">
        <f t="shared" si="54"/>
        <v/>
      </c>
      <c r="AC180" s="35" t="str">
        <f t="shared" si="48"/>
        <v/>
      </c>
      <c r="AD180" s="40" t="str">
        <f t="shared" si="49"/>
        <v/>
      </c>
      <c r="AE180" s="37" t="str">
        <f t="shared" si="50"/>
        <v/>
      </c>
      <c r="AF180" s="40" t="str">
        <f t="shared" si="42"/>
        <v/>
      </c>
      <c r="AG180" s="37" t="str">
        <f t="shared" si="43"/>
        <v/>
      </c>
      <c r="AH180" s="40" t="str">
        <f t="shared" si="44"/>
        <v/>
      </c>
      <c r="AI180" s="37" t="str">
        <f t="shared" si="51"/>
        <v/>
      </c>
      <c r="AJ180" s="40" t="str">
        <f t="shared" si="52"/>
        <v/>
      </c>
      <c r="AK180" s="33" t="str">
        <f>IF(SEM!AK180="","",SEM!AK180)</f>
        <v/>
      </c>
      <c r="AL180" s="6"/>
      <c r="AM180" s="79" t="str">
        <f t="shared" si="45"/>
        <v/>
      </c>
      <c r="AN180" s="12"/>
      <c r="AO180" s="12"/>
      <c r="AP180" s="14"/>
      <c r="AQ180" s="16"/>
      <c r="AR180" s="15"/>
      <c r="AU180" s="198"/>
      <c r="AV180" s="198"/>
      <c r="AW180" s="198"/>
      <c r="AX180" s="198"/>
    </row>
    <row r="181" spans="2:50" ht="17.25" customHeight="1" x14ac:dyDescent="0.2">
      <c r="B181" s="6"/>
      <c r="C181" s="49" t="str">
        <f>IF(SEM!C181="","",SEM!C181)</f>
        <v/>
      </c>
      <c r="D181" s="220" t="str">
        <f>IF(C181="","",VLOOKUP(SEM!C181,FROTA!$B$5:$C$305,2,0))</f>
        <v/>
      </c>
      <c r="E181" s="24" t="str">
        <f>IF(C181="","",VLOOKUP(C181,FROTA!$B$5:$N$305,7,0))</f>
        <v/>
      </c>
      <c r="F181" s="38" t="str">
        <f t="shared" si="41"/>
        <v/>
      </c>
      <c r="G181" s="71" t="str">
        <f t="shared" si="46"/>
        <v/>
      </c>
      <c r="H181" s="32" t="str">
        <f t="shared" si="53"/>
        <v/>
      </c>
      <c r="I181" s="73" t="str">
        <f t="shared" si="53"/>
        <v/>
      </c>
      <c r="J181" s="73" t="str">
        <f t="shared" si="53"/>
        <v/>
      </c>
      <c r="K181" s="73" t="str">
        <f t="shared" si="55"/>
        <v/>
      </c>
      <c r="L181" s="73" t="str">
        <f t="shared" si="55"/>
        <v/>
      </c>
      <c r="M181" s="73" t="str">
        <f t="shared" si="55"/>
        <v/>
      </c>
      <c r="N181" s="73" t="str">
        <f t="shared" si="55"/>
        <v/>
      </c>
      <c r="O181" s="73" t="str">
        <f t="shared" si="55"/>
        <v/>
      </c>
      <c r="P181" s="73" t="str">
        <f t="shared" si="55"/>
        <v/>
      </c>
      <c r="Q181" s="73" t="str">
        <f t="shared" si="55"/>
        <v/>
      </c>
      <c r="R181" s="73" t="str">
        <f t="shared" si="54"/>
        <v/>
      </c>
      <c r="S181" s="73" t="str">
        <f t="shared" si="54"/>
        <v/>
      </c>
      <c r="T181" s="73" t="str">
        <f t="shared" si="54"/>
        <v/>
      </c>
      <c r="U181" s="73" t="str">
        <f t="shared" si="54"/>
        <v/>
      </c>
      <c r="V181" s="73" t="str">
        <f t="shared" si="54"/>
        <v/>
      </c>
      <c r="W181" s="73" t="str">
        <f t="shared" si="54"/>
        <v/>
      </c>
      <c r="X181" s="73" t="str">
        <f t="shared" si="54"/>
        <v/>
      </c>
      <c r="Y181" s="73" t="str">
        <f t="shared" si="54"/>
        <v/>
      </c>
      <c r="Z181" s="73" t="str">
        <f t="shared" si="54"/>
        <v/>
      </c>
      <c r="AA181" s="73" t="str">
        <f t="shared" si="54"/>
        <v/>
      </c>
      <c r="AB181" s="74" t="str">
        <f t="shared" si="54"/>
        <v/>
      </c>
      <c r="AC181" s="35" t="str">
        <f t="shared" si="48"/>
        <v/>
      </c>
      <c r="AD181" s="40" t="str">
        <f t="shared" si="49"/>
        <v/>
      </c>
      <c r="AE181" s="37" t="str">
        <f t="shared" si="50"/>
        <v/>
      </c>
      <c r="AF181" s="40" t="str">
        <f t="shared" si="42"/>
        <v/>
      </c>
      <c r="AG181" s="37" t="str">
        <f t="shared" si="43"/>
        <v/>
      </c>
      <c r="AH181" s="40" t="str">
        <f t="shared" si="44"/>
        <v/>
      </c>
      <c r="AI181" s="37" t="str">
        <f t="shared" si="51"/>
        <v/>
      </c>
      <c r="AJ181" s="40" t="str">
        <f t="shared" si="52"/>
        <v/>
      </c>
      <c r="AK181" s="33" t="str">
        <f>IF(SEM!AK181="","",SEM!AK181)</f>
        <v/>
      </c>
      <c r="AL181" s="6"/>
      <c r="AM181" s="79" t="str">
        <f t="shared" si="45"/>
        <v/>
      </c>
      <c r="AN181" s="12"/>
      <c r="AO181" s="12"/>
      <c r="AP181" s="14"/>
      <c r="AQ181" s="16"/>
      <c r="AR181" s="15"/>
      <c r="AU181" s="198"/>
      <c r="AV181" s="198"/>
      <c r="AW181" s="198"/>
      <c r="AX181" s="198"/>
    </row>
    <row r="182" spans="2:50" ht="17.25" customHeight="1" x14ac:dyDescent="0.2">
      <c r="B182" s="6"/>
      <c r="C182" s="49" t="str">
        <f>IF(SEM!C182="","",SEM!C182)</f>
        <v/>
      </c>
      <c r="D182" s="220" t="str">
        <f>IF(C182="","",VLOOKUP(SEM!C182,FROTA!$B$5:$C$305,2,0))</f>
        <v/>
      </c>
      <c r="E182" s="24" t="str">
        <f>IF(C182="","",VLOOKUP(C182,FROTA!$B$5:$N$305,7,0))</f>
        <v/>
      </c>
      <c r="F182" s="38" t="str">
        <f t="shared" si="41"/>
        <v/>
      </c>
      <c r="G182" s="71" t="str">
        <f t="shared" si="46"/>
        <v/>
      </c>
      <c r="H182" s="32" t="str">
        <f t="shared" si="53"/>
        <v/>
      </c>
      <c r="I182" s="73" t="str">
        <f t="shared" si="53"/>
        <v/>
      </c>
      <c r="J182" s="73" t="str">
        <f t="shared" si="53"/>
        <v/>
      </c>
      <c r="K182" s="73" t="str">
        <f t="shared" si="55"/>
        <v/>
      </c>
      <c r="L182" s="73" t="str">
        <f t="shared" si="55"/>
        <v/>
      </c>
      <c r="M182" s="73" t="str">
        <f t="shared" si="55"/>
        <v/>
      </c>
      <c r="N182" s="73" t="str">
        <f t="shared" si="55"/>
        <v/>
      </c>
      <c r="O182" s="73" t="str">
        <f t="shared" si="55"/>
        <v/>
      </c>
      <c r="P182" s="73" t="str">
        <f t="shared" si="55"/>
        <v/>
      </c>
      <c r="Q182" s="73" t="str">
        <f t="shared" si="55"/>
        <v/>
      </c>
      <c r="R182" s="73" t="str">
        <f t="shared" si="54"/>
        <v/>
      </c>
      <c r="S182" s="73" t="str">
        <f t="shared" si="54"/>
        <v/>
      </c>
      <c r="T182" s="73" t="str">
        <f t="shared" si="54"/>
        <v/>
      </c>
      <c r="U182" s="73" t="str">
        <f t="shared" si="54"/>
        <v/>
      </c>
      <c r="V182" s="73" t="str">
        <f t="shared" si="54"/>
        <v/>
      </c>
      <c r="W182" s="73" t="str">
        <f t="shared" si="54"/>
        <v/>
      </c>
      <c r="X182" s="73" t="str">
        <f t="shared" si="54"/>
        <v/>
      </c>
      <c r="Y182" s="73" t="str">
        <f t="shared" si="54"/>
        <v/>
      </c>
      <c r="Z182" s="73" t="str">
        <f t="shared" si="54"/>
        <v/>
      </c>
      <c r="AA182" s="73" t="str">
        <f t="shared" si="54"/>
        <v/>
      </c>
      <c r="AB182" s="74" t="str">
        <f t="shared" si="54"/>
        <v/>
      </c>
      <c r="AC182" s="35" t="str">
        <f t="shared" si="48"/>
        <v/>
      </c>
      <c r="AD182" s="40" t="str">
        <f t="shared" si="49"/>
        <v/>
      </c>
      <c r="AE182" s="37" t="str">
        <f t="shared" si="50"/>
        <v/>
      </c>
      <c r="AF182" s="40" t="str">
        <f t="shared" si="42"/>
        <v/>
      </c>
      <c r="AG182" s="37" t="str">
        <f t="shared" si="43"/>
        <v/>
      </c>
      <c r="AH182" s="40" t="str">
        <f t="shared" si="44"/>
        <v/>
      </c>
      <c r="AI182" s="37" t="str">
        <f t="shared" si="51"/>
        <v/>
      </c>
      <c r="AJ182" s="40" t="str">
        <f t="shared" si="52"/>
        <v/>
      </c>
      <c r="AK182" s="33" t="str">
        <f>IF(SEM!AK182="","",SEM!AK182)</f>
        <v/>
      </c>
      <c r="AL182" s="6"/>
      <c r="AM182" s="79" t="str">
        <f t="shared" si="45"/>
        <v/>
      </c>
      <c r="AN182" s="12"/>
      <c r="AO182" s="12"/>
      <c r="AP182" s="14"/>
      <c r="AQ182" s="16"/>
      <c r="AR182" s="15"/>
      <c r="AU182" s="198"/>
      <c r="AV182" s="198"/>
      <c r="AW182" s="198"/>
      <c r="AX182" s="198"/>
    </row>
    <row r="183" spans="2:50" ht="17.25" customHeight="1" x14ac:dyDescent="0.2">
      <c r="B183" s="6"/>
      <c r="C183" s="49" t="str">
        <f>IF(SEM!C183="","",SEM!C183)</f>
        <v/>
      </c>
      <c r="D183" s="220" t="str">
        <f>IF(C183="","",VLOOKUP(SEM!C183,FROTA!$B$5:$C$305,2,0))</f>
        <v/>
      </c>
      <c r="E183" s="24" t="str">
        <f>IF(C183="","",VLOOKUP(C183,FROTA!$B$5:$N$305,7,0))</f>
        <v/>
      </c>
      <c r="F183" s="38" t="str">
        <f t="shared" si="41"/>
        <v/>
      </c>
      <c r="G183" s="71" t="str">
        <f t="shared" si="46"/>
        <v/>
      </c>
      <c r="H183" s="32" t="str">
        <f t="shared" si="53"/>
        <v/>
      </c>
      <c r="I183" s="73" t="str">
        <f t="shared" si="53"/>
        <v/>
      </c>
      <c r="J183" s="73" t="str">
        <f t="shared" si="53"/>
        <v/>
      </c>
      <c r="K183" s="73" t="str">
        <f t="shared" si="55"/>
        <v/>
      </c>
      <c r="L183" s="73" t="str">
        <f t="shared" si="55"/>
        <v/>
      </c>
      <c r="M183" s="73" t="str">
        <f t="shared" si="55"/>
        <v/>
      </c>
      <c r="N183" s="73" t="str">
        <f t="shared" si="55"/>
        <v/>
      </c>
      <c r="O183" s="73" t="str">
        <f t="shared" si="55"/>
        <v/>
      </c>
      <c r="P183" s="73" t="str">
        <f t="shared" si="55"/>
        <v/>
      </c>
      <c r="Q183" s="73" t="str">
        <f t="shared" si="55"/>
        <v/>
      </c>
      <c r="R183" s="73" t="str">
        <f t="shared" si="54"/>
        <v/>
      </c>
      <c r="S183" s="73" t="str">
        <f t="shared" si="54"/>
        <v/>
      </c>
      <c r="T183" s="73" t="str">
        <f t="shared" si="54"/>
        <v/>
      </c>
      <c r="U183" s="73" t="str">
        <f t="shared" si="54"/>
        <v/>
      </c>
      <c r="V183" s="73" t="str">
        <f t="shared" si="54"/>
        <v/>
      </c>
      <c r="W183" s="73" t="str">
        <f t="shared" si="54"/>
        <v/>
      </c>
      <c r="X183" s="73" t="str">
        <f t="shared" si="54"/>
        <v/>
      </c>
      <c r="Y183" s="73" t="str">
        <f t="shared" si="54"/>
        <v/>
      </c>
      <c r="Z183" s="73" t="str">
        <f t="shared" si="54"/>
        <v/>
      </c>
      <c r="AA183" s="73" t="str">
        <f t="shared" si="54"/>
        <v/>
      </c>
      <c r="AB183" s="74" t="str">
        <f t="shared" si="54"/>
        <v/>
      </c>
      <c r="AC183" s="35" t="str">
        <f t="shared" si="48"/>
        <v/>
      </c>
      <c r="AD183" s="40" t="str">
        <f t="shared" si="49"/>
        <v/>
      </c>
      <c r="AE183" s="37" t="str">
        <f t="shared" si="50"/>
        <v/>
      </c>
      <c r="AF183" s="40" t="str">
        <f t="shared" si="42"/>
        <v/>
      </c>
      <c r="AG183" s="37" t="str">
        <f t="shared" si="43"/>
        <v/>
      </c>
      <c r="AH183" s="40" t="str">
        <f t="shared" si="44"/>
        <v/>
      </c>
      <c r="AI183" s="37" t="str">
        <f t="shared" si="51"/>
        <v/>
      </c>
      <c r="AJ183" s="40" t="str">
        <f t="shared" si="52"/>
        <v/>
      </c>
      <c r="AK183" s="33" t="str">
        <f>IF(SEM!AK183="","",SEM!AK183)</f>
        <v/>
      </c>
      <c r="AL183" s="6"/>
      <c r="AM183" s="79" t="str">
        <f t="shared" si="45"/>
        <v/>
      </c>
      <c r="AN183" s="12"/>
      <c r="AO183" s="12"/>
      <c r="AP183" s="14"/>
      <c r="AQ183" s="16"/>
      <c r="AR183" s="15"/>
      <c r="AU183" s="198"/>
      <c r="AV183" s="198"/>
      <c r="AW183" s="198"/>
      <c r="AX183" s="198"/>
    </row>
    <row r="184" spans="2:50" ht="17.25" customHeight="1" x14ac:dyDescent="0.2">
      <c r="B184" s="6"/>
      <c r="C184" s="49" t="str">
        <f>IF(SEM!C184="","",SEM!C184)</f>
        <v/>
      </c>
      <c r="D184" s="220" t="str">
        <f>IF(C184="","",VLOOKUP(SEM!C184,FROTA!$B$5:$C$305,2,0))</f>
        <v/>
      </c>
      <c r="E184" s="24" t="str">
        <f>IF(C184="","",VLOOKUP(C184,FROTA!$B$5:$N$305,7,0))</f>
        <v/>
      </c>
      <c r="F184" s="38" t="str">
        <f t="shared" si="41"/>
        <v/>
      </c>
      <c r="G184" s="71" t="str">
        <f t="shared" si="46"/>
        <v/>
      </c>
      <c r="H184" s="32" t="str">
        <f t="shared" si="53"/>
        <v/>
      </c>
      <c r="I184" s="73" t="str">
        <f t="shared" si="53"/>
        <v/>
      </c>
      <c r="J184" s="73" t="str">
        <f t="shared" si="53"/>
        <v/>
      </c>
      <c r="K184" s="73" t="str">
        <f t="shared" si="55"/>
        <v/>
      </c>
      <c r="L184" s="73" t="str">
        <f t="shared" si="55"/>
        <v/>
      </c>
      <c r="M184" s="73" t="str">
        <f t="shared" si="55"/>
        <v/>
      </c>
      <c r="N184" s="73" t="str">
        <f t="shared" si="55"/>
        <v/>
      </c>
      <c r="O184" s="73" t="str">
        <f t="shared" si="55"/>
        <v/>
      </c>
      <c r="P184" s="73" t="str">
        <f t="shared" si="55"/>
        <v/>
      </c>
      <c r="Q184" s="73" t="str">
        <f t="shared" si="55"/>
        <v/>
      </c>
      <c r="R184" s="73" t="str">
        <f t="shared" si="54"/>
        <v/>
      </c>
      <c r="S184" s="73" t="str">
        <f t="shared" si="54"/>
        <v/>
      </c>
      <c r="T184" s="73" t="str">
        <f t="shared" si="54"/>
        <v/>
      </c>
      <c r="U184" s="73" t="str">
        <f t="shared" ref="R184:AB207" si="56">IF($C184="","",IF(SUM(U$307*$G184)&gt;$F184,$F184,SUM(U$307*$G184)))</f>
        <v/>
      </c>
      <c r="V184" s="73" t="str">
        <f t="shared" si="56"/>
        <v/>
      </c>
      <c r="W184" s="73" t="str">
        <f t="shared" si="56"/>
        <v/>
      </c>
      <c r="X184" s="73" t="str">
        <f t="shared" si="56"/>
        <v/>
      </c>
      <c r="Y184" s="73" t="str">
        <f t="shared" si="56"/>
        <v/>
      </c>
      <c r="Z184" s="73" t="str">
        <f t="shared" si="56"/>
        <v/>
      </c>
      <c r="AA184" s="73" t="str">
        <f t="shared" si="56"/>
        <v/>
      </c>
      <c r="AB184" s="74" t="str">
        <f t="shared" si="56"/>
        <v/>
      </c>
      <c r="AC184" s="35" t="str">
        <f t="shared" si="48"/>
        <v/>
      </c>
      <c r="AD184" s="40" t="str">
        <f t="shared" si="49"/>
        <v/>
      </c>
      <c r="AE184" s="37" t="str">
        <f t="shared" si="50"/>
        <v/>
      </c>
      <c r="AF184" s="40" t="str">
        <f t="shared" si="42"/>
        <v/>
      </c>
      <c r="AG184" s="37" t="str">
        <f t="shared" si="43"/>
        <v/>
      </c>
      <c r="AH184" s="40" t="str">
        <f t="shared" si="44"/>
        <v/>
      </c>
      <c r="AI184" s="37" t="str">
        <f t="shared" si="51"/>
        <v/>
      </c>
      <c r="AJ184" s="40" t="str">
        <f t="shared" si="52"/>
        <v/>
      </c>
      <c r="AK184" s="33" t="str">
        <f>IF(SEM!AK184="","",SEM!AK184)</f>
        <v/>
      </c>
      <c r="AL184" s="6"/>
      <c r="AM184" s="79" t="str">
        <f t="shared" si="45"/>
        <v/>
      </c>
      <c r="AN184" s="12"/>
      <c r="AO184" s="12"/>
      <c r="AP184" s="14"/>
      <c r="AQ184" s="16"/>
      <c r="AR184" s="15"/>
      <c r="AU184" s="198"/>
      <c r="AV184" s="198"/>
      <c r="AW184" s="198"/>
      <c r="AX184" s="198"/>
    </row>
    <row r="185" spans="2:50" ht="17.25" customHeight="1" x14ac:dyDescent="0.2">
      <c r="B185" s="6"/>
      <c r="C185" s="49" t="str">
        <f>IF(SEM!C185="","",SEM!C185)</f>
        <v/>
      </c>
      <c r="D185" s="220" t="str">
        <f>IF(C185="","",VLOOKUP(SEM!C185,FROTA!$B$5:$C$305,2,0))</f>
        <v/>
      </c>
      <c r="E185" s="24" t="str">
        <f>IF(C185="","",VLOOKUP(C185,FROTA!$B$5:$N$305,7,0))</f>
        <v/>
      </c>
      <c r="F185" s="38" t="str">
        <f t="shared" si="41"/>
        <v/>
      </c>
      <c r="G185" s="71" t="str">
        <f t="shared" si="46"/>
        <v/>
      </c>
      <c r="H185" s="32" t="str">
        <f t="shared" si="53"/>
        <v/>
      </c>
      <c r="I185" s="73" t="str">
        <f t="shared" si="53"/>
        <v/>
      </c>
      <c r="J185" s="73" t="str">
        <f t="shared" si="53"/>
        <v/>
      </c>
      <c r="K185" s="73" t="str">
        <f t="shared" si="55"/>
        <v/>
      </c>
      <c r="L185" s="73" t="str">
        <f t="shared" si="55"/>
        <v/>
      </c>
      <c r="M185" s="73" t="str">
        <f t="shared" si="55"/>
        <v/>
      </c>
      <c r="N185" s="73" t="str">
        <f t="shared" si="55"/>
        <v/>
      </c>
      <c r="O185" s="73" t="str">
        <f t="shared" si="55"/>
        <v/>
      </c>
      <c r="P185" s="73" t="str">
        <f t="shared" si="55"/>
        <v/>
      </c>
      <c r="Q185" s="73" t="str">
        <f t="shared" si="55"/>
        <v/>
      </c>
      <c r="R185" s="73" t="str">
        <f t="shared" si="56"/>
        <v/>
      </c>
      <c r="S185" s="73" t="str">
        <f t="shared" si="56"/>
        <v/>
      </c>
      <c r="T185" s="73" t="str">
        <f t="shared" si="56"/>
        <v/>
      </c>
      <c r="U185" s="73" t="str">
        <f t="shared" si="56"/>
        <v/>
      </c>
      <c r="V185" s="73" t="str">
        <f t="shared" si="56"/>
        <v/>
      </c>
      <c r="W185" s="73" t="str">
        <f t="shared" si="56"/>
        <v/>
      </c>
      <c r="X185" s="73" t="str">
        <f t="shared" si="56"/>
        <v/>
      </c>
      <c r="Y185" s="73" t="str">
        <f t="shared" si="56"/>
        <v/>
      </c>
      <c r="Z185" s="73" t="str">
        <f t="shared" si="56"/>
        <v/>
      </c>
      <c r="AA185" s="73" t="str">
        <f t="shared" si="56"/>
        <v/>
      </c>
      <c r="AB185" s="74" t="str">
        <f t="shared" si="56"/>
        <v/>
      </c>
      <c r="AC185" s="35" t="str">
        <f t="shared" si="48"/>
        <v/>
      </c>
      <c r="AD185" s="40" t="str">
        <f t="shared" si="49"/>
        <v/>
      </c>
      <c r="AE185" s="37" t="str">
        <f t="shared" si="50"/>
        <v/>
      </c>
      <c r="AF185" s="40" t="str">
        <f t="shared" si="42"/>
        <v/>
      </c>
      <c r="AG185" s="37" t="str">
        <f t="shared" si="43"/>
        <v/>
      </c>
      <c r="AH185" s="40" t="str">
        <f t="shared" si="44"/>
        <v/>
      </c>
      <c r="AI185" s="37" t="str">
        <f t="shared" si="51"/>
        <v/>
      </c>
      <c r="AJ185" s="40" t="str">
        <f t="shared" si="52"/>
        <v/>
      </c>
      <c r="AK185" s="33" t="str">
        <f>IF(SEM!AK185="","",SEM!AK185)</f>
        <v/>
      </c>
      <c r="AL185" s="6"/>
      <c r="AM185" s="79" t="str">
        <f t="shared" si="45"/>
        <v/>
      </c>
      <c r="AN185" s="12"/>
      <c r="AO185" s="12"/>
      <c r="AP185" s="14"/>
      <c r="AQ185" s="16"/>
      <c r="AR185" s="15"/>
      <c r="AU185" s="198"/>
      <c r="AV185" s="198"/>
      <c r="AW185" s="198"/>
      <c r="AX185" s="198"/>
    </row>
    <row r="186" spans="2:50" ht="17.25" customHeight="1" x14ac:dyDescent="0.2">
      <c r="B186" s="6"/>
      <c r="C186" s="49" t="str">
        <f>IF(SEM!C186="","",SEM!C186)</f>
        <v/>
      </c>
      <c r="D186" s="220" t="str">
        <f>IF(C186="","",VLOOKUP(SEM!C186,FROTA!$B$5:$C$305,2,0))</f>
        <v/>
      </c>
      <c r="E186" s="24" t="str">
        <f>IF(C186="","",VLOOKUP(C186,FROTA!$B$5:$N$305,7,0))</f>
        <v/>
      </c>
      <c r="F186" s="38" t="str">
        <f t="shared" si="41"/>
        <v/>
      </c>
      <c r="G186" s="71" t="str">
        <f t="shared" si="46"/>
        <v/>
      </c>
      <c r="H186" s="32" t="str">
        <f t="shared" si="53"/>
        <v/>
      </c>
      <c r="I186" s="73" t="str">
        <f t="shared" si="53"/>
        <v/>
      </c>
      <c r="J186" s="73" t="str">
        <f t="shared" si="53"/>
        <v/>
      </c>
      <c r="K186" s="73" t="str">
        <f t="shared" si="55"/>
        <v/>
      </c>
      <c r="L186" s="73" t="str">
        <f t="shared" si="55"/>
        <v/>
      </c>
      <c r="M186" s="73" t="str">
        <f t="shared" si="55"/>
        <v/>
      </c>
      <c r="N186" s="73" t="str">
        <f t="shared" si="55"/>
        <v/>
      </c>
      <c r="O186" s="73" t="str">
        <f t="shared" si="55"/>
        <v/>
      </c>
      <c r="P186" s="73" t="str">
        <f t="shared" si="55"/>
        <v/>
      </c>
      <c r="Q186" s="73" t="str">
        <f t="shared" si="55"/>
        <v/>
      </c>
      <c r="R186" s="73" t="str">
        <f t="shared" si="56"/>
        <v/>
      </c>
      <c r="S186" s="73" t="str">
        <f t="shared" si="56"/>
        <v/>
      </c>
      <c r="T186" s="73" t="str">
        <f t="shared" si="56"/>
        <v/>
      </c>
      <c r="U186" s="73" t="str">
        <f t="shared" si="56"/>
        <v/>
      </c>
      <c r="V186" s="73" t="str">
        <f t="shared" si="56"/>
        <v/>
      </c>
      <c r="W186" s="73" t="str">
        <f t="shared" si="56"/>
        <v/>
      </c>
      <c r="X186" s="73" t="str">
        <f t="shared" si="56"/>
        <v/>
      </c>
      <c r="Y186" s="73" t="str">
        <f t="shared" si="56"/>
        <v/>
      </c>
      <c r="Z186" s="73" t="str">
        <f t="shared" si="56"/>
        <v/>
      </c>
      <c r="AA186" s="73" t="str">
        <f t="shared" si="56"/>
        <v/>
      </c>
      <c r="AB186" s="74" t="str">
        <f t="shared" si="56"/>
        <v/>
      </c>
      <c r="AC186" s="35" t="str">
        <f t="shared" si="48"/>
        <v/>
      </c>
      <c r="AD186" s="40" t="str">
        <f t="shared" si="49"/>
        <v/>
      </c>
      <c r="AE186" s="37" t="str">
        <f t="shared" si="50"/>
        <v/>
      </c>
      <c r="AF186" s="40" t="str">
        <f t="shared" si="42"/>
        <v/>
      </c>
      <c r="AG186" s="37" t="str">
        <f t="shared" si="43"/>
        <v/>
      </c>
      <c r="AH186" s="40" t="str">
        <f t="shared" si="44"/>
        <v/>
      </c>
      <c r="AI186" s="37" t="str">
        <f t="shared" si="51"/>
        <v/>
      </c>
      <c r="AJ186" s="40" t="str">
        <f t="shared" si="52"/>
        <v/>
      </c>
      <c r="AK186" s="33" t="str">
        <f>IF(SEM!AK186="","",SEM!AK186)</f>
        <v/>
      </c>
      <c r="AL186" s="6"/>
      <c r="AM186" s="79" t="str">
        <f t="shared" si="45"/>
        <v/>
      </c>
      <c r="AN186" s="12"/>
      <c r="AO186" s="12"/>
      <c r="AP186" s="14"/>
      <c r="AQ186" s="16"/>
      <c r="AR186" s="15"/>
      <c r="AU186" s="198"/>
      <c r="AV186" s="198"/>
      <c r="AW186" s="198"/>
      <c r="AX186" s="198"/>
    </row>
    <row r="187" spans="2:50" ht="17.25" customHeight="1" x14ac:dyDescent="0.2">
      <c r="B187" s="6"/>
      <c r="C187" s="49" t="str">
        <f>IF(SEM!C187="","",SEM!C187)</f>
        <v/>
      </c>
      <c r="D187" s="220" t="str">
        <f>IF(C187="","",VLOOKUP(SEM!C187,FROTA!$B$5:$C$305,2,0))</f>
        <v/>
      </c>
      <c r="E187" s="24" t="str">
        <f>IF(C187="","",VLOOKUP(C187,FROTA!$B$5:$N$305,7,0))</f>
        <v/>
      </c>
      <c r="F187" s="38" t="str">
        <f t="shared" si="41"/>
        <v/>
      </c>
      <c r="G187" s="71" t="str">
        <f t="shared" si="46"/>
        <v/>
      </c>
      <c r="H187" s="32" t="str">
        <f t="shared" si="53"/>
        <v/>
      </c>
      <c r="I187" s="73" t="str">
        <f t="shared" si="53"/>
        <v/>
      </c>
      <c r="J187" s="73" t="str">
        <f t="shared" si="53"/>
        <v/>
      </c>
      <c r="K187" s="73" t="str">
        <f t="shared" si="55"/>
        <v/>
      </c>
      <c r="L187" s="73" t="str">
        <f t="shared" si="55"/>
        <v/>
      </c>
      <c r="M187" s="73" t="str">
        <f t="shared" si="55"/>
        <v/>
      </c>
      <c r="N187" s="73" t="str">
        <f t="shared" si="55"/>
        <v/>
      </c>
      <c r="O187" s="73" t="str">
        <f t="shared" si="55"/>
        <v/>
      </c>
      <c r="P187" s="73" t="str">
        <f t="shared" si="55"/>
        <v/>
      </c>
      <c r="Q187" s="73" t="str">
        <f t="shared" si="55"/>
        <v/>
      </c>
      <c r="R187" s="73" t="str">
        <f t="shared" si="56"/>
        <v/>
      </c>
      <c r="S187" s="73" t="str">
        <f t="shared" si="56"/>
        <v/>
      </c>
      <c r="T187" s="73" t="str">
        <f t="shared" si="56"/>
        <v/>
      </c>
      <c r="U187" s="73" t="str">
        <f t="shared" si="56"/>
        <v/>
      </c>
      <c r="V187" s="73" t="str">
        <f t="shared" si="56"/>
        <v/>
      </c>
      <c r="W187" s="73" t="str">
        <f t="shared" si="56"/>
        <v/>
      </c>
      <c r="X187" s="73" t="str">
        <f t="shared" si="56"/>
        <v/>
      </c>
      <c r="Y187" s="73" t="str">
        <f t="shared" si="56"/>
        <v/>
      </c>
      <c r="Z187" s="73" t="str">
        <f t="shared" si="56"/>
        <v/>
      </c>
      <c r="AA187" s="73" t="str">
        <f t="shared" si="56"/>
        <v/>
      </c>
      <c r="AB187" s="74" t="str">
        <f t="shared" si="56"/>
        <v/>
      </c>
      <c r="AC187" s="35" t="str">
        <f t="shared" si="48"/>
        <v/>
      </c>
      <c r="AD187" s="40" t="str">
        <f t="shared" si="49"/>
        <v/>
      </c>
      <c r="AE187" s="37" t="str">
        <f t="shared" si="50"/>
        <v/>
      </c>
      <c r="AF187" s="40" t="str">
        <f t="shared" si="42"/>
        <v/>
      </c>
      <c r="AG187" s="37" t="str">
        <f t="shared" si="43"/>
        <v/>
      </c>
      <c r="AH187" s="40" t="str">
        <f t="shared" si="44"/>
        <v/>
      </c>
      <c r="AI187" s="37" t="str">
        <f t="shared" si="51"/>
        <v/>
      </c>
      <c r="AJ187" s="40" t="str">
        <f t="shared" si="52"/>
        <v/>
      </c>
      <c r="AK187" s="33" t="str">
        <f>IF(SEM!AK187="","",SEM!AK187)</f>
        <v/>
      </c>
      <c r="AL187" s="6"/>
      <c r="AM187" s="79" t="str">
        <f t="shared" si="45"/>
        <v/>
      </c>
      <c r="AN187" s="12"/>
      <c r="AO187" s="12"/>
      <c r="AP187" s="14"/>
      <c r="AQ187" s="16"/>
      <c r="AR187" s="15"/>
      <c r="AU187" s="198"/>
      <c r="AV187" s="198"/>
      <c r="AW187" s="198"/>
      <c r="AX187" s="198"/>
    </row>
    <row r="188" spans="2:50" ht="17.25" customHeight="1" x14ac:dyDescent="0.2">
      <c r="B188" s="6"/>
      <c r="C188" s="49" t="str">
        <f>IF(SEM!C188="","",SEM!C188)</f>
        <v/>
      </c>
      <c r="D188" s="220" t="str">
        <f>IF(C188="","",VLOOKUP(SEM!C188,FROTA!$B$5:$C$305,2,0))</f>
        <v/>
      </c>
      <c r="E188" s="24" t="str">
        <f>IF(C188="","",VLOOKUP(C188,FROTA!$B$5:$N$305,7,0))</f>
        <v/>
      </c>
      <c r="F188" s="38" t="str">
        <f t="shared" si="41"/>
        <v/>
      </c>
      <c r="G188" s="71" t="str">
        <f t="shared" si="46"/>
        <v/>
      </c>
      <c r="H188" s="32" t="str">
        <f t="shared" si="53"/>
        <v/>
      </c>
      <c r="I188" s="73" t="str">
        <f t="shared" si="53"/>
        <v/>
      </c>
      <c r="J188" s="73" t="str">
        <f t="shared" si="53"/>
        <v/>
      </c>
      <c r="K188" s="73" t="str">
        <f t="shared" si="55"/>
        <v/>
      </c>
      <c r="L188" s="73" t="str">
        <f t="shared" si="55"/>
        <v/>
      </c>
      <c r="M188" s="73" t="str">
        <f t="shared" si="55"/>
        <v/>
      </c>
      <c r="N188" s="73" t="str">
        <f t="shared" si="55"/>
        <v/>
      </c>
      <c r="O188" s="73" t="str">
        <f t="shared" si="55"/>
        <v/>
      </c>
      <c r="P188" s="73" t="str">
        <f t="shared" si="55"/>
        <v/>
      </c>
      <c r="Q188" s="73" t="str">
        <f t="shared" si="55"/>
        <v/>
      </c>
      <c r="R188" s="73" t="str">
        <f t="shared" si="56"/>
        <v/>
      </c>
      <c r="S188" s="73" t="str">
        <f t="shared" si="56"/>
        <v/>
      </c>
      <c r="T188" s="73" t="str">
        <f t="shared" si="56"/>
        <v/>
      </c>
      <c r="U188" s="73" t="str">
        <f t="shared" si="56"/>
        <v/>
      </c>
      <c r="V188" s="73" t="str">
        <f t="shared" si="56"/>
        <v/>
      </c>
      <c r="W188" s="73" t="str">
        <f t="shared" si="56"/>
        <v/>
      </c>
      <c r="X188" s="73" t="str">
        <f t="shared" si="56"/>
        <v/>
      </c>
      <c r="Y188" s="73" t="str">
        <f t="shared" si="56"/>
        <v/>
      </c>
      <c r="Z188" s="73" t="str">
        <f t="shared" si="56"/>
        <v/>
      </c>
      <c r="AA188" s="73" t="str">
        <f t="shared" si="56"/>
        <v/>
      </c>
      <c r="AB188" s="74" t="str">
        <f t="shared" si="56"/>
        <v/>
      </c>
      <c r="AC188" s="35" t="str">
        <f t="shared" si="48"/>
        <v/>
      </c>
      <c r="AD188" s="40" t="str">
        <f t="shared" si="49"/>
        <v/>
      </c>
      <c r="AE188" s="37" t="str">
        <f t="shared" si="50"/>
        <v/>
      </c>
      <c r="AF188" s="40" t="str">
        <f t="shared" si="42"/>
        <v/>
      </c>
      <c r="AG188" s="37" t="str">
        <f t="shared" si="43"/>
        <v/>
      </c>
      <c r="AH188" s="40" t="str">
        <f t="shared" si="44"/>
        <v/>
      </c>
      <c r="AI188" s="37" t="str">
        <f t="shared" si="51"/>
        <v/>
      </c>
      <c r="AJ188" s="40" t="str">
        <f t="shared" si="52"/>
        <v/>
      </c>
      <c r="AK188" s="33" t="str">
        <f>IF(SEM!AK188="","",SEM!AK188)</f>
        <v/>
      </c>
      <c r="AL188" s="6"/>
      <c r="AM188" s="79" t="str">
        <f t="shared" si="45"/>
        <v/>
      </c>
      <c r="AN188" s="12"/>
      <c r="AO188" s="12"/>
      <c r="AP188" s="14"/>
      <c r="AQ188" s="16"/>
      <c r="AR188" s="15"/>
      <c r="AU188" s="198"/>
      <c r="AV188" s="198"/>
      <c r="AW188" s="198"/>
      <c r="AX188" s="198"/>
    </row>
    <row r="189" spans="2:50" ht="17.25" customHeight="1" x14ac:dyDescent="0.2">
      <c r="B189" s="6"/>
      <c r="C189" s="49" t="str">
        <f>IF(SEM!C189="","",SEM!C189)</f>
        <v/>
      </c>
      <c r="D189" s="220" t="str">
        <f>IF(C189="","",VLOOKUP(SEM!C189,FROTA!$B$5:$C$305,2,0))</f>
        <v/>
      </c>
      <c r="E189" s="24" t="str">
        <f>IF(C189="","",VLOOKUP(C189,FROTA!$B$5:$N$305,7,0))</f>
        <v/>
      </c>
      <c r="F189" s="38" t="str">
        <f t="shared" si="41"/>
        <v/>
      </c>
      <c r="G189" s="71" t="str">
        <f t="shared" si="46"/>
        <v/>
      </c>
      <c r="H189" s="32" t="str">
        <f t="shared" si="53"/>
        <v/>
      </c>
      <c r="I189" s="73" t="str">
        <f t="shared" si="53"/>
        <v/>
      </c>
      <c r="J189" s="73" t="str">
        <f t="shared" si="53"/>
        <v/>
      </c>
      <c r="K189" s="73" t="str">
        <f t="shared" si="55"/>
        <v/>
      </c>
      <c r="L189" s="73" t="str">
        <f t="shared" si="55"/>
        <v/>
      </c>
      <c r="M189" s="73" t="str">
        <f t="shared" si="55"/>
        <v/>
      </c>
      <c r="N189" s="73" t="str">
        <f t="shared" si="55"/>
        <v/>
      </c>
      <c r="O189" s="73" t="str">
        <f t="shared" si="55"/>
        <v/>
      </c>
      <c r="P189" s="73" t="str">
        <f t="shared" si="55"/>
        <v/>
      </c>
      <c r="Q189" s="73" t="str">
        <f t="shared" si="55"/>
        <v/>
      </c>
      <c r="R189" s="73" t="str">
        <f t="shared" si="56"/>
        <v/>
      </c>
      <c r="S189" s="73" t="str">
        <f t="shared" si="56"/>
        <v/>
      </c>
      <c r="T189" s="73" t="str">
        <f t="shared" si="56"/>
        <v/>
      </c>
      <c r="U189" s="73" t="str">
        <f t="shared" si="56"/>
        <v/>
      </c>
      <c r="V189" s="73" t="str">
        <f t="shared" si="56"/>
        <v/>
      </c>
      <c r="W189" s="73" t="str">
        <f t="shared" si="56"/>
        <v/>
      </c>
      <c r="X189" s="73" t="str">
        <f t="shared" si="56"/>
        <v/>
      </c>
      <c r="Y189" s="73" t="str">
        <f t="shared" si="56"/>
        <v/>
      </c>
      <c r="Z189" s="73" t="str">
        <f t="shared" si="56"/>
        <v/>
      </c>
      <c r="AA189" s="73" t="str">
        <f t="shared" si="56"/>
        <v/>
      </c>
      <c r="AB189" s="74" t="str">
        <f t="shared" si="56"/>
        <v/>
      </c>
      <c r="AC189" s="35" t="str">
        <f t="shared" si="48"/>
        <v/>
      </c>
      <c r="AD189" s="40" t="str">
        <f t="shared" si="49"/>
        <v/>
      </c>
      <c r="AE189" s="37" t="str">
        <f t="shared" si="50"/>
        <v/>
      </c>
      <c r="AF189" s="40" t="str">
        <f t="shared" si="42"/>
        <v/>
      </c>
      <c r="AG189" s="37" t="str">
        <f t="shared" si="43"/>
        <v/>
      </c>
      <c r="AH189" s="40" t="str">
        <f t="shared" si="44"/>
        <v/>
      </c>
      <c r="AI189" s="37" t="str">
        <f t="shared" si="51"/>
        <v/>
      </c>
      <c r="AJ189" s="40" t="str">
        <f t="shared" si="52"/>
        <v/>
      </c>
      <c r="AK189" s="33" t="str">
        <f>IF(SEM!AK189="","",SEM!AK189)</f>
        <v/>
      </c>
      <c r="AL189" s="6"/>
      <c r="AM189" s="79" t="str">
        <f t="shared" si="45"/>
        <v/>
      </c>
      <c r="AN189" s="12"/>
      <c r="AO189" s="12"/>
      <c r="AP189" s="14"/>
      <c r="AQ189" s="16"/>
      <c r="AR189" s="15"/>
      <c r="AU189" s="198"/>
      <c r="AV189" s="198"/>
      <c r="AW189" s="198"/>
      <c r="AX189" s="198"/>
    </row>
    <row r="190" spans="2:50" ht="17.25" customHeight="1" x14ac:dyDescent="0.2">
      <c r="B190" s="6"/>
      <c r="C190" s="49" t="str">
        <f>IF(SEM!C190="","",SEM!C190)</f>
        <v/>
      </c>
      <c r="D190" s="220" t="str">
        <f>IF(C190="","",VLOOKUP(SEM!C190,FROTA!$B$5:$C$305,2,0))</f>
        <v/>
      </c>
      <c r="E190" s="24" t="str">
        <f>IF(C190="","",VLOOKUP(C190,FROTA!$B$5:$N$305,7,0))</f>
        <v/>
      </c>
      <c r="F190" s="38" t="str">
        <f t="shared" si="41"/>
        <v/>
      </c>
      <c r="G190" s="71" t="str">
        <f t="shared" si="46"/>
        <v/>
      </c>
      <c r="H190" s="32" t="str">
        <f t="shared" si="53"/>
        <v/>
      </c>
      <c r="I190" s="73" t="str">
        <f t="shared" si="53"/>
        <v/>
      </c>
      <c r="J190" s="73" t="str">
        <f t="shared" si="53"/>
        <v/>
      </c>
      <c r="K190" s="73" t="str">
        <f t="shared" si="55"/>
        <v/>
      </c>
      <c r="L190" s="73" t="str">
        <f t="shared" si="55"/>
        <v/>
      </c>
      <c r="M190" s="73" t="str">
        <f t="shared" si="55"/>
        <v/>
      </c>
      <c r="N190" s="73" t="str">
        <f t="shared" si="55"/>
        <v/>
      </c>
      <c r="O190" s="73" t="str">
        <f t="shared" si="55"/>
        <v/>
      </c>
      <c r="P190" s="73" t="str">
        <f t="shared" si="55"/>
        <v/>
      </c>
      <c r="Q190" s="73" t="str">
        <f t="shared" si="55"/>
        <v/>
      </c>
      <c r="R190" s="73" t="str">
        <f t="shared" si="56"/>
        <v/>
      </c>
      <c r="S190" s="73" t="str">
        <f t="shared" si="56"/>
        <v/>
      </c>
      <c r="T190" s="73" t="str">
        <f t="shared" si="56"/>
        <v/>
      </c>
      <c r="U190" s="73" t="str">
        <f t="shared" si="56"/>
        <v/>
      </c>
      <c r="V190" s="73" t="str">
        <f t="shared" si="56"/>
        <v/>
      </c>
      <c r="W190" s="73" t="str">
        <f t="shared" si="56"/>
        <v/>
      </c>
      <c r="X190" s="73" t="str">
        <f t="shared" si="56"/>
        <v/>
      </c>
      <c r="Y190" s="73" t="str">
        <f t="shared" si="56"/>
        <v/>
      </c>
      <c r="Z190" s="73" t="str">
        <f t="shared" si="56"/>
        <v/>
      </c>
      <c r="AA190" s="73" t="str">
        <f t="shared" si="56"/>
        <v/>
      </c>
      <c r="AB190" s="74" t="str">
        <f t="shared" si="56"/>
        <v/>
      </c>
      <c r="AC190" s="35" t="str">
        <f t="shared" si="48"/>
        <v/>
      </c>
      <c r="AD190" s="40" t="str">
        <f t="shared" si="49"/>
        <v/>
      </c>
      <c r="AE190" s="37" t="str">
        <f t="shared" si="50"/>
        <v/>
      </c>
      <c r="AF190" s="40" t="str">
        <f t="shared" si="42"/>
        <v/>
      </c>
      <c r="AG190" s="37" t="str">
        <f t="shared" si="43"/>
        <v/>
      </c>
      <c r="AH190" s="40" t="str">
        <f t="shared" si="44"/>
        <v/>
      </c>
      <c r="AI190" s="37" t="str">
        <f t="shared" si="51"/>
        <v/>
      </c>
      <c r="AJ190" s="40" t="str">
        <f t="shared" si="52"/>
        <v/>
      </c>
      <c r="AK190" s="33" t="str">
        <f>IF(SEM!AK190="","",SEM!AK190)</f>
        <v/>
      </c>
      <c r="AL190" s="6"/>
      <c r="AM190" s="79" t="str">
        <f t="shared" si="45"/>
        <v/>
      </c>
      <c r="AN190" s="12"/>
      <c r="AO190" s="12"/>
      <c r="AP190" s="14"/>
      <c r="AQ190" s="16"/>
      <c r="AR190" s="15"/>
      <c r="AU190" s="198"/>
      <c r="AV190" s="198"/>
      <c r="AW190" s="198"/>
      <c r="AX190" s="198"/>
    </row>
    <row r="191" spans="2:50" ht="17.25" customHeight="1" x14ac:dyDescent="0.2">
      <c r="B191" s="6"/>
      <c r="C191" s="49" t="str">
        <f>IF(SEM!C191="","",SEM!C191)</f>
        <v/>
      </c>
      <c r="D191" s="220" t="str">
        <f>IF(C191="","",VLOOKUP(SEM!C191,FROTA!$B$5:$C$305,2,0))</f>
        <v/>
      </c>
      <c r="E191" s="24" t="str">
        <f>IF(C191="","",VLOOKUP(C191,FROTA!$B$5:$N$305,7,0))</f>
        <v/>
      </c>
      <c r="F191" s="38" t="str">
        <f t="shared" si="41"/>
        <v/>
      </c>
      <c r="G191" s="71" t="str">
        <f t="shared" si="46"/>
        <v/>
      </c>
      <c r="H191" s="32" t="str">
        <f t="shared" si="53"/>
        <v/>
      </c>
      <c r="I191" s="73" t="str">
        <f t="shared" si="53"/>
        <v/>
      </c>
      <c r="J191" s="73" t="str">
        <f t="shared" si="53"/>
        <v/>
      </c>
      <c r="K191" s="73" t="str">
        <f t="shared" si="55"/>
        <v/>
      </c>
      <c r="L191" s="73" t="str">
        <f t="shared" si="55"/>
        <v/>
      </c>
      <c r="M191" s="73" t="str">
        <f t="shared" si="55"/>
        <v/>
      </c>
      <c r="N191" s="73" t="str">
        <f t="shared" si="55"/>
        <v/>
      </c>
      <c r="O191" s="73" t="str">
        <f t="shared" si="55"/>
        <v/>
      </c>
      <c r="P191" s="73" t="str">
        <f t="shared" si="55"/>
        <v/>
      </c>
      <c r="Q191" s="73" t="str">
        <f t="shared" si="55"/>
        <v/>
      </c>
      <c r="R191" s="73" t="str">
        <f t="shared" si="56"/>
        <v/>
      </c>
      <c r="S191" s="73" t="str">
        <f t="shared" si="56"/>
        <v/>
      </c>
      <c r="T191" s="73" t="str">
        <f t="shared" si="56"/>
        <v/>
      </c>
      <c r="U191" s="73" t="str">
        <f t="shared" si="56"/>
        <v/>
      </c>
      <c r="V191" s="73" t="str">
        <f t="shared" si="56"/>
        <v/>
      </c>
      <c r="W191" s="73" t="str">
        <f t="shared" si="56"/>
        <v/>
      </c>
      <c r="X191" s="73" t="str">
        <f t="shared" si="56"/>
        <v/>
      </c>
      <c r="Y191" s="73" t="str">
        <f t="shared" si="56"/>
        <v/>
      </c>
      <c r="Z191" s="73" t="str">
        <f t="shared" si="56"/>
        <v/>
      </c>
      <c r="AA191" s="73" t="str">
        <f t="shared" si="56"/>
        <v/>
      </c>
      <c r="AB191" s="74" t="str">
        <f t="shared" si="56"/>
        <v/>
      </c>
      <c r="AC191" s="35" t="str">
        <f t="shared" si="48"/>
        <v/>
      </c>
      <c r="AD191" s="40" t="str">
        <f t="shared" si="49"/>
        <v/>
      </c>
      <c r="AE191" s="37" t="str">
        <f t="shared" si="50"/>
        <v/>
      </c>
      <c r="AF191" s="40" t="str">
        <f t="shared" si="42"/>
        <v/>
      </c>
      <c r="AG191" s="37" t="str">
        <f t="shared" si="43"/>
        <v/>
      </c>
      <c r="AH191" s="40" t="str">
        <f t="shared" si="44"/>
        <v/>
      </c>
      <c r="AI191" s="37" t="str">
        <f t="shared" si="51"/>
        <v/>
      </c>
      <c r="AJ191" s="40" t="str">
        <f t="shared" si="52"/>
        <v/>
      </c>
      <c r="AK191" s="33" t="str">
        <f>IF(SEM!AK191="","",SEM!AK191)</f>
        <v/>
      </c>
      <c r="AL191" s="6"/>
      <c r="AM191" s="79" t="str">
        <f t="shared" si="45"/>
        <v/>
      </c>
      <c r="AN191" s="12"/>
      <c r="AO191" s="12"/>
      <c r="AP191" s="14"/>
      <c r="AQ191" s="16"/>
      <c r="AR191" s="15"/>
      <c r="AU191" s="198"/>
      <c r="AV191" s="198"/>
      <c r="AW191" s="198"/>
      <c r="AX191" s="198"/>
    </row>
    <row r="192" spans="2:50" ht="17.25" customHeight="1" x14ac:dyDescent="0.2">
      <c r="B192" s="6"/>
      <c r="C192" s="49" t="str">
        <f>IF(SEM!C192="","",SEM!C192)</f>
        <v/>
      </c>
      <c r="D192" s="220" t="str">
        <f>IF(C192="","",VLOOKUP(SEM!C192,FROTA!$B$5:$C$305,2,0))</f>
        <v/>
      </c>
      <c r="E192" s="24" t="str">
        <f>IF(C192="","",VLOOKUP(C192,FROTA!$B$5:$N$305,7,0))</f>
        <v/>
      </c>
      <c r="F192" s="38" t="str">
        <f t="shared" si="41"/>
        <v/>
      </c>
      <c r="G192" s="71" t="str">
        <f t="shared" si="46"/>
        <v/>
      </c>
      <c r="H192" s="32" t="str">
        <f t="shared" si="53"/>
        <v/>
      </c>
      <c r="I192" s="73" t="str">
        <f t="shared" si="53"/>
        <v/>
      </c>
      <c r="J192" s="73" t="str">
        <f t="shared" si="53"/>
        <v/>
      </c>
      <c r="K192" s="73" t="str">
        <f t="shared" si="55"/>
        <v/>
      </c>
      <c r="L192" s="73" t="str">
        <f t="shared" si="55"/>
        <v/>
      </c>
      <c r="M192" s="73" t="str">
        <f t="shared" si="55"/>
        <v/>
      </c>
      <c r="N192" s="73" t="str">
        <f t="shared" si="55"/>
        <v/>
      </c>
      <c r="O192" s="73" t="str">
        <f t="shared" si="55"/>
        <v/>
      </c>
      <c r="P192" s="73" t="str">
        <f t="shared" si="55"/>
        <v/>
      </c>
      <c r="Q192" s="73" t="str">
        <f t="shared" si="55"/>
        <v/>
      </c>
      <c r="R192" s="73" t="str">
        <f t="shared" si="56"/>
        <v/>
      </c>
      <c r="S192" s="73" t="str">
        <f t="shared" si="56"/>
        <v/>
      </c>
      <c r="T192" s="73" t="str">
        <f t="shared" si="56"/>
        <v/>
      </c>
      <c r="U192" s="73" t="str">
        <f t="shared" si="56"/>
        <v/>
      </c>
      <c r="V192" s="73" t="str">
        <f t="shared" si="56"/>
        <v/>
      </c>
      <c r="W192" s="73" t="str">
        <f t="shared" si="56"/>
        <v/>
      </c>
      <c r="X192" s="73" t="str">
        <f t="shared" si="56"/>
        <v/>
      </c>
      <c r="Y192" s="73" t="str">
        <f t="shared" si="56"/>
        <v/>
      </c>
      <c r="Z192" s="73" t="str">
        <f t="shared" si="56"/>
        <v/>
      </c>
      <c r="AA192" s="73" t="str">
        <f t="shared" si="56"/>
        <v/>
      </c>
      <c r="AB192" s="74" t="str">
        <f t="shared" si="56"/>
        <v/>
      </c>
      <c r="AC192" s="35" t="str">
        <f t="shared" si="48"/>
        <v/>
      </c>
      <c r="AD192" s="40" t="str">
        <f t="shared" si="49"/>
        <v/>
      </c>
      <c r="AE192" s="37" t="str">
        <f t="shared" si="50"/>
        <v/>
      </c>
      <c r="AF192" s="40" t="str">
        <f t="shared" si="42"/>
        <v/>
      </c>
      <c r="AG192" s="37" t="str">
        <f t="shared" si="43"/>
        <v/>
      </c>
      <c r="AH192" s="40" t="str">
        <f t="shared" si="44"/>
        <v/>
      </c>
      <c r="AI192" s="37" t="str">
        <f t="shared" si="51"/>
        <v/>
      </c>
      <c r="AJ192" s="40" t="str">
        <f t="shared" si="52"/>
        <v/>
      </c>
      <c r="AK192" s="33" t="str">
        <f>IF(SEM!AK192="","",SEM!AK192)</f>
        <v/>
      </c>
      <c r="AL192" s="6"/>
      <c r="AM192" s="79" t="str">
        <f t="shared" si="45"/>
        <v/>
      </c>
      <c r="AN192" s="12"/>
      <c r="AO192" s="12"/>
      <c r="AP192" s="14"/>
      <c r="AQ192" s="16"/>
      <c r="AR192" s="15"/>
      <c r="AU192" s="198"/>
      <c r="AV192" s="198"/>
      <c r="AW192" s="198"/>
      <c r="AX192" s="198"/>
    </row>
    <row r="193" spans="2:50" ht="17.25" customHeight="1" x14ac:dyDescent="0.2">
      <c r="B193" s="6"/>
      <c r="C193" s="49" t="str">
        <f>IF(SEM!C193="","",SEM!C193)</f>
        <v/>
      </c>
      <c r="D193" s="220" t="str">
        <f>IF(C193="","",VLOOKUP(SEM!C193,FROTA!$B$5:$C$305,2,0))</f>
        <v/>
      </c>
      <c r="E193" s="24" t="str">
        <f>IF(C193="","",VLOOKUP(C193,FROTA!$B$5:$N$305,7,0))</f>
        <v/>
      </c>
      <c r="F193" s="38" t="str">
        <f t="shared" si="41"/>
        <v/>
      </c>
      <c r="G193" s="71" t="str">
        <f t="shared" si="46"/>
        <v/>
      </c>
      <c r="H193" s="32" t="str">
        <f t="shared" si="53"/>
        <v/>
      </c>
      <c r="I193" s="73" t="str">
        <f t="shared" si="53"/>
        <v/>
      </c>
      <c r="J193" s="73" t="str">
        <f t="shared" si="53"/>
        <v/>
      </c>
      <c r="K193" s="73" t="str">
        <f t="shared" si="55"/>
        <v/>
      </c>
      <c r="L193" s="73" t="str">
        <f t="shared" si="55"/>
        <v/>
      </c>
      <c r="M193" s="73" t="str">
        <f t="shared" si="55"/>
        <v/>
      </c>
      <c r="N193" s="73" t="str">
        <f t="shared" si="55"/>
        <v/>
      </c>
      <c r="O193" s="73" t="str">
        <f t="shared" si="55"/>
        <v/>
      </c>
      <c r="P193" s="73" t="str">
        <f t="shared" si="55"/>
        <v/>
      </c>
      <c r="Q193" s="73" t="str">
        <f t="shared" si="55"/>
        <v/>
      </c>
      <c r="R193" s="73" t="str">
        <f t="shared" si="56"/>
        <v/>
      </c>
      <c r="S193" s="73" t="str">
        <f t="shared" si="56"/>
        <v/>
      </c>
      <c r="T193" s="73" t="str">
        <f t="shared" si="56"/>
        <v/>
      </c>
      <c r="U193" s="73" t="str">
        <f t="shared" si="56"/>
        <v/>
      </c>
      <c r="V193" s="73" t="str">
        <f t="shared" si="56"/>
        <v/>
      </c>
      <c r="W193" s="73" t="str">
        <f t="shared" si="56"/>
        <v/>
      </c>
      <c r="X193" s="73" t="str">
        <f t="shared" si="56"/>
        <v/>
      </c>
      <c r="Y193" s="73" t="str">
        <f t="shared" si="56"/>
        <v/>
      </c>
      <c r="Z193" s="73" t="str">
        <f t="shared" si="56"/>
        <v/>
      </c>
      <c r="AA193" s="73" t="str">
        <f t="shared" si="56"/>
        <v/>
      </c>
      <c r="AB193" s="74" t="str">
        <f t="shared" si="56"/>
        <v/>
      </c>
      <c r="AC193" s="35" t="str">
        <f t="shared" si="48"/>
        <v/>
      </c>
      <c r="AD193" s="40" t="str">
        <f t="shared" si="49"/>
        <v/>
      </c>
      <c r="AE193" s="37" t="str">
        <f t="shared" si="50"/>
        <v/>
      </c>
      <c r="AF193" s="40" t="str">
        <f t="shared" si="42"/>
        <v/>
      </c>
      <c r="AG193" s="37" t="str">
        <f t="shared" si="43"/>
        <v/>
      </c>
      <c r="AH193" s="40" t="str">
        <f t="shared" si="44"/>
        <v/>
      </c>
      <c r="AI193" s="37" t="str">
        <f t="shared" si="51"/>
        <v/>
      </c>
      <c r="AJ193" s="40" t="str">
        <f t="shared" si="52"/>
        <v/>
      </c>
      <c r="AK193" s="33" t="str">
        <f>IF(SEM!AK193="","",SEM!AK193)</f>
        <v/>
      </c>
      <c r="AL193" s="6"/>
      <c r="AM193" s="79" t="str">
        <f t="shared" si="45"/>
        <v/>
      </c>
      <c r="AN193" s="12"/>
      <c r="AO193" s="12"/>
      <c r="AP193" s="14"/>
      <c r="AQ193" s="16"/>
      <c r="AR193" s="15"/>
      <c r="AU193" s="198"/>
      <c r="AV193" s="198"/>
      <c r="AW193" s="198"/>
      <c r="AX193" s="198"/>
    </row>
    <row r="194" spans="2:50" ht="17.25" customHeight="1" x14ac:dyDescent="0.2">
      <c r="B194" s="6"/>
      <c r="C194" s="49" t="str">
        <f>IF(SEM!C194="","",SEM!C194)</f>
        <v/>
      </c>
      <c r="D194" s="220" t="str">
        <f>IF(C194="","",VLOOKUP(SEM!C194,FROTA!$B$5:$C$305,2,0))</f>
        <v/>
      </c>
      <c r="E194" s="24" t="str">
        <f>IF(C194="","",VLOOKUP(C194,FROTA!$B$5:$N$305,7,0))</f>
        <v/>
      </c>
      <c r="F194" s="38" t="str">
        <f t="shared" si="41"/>
        <v/>
      </c>
      <c r="G194" s="71" t="str">
        <f t="shared" si="46"/>
        <v/>
      </c>
      <c r="H194" s="32" t="str">
        <f t="shared" si="53"/>
        <v/>
      </c>
      <c r="I194" s="73" t="str">
        <f t="shared" si="53"/>
        <v/>
      </c>
      <c r="J194" s="73" t="str">
        <f t="shared" si="53"/>
        <v/>
      </c>
      <c r="K194" s="73" t="str">
        <f t="shared" si="55"/>
        <v/>
      </c>
      <c r="L194" s="73" t="str">
        <f t="shared" si="55"/>
        <v/>
      </c>
      <c r="M194" s="73" t="str">
        <f t="shared" si="55"/>
        <v/>
      </c>
      <c r="N194" s="73" t="str">
        <f t="shared" si="55"/>
        <v/>
      </c>
      <c r="O194" s="73" t="str">
        <f t="shared" si="55"/>
        <v/>
      </c>
      <c r="P194" s="73" t="str">
        <f t="shared" si="55"/>
        <v/>
      </c>
      <c r="Q194" s="73" t="str">
        <f t="shared" si="55"/>
        <v/>
      </c>
      <c r="R194" s="73" t="str">
        <f t="shared" si="56"/>
        <v/>
      </c>
      <c r="S194" s="73" t="str">
        <f t="shared" si="56"/>
        <v/>
      </c>
      <c r="T194" s="73" t="str">
        <f t="shared" si="56"/>
        <v/>
      </c>
      <c r="U194" s="73" t="str">
        <f t="shared" si="56"/>
        <v/>
      </c>
      <c r="V194" s="73" t="str">
        <f t="shared" si="56"/>
        <v/>
      </c>
      <c r="W194" s="73" t="str">
        <f t="shared" si="56"/>
        <v/>
      </c>
      <c r="X194" s="73" t="str">
        <f t="shared" si="56"/>
        <v/>
      </c>
      <c r="Y194" s="73" t="str">
        <f t="shared" si="56"/>
        <v/>
      </c>
      <c r="Z194" s="73" t="str">
        <f t="shared" si="56"/>
        <v/>
      </c>
      <c r="AA194" s="73" t="str">
        <f t="shared" si="56"/>
        <v/>
      </c>
      <c r="AB194" s="74" t="str">
        <f t="shared" si="56"/>
        <v/>
      </c>
      <c r="AC194" s="35" t="str">
        <f t="shared" si="48"/>
        <v/>
      </c>
      <c r="AD194" s="40" t="str">
        <f t="shared" si="49"/>
        <v/>
      </c>
      <c r="AE194" s="37" t="str">
        <f t="shared" si="50"/>
        <v/>
      </c>
      <c r="AF194" s="40" t="str">
        <f t="shared" si="42"/>
        <v/>
      </c>
      <c r="AG194" s="37" t="str">
        <f t="shared" si="43"/>
        <v/>
      </c>
      <c r="AH194" s="40" t="str">
        <f t="shared" si="44"/>
        <v/>
      </c>
      <c r="AI194" s="37" t="str">
        <f t="shared" si="51"/>
        <v/>
      </c>
      <c r="AJ194" s="40" t="str">
        <f t="shared" si="52"/>
        <v/>
      </c>
      <c r="AK194" s="33" t="str">
        <f>IF(SEM!AK194="","",SEM!AK194)</f>
        <v/>
      </c>
      <c r="AL194" s="6"/>
      <c r="AM194" s="79" t="str">
        <f t="shared" si="45"/>
        <v/>
      </c>
      <c r="AN194" s="12"/>
      <c r="AO194" s="12"/>
      <c r="AP194" s="14"/>
      <c r="AQ194" s="16"/>
      <c r="AR194" s="15"/>
      <c r="AU194" s="198"/>
      <c r="AV194" s="198"/>
      <c r="AW194" s="198"/>
      <c r="AX194" s="198"/>
    </row>
    <row r="195" spans="2:50" ht="17.25" customHeight="1" x14ac:dyDescent="0.2">
      <c r="B195" s="6"/>
      <c r="C195" s="49" t="str">
        <f>IF(SEM!C195="","",SEM!C195)</f>
        <v/>
      </c>
      <c r="D195" s="220" t="str">
        <f>IF(C195="","",VLOOKUP(SEM!C195,FROTA!$B$5:$C$305,2,0))</f>
        <v/>
      </c>
      <c r="E195" s="24" t="str">
        <f>IF(C195="","",VLOOKUP(C195,FROTA!$B$5:$N$305,7,0))</f>
        <v/>
      </c>
      <c r="F195" s="38" t="str">
        <f t="shared" si="41"/>
        <v/>
      </c>
      <c r="G195" s="71" t="str">
        <f t="shared" si="46"/>
        <v/>
      </c>
      <c r="H195" s="32" t="str">
        <f t="shared" si="53"/>
        <v/>
      </c>
      <c r="I195" s="73" t="str">
        <f t="shared" si="53"/>
        <v/>
      </c>
      <c r="J195" s="73" t="str">
        <f t="shared" si="53"/>
        <v/>
      </c>
      <c r="K195" s="73" t="str">
        <f t="shared" si="55"/>
        <v/>
      </c>
      <c r="L195" s="73" t="str">
        <f t="shared" si="55"/>
        <v/>
      </c>
      <c r="M195" s="73" t="str">
        <f t="shared" si="55"/>
        <v/>
      </c>
      <c r="N195" s="73" t="str">
        <f t="shared" si="55"/>
        <v/>
      </c>
      <c r="O195" s="73" t="str">
        <f t="shared" si="55"/>
        <v/>
      </c>
      <c r="P195" s="73" t="str">
        <f t="shared" si="55"/>
        <v/>
      </c>
      <c r="Q195" s="73" t="str">
        <f t="shared" si="55"/>
        <v/>
      </c>
      <c r="R195" s="73" t="str">
        <f t="shared" si="56"/>
        <v/>
      </c>
      <c r="S195" s="73" t="str">
        <f t="shared" si="56"/>
        <v/>
      </c>
      <c r="T195" s="73" t="str">
        <f t="shared" si="56"/>
        <v/>
      </c>
      <c r="U195" s="73" t="str">
        <f t="shared" si="56"/>
        <v/>
      </c>
      <c r="V195" s="73" t="str">
        <f t="shared" si="56"/>
        <v/>
      </c>
      <c r="W195" s="73" t="str">
        <f t="shared" si="56"/>
        <v/>
      </c>
      <c r="X195" s="73" t="str">
        <f t="shared" si="56"/>
        <v/>
      </c>
      <c r="Y195" s="73" t="str">
        <f t="shared" si="56"/>
        <v/>
      </c>
      <c r="Z195" s="73" t="str">
        <f t="shared" si="56"/>
        <v/>
      </c>
      <c r="AA195" s="73" t="str">
        <f t="shared" si="56"/>
        <v/>
      </c>
      <c r="AB195" s="74" t="str">
        <f t="shared" si="56"/>
        <v/>
      </c>
      <c r="AC195" s="35" t="str">
        <f t="shared" si="48"/>
        <v/>
      </c>
      <c r="AD195" s="40" t="str">
        <f t="shared" si="49"/>
        <v/>
      </c>
      <c r="AE195" s="37" t="str">
        <f t="shared" si="50"/>
        <v/>
      </c>
      <c r="AF195" s="40" t="str">
        <f t="shared" si="42"/>
        <v/>
      </c>
      <c r="AG195" s="37" t="str">
        <f t="shared" si="43"/>
        <v/>
      </c>
      <c r="AH195" s="40" t="str">
        <f t="shared" si="44"/>
        <v/>
      </c>
      <c r="AI195" s="37" t="str">
        <f t="shared" si="51"/>
        <v/>
      </c>
      <c r="AJ195" s="40" t="str">
        <f t="shared" si="52"/>
        <v/>
      </c>
      <c r="AK195" s="33" t="str">
        <f>IF(SEM!AK195="","",SEM!AK195)</f>
        <v/>
      </c>
      <c r="AL195" s="6"/>
      <c r="AM195" s="79" t="str">
        <f t="shared" si="45"/>
        <v/>
      </c>
      <c r="AN195" s="12"/>
      <c r="AO195" s="12"/>
      <c r="AP195" s="14"/>
      <c r="AQ195" s="15"/>
      <c r="AR195" s="15"/>
      <c r="AU195" s="198"/>
      <c r="AV195" s="198"/>
      <c r="AW195" s="198"/>
      <c r="AX195" s="198"/>
    </row>
    <row r="196" spans="2:50" ht="17.25" customHeight="1" x14ac:dyDescent="0.2">
      <c r="B196" s="6"/>
      <c r="C196" s="49" t="str">
        <f>IF(SEM!C196="","",SEM!C196)</f>
        <v/>
      </c>
      <c r="D196" s="220" t="str">
        <f>IF(C196="","",VLOOKUP(SEM!C196,FROTA!$B$5:$C$305,2,0))</f>
        <v/>
      </c>
      <c r="E196" s="24" t="str">
        <f>IF(C196="","",VLOOKUP(C196,FROTA!$B$5:$N$305,7,0))</f>
        <v/>
      </c>
      <c r="F196" s="38" t="str">
        <f t="shared" si="41"/>
        <v/>
      </c>
      <c r="G196" s="71" t="str">
        <f t="shared" si="46"/>
        <v/>
      </c>
      <c r="H196" s="32" t="str">
        <f t="shared" si="53"/>
        <v/>
      </c>
      <c r="I196" s="73" t="str">
        <f t="shared" si="53"/>
        <v/>
      </c>
      <c r="J196" s="73" t="str">
        <f t="shared" si="53"/>
        <v/>
      </c>
      <c r="K196" s="73" t="str">
        <f t="shared" si="55"/>
        <v/>
      </c>
      <c r="L196" s="73" t="str">
        <f t="shared" si="55"/>
        <v/>
      </c>
      <c r="M196" s="73" t="str">
        <f t="shared" si="55"/>
        <v/>
      </c>
      <c r="N196" s="73" t="str">
        <f t="shared" si="55"/>
        <v/>
      </c>
      <c r="O196" s="73" t="str">
        <f t="shared" si="55"/>
        <v/>
      </c>
      <c r="P196" s="73" t="str">
        <f t="shared" si="55"/>
        <v/>
      </c>
      <c r="Q196" s="73" t="str">
        <f t="shared" si="55"/>
        <v/>
      </c>
      <c r="R196" s="73" t="str">
        <f t="shared" si="56"/>
        <v/>
      </c>
      <c r="S196" s="73" t="str">
        <f t="shared" si="56"/>
        <v/>
      </c>
      <c r="T196" s="73" t="str">
        <f t="shared" si="56"/>
        <v/>
      </c>
      <c r="U196" s="73" t="str">
        <f t="shared" si="56"/>
        <v/>
      </c>
      <c r="V196" s="73" t="str">
        <f t="shared" si="56"/>
        <v/>
      </c>
      <c r="W196" s="73" t="str">
        <f t="shared" si="56"/>
        <v/>
      </c>
      <c r="X196" s="73" t="str">
        <f t="shared" si="56"/>
        <v/>
      </c>
      <c r="Y196" s="73" t="str">
        <f t="shared" si="56"/>
        <v/>
      </c>
      <c r="Z196" s="73" t="str">
        <f t="shared" si="56"/>
        <v/>
      </c>
      <c r="AA196" s="73" t="str">
        <f t="shared" si="56"/>
        <v/>
      </c>
      <c r="AB196" s="74" t="str">
        <f t="shared" si="56"/>
        <v/>
      </c>
      <c r="AC196" s="35" t="str">
        <f t="shared" si="48"/>
        <v/>
      </c>
      <c r="AD196" s="40" t="str">
        <f t="shared" si="49"/>
        <v/>
      </c>
      <c r="AE196" s="37" t="str">
        <f t="shared" si="50"/>
        <v/>
      </c>
      <c r="AF196" s="40" t="str">
        <f t="shared" si="42"/>
        <v/>
      </c>
      <c r="AG196" s="37" t="str">
        <f t="shared" si="43"/>
        <v/>
      </c>
      <c r="AH196" s="40" t="str">
        <f t="shared" si="44"/>
        <v/>
      </c>
      <c r="AI196" s="37" t="str">
        <f t="shared" si="51"/>
        <v/>
      </c>
      <c r="AJ196" s="40" t="str">
        <f t="shared" si="52"/>
        <v/>
      </c>
      <c r="AK196" s="33" t="str">
        <f>IF(SEM!AK196="","",SEM!AK196)</f>
        <v/>
      </c>
      <c r="AL196" s="6"/>
      <c r="AM196" s="79" t="str">
        <f t="shared" si="45"/>
        <v/>
      </c>
      <c r="AN196" s="12"/>
      <c r="AO196" s="12"/>
      <c r="AP196" s="14"/>
      <c r="AQ196" s="16"/>
      <c r="AR196" s="15"/>
      <c r="AU196" s="198"/>
      <c r="AV196" s="198"/>
      <c r="AW196" s="198"/>
      <c r="AX196" s="198"/>
    </row>
    <row r="197" spans="2:50" ht="17.25" customHeight="1" x14ac:dyDescent="0.2">
      <c r="B197" s="6"/>
      <c r="C197" s="49" t="str">
        <f>IF(SEM!C197="","",SEM!C197)</f>
        <v/>
      </c>
      <c r="D197" s="220" t="str">
        <f>IF(C197="","",VLOOKUP(SEM!C197,FROTA!$B$5:$C$305,2,0))</f>
        <v/>
      </c>
      <c r="E197" s="24" t="str">
        <f>IF(C197="","",VLOOKUP(C197,FROTA!$B$5:$N$305,7,0))</f>
        <v/>
      </c>
      <c r="F197" s="38" t="str">
        <f t="shared" si="41"/>
        <v/>
      </c>
      <c r="G197" s="71" t="str">
        <f t="shared" si="46"/>
        <v/>
      </c>
      <c r="H197" s="32" t="str">
        <f t="shared" si="53"/>
        <v/>
      </c>
      <c r="I197" s="73" t="str">
        <f t="shared" si="53"/>
        <v/>
      </c>
      <c r="J197" s="73" t="str">
        <f t="shared" si="53"/>
        <v/>
      </c>
      <c r="K197" s="73" t="str">
        <f t="shared" si="55"/>
        <v/>
      </c>
      <c r="L197" s="73" t="str">
        <f t="shared" si="55"/>
        <v/>
      </c>
      <c r="M197" s="73" t="str">
        <f t="shared" si="55"/>
        <v/>
      </c>
      <c r="N197" s="73" t="str">
        <f t="shared" si="55"/>
        <v/>
      </c>
      <c r="O197" s="73" t="str">
        <f t="shared" si="55"/>
        <v/>
      </c>
      <c r="P197" s="73" t="str">
        <f t="shared" si="55"/>
        <v/>
      </c>
      <c r="Q197" s="73" t="str">
        <f t="shared" si="55"/>
        <v/>
      </c>
      <c r="R197" s="73" t="str">
        <f t="shared" si="56"/>
        <v/>
      </c>
      <c r="S197" s="73" t="str">
        <f t="shared" si="56"/>
        <v/>
      </c>
      <c r="T197" s="73" t="str">
        <f t="shared" si="56"/>
        <v/>
      </c>
      <c r="U197" s="73" t="str">
        <f t="shared" si="56"/>
        <v/>
      </c>
      <c r="V197" s="73" t="str">
        <f t="shared" si="56"/>
        <v/>
      </c>
      <c r="W197" s="73" t="str">
        <f t="shared" si="56"/>
        <v/>
      </c>
      <c r="X197" s="73" t="str">
        <f t="shared" si="56"/>
        <v/>
      </c>
      <c r="Y197" s="73" t="str">
        <f t="shared" si="56"/>
        <v/>
      </c>
      <c r="Z197" s="73" t="str">
        <f t="shared" si="56"/>
        <v/>
      </c>
      <c r="AA197" s="73" t="str">
        <f t="shared" si="56"/>
        <v/>
      </c>
      <c r="AB197" s="74" t="str">
        <f t="shared" si="56"/>
        <v/>
      </c>
      <c r="AC197" s="35" t="str">
        <f t="shared" si="48"/>
        <v/>
      </c>
      <c r="AD197" s="40" t="str">
        <f t="shared" si="49"/>
        <v/>
      </c>
      <c r="AE197" s="37" t="str">
        <f t="shared" si="50"/>
        <v/>
      </c>
      <c r="AF197" s="40" t="str">
        <f t="shared" si="42"/>
        <v/>
      </c>
      <c r="AG197" s="37" t="str">
        <f t="shared" si="43"/>
        <v/>
      </c>
      <c r="AH197" s="40" t="str">
        <f t="shared" si="44"/>
        <v/>
      </c>
      <c r="AI197" s="37" t="str">
        <f t="shared" si="51"/>
        <v/>
      </c>
      <c r="AJ197" s="40" t="str">
        <f t="shared" si="52"/>
        <v/>
      </c>
      <c r="AK197" s="33" t="str">
        <f>IF(SEM!AK197="","",SEM!AK197)</f>
        <v/>
      </c>
      <c r="AL197" s="6"/>
      <c r="AM197" s="79" t="str">
        <f t="shared" si="45"/>
        <v/>
      </c>
      <c r="AN197" s="12"/>
      <c r="AO197" s="12"/>
      <c r="AP197" s="14"/>
      <c r="AQ197" s="15"/>
      <c r="AR197" s="15"/>
      <c r="AU197" s="198"/>
      <c r="AV197" s="198"/>
      <c r="AW197" s="198"/>
      <c r="AX197" s="198"/>
    </row>
    <row r="198" spans="2:50" ht="17.25" customHeight="1" x14ac:dyDescent="0.2">
      <c r="B198" s="6"/>
      <c r="C198" s="49" t="str">
        <f>IF(SEM!C198="","",SEM!C198)</f>
        <v/>
      </c>
      <c r="D198" s="220" t="str">
        <f>IF(C198="","",VLOOKUP(SEM!C198,FROTA!$B$5:$C$305,2,0))</f>
        <v/>
      </c>
      <c r="E198" s="24" t="str">
        <f>IF(C198="","",VLOOKUP(C198,FROTA!$B$5:$N$305,7,0))</f>
        <v/>
      </c>
      <c r="F198" s="38" t="str">
        <f t="shared" si="41"/>
        <v/>
      </c>
      <c r="G198" s="71" t="str">
        <f t="shared" si="46"/>
        <v/>
      </c>
      <c r="H198" s="32" t="str">
        <f t="shared" si="53"/>
        <v/>
      </c>
      <c r="I198" s="73" t="str">
        <f t="shared" si="53"/>
        <v/>
      </c>
      <c r="J198" s="73" t="str">
        <f t="shared" si="53"/>
        <v/>
      </c>
      <c r="K198" s="73" t="str">
        <f t="shared" si="55"/>
        <v/>
      </c>
      <c r="L198" s="73" t="str">
        <f t="shared" si="55"/>
        <v/>
      </c>
      <c r="M198" s="73" t="str">
        <f t="shared" si="55"/>
        <v/>
      </c>
      <c r="N198" s="73" t="str">
        <f t="shared" si="55"/>
        <v/>
      </c>
      <c r="O198" s="73" t="str">
        <f t="shared" si="55"/>
        <v/>
      </c>
      <c r="P198" s="73" t="str">
        <f t="shared" si="55"/>
        <v/>
      </c>
      <c r="Q198" s="73" t="str">
        <f t="shared" si="55"/>
        <v/>
      </c>
      <c r="R198" s="73" t="str">
        <f t="shared" si="56"/>
        <v/>
      </c>
      <c r="S198" s="73" t="str">
        <f t="shared" si="56"/>
        <v/>
      </c>
      <c r="T198" s="73" t="str">
        <f t="shared" si="56"/>
        <v/>
      </c>
      <c r="U198" s="73" t="str">
        <f t="shared" si="56"/>
        <v/>
      </c>
      <c r="V198" s="73" t="str">
        <f t="shared" si="56"/>
        <v/>
      </c>
      <c r="W198" s="73" t="str">
        <f t="shared" si="56"/>
        <v/>
      </c>
      <c r="X198" s="73" t="str">
        <f t="shared" si="56"/>
        <v/>
      </c>
      <c r="Y198" s="73" t="str">
        <f t="shared" si="56"/>
        <v/>
      </c>
      <c r="Z198" s="73" t="str">
        <f t="shared" si="56"/>
        <v/>
      </c>
      <c r="AA198" s="73" t="str">
        <f t="shared" si="56"/>
        <v/>
      </c>
      <c r="AB198" s="74" t="str">
        <f t="shared" si="56"/>
        <v/>
      </c>
      <c r="AC198" s="35" t="str">
        <f t="shared" si="48"/>
        <v/>
      </c>
      <c r="AD198" s="40" t="str">
        <f t="shared" si="49"/>
        <v/>
      </c>
      <c r="AE198" s="37" t="str">
        <f t="shared" si="50"/>
        <v/>
      </c>
      <c r="AF198" s="40" t="str">
        <f t="shared" si="42"/>
        <v/>
      </c>
      <c r="AG198" s="37" t="str">
        <f t="shared" si="43"/>
        <v/>
      </c>
      <c r="AH198" s="40" t="str">
        <f t="shared" si="44"/>
        <v/>
      </c>
      <c r="AI198" s="37" t="str">
        <f t="shared" si="51"/>
        <v/>
      </c>
      <c r="AJ198" s="40" t="str">
        <f t="shared" si="52"/>
        <v/>
      </c>
      <c r="AK198" s="33" t="str">
        <f>IF(SEM!AK198="","",SEM!AK198)</f>
        <v/>
      </c>
      <c r="AL198" s="6"/>
      <c r="AM198" s="79" t="str">
        <f t="shared" si="45"/>
        <v/>
      </c>
      <c r="AN198" s="12"/>
      <c r="AO198" s="12"/>
      <c r="AP198" s="14"/>
      <c r="AQ198" s="14"/>
      <c r="AR198" s="15"/>
      <c r="AU198" s="198"/>
      <c r="AV198" s="198"/>
      <c r="AW198" s="198"/>
      <c r="AX198" s="198"/>
    </row>
    <row r="199" spans="2:50" ht="17.25" customHeight="1" x14ac:dyDescent="0.2">
      <c r="B199" s="6"/>
      <c r="C199" s="49" t="str">
        <f>IF(SEM!C199="","",SEM!C199)</f>
        <v/>
      </c>
      <c r="D199" s="220" t="str">
        <f>IF(C199="","",VLOOKUP(SEM!C199,FROTA!$B$5:$C$305,2,0))</f>
        <v/>
      </c>
      <c r="E199" s="24" t="str">
        <f>IF(C199="","",VLOOKUP(C199,FROTA!$B$5:$N$305,7,0))</f>
        <v/>
      </c>
      <c r="F199" s="38" t="str">
        <f t="shared" ref="F199:F262" si="57">IF(E199="","",VLOOKUP(E199,$AP$5:$AQ$18,2,0))</f>
        <v/>
      </c>
      <c r="G199" s="71" t="str">
        <f t="shared" si="46"/>
        <v/>
      </c>
      <c r="H199" s="32" t="str">
        <f t="shared" si="53"/>
        <v/>
      </c>
      <c r="I199" s="73" t="str">
        <f t="shared" si="53"/>
        <v/>
      </c>
      <c r="J199" s="73" t="str">
        <f t="shared" si="53"/>
        <v/>
      </c>
      <c r="K199" s="73" t="str">
        <f t="shared" si="55"/>
        <v/>
      </c>
      <c r="L199" s="73" t="str">
        <f t="shared" si="55"/>
        <v/>
      </c>
      <c r="M199" s="73" t="str">
        <f t="shared" si="55"/>
        <v/>
      </c>
      <c r="N199" s="73" t="str">
        <f t="shared" si="55"/>
        <v/>
      </c>
      <c r="O199" s="73" t="str">
        <f t="shared" si="55"/>
        <v/>
      </c>
      <c r="P199" s="73" t="str">
        <f t="shared" si="55"/>
        <v/>
      </c>
      <c r="Q199" s="73" t="str">
        <f t="shared" si="55"/>
        <v/>
      </c>
      <c r="R199" s="73" t="str">
        <f t="shared" si="56"/>
        <v/>
      </c>
      <c r="S199" s="73" t="str">
        <f t="shared" si="56"/>
        <v/>
      </c>
      <c r="T199" s="73" t="str">
        <f t="shared" si="56"/>
        <v/>
      </c>
      <c r="U199" s="73" t="str">
        <f t="shared" si="56"/>
        <v/>
      </c>
      <c r="V199" s="73" t="str">
        <f t="shared" si="56"/>
        <v/>
      </c>
      <c r="W199" s="73" t="str">
        <f t="shared" si="56"/>
        <v/>
      </c>
      <c r="X199" s="73" t="str">
        <f t="shared" si="56"/>
        <v/>
      </c>
      <c r="Y199" s="73" t="str">
        <f t="shared" si="56"/>
        <v/>
      </c>
      <c r="Z199" s="73" t="str">
        <f t="shared" si="56"/>
        <v/>
      </c>
      <c r="AA199" s="73" t="str">
        <f t="shared" si="56"/>
        <v/>
      </c>
      <c r="AB199" s="74" t="str">
        <f t="shared" si="56"/>
        <v/>
      </c>
      <c r="AC199" s="35" t="str">
        <f t="shared" si="48"/>
        <v/>
      </c>
      <c r="AD199" s="40" t="str">
        <f t="shared" si="49"/>
        <v/>
      </c>
      <c r="AE199" s="37" t="str">
        <f t="shared" si="50"/>
        <v/>
      </c>
      <c r="AF199" s="40" t="str">
        <f t="shared" ref="AF199:AF204" si="58">IF(C199="","",SUM(H199:Q199))</f>
        <v/>
      </c>
      <c r="AG199" s="37" t="str">
        <f t="shared" ref="AG199:AG204" si="59">IF(C199="","",SUM(R199:AB199)*AK199)</f>
        <v/>
      </c>
      <c r="AH199" s="40" t="str">
        <f t="shared" ref="AH199:AH204" si="60">IF(C199="","",SUM(R199:AB199))</f>
        <v/>
      </c>
      <c r="AI199" s="37" t="str">
        <f t="shared" si="51"/>
        <v/>
      </c>
      <c r="AJ199" s="40" t="str">
        <f t="shared" si="52"/>
        <v/>
      </c>
      <c r="AK199" s="33" t="str">
        <f>IF(SEM!AK199="","",SEM!AK199)</f>
        <v/>
      </c>
      <c r="AL199" s="6"/>
      <c r="AM199" s="79" t="str">
        <f t="shared" ref="AM199:AM262" si="61">IF(C199="","",SUM(H199:AB199))</f>
        <v/>
      </c>
      <c r="AN199" s="12"/>
      <c r="AO199" s="12"/>
      <c r="AP199" s="14"/>
      <c r="AQ199" s="14"/>
      <c r="AR199" s="15"/>
      <c r="AU199" s="198"/>
      <c r="AV199" s="198"/>
      <c r="AW199" s="198"/>
      <c r="AX199" s="198"/>
    </row>
    <row r="200" spans="2:50" ht="17.25" customHeight="1" x14ac:dyDescent="0.2">
      <c r="B200" s="6"/>
      <c r="C200" s="49" t="str">
        <f>IF(SEM!C200="","",SEM!C200)</f>
        <v/>
      </c>
      <c r="D200" s="220" t="str">
        <f>IF(C200="","",VLOOKUP(SEM!C200,FROTA!$B$5:$C$305,2,0))</f>
        <v/>
      </c>
      <c r="E200" s="24" t="str">
        <f>IF(C200="","",VLOOKUP(C200,FROTA!$B$5:$N$305,7,0))</f>
        <v/>
      </c>
      <c r="F200" s="38" t="str">
        <f t="shared" si="57"/>
        <v/>
      </c>
      <c r="G200" s="71" t="str">
        <f t="shared" si="46"/>
        <v/>
      </c>
      <c r="H200" s="32" t="str">
        <f t="shared" si="53"/>
        <v/>
      </c>
      <c r="I200" s="73" t="str">
        <f t="shared" si="53"/>
        <v/>
      </c>
      <c r="J200" s="73" t="str">
        <f t="shared" si="53"/>
        <v/>
      </c>
      <c r="K200" s="73" t="str">
        <f t="shared" si="55"/>
        <v/>
      </c>
      <c r="L200" s="73" t="str">
        <f t="shared" si="55"/>
        <v/>
      </c>
      <c r="M200" s="73" t="str">
        <f t="shared" si="55"/>
        <v/>
      </c>
      <c r="N200" s="73" t="str">
        <f t="shared" si="55"/>
        <v/>
      </c>
      <c r="O200" s="73" t="str">
        <f t="shared" si="55"/>
        <v/>
      </c>
      <c r="P200" s="73" t="str">
        <f t="shared" si="55"/>
        <v/>
      </c>
      <c r="Q200" s="73" t="str">
        <f t="shared" si="55"/>
        <v/>
      </c>
      <c r="R200" s="73" t="str">
        <f t="shared" si="56"/>
        <v/>
      </c>
      <c r="S200" s="73" t="str">
        <f t="shared" si="56"/>
        <v/>
      </c>
      <c r="T200" s="73" t="str">
        <f t="shared" si="56"/>
        <v/>
      </c>
      <c r="U200" s="73" t="str">
        <f t="shared" si="56"/>
        <v/>
      </c>
      <c r="V200" s="73" t="str">
        <f t="shared" si="56"/>
        <v/>
      </c>
      <c r="W200" s="73" t="str">
        <f t="shared" si="56"/>
        <v/>
      </c>
      <c r="X200" s="73" t="str">
        <f t="shared" si="56"/>
        <v/>
      </c>
      <c r="Y200" s="73" t="str">
        <f t="shared" si="56"/>
        <v/>
      </c>
      <c r="Z200" s="73" t="str">
        <f t="shared" si="56"/>
        <v/>
      </c>
      <c r="AA200" s="73" t="str">
        <f t="shared" si="56"/>
        <v/>
      </c>
      <c r="AB200" s="74" t="str">
        <f t="shared" si="56"/>
        <v/>
      </c>
      <c r="AC200" s="35" t="str">
        <f t="shared" si="48"/>
        <v/>
      </c>
      <c r="AD200" s="40" t="str">
        <f t="shared" si="49"/>
        <v/>
      </c>
      <c r="AE200" s="37" t="str">
        <f t="shared" si="50"/>
        <v/>
      </c>
      <c r="AF200" s="40" t="str">
        <f t="shared" si="58"/>
        <v/>
      </c>
      <c r="AG200" s="37" t="str">
        <f t="shared" si="59"/>
        <v/>
      </c>
      <c r="AH200" s="40" t="str">
        <f t="shared" si="60"/>
        <v/>
      </c>
      <c r="AI200" s="37" t="str">
        <f t="shared" si="51"/>
        <v/>
      </c>
      <c r="AJ200" s="40" t="str">
        <f t="shared" si="52"/>
        <v/>
      </c>
      <c r="AK200" s="33" t="str">
        <f>IF(SEM!AK200="","",SEM!AK200)</f>
        <v/>
      </c>
      <c r="AL200" s="6"/>
      <c r="AM200" s="79" t="str">
        <f t="shared" si="61"/>
        <v/>
      </c>
      <c r="AN200" s="12"/>
      <c r="AO200" s="12"/>
      <c r="AP200" s="14"/>
      <c r="AQ200" s="14"/>
      <c r="AR200" s="15"/>
      <c r="AU200" s="198"/>
      <c r="AV200" s="198"/>
      <c r="AW200" s="198"/>
      <c r="AX200" s="198"/>
    </row>
    <row r="201" spans="2:50" ht="17.25" customHeight="1" x14ac:dyDescent="0.2">
      <c r="B201" s="6"/>
      <c r="C201" s="49" t="str">
        <f>IF(SEM!C201="","",SEM!C201)</f>
        <v/>
      </c>
      <c r="D201" s="220" t="str">
        <f>IF(C201="","",VLOOKUP(SEM!C201,FROTA!$B$5:$C$305,2,0))</f>
        <v/>
      </c>
      <c r="E201" s="24" t="str">
        <f>IF(C201="","",VLOOKUP(C201,FROTA!$B$5:$N$305,7,0))</f>
        <v/>
      </c>
      <c r="F201" s="38" t="str">
        <f t="shared" si="57"/>
        <v/>
      </c>
      <c r="G201" s="71" t="str">
        <f t="shared" ref="G201:G264" si="62">IF(C201="","",F201/$F$307)</f>
        <v/>
      </c>
      <c r="H201" s="32" t="str">
        <f t="shared" si="53"/>
        <v/>
      </c>
      <c r="I201" s="73" t="str">
        <f t="shared" si="53"/>
        <v/>
      </c>
      <c r="J201" s="73" t="str">
        <f t="shared" si="53"/>
        <v/>
      </c>
      <c r="K201" s="73" t="str">
        <f t="shared" si="55"/>
        <v/>
      </c>
      <c r="L201" s="73" t="str">
        <f t="shared" si="55"/>
        <v/>
      </c>
      <c r="M201" s="73" t="str">
        <f t="shared" si="55"/>
        <v/>
      </c>
      <c r="N201" s="73" t="str">
        <f t="shared" si="55"/>
        <v/>
      </c>
      <c r="O201" s="73" t="str">
        <f t="shared" si="55"/>
        <v/>
      </c>
      <c r="P201" s="73" t="str">
        <f t="shared" si="55"/>
        <v/>
      </c>
      <c r="Q201" s="73" t="str">
        <f t="shared" si="55"/>
        <v/>
      </c>
      <c r="R201" s="73" t="str">
        <f t="shared" si="56"/>
        <v/>
      </c>
      <c r="S201" s="73" t="str">
        <f t="shared" si="56"/>
        <v/>
      </c>
      <c r="T201" s="73" t="str">
        <f t="shared" si="56"/>
        <v/>
      </c>
      <c r="U201" s="73" t="str">
        <f t="shared" si="56"/>
        <v/>
      </c>
      <c r="V201" s="73" t="str">
        <f t="shared" si="56"/>
        <v/>
      </c>
      <c r="W201" s="73" t="str">
        <f t="shared" si="56"/>
        <v/>
      </c>
      <c r="X201" s="73" t="str">
        <f t="shared" si="56"/>
        <v/>
      </c>
      <c r="Y201" s="73" t="str">
        <f t="shared" si="56"/>
        <v/>
      </c>
      <c r="Z201" s="73" t="str">
        <f t="shared" si="56"/>
        <v/>
      </c>
      <c r="AA201" s="73" t="str">
        <f t="shared" si="56"/>
        <v/>
      </c>
      <c r="AB201" s="74" t="str">
        <f t="shared" si="56"/>
        <v/>
      </c>
      <c r="AC201" s="35" t="str">
        <f t="shared" si="48"/>
        <v/>
      </c>
      <c r="AD201" s="40" t="str">
        <f t="shared" si="49"/>
        <v/>
      </c>
      <c r="AE201" s="37" t="str">
        <f t="shared" si="50"/>
        <v/>
      </c>
      <c r="AF201" s="40" t="str">
        <f t="shared" si="58"/>
        <v/>
      </c>
      <c r="AG201" s="37" t="str">
        <f t="shared" si="59"/>
        <v/>
      </c>
      <c r="AH201" s="40" t="str">
        <f t="shared" si="60"/>
        <v/>
      </c>
      <c r="AI201" s="37" t="str">
        <f t="shared" si="51"/>
        <v/>
      </c>
      <c r="AJ201" s="40" t="str">
        <f t="shared" si="52"/>
        <v/>
      </c>
      <c r="AK201" s="33" t="str">
        <f>IF(SEM!AK201="","",SEM!AK201)</f>
        <v/>
      </c>
      <c r="AL201" s="6"/>
      <c r="AM201" s="79" t="str">
        <f t="shared" si="61"/>
        <v/>
      </c>
      <c r="AN201" s="12"/>
      <c r="AO201" s="12"/>
      <c r="AP201" s="14"/>
      <c r="AQ201" s="14"/>
      <c r="AR201" s="15"/>
      <c r="AU201" s="198"/>
      <c r="AV201" s="198"/>
      <c r="AW201" s="198"/>
      <c r="AX201" s="198"/>
    </row>
    <row r="202" spans="2:50" ht="17.25" customHeight="1" x14ac:dyDescent="0.2">
      <c r="B202" s="6"/>
      <c r="C202" s="49" t="str">
        <f>IF(SEM!C202="","",SEM!C202)</f>
        <v/>
      </c>
      <c r="D202" s="220" t="str">
        <f>IF(C202="","",VLOOKUP(SEM!C202,FROTA!$B$5:$C$305,2,0))</f>
        <v/>
      </c>
      <c r="E202" s="24" t="str">
        <f>IF(C202="","",VLOOKUP(C202,FROTA!$B$5:$N$305,7,0))</f>
        <v/>
      </c>
      <c r="F202" s="38" t="str">
        <f t="shared" si="57"/>
        <v/>
      </c>
      <c r="G202" s="71" t="str">
        <f t="shared" si="62"/>
        <v/>
      </c>
      <c r="H202" s="32" t="str">
        <f t="shared" si="53"/>
        <v/>
      </c>
      <c r="I202" s="73" t="str">
        <f t="shared" si="53"/>
        <v/>
      </c>
      <c r="J202" s="73" t="str">
        <f t="shared" si="53"/>
        <v/>
      </c>
      <c r="K202" s="73" t="str">
        <f t="shared" si="55"/>
        <v/>
      </c>
      <c r="L202" s="73" t="str">
        <f t="shared" si="55"/>
        <v/>
      </c>
      <c r="M202" s="73" t="str">
        <f t="shared" si="55"/>
        <v/>
      </c>
      <c r="N202" s="73" t="str">
        <f t="shared" si="55"/>
        <v/>
      </c>
      <c r="O202" s="73" t="str">
        <f t="shared" si="55"/>
        <v/>
      </c>
      <c r="P202" s="73" t="str">
        <f t="shared" si="55"/>
        <v/>
      </c>
      <c r="Q202" s="73" t="str">
        <f t="shared" si="55"/>
        <v/>
      </c>
      <c r="R202" s="73" t="str">
        <f t="shared" si="56"/>
        <v/>
      </c>
      <c r="S202" s="73" t="str">
        <f t="shared" si="56"/>
        <v/>
      </c>
      <c r="T202" s="73" t="str">
        <f t="shared" si="56"/>
        <v/>
      </c>
      <c r="U202" s="73" t="str">
        <f t="shared" si="56"/>
        <v/>
      </c>
      <c r="V202" s="73" t="str">
        <f t="shared" si="56"/>
        <v/>
      </c>
      <c r="W202" s="73" t="str">
        <f t="shared" si="56"/>
        <v/>
      </c>
      <c r="X202" s="73" t="str">
        <f t="shared" si="56"/>
        <v/>
      </c>
      <c r="Y202" s="73" t="str">
        <f t="shared" si="56"/>
        <v/>
      </c>
      <c r="Z202" s="73" t="str">
        <f t="shared" si="56"/>
        <v/>
      </c>
      <c r="AA202" s="73" t="str">
        <f t="shared" si="56"/>
        <v/>
      </c>
      <c r="AB202" s="74" t="str">
        <f t="shared" si="56"/>
        <v/>
      </c>
      <c r="AC202" s="35" t="str">
        <f t="shared" si="48"/>
        <v/>
      </c>
      <c r="AD202" s="40" t="str">
        <f t="shared" si="49"/>
        <v/>
      </c>
      <c r="AE202" s="37" t="str">
        <f t="shared" si="50"/>
        <v/>
      </c>
      <c r="AF202" s="40" t="str">
        <f t="shared" si="58"/>
        <v/>
      </c>
      <c r="AG202" s="37" t="str">
        <f t="shared" si="59"/>
        <v/>
      </c>
      <c r="AH202" s="40" t="str">
        <f t="shared" si="60"/>
        <v/>
      </c>
      <c r="AI202" s="37" t="str">
        <f t="shared" si="51"/>
        <v/>
      </c>
      <c r="AJ202" s="40" t="str">
        <f t="shared" si="52"/>
        <v/>
      </c>
      <c r="AK202" s="33" t="str">
        <f>IF(SEM!AK202="","",SEM!AK202)</f>
        <v/>
      </c>
      <c r="AL202" s="6"/>
      <c r="AM202" s="79" t="str">
        <f t="shared" si="61"/>
        <v/>
      </c>
      <c r="AN202" s="12"/>
      <c r="AO202" s="12"/>
      <c r="AP202" s="14"/>
      <c r="AQ202" s="14"/>
      <c r="AR202" s="15"/>
      <c r="AU202" s="198"/>
      <c r="AV202" s="198"/>
      <c r="AW202" s="198"/>
      <c r="AX202" s="198"/>
    </row>
    <row r="203" spans="2:50" ht="17.25" customHeight="1" x14ac:dyDescent="0.2">
      <c r="B203" s="6"/>
      <c r="C203" s="49" t="str">
        <f>IF(SEM!C203="","",SEM!C203)</f>
        <v/>
      </c>
      <c r="D203" s="220" t="str">
        <f>IF(C203="","",VLOOKUP(SEM!C203,FROTA!$B$5:$C$305,2,0))</f>
        <v/>
      </c>
      <c r="E203" s="24" t="str">
        <f>IF(C203="","",VLOOKUP(C203,FROTA!$B$5:$N$305,7,0))</f>
        <v/>
      </c>
      <c r="F203" s="38" t="str">
        <f t="shared" si="57"/>
        <v/>
      </c>
      <c r="G203" s="71" t="str">
        <f t="shared" si="62"/>
        <v/>
      </c>
      <c r="H203" s="32" t="str">
        <f t="shared" si="53"/>
        <v/>
      </c>
      <c r="I203" s="73" t="str">
        <f t="shared" si="53"/>
        <v/>
      </c>
      <c r="J203" s="73" t="str">
        <f t="shared" si="53"/>
        <v/>
      </c>
      <c r="K203" s="73" t="str">
        <f t="shared" si="55"/>
        <v/>
      </c>
      <c r="L203" s="73" t="str">
        <f t="shared" si="55"/>
        <v/>
      </c>
      <c r="M203" s="73" t="str">
        <f t="shared" si="55"/>
        <v/>
      </c>
      <c r="N203" s="73" t="str">
        <f t="shared" si="55"/>
        <v/>
      </c>
      <c r="O203" s="73" t="str">
        <f t="shared" si="55"/>
        <v/>
      </c>
      <c r="P203" s="73" t="str">
        <f t="shared" si="55"/>
        <v/>
      </c>
      <c r="Q203" s="73" t="str">
        <f t="shared" si="55"/>
        <v/>
      </c>
      <c r="R203" s="73" t="str">
        <f t="shared" si="56"/>
        <v/>
      </c>
      <c r="S203" s="73" t="str">
        <f t="shared" si="56"/>
        <v/>
      </c>
      <c r="T203" s="73" t="str">
        <f t="shared" si="56"/>
        <v/>
      </c>
      <c r="U203" s="73" t="str">
        <f t="shared" si="56"/>
        <v/>
      </c>
      <c r="V203" s="73" t="str">
        <f t="shared" si="56"/>
        <v/>
      </c>
      <c r="W203" s="73" t="str">
        <f t="shared" si="56"/>
        <v/>
      </c>
      <c r="X203" s="73" t="str">
        <f t="shared" si="56"/>
        <v/>
      </c>
      <c r="Y203" s="73" t="str">
        <f t="shared" si="56"/>
        <v/>
      </c>
      <c r="Z203" s="73" t="str">
        <f t="shared" si="56"/>
        <v/>
      </c>
      <c r="AA203" s="73" t="str">
        <f t="shared" si="56"/>
        <v/>
      </c>
      <c r="AB203" s="74" t="str">
        <f t="shared" si="56"/>
        <v/>
      </c>
      <c r="AC203" s="35" t="str">
        <f t="shared" si="48"/>
        <v/>
      </c>
      <c r="AD203" s="40" t="str">
        <f t="shared" si="49"/>
        <v/>
      </c>
      <c r="AE203" s="37" t="str">
        <f t="shared" si="50"/>
        <v/>
      </c>
      <c r="AF203" s="40" t="str">
        <f t="shared" si="58"/>
        <v/>
      </c>
      <c r="AG203" s="37" t="str">
        <f t="shared" si="59"/>
        <v/>
      </c>
      <c r="AH203" s="40" t="str">
        <f t="shared" si="60"/>
        <v/>
      </c>
      <c r="AI203" s="37" t="str">
        <f t="shared" si="51"/>
        <v/>
      </c>
      <c r="AJ203" s="40" t="str">
        <f t="shared" si="52"/>
        <v/>
      </c>
      <c r="AK203" s="33" t="str">
        <f>IF(SEM!AK203="","",SEM!AK203)</f>
        <v/>
      </c>
      <c r="AL203" s="6"/>
      <c r="AM203" s="79" t="str">
        <f t="shared" si="61"/>
        <v/>
      </c>
      <c r="AN203" s="12"/>
      <c r="AO203" s="12"/>
      <c r="AP203" s="14"/>
      <c r="AQ203" s="14"/>
      <c r="AR203" s="15"/>
      <c r="AU203" s="198"/>
      <c r="AV203" s="198"/>
      <c r="AW203" s="198"/>
      <c r="AX203" s="198"/>
    </row>
    <row r="204" spans="2:50" ht="17.25" customHeight="1" x14ac:dyDescent="0.2">
      <c r="B204" s="6"/>
      <c r="C204" s="49" t="str">
        <f>IF(SEM!C204="","",SEM!C204)</f>
        <v/>
      </c>
      <c r="D204" s="220" t="str">
        <f>IF(C204="","",VLOOKUP(SEM!C204,FROTA!$B$5:$C$305,2,0))</f>
        <v/>
      </c>
      <c r="E204" s="24" t="str">
        <f>IF(C204="","",VLOOKUP(C204,FROTA!$B$5:$N$305,7,0))</f>
        <v/>
      </c>
      <c r="F204" s="38" t="str">
        <f t="shared" si="57"/>
        <v/>
      </c>
      <c r="G204" s="71" t="str">
        <f t="shared" si="62"/>
        <v/>
      </c>
      <c r="H204" s="32" t="str">
        <f t="shared" si="53"/>
        <v/>
      </c>
      <c r="I204" s="73" t="str">
        <f t="shared" si="53"/>
        <v/>
      </c>
      <c r="J204" s="73" t="str">
        <f t="shared" si="53"/>
        <v/>
      </c>
      <c r="K204" s="73" t="str">
        <f t="shared" si="55"/>
        <v/>
      </c>
      <c r="L204" s="73" t="str">
        <f t="shared" ref="K204:Q240" si="63">IF($C204="","",IF(SUM(L$307*$G204)&gt;$F204,$F204,SUM(L$307*$G204)))</f>
        <v/>
      </c>
      <c r="M204" s="73" t="str">
        <f t="shared" si="63"/>
        <v/>
      </c>
      <c r="N204" s="73" t="str">
        <f t="shared" si="63"/>
        <v/>
      </c>
      <c r="O204" s="73" t="str">
        <f t="shared" si="63"/>
        <v/>
      </c>
      <c r="P204" s="73" t="str">
        <f t="shared" si="63"/>
        <v/>
      </c>
      <c r="Q204" s="73" t="str">
        <f t="shared" si="63"/>
        <v/>
      </c>
      <c r="R204" s="73" t="str">
        <f t="shared" si="56"/>
        <v/>
      </c>
      <c r="S204" s="73" t="str">
        <f t="shared" si="56"/>
        <v/>
      </c>
      <c r="T204" s="73" t="str">
        <f t="shared" si="56"/>
        <v/>
      </c>
      <c r="U204" s="73" t="str">
        <f t="shared" si="56"/>
        <v/>
      </c>
      <c r="V204" s="73" t="str">
        <f t="shared" si="56"/>
        <v/>
      </c>
      <c r="W204" s="73" t="str">
        <f t="shared" si="56"/>
        <v/>
      </c>
      <c r="X204" s="73" t="str">
        <f t="shared" si="56"/>
        <v/>
      </c>
      <c r="Y204" s="73" t="str">
        <f t="shared" si="56"/>
        <v/>
      </c>
      <c r="Z204" s="73" t="str">
        <f t="shared" si="56"/>
        <v/>
      </c>
      <c r="AA204" s="73" t="str">
        <f t="shared" si="56"/>
        <v/>
      </c>
      <c r="AB204" s="74" t="str">
        <f t="shared" si="56"/>
        <v/>
      </c>
      <c r="AC204" s="35" t="str">
        <f t="shared" si="48"/>
        <v/>
      </c>
      <c r="AD204" s="40" t="str">
        <f t="shared" si="49"/>
        <v/>
      </c>
      <c r="AE204" s="37" t="str">
        <f t="shared" si="50"/>
        <v/>
      </c>
      <c r="AF204" s="40" t="str">
        <f t="shared" si="58"/>
        <v/>
      </c>
      <c r="AG204" s="37" t="str">
        <f t="shared" si="59"/>
        <v/>
      </c>
      <c r="AH204" s="40" t="str">
        <f t="shared" si="60"/>
        <v/>
      </c>
      <c r="AI204" s="37" t="str">
        <f t="shared" si="51"/>
        <v/>
      </c>
      <c r="AJ204" s="40" t="str">
        <f t="shared" si="52"/>
        <v/>
      </c>
      <c r="AK204" s="33" t="str">
        <f>IF(SEM!AK204="","",SEM!AK204)</f>
        <v/>
      </c>
      <c r="AL204" s="6"/>
      <c r="AM204" s="79" t="str">
        <f t="shared" si="61"/>
        <v/>
      </c>
      <c r="AR204" s="5"/>
      <c r="AU204" s="198"/>
      <c r="AV204" s="198"/>
      <c r="AW204" s="198"/>
      <c r="AX204" s="198"/>
    </row>
    <row r="205" spans="2:50" ht="17.25" customHeight="1" x14ac:dyDescent="0.2">
      <c r="B205" s="6"/>
      <c r="C205" s="49" t="str">
        <f>IF(SEM!C205="","",SEM!C205)</f>
        <v/>
      </c>
      <c r="D205" s="220" t="str">
        <f>IF(C205="","",VLOOKUP(SEM!C205,FROTA!$B$5:$C$305,2,0))</f>
        <v/>
      </c>
      <c r="E205" s="24" t="str">
        <f>IF(C205="","",VLOOKUP(C205,FROTA!$B$5:$N$305,7,0))</f>
        <v/>
      </c>
      <c r="F205" s="38" t="str">
        <f t="shared" si="57"/>
        <v/>
      </c>
      <c r="G205" s="71" t="str">
        <f t="shared" si="62"/>
        <v/>
      </c>
      <c r="H205" s="32" t="str">
        <f t="shared" si="53"/>
        <v/>
      </c>
      <c r="I205" s="73" t="str">
        <f t="shared" si="53"/>
        <v/>
      </c>
      <c r="J205" s="73" t="str">
        <f t="shared" si="53"/>
        <v/>
      </c>
      <c r="K205" s="73" t="str">
        <f t="shared" si="63"/>
        <v/>
      </c>
      <c r="L205" s="73" t="str">
        <f t="shared" si="63"/>
        <v/>
      </c>
      <c r="M205" s="73" t="str">
        <f t="shared" si="63"/>
        <v/>
      </c>
      <c r="N205" s="73" t="str">
        <f t="shared" si="63"/>
        <v/>
      </c>
      <c r="O205" s="73" t="str">
        <f t="shared" si="63"/>
        <v/>
      </c>
      <c r="P205" s="73" t="str">
        <f t="shared" si="63"/>
        <v/>
      </c>
      <c r="Q205" s="73" t="str">
        <f t="shared" si="63"/>
        <v/>
      </c>
      <c r="R205" s="73" t="str">
        <f t="shared" si="56"/>
        <v/>
      </c>
      <c r="S205" s="73" t="str">
        <f t="shared" si="56"/>
        <v/>
      </c>
      <c r="T205" s="73" t="str">
        <f t="shared" si="56"/>
        <v/>
      </c>
      <c r="U205" s="73" t="str">
        <f t="shared" si="56"/>
        <v/>
      </c>
      <c r="V205" s="73" t="str">
        <f t="shared" si="56"/>
        <v/>
      </c>
      <c r="W205" s="73" t="str">
        <f t="shared" si="56"/>
        <v/>
      </c>
      <c r="X205" s="73" t="str">
        <f t="shared" si="56"/>
        <v/>
      </c>
      <c r="Y205" s="73" t="str">
        <f t="shared" si="56"/>
        <v/>
      </c>
      <c r="Z205" s="73" t="str">
        <f t="shared" si="56"/>
        <v/>
      </c>
      <c r="AA205" s="73" t="str">
        <f t="shared" si="56"/>
        <v/>
      </c>
      <c r="AB205" s="74" t="str">
        <f t="shared" si="56"/>
        <v/>
      </c>
      <c r="AC205" s="35" t="str">
        <f t="shared" ref="AC205:AC268" si="64">IF(C205="","",SUM(H205:AB205)*AK205)</f>
        <v/>
      </c>
      <c r="AD205" s="40" t="str">
        <f t="shared" ref="AD205:AD268" si="65">IF(C205="","",SUM(H205:AB205))</f>
        <v/>
      </c>
      <c r="AE205" s="37" t="str">
        <f t="shared" ref="AE205:AE268" si="66">IF(C205="","",SUM(H205:R205)*AK205)</f>
        <v/>
      </c>
      <c r="AF205" s="40" t="str">
        <f t="shared" ref="AF205:AF268" si="67">IF(C205="","",SUM(H205:Q205))</f>
        <v/>
      </c>
      <c r="AG205" s="37" t="str">
        <f t="shared" ref="AG205:AG268" si="68">IF(C205="","",SUM(R205:AB205)*AK205)</f>
        <v/>
      </c>
      <c r="AH205" s="40" t="str">
        <f t="shared" ref="AH205:AH268" si="69">IF(C205="","",SUM(R205:AB205))</f>
        <v/>
      </c>
      <c r="AI205" s="37" t="str">
        <f t="shared" ref="AI205:AI268" si="70">IF(C205="","",SUM(J205:M205,T205:W205)*AK205)</f>
        <v/>
      </c>
      <c r="AJ205" s="40" t="str">
        <f t="shared" ref="AJ205:AJ268" si="71">IF(C205="","",SUM(J205:M205,T205:W205))</f>
        <v/>
      </c>
      <c r="AK205" s="33" t="str">
        <f>IF(SEM!AK205="","",SEM!AK205)</f>
        <v/>
      </c>
      <c r="AL205" s="6"/>
      <c r="AM205" s="79" t="str">
        <f t="shared" si="61"/>
        <v/>
      </c>
      <c r="AR205" s="5"/>
      <c r="AU205" s="198"/>
      <c r="AV205" s="198"/>
      <c r="AW205" s="198"/>
      <c r="AX205" s="198"/>
    </row>
    <row r="206" spans="2:50" ht="17.25" customHeight="1" x14ac:dyDescent="0.2">
      <c r="B206" s="6"/>
      <c r="C206" s="49" t="str">
        <f>IF(SEM!C206="","",SEM!C206)</f>
        <v/>
      </c>
      <c r="D206" s="220" t="str">
        <f>IF(C206="","",VLOOKUP(SEM!C206,FROTA!$B$5:$C$305,2,0))</f>
        <v/>
      </c>
      <c r="E206" s="24" t="str">
        <f>IF(C206="","",VLOOKUP(C206,FROTA!$B$5:$N$305,7,0))</f>
        <v/>
      </c>
      <c r="F206" s="38" t="str">
        <f t="shared" si="57"/>
        <v/>
      </c>
      <c r="G206" s="71" t="str">
        <f t="shared" si="62"/>
        <v/>
      </c>
      <c r="H206" s="32" t="str">
        <f t="shared" si="53"/>
        <v/>
      </c>
      <c r="I206" s="73" t="str">
        <f t="shared" si="53"/>
        <v/>
      </c>
      <c r="J206" s="73" t="str">
        <f t="shared" si="53"/>
        <v/>
      </c>
      <c r="K206" s="73" t="str">
        <f t="shared" si="63"/>
        <v/>
      </c>
      <c r="L206" s="73" t="str">
        <f t="shared" si="63"/>
        <v/>
      </c>
      <c r="M206" s="73" t="str">
        <f t="shared" si="63"/>
        <v/>
      </c>
      <c r="N206" s="73" t="str">
        <f t="shared" si="63"/>
        <v/>
      </c>
      <c r="O206" s="73" t="str">
        <f t="shared" si="63"/>
        <v/>
      </c>
      <c r="P206" s="73" t="str">
        <f t="shared" si="63"/>
        <v/>
      </c>
      <c r="Q206" s="73" t="str">
        <f t="shared" si="63"/>
        <v/>
      </c>
      <c r="R206" s="73" t="str">
        <f t="shared" si="56"/>
        <v/>
      </c>
      <c r="S206" s="73" t="str">
        <f t="shared" si="56"/>
        <v/>
      </c>
      <c r="T206" s="73" t="str">
        <f t="shared" si="56"/>
        <v/>
      </c>
      <c r="U206" s="73" t="str">
        <f t="shared" si="56"/>
        <v/>
      </c>
      <c r="V206" s="73" t="str">
        <f t="shared" si="56"/>
        <v/>
      </c>
      <c r="W206" s="73" t="str">
        <f t="shared" si="56"/>
        <v/>
      </c>
      <c r="X206" s="73" t="str">
        <f t="shared" si="56"/>
        <v/>
      </c>
      <c r="Y206" s="73" t="str">
        <f t="shared" si="56"/>
        <v/>
      </c>
      <c r="Z206" s="73" t="str">
        <f t="shared" si="56"/>
        <v/>
      </c>
      <c r="AA206" s="73" t="str">
        <f t="shared" si="56"/>
        <v/>
      </c>
      <c r="AB206" s="74" t="str">
        <f t="shared" si="56"/>
        <v/>
      </c>
      <c r="AC206" s="35" t="str">
        <f t="shared" si="64"/>
        <v/>
      </c>
      <c r="AD206" s="40" t="str">
        <f t="shared" si="65"/>
        <v/>
      </c>
      <c r="AE206" s="37" t="str">
        <f t="shared" si="66"/>
        <v/>
      </c>
      <c r="AF206" s="40" t="str">
        <f t="shared" si="67"/>
        <v/>
      </c>
      <c r="AG206" s="37" t="str">
        <f t="shared" si="68"/>
        <v/>
      </c>
      <c r="AH206" s="40" t="str">
        <f t="shared" si="69"/>
        <v/>
      </c>
      <c r="AI206" s="37" t="str">
        <f t="shared" si="70"/>
        <v/>
      </c>
      <c r="AJ206" s="40" t="str">
        <f t="shared" si="71"/>
        <v/>
      </c>
      <c r="AK206" s="33" t="str">
        <f>IF(SEM!AK206="","",SEM!AK206)</f>
        <v/>
      </c>
      <c r="AL206" s="6"/>
      <c r="AM206" s="79" t="str">
        <f t="shared" si="61"/>
        <v/>
      </c>
      <c r="AR206" s="5"/>
      <c r="AU206" s="198"/>
      <c r="AV206" s="198"/>
      <c r="AW206" s="198"/>
      <c r="AX206" s="198"/>
    </row>
    <row r="207" spans="2:50" ht="17.25" customHeight="1" x14ac:dyDescent="0.2">
      <c r="B207" s="6"/>
      <c r="C207" s="49" t="str">
        <f>IF(SEM!C207="","",SEM!C207)</f>
        <v/>
      </c>
      <c r="D207" s="220" t="str">
        <f>IF(C207="","",VLOOKUP(SEM!C207,FROTA!$B$5:$C$305,2,0))</f>
        <v/>
      </c>
      <c r="E207" s="24" t="str">
        <f>IF(C207="","",VLOOKUP(C207,FROTA!$B$5:$N$305,7,0))</f>
        <v/>
      </c>
      <c r="F207" s="38" t="str">
        <f t="shared" si="57"/>
        <v/>
      </c>
      <c r="G207" s="71" t="str">
        <f t="shared" si="62"/>
        <v/>
      </c>
      <c r="H207" s="32" t="str">
        <f t="shared" si="53"/>
        <v/>
      </c>
      <c r="I207" s="73" t="str">
        <f t="shared" si="53"/>
        <v/>
      </c>
      <c r="J207" s="73" t="str">
        <f t="shared" si="53"/>
        <v/>
      </c>
      <c r="K207" s="73" t="str">
        <f t="shared" si="63"/>
        <v/>
      </c>
      <c r="L207" s="73" t="str">
        <f t="shared" si="63"/>
        <v/>
      </c>
      <c r="M207" s="73" t="str">
        <f t="shared" si="63"/>
        <v/>
      </c>
      <c r="N207" s="73" t="str">
        <f t="shared" si="63"/>
        <v/>
      </c>
      <c r="O207" s="73" t="str">
        <f t="shared" si="63"/>
        <v/>
      </c>
      <c r="P207" s="73" t="str">
        <f t="shared" si="63"/>
        <v/>
      </c>
      <c r="Q207" s="73" t="str">
        <f t="shared" si="63"/>
        <v/>
      </c>
      <c r="R207" s="73" t="str">
        <f t="shared" si="56"/>
        <v/>
      </c>
      <c r="S207" s="73" t="str">
        <f t="shared" si="56"/>
        <v/>
      </c>
      <c r="T207" s="73" t="str">
        <f t="shared" si="56"/>
        <v/>
      </c>
      <c r="U207" s="73" t="str">
        <f t="shared" si="56"/>
        <v/>
      </c>
      <c r="V207" s="73" t="str">
        <f t="shared" si="56"/>
        <v/>
      </c>
      <c r="W207" s="73" t="str">
        <f t="shared" ref="R207:AB230" si="72">IF($C207="","",IF(SUM(W$307*$G207)&gt;$F207,$F207,SUM(W$307*$G207)))</f>
        <v/>
      </c>
      <c r="X207" s="73" t="str">
        <f t="shared" si="72"/>
        <v/>
      </c>
      <c r="Y207" s="73" t="str">
        <f t="shared" si="72"/>
        <v/>
      </c>
      <c r="Z207" s="73" t="str">
        <f t="shared" si="72"/>
        <v/>
      </c>
      <c r="AA207" s="73" t="str">
        <f t="shared" si="72"/>
        <v/>
      </c>
      <c r="AB207" s="74" t="str">
        <f t="shared" si="72"/>
        <v/>
      </c>
      <c r="AC207" s="35" t="str">
        <f t="shared" si="64"/>
        <v/>
      </c>
      <c r="AD207" s="40" t="str">
        <f t="shared" si="65"/>
        <v/>
      </c>
      <c r="AE207" s="37" t="str">
        <f t="shared" si="66"/>
        <v/>
      </c>
      <c r="AF207" s="40" t="str">
        <f t="shared" si="67"/>
        <v/>
      </c>
      <c r="AG207" s="37" t="str">
        <f t="shared" si="68"/>
        <v/>
      </c>
      <c r="AH207" s="40" t="str">
        <f t="shared" si="69"/>
        <v/>
      </c>
      <c r="AI207" s="37" t="str">
        <f t="shared" si="70"/>
        <v/>
      </c>
      <c r="AJ207" s="40" t="str">
        <f t="shared" si="71"/>
        <v/>
      </c>
      <c r="AK207" s="33" t="str">
        <f>IF(SEM!AK207="","",SEM!AK207)</f>
        <v/>
      </c>
      <c r="AL207" s="6"/>
      <c r="AM207" s="79" t="str">
        <f t="shared" si="61"/>
        <v/>
      </c>
      <c r="AR207" s="5"/>
      <c r="AU207" s="198"/>
      <c r="AV207" s="198"/>
      <c r="AW207" s="198"/>
      <c r="AX207" s="198"/>
    </row>
    <row r="208" spans="2:50" ht="17.25" customHeight="1" x14ac:dyDescent="0.2">
      <c r="B208" s="6"/>
      <c r="C208" s="49" t="str">
        <f>IF(SEM!C208="","",SEM!C208)</f>
        <v/>
      </c>
      <c r="D208" s="220" t="str">
        <f>IF(C208="","",VLOOKUP(SEM!C208,FROTA!$B$5:$C$305,2,0))</f>
        <v/>
      </c>
      <c r="E208" s="24" t="str">
        <f>IF(C208="","",VLOOKUP(C208,FROTA!$B$5:$N$305,7,0))</f>
        <v/>
      </c>
      <c r="F208" s="38" t="str">
        <f t="shared" si="57"/>
        <v/>
      </c>
      <c r="G208" s="71" t="str">
        <f t="shared" si="62"/>
        <v/>
      </c>
      <c r="H208" s="32" t="str">
        <f t="shared" si="53"/>
        <v/>
      </c>
      <c r="I208" s="73" t="str">
        <f t="shared" si="53"/>
        <v/>
      </c>
      <c r="J208" s="73" t="str">
        <f t="shared" si="53"/>
        <v/>
      </c>
      <c r="K208" s="73" t="str">
        <f t="shared" si="63"/>
        <v/>
      </c>
      <c r="L208" s="73" t="str">
        <f t="shared" si="63"/>
        <v/>
      </c>
      <c r="M208" s="73" t="str">
        <f t="shared" si="63"/>
        <v/>
      </c>
      <c r="N208" s="73" t="str">
        <f t="shared" si="63"/>
        <v/>
      </c>
      <c r="O208" s="73" t="str">
        <f t="shared" si="63"/>
        <v/>
      </c>
      <c r="P208" s="73" t="str">
        <f t="shared" si="63"/>
        <v/>
      </c>
      <c r="Q208" s="73" t="str">
        <f t="shared" si="63"/>
        <v/>
      </c>
      <c r="R208" s="73" t="str">
        <f t="shared" si="72"/>
        <v/>
      </c>
      <c r="S208" s="73" t="str">
        <f t="shared" si="72"/>
        <v/>
      </c>
      <c r="T208" s="73" t="str">
        <f t="shared" si="72"/>
        <v/>
      </c>
      <c r="U208" s="73" t="str">
        <f t="shared" si="72"/>
        <v/>
      </c>
      <c r="V208" s="73" t="str">
        <f t="shared" si="72"/>
        <v/>
      </c>
      <c r="W208" s="73" t="str">
        <f t="shared" si="72"/>
        <v/>
      </c>
      <c r="X208" s="73" t="str">
        <f t="shared" si="72"/>
        <v/>
      </c>
      <c r="Y208" s="73" t="str">
        <f t="shared" si="72"/>
        <v/>
      </c>
      <c r="Z208" s="73" t="str">
        <f t="shared" si="72"/>
        <v/>
      </c>
      <c r="AA208" s="73" t="str">
        <f t="shared" si="72"/>
        <v/>
      </c>
      <c r="AB208" s="74" t="str">
        <f t="shared" si="72"/>
        <v/>
      </c>
      <c r="AC208" s="35" t="str">
        <f t="shared" si="64"/>
        <v/>
      </c>
      <c r="AD208" s="40" t="str">
        <f t="shared" si="65"/>
        <v/>
      </c>
      <c r="AE208" s="37" t="str">
        <f t="shared" si="66"/>
        <v/>
      </c>
      <c r="AF208" s="40" t="str">
        <f t="shared" si="67"/>
        <v/>
      </c>
      <c r="AG208" s="37" t="str">
        <f t="shared" si="68"/>
        <v/>
      </c>
      <c r="AH208" s="40" t="str">
        <f t="shared" si="69"/>
        <v/>
      </c>
      <c r="AI208" s="37" t="str">
        <f t="shared" si="70"/>
        <v/>
      </c>
      <c r="AJ208" s="40" t="str">
        <f t="shared" si="71"/>
        <v/>
      </c>
      <c r="AK208" s="33" t="str">
        <f>IF(SEM!AK208="","",SEM!AK208)</f>
        <v/>
      </c>
      <c r="AL208" s="6"/>
      <c r="AM208" s="79" t="str">
        <f t="shared" si="61"/>
        <v/>
      </c>
      <c r="AR208" s="5"/>
      <c r="AU208" s="198"/>
      <c r="AV208" s="198"/>
      <c r="AW208" s="198"/>
      <c r="AX208" s="198"/>
    </row>
    <row r="209" spans="2:50" ht="17.25" customHeight="1" x14ac:dyDescent="0.2">
      <c r="B209" s="6"/>
      <c r="C209" s="49" t="str">
        <f>IF(SEM!C209="","",SEM!C209)</f>
        <v/>
      </c>
      <c r="D209" s="220" t="str">
        <f>IF(C209="","",VLOOKUP(SEM!C209,FROTA!$B$5:$C$305,2,0))</f>
        <v/>
      </c>
      <c r="E209" s="24" t="str">
        <f>IF(C209="","",VLOOKUP(C209,FROTA!$B$5:$N$305,7,0))</f>
        <v/>
      </c>
      <c r="F209" s="38" t="str">
        <f t="shared" si="57"/>
        <v/>
      </c>
      <c r="G209" s="71" t="str">
        <f t="shared" si="62"/>
        <v/>
      </c>
      <c r="H209" s="32" t="str">
        <f t="shared" si="53"/>
        <v/>
      </c>
      <c r="I209" s="73" t="str">
        <f t="shared" si="53"/>
        <v/>
      </c>
      <c r="J209" s="73" t="str">
        <f t="shared" si="53"/>
        <v/>
      </c>
      <c r="K209" s="73" t="str">
        <f t="shared" si="63"/>
        <v/>
      </c>
      <c r="L209" s="73" t="str">
        <f t="shared" si="63"/>
        <v/>
      </c>
      <c r="M209" s="73" t="str">
        <f t="shared" si="63"/>
        <v/>
      </c>
      <c r="N209" s="73" t="str">
        <f t="shared" si="63"/>
        <v/>
      </c>
      <c r="O209" s="73" t="str">
        <f t="shared" si="63"/>
        <v/>
      </c>
      <c r="P209" s="73" t="str">
        <f t="shared" si="63"/>
        <v/>
      </c>
      <c r="Q209" s="73" t="str">
        <f t="shared" si="63"/>
        <v/>
      </c>
      <c r="R209" s="73" t="str">
        <f t="shared" si="72"/>
        <v/>
      </c>
      <c r="S209" s="73" t="str">
        <f t="shared" si="72"/>
        <v/>
      </c>
      <c r="T209" s="73" t="str">
        <f t="shared" si="72"/>
        <v/>
      </c>
      <c r="U209" s="73" t="str">
        <f t="shared" si="72"/>
        <v/>
      </c>
      <c r="V209" s="73" t="str">
        <f t="shared" si="72"/>
        <v/>
      </c>
      <c r="W209" s="73" t="str">
        <f t="shared" si="72"/>
        <v/>
      </c>
      <c r="X209" s="73" t="str">
        <f t="shared" si="72"/>
        <v/>
      </c>
      <c r="Y209" s="73" t="str">
        <f t="shared" si="72"/>
        <v/>
      </c>
      <c r="Z209" s="73" t="str">
        <f t="shared" si="72"/>
        <v/>
      </c>
      <c r="AA209" s="73" t="str">
        <f t="shared" si="72"/>
        <v/>
      </c>
      <c r="AB209" s="74" t="str">
        <f t="shared" si="72"/>
        <v/>
      </c>
      <c r="AC209" s="35" t="str">
        <f t="shared" si="64"/>
        <v/>
      </c>
      <c r="AD209" s="40" t="str">
        <f t="shared" si="65"/>
        <v/>
      </c>
      <c r="AE209" s="37" t="str">
        <f t="shared" si="66"/>
        <v/>
      </c>
      <c r="AF209" s="40" t="str">
        <f t="shared" si="67"/>
        <v/>
      </c>
      <c r="AG209" s="37" t="str">
        <f t="shared" si="68"/>
        <v/>
      </c>
      <c r="AH209" s="40" t="str">
        <f t="shared" si="69"/>
        <v/>
      </c>
      <c r="AI209" s="37" t="str">
        <f t="shared" si="70"/>
        <v/>
      </c>
      <c r="AJ209" s="40" t="str">
        <f t="shared" si="71"/>
        <v/>
      </c>
      <c r="AK209" s="33" t="str">
        <f>IF(SEM!AK209="","",SEM!AK209)</f>
        <v/>
      </c>
      <c r="AL209" s="6"/>
      <c r="AM209" s="79" t="str">
        <f t="shared" si="61"/>
        <v/>
      </c>
      <c r="AR209" s="5"/>
      <c r="AU209" s="198"/>
      <c r="AV209" s="198"/>
      <c r="AW209" s="198"/>
      <c r="AX209" s="198"/>
    </row>
    <row r="210" spans="2:50" ht="17.25" customHeight="1" x14ac:dyDescent="0.2">
      <c r="B210" s="6"/>
      <c r="C210" s="49" t="str">
        <f>IF(SEM!C210="","",SEM!C210)</f>
        <v/>
      </c>
      <c r="D210" s="220" t="str">
        <f>IF(C210="","",VLOOKUP(SEM!C210,FROTA!$B$5:$C$305,2,0))</f>
        <v/>
      </c>
      <c r="E210" s="24" t="str">
        <f>IF(C210="","",VLOOKUP(C210,FROTA!$B$5:$N$305,7,0))</f>
        <v/>
      </c>
      <c r="F210" s="38" t="str">
        <f t="shared" si="57"/>
        <v/>
      </c>
      <c r="G210" s="71" t="str">
        <f t="shared" si="62"/>
        <v/>
      </c>
      <c r="H210" s="32" t="str">
        <f t="shared" si="53"/>
        <v/>
      </c>
      <c r="I210" s="73" t="str">
        <f t="shared" si="53"/>
        <v/>
      </c>
      <c r="J210" s="73" t="str">
        <f t="shared" si="53"/>
        <v/>
      </c>
      <c r="K210" s="73" t="str">
        <f t="shared" si="63"/>
        <v/>
      </c>
      <c r="L210" s="73" t="str">
        <f t="shared" si="63"/>
        <v/>
      </c>
      <c r="M210" s="73" t="str">
        <f t="shared" si="63"/>
        <v/>
      </c>
      <c r="N210" s="73" t="str">
        <f t="shared" si="63"/>
        <v/>
      </c>
      <c r="O210" s="73" t="str">
        <f t="shared" si="63"/>
        <v/>
      </c>
      <c r="P210" s="73" t="str">
        <f t="shared" si="63"/>
        <v/>
      </c>
      <c r="Q210" s="73" t="str">
        <f t="shared" si="63"/>
        <v/>
      </c>
      <c r="R210" s="73" t="str">
        <f t="shared" si="72"/>
        <v/>
      </c>
      <c r="S210" s="73" t="str">
        <f t="shared" si="72"/>
        <v/>
      </c>
      <c r="T210" s="73" t="str">
        <f t="shared" si="72"/>
        <v/>
      </c>
      <c r="U210" s="73" t="str">
        <f t="shared" si="72"/>
        <v/>
      </c>
      <c r="V210" s="73" t="str">
        <f t="shared" si="72"/>
        <v/>
      </c>
      <c r="W210" s="73" t="str">
        <f t="shared" si="72"/>
        <v/>
      </c>
      <c r="X210" s="73" t="str">
        <f t="shared" si="72"/>
        <v/>
      </c>
      <c r="Y210" s="73" t="str">
        <f t="shared" si="72"/>
        <v/>
      </c>
      <c r="Z210" s="73" t="str">
        <f t="shared" si="72"/>
        <v/>
      </c>
      <c r="AA210" s="73" t="str">
        <f t="shared" si="72"/>
        <v/>
      </c>
      <c r="AB210" s="74" t="str">
        <f t="shared" si="72"/>
        <v/>
      </c>
      <c r="AC210" s="35" t="str">
        <f t="shared" si="64"/>
        <v/>
      </c>
      <c r="AD210" s="40" t="str">
        <f t="shared" si="65"/>
        <v/>
      </c>
      <c r="AE210" s="37" t="str">
        <f t="shared" si="66"/>
        <v/>
      </c>
      <c r="AF210" s="40" t="str">
        <f t="shared" si="67"/>
        <v/>
      </c>
      <c r="AG210" s="37" t="str">
        <f t="shared" si="68"/>
        <v/>
      </c>
      <c r="AH210" s="40" t="str">
        <f t="shared" si="69"/>
        <v/>
      </c>
      <c r="AI210" s="37" t="str">
        <f t="shared" si="70"/>
        <v/>
      </c>
      <c r="AJ210" s="40" t="str">
        <f t="shared" si="71"/>
        <v/>
      </c>
      <c r="AK210" s="33" t="str">
        <f>IF(SEM!AK210="","",SEM!AK210)</f>
        <v/>
      </c>
      <c r="AL210" s="6"/>
      <c r="AM210" s="79" t="str">
        <f t="shared" si="61"/>
        <v/>
      </c>
      <c r="AR210" s="5"/>
      <c r="AU210" s="198"/>
      <c r="AV210" s="198"/>
      <c r="AW210" s="198"/>
      <c r="AX210" s="198"/>
    </row>
    <row r="211" spans="2:50" ht="17.25" customHeight="1" x14ac:dyDescent="0.2">
      <c r="B211" s="6"/>
      <c r="C211" s="49" t="str">
        <f>IF(SEM!C211="","",SEM!C211)</f>
        <v/>
      </c>
      <c r="D211" s="220" t="str">
        <f>IF(C211="","",VLOOKUP(SEM!C211,FROTA!$B$5:$C$305,2,0))</f>
        <v/>
      </c>
      <c r="E211" s="24" t="str">
        <f>IF(C211="","",VLOOKUP(C211,FROTA!$B$5:$N$305,7,0))</f>
        <v/>
      </c>
      <c r="F211" s="38" t="str">
        <f t="shared" si="57"/>
        <v/>
      </c>
      <c r="G211" s="71" t="str">
        <f t="shared" si="62"/>
        <v/>
      </c>
      <c r="H211" s="32" t="str">
        <f t="shared" si="53"/>
        <v/>
      </c>
      <c r="I211" s="73" t="str">
        <f t="shared" si="53"/>
        <v/>
      </c>
      <c r="J211" s="73" t="str">
        <f t="shared" si="53"/>
        <v/>
      </c>
      <c r="K211" s="73" t="str">
        <f t="shared" si="63"/>
        <v/>
      </c>
      <c r="L211" s="73" t="str">
        <f t="shared" si="63"/>
        <v/>
      </c>
      <c r="M211" s="73" t="str">
        <f t="shared" si="63"/>
        <v/>
      </c>
      <c r="N211" s="73" t="str">
        <f t="shared" si="63"/>
        <v/>
      </c>
      <c r="O211" s="73" t="str">
        <f t="shared" si="63"/>
        <v/>
      </c>
      <c r="P211" s="73" t="str">
        <f t="shared" si="63"/>
        <v/>
      </c>
      <c r="Q211" s="73" t="str">
        <f t="shared" si="63"/>
        <v/>
      </c>
      <c r="R211" s="73" t="str">
        <f t="shared" si="72"/>
        <v/>
      </c>
      <c r="S211" s="73" t="str">
        <f t="shared" si="72"/>
        <v/>
      </c>
      <c r="T211" s="73" t="str">
        <f t="shared" si="72"/>
        <v/>
      </c>
      <c r="U211" s="73" t="str">
        <f t="shared" si="72"/>
        <v/>
      </c>
      <c r="V211" s="73" t="str">
        <f t="shared" si="72"/>
        <v/>
      </c>
      <c r="W211" s="73" t="str">
        <f t="shared" si="72"/>
        <v/>
      </c>
      <c r="X211" s="73" t="str">
        <f t="shared" si="72"/>
        <v/>
      </c>
      <c r="Y211" s="73" t="str">
        <f t="shared" si="72"/>
        <v/>
      </c>
      <c r="Z211" s="73" t="str">
        <f t="shared" si="72"/>
        <v/>
      </c>
      <c r="AA211" s="73" t="str">
        <f t="shared" si="72"/>
        <v/>
      </c>
      <c r="AB211" s="74" t="str">
        <f t="shared" si="72"/>
        <v/>
      </c>
      <c r="AC211" s="35" t="str">
        <f t="shared" si="64"/>
        <v/>
      </c>
      <c r="AD211" s="40" t="str">
        <f t="shared" si="65"/>
        <v/>
      </c>
      <c r="AE211" s="37" t="str">
        <f t="shared" si="66"/>
        <v/>
      </c>
      <c r="AF211" s="40" t="str">
        <f t="shared" si="67"/>
        <v/>
      </c>
      <c r="AG211" s="37" t="str">
        <f t="shared" si="68"/>
        <v/>
      </c>
      <c r="AH211" s="40" t="str">
        <f t="shared" si="69"/>
        <v/>
      </c>
      <c r="AI211" s="37" t="str">
        <f t="shared" si="70"/>
        <v/>
      </c>
      <c r="AJ211" s="40" t="str">
        <f t="shared" si="71"/>
        <v/>
      </c>
      <c r="AK211" s="33" t="str">
        <f>IF(SEM!AK211="","",SEM!AK211)</f>
        <v/>
      </c>
      <c r="AL211" s="6"/>
      <c r="AM211" s="79" t="str">
        <f t="shared" si="61"/>
        <v/>
      </c>
      <c r="AR211" s="5"/>
      <c r="AU211" s="198"/>
      <c r="AV211" s="198"/>
      <c r="AW211" s="198"/>
      <c r="AX211" s="198"/>
    </row>
    <row r="212" spans="2:50" ht="17.25" customHeight="1" x14ac:dyDescent="0.2">
      <c r="B212" s="6"/>
      <c r="C212" s="49" t="str">
        <f>IF(SEM!C212="","",SEM!C212)</f>
        <v/>
      </c>
      <c r="D212" s="220" t="str">
        <f>IF(C212="","",VLOOKUP(SEM!C212,FROTA!$B$5:$C$305,2,0))</f>
        <v/>
      </c>
      <c r="E212" s="24" t="str">
        <f>IF(C212="","",VLOOKUP(C212,FROTA!$B$5:$N$305,7,0))</f>
        <v/>
      </c>
      <c r="F212" s="38" t="str">
        <f t="shared" si="57"/>
        <v/>
      </c>
      <c r="G212" s="71" t="str">
        <f t="shared" si="62"/>
        <v/>
      </c>
      <c r="H212" s="32" t="str">
        <f t="shared" si="53"/>
        <v/>
      </c>
      <c r="I212" s="73" t="str">
        <f t="shared" si="53"/>
        <v/>
      </c>
      <c r="J212" s="73" t="str">
        <f t="shared" si="53"/>
        <v/>
      </c>
      <c r="K212" s="73" t="str">
        <f t="shared" si="63"/>
        <v/>
      </c>
      <c r="L212" s="73" t="str">
        <f t="shared" si="63"/>
        <v/>
      </c>
      <c r="M212" s="73" t="str">
        <f t="shared" si="63"/>
        <v/>
      </c>
      <c r="N212" s="73" t="str">
        <f t="shared" si="63"/>
        <v/>
      </c>
      <c r="O212" s="73" t="str">
        <f t="shared" si="63"/>
        <v/>
      </c>
      <c r="P212" s="73" t="str">
        <f t="shared" si="63"/>
        <v/>
      </c>
      <c r="Q212" s="73" t="str">
        <f t="shared" si="63"/>
        <v/>
      </c>
      <c r="R212" s="73" t="str">
        <f t="shared" si="72"/>
        <v/>
      </c>
      <c r="S212" s="73" t="str">
        <f t="shared" si="72"/>
        <v/>
      </c>
      <c r="T212" s="73" t="str">
        <f t="shared" si="72"/>
        <v/>
      </c>
      <c r="U212" s="73" t="str">
        <f t="shared" si="72"/>
        <v/>
      </c>
      <c r="V212" s="73" t="str">
        <f t="shared" si="72"/>
        <v/>
      </c>
      <c r="W212" s="73" t="str">
        <f t="shared" si="72"/>
        <v/>
      </c>
      <c r="X212" s="73" t="str">
        <f t="shared" si="72"/>
        <v/>
      </c>
      <c r="Y212" s="73" t="str">
        <f t="shared" si="72"/>
        <v/>
      </c>
      <c r="Z212" s="73" t="str">
        <f t="shared" si="72"/>
        <v/>
      </c>
      <c r="AA212" s="73" t="str">
        <f t="shared" si="72"/>
        <v/>
      </c>
      <c r="AB212" s="74" t="str">
        <f t="shared" si="72"/>
        <v/>
      </c>
      <c r="AC212" s="35" t="str">
        <f t="shared" si="64"/>
        <v/>
      </c>
      <c r="AD212" s="40" t="str">
        <f t="shared" si="65"/>
        <v/>
      </c>
      <c r="AE212" s="37" t="str">
        <f t="shared" si="66"/>
        <v/>
      </c>
      <c r="AF212" s="40" t="str">
        <f t="shared" si="67"/>
        <v/>
      </c>
      <c r="AG212" s="37" t="str">
        <f t="shared" si="68"/>
        <v/>
      </c>
      <c r="AH212" s="40" t="str">
        <f t="shared" si="69"/>
        <v/>
      </c>
      <c r="AI212" s="37" t="str">
        <f t="shared" si="70"/>
        <v/>
      </c>
      <c r="AJ212" s="40" t="str">
        <f t="shared" si="71"/>
        <v/>
      </c>
      <c r="AK212" s="33" t="str">
        <f>IF(SEM!AK212="","",SEM!AK212)</f>
        <v/>
      </c>
      <c r="AL212" s="6"/>
      <c r="AM212" s="79" t="str">
        <f t="shared" si="61"/>
        <v/>
      </c>
      <c r="AR212" s="5"/>
      <c r="AU212" s="198"/>
      <c r="AV212" s="198"/>
      <c r="AW212" s="198"/>
      <c r="AX212" s="198"/>
    </row>
    <row r="213" spans="2:50" ht="17.25" customHeight="1" x14ac:dyDescent="0.2">
      <c r="B213" s="6"/>
      <c r="C213" s="49" t="str">
        <f>IF(SEM!C213="","",SEM!C213)</f>
        <v/>
      </c>
      <c r="D213" s="220" t="str">
        <f>IF(C213="","",VLOOKUP(SEM!C213,FROTA!$B$5:$C$305,2,0))</f>
        <v/>
      </c>
      <c r="E213" s="24" t="str">
        <f>IF(C213="","",VLOOKUP(C213,FROTA!$B$5:$N$305,7,0))</f>
        <v/>
      </c>
      <c r="F213" s="38" t="str">
        <f t="shared" si="57"/>
        <v/>
      </c>
      <c r="G213" s="71" t="str">
        <f t="shared" si="62"/>
        <v/>
      </c>
      <c r="H213" s="32" t="str">
        <f t="shared" si="53"/>
        <v/>
      </c>
      <c r="I213" s="73" t="str">
        <f t="shared" si="53"/>
        <v/>
      </c>
      <c r="J213" s="73" t="str">
        <f t="shared" si="53"/>
        <v/>
      </c>
      <c r="K213" s="73" t="str">
        <f t="shared" si="63"/>
        <v/>
      </c>
      <c r="L213" s="73" t="str">
        <f t="shared" si="63"/>
        <v/>
      </c>
      <c r="M213" s="73" t="str">
        <f t="shared" si="63"/>
        <v/>
      </c>
      <c r="N213" s="73" t="str">
        <f t="shared" si="63"/>
        <v/>
      </c>
      <c r="O213" s="73" t="str">
        <f t="shared" si="63"/>
        <v/>
      </c>
      <c r="P213" s="73" t="str">
        <f t="shared" si="63"/>
        <v/>
      </c>
      <c r="Q213" s="73" t="str">
        <f t="shared" si="63"/>
        <v/>
      </c>
      <c r="R213" s="73" t="str">
        <f t="shared" si="72"/>
        <v/>
      </c>
      <c r="S213" s="73" t="str">
        <f t="shared" si="72"/>
        <v/>
      </c>
      <c r="T213" s="73" t="str">
        <f t="shared" si="72"/>
        <v/>
      </c>
      <c r="U213" s="73" t="str">
        <f t="shared" si="72"/>
        <v/>
      </c>
      <c r="V213" s="73" t="str">
        <f t="shared" si="72"/>
        <v/>
      </c>
      <c r="W213" s="73" t="str">
        <f t="shared" si="72"/>
        <v/>
      </c>
      <c r="X213" s="73" t="str">
        <f t="shared" si="72"/>
        <v/>
      </c>
      <c r="Y213" s="73" t="str">
        <f t="shared" si="72"/>
        <v/>
      </c>
      <c r="Z213" s="73" t="str">
        <f t="shared" si="72"/>
        <v/>
      </c>
      <c r="AA213" s="73" t="str">
        <f t="shared" si="72"/>
        <v/>
      </c>
      <c r="AB213" s="74" t="str">
        <f t="shared" si="72"/>
        <v/>
      </c>
      <c r="AC213" s="35" t="str">
        <f t="shared" si="64"/>
        <v/>
      </c>
      <c r="AD213" s="40" t="str">
        <f t="shared" si="65"/>
        <v/>
      </c>
      <c r="AE213" s="37" t="str">
        <f t="shared" si="66"/>
        <v/>
      </c>
      <c r="AF213" s="40" t="str">
        <f t="shared" si="67"/>
        <v/>
      </c>
      <c r="AG213" s="37" t="str">
        <f t="shared" si="68"/>
        <v/>
      </c>
      <c r="AH213" s="40" t="str">
        <f t="shared" si="69"/>
        <v/>
      </c>
      <c r="AI213" s="37" t="str">
        <f t="shared" si="70"/>
        <v/>
      </c>
      <c r="AJ213" s="40" t="str">
        <f t="shared" si="71"/>
        <v/>
      </c>
      <c r="AK213" s="33" t="str">
        <f>IF(SEM!AK213="","",SEM!AK213)</f>
        <v/>
      </c>
      <c r="AL213" s="6"/>
      <c r="AM213" s="79" t="str">
        <f t="shared" si="61"/>
        <v/>
      </c>
      <c r="AR213" s="5"/>
      <c r="AU213" s="198"/>
      <c r="AV213" s="198"/>
      <c r="AW213" s="198"/>
      <c r="AX213" s="198"/>
    </row>
    <row r="214" spans="2:50" ht="17.25" customHeight="1" x14ac:dyDescent="0.2">
      <c r="B214" s="6"/>
      <c r="C214" s="49" t="str">
        <f>IF(SEM!C214="","",SEM!C214)</f>
        <v/>
      </c>
      <c r="D214" s="220" t="str">
        <f>IF(C214="","",VLOOKUP(SEM!C214,FROTA!$B$5:$C$305,2,0))</f>
        <v/>
      </c>
      <c r="E214" s="24" t="str">
        <f>IF(C214="","",VLOOKUP(C214,FROTA!$B$5:$N$305,7,0))</f>
        <v/>
      </c>
      <c r="F214" s="38" t="str">
        <f t="shared" si="57"/>
        <v/>
      </c>
      <c r="G214" s="71" t="str">
        <f t="shared" si="62"/>
        <v/>
      </c>
      <c r="H214" s="32" t="str">
        <f t="shared" si="53"/>
        <v/>
      </c>
      <c r="I214" s="73" t="str">
        <f t="shared" si="53"/>
        <v/>
      </c>
      <c r="J214" s="73" t="str">
        <f t="shared" si="53"/>
        <v/>
      </c>
      <c r="K214" s="73" t="str">
        <f t="shared" si="63"/>
        <v/>
      </c>
      <c r="L214" s="73" t="str">
        <f t="shared" si="63"/>
        <v/>
      </c>
      <c r="M214" s="73" t="str">
        <f t="shared" si="63"/>
        <v/>
      </c>
      <c r="N214" s="73" t="str">
        <f t="shared" si="63"/>
        <v/>
      </c>
      <c r="O214" s="73" t="str">
        <f t="shared" si="63"/>
        <v/>
      </c>
      <c r="P214" s="73" t="str">
        <f t="shared" si="63"/>
        <v/>
      </c>
      <c r="Q214" s="73" t="str">
        <f t="shared" si="63"/>
        <v/>
      </c>
      <c r="R214" s="73" t="str">
        <f t="shared" si="72"/>
        <v/>
      </c>
      <c r="S214" s="73" t="str">
        <f t="shared" si="72"/>
        <v/>
      </c>
      <c r="T214" s="73" t="str">
        <f t="shared" si="72"/>
        <v/>
      </c>
      <c r="U214" s="73" t="str">
        <f t="shared" si="72"/>
        <v/>
      </c>
      <c r="V214" s="73" t="str">
        <f t="shared" si="72"/>
        <v/>
      </c>
      <c r="W214" s="73" t="str">
        <f t="shared" si="72"/>
        <v/>
      </c>
      <c r="X214" s="73" t="str">
        <f t="shared" si="72"/>
        <v/>
      </c>
      <c r="Y214" s="73" t="str">
        <f t="shared" si="72"/>
        <v/>
      </c>
      <c r="Z214" s="73" t="str">
        <f t="shared" si="72"/>
        <v/>
      </c>
      <c r="AA214" s="73" t="str">
        <f t="shared" si="72"/>
        <v/>
      </c>
      <c r="AB214" s="74" t="str">
        <f t="shared" si="72"/>
        <v/>
      </c>
      <c r="AC214" s="35" t="str">
        <f t="shared" si="64"/>
        <v/>
      </c>
      <c r="AD214" s="40" t="str">
        <f t="shared" si="65"/>
        <v/>
      </c>
      <c r="AE214" s="37" t="str">
        <f t="shared" si="66"/>
        <v/>
      </c>
      <c r="AF214" s="40" t="str">
        <f t="shared" si="67"/>
        <v/>
      </c>
      <c r="AG214" s="37" t="str">
        <f t="shared" si="68"/>
        <v/>
      </c>
      <c r="AH214" s="40" t="str">
        <f t="shared" si="69"/>
        <v/>
      </c>
      <c r="AI214" s="37" t="str">
        <f t="shared" si="70"/>
        <v/>
      </c>
      <c r="AJ214" s="40" t="str">
        <f t="shared" si="71"/>
        <v/>
      </c>
      <c r="AK214" s="33" t="str">
        <f>IF(SEM!AK214="","",SEM!AK214)</f>
        <v/>
      </c>
      <c r="AL214" s="6"/>
      <c r="AM214" s="79" t="str">
        <f t="shared" si="61"/>
        <v/>
      </c>
      <c r="AR214" s="5"/>
      <c r="AU214" s="198"/>
      <c r="AV214" s="198"/>
      <c r="AW214" s="198"/>
      <c r="AX214" s="198"/>
    </row>
    <row r="215" spans="2:50" ht="17.25" customHeight="1" x14ac:dyDescent="0.2">
      <c r="B215" s="6"/>
      <c r="C215" s="49" t="str">
        <f>IF(SEM!C215="","",SEM!C215)</f>
        <v/>
      </c>
      <c r="D215" s="220" t="str">
        <f>IF(C215="","",VLOOKUP(SEM!C215,FROTA!$B$5:$C$305,2,0))</f>
        <v/>
      </c>
      <c r="E215" s="24" t="str">
        <f>IF(C215="","",VLOOKUP(C215,FROTA!$B$5:$N$305,7,0))</f>
        <v/>
      </c>
      <c r="F215" s="38" t="str">
        <f t="shared" si="57"/>
        <v/>
      </c>
      <c r="G215" s="71" t="str">
        <f t="shared" si="62"/>
        <v/>
      </c>
      <c r="H215" s="32" t="str">
        <f t="shared" ref="H215:J278" si="73">IF($C215="","",IF(SUM(H$307*$G215)&gt;$F215,$F215,SUM(H$307*$G215)))</f>
        <v/>
      </c>
      <c r="I215" s="73" t="str">
        <f t="shared" si="73"/>
        <v/>
      </c>
      <c r="J215" s="73" t="str">
        <f t="shared" si="73"/>
        <v/>
      </c>
      <c r="K215" s="73" t="str">
        <f t="shared" si="63"/>
        <v/>
      </c>
      <c r="L215" s="73" t="str">
        <f t="shared" si="63"/>
        <v/>
      </c>
      <c r="M215" s="73" t="str">
        <f t="shared" si="63"/>
        <v/>
      </c>
      <c r="N215" s="73" t="str">
        <f t="shared" si="63"/>
        <v/>
      </c>
      <c r="O215" s="73" t="str">
        <f t="shared" si="63"/>
        <v/>
      </c>
      <c r="P215" s="73" t="str">
        <f t="shared" si="63"/>
        <v/>
      </c>
      <c r="Q215" s="73" t="str">
        <f t="shared" si="63"/>
        <v/>
      </c>
      <c r="R215" s="73" t="str">
        <f t="shared" si="72"/>
        <v/>
      </c>
      <c r="S215" s="73" t="str">
        <f t="shared" si="72"/>
        <v/>
      </c>
      <c r="T215" s="73" t="str">
        <f t="shared" si="72"/>
        <v/>
      </c>
      <c r="U215" s="73" t="str">
        <f t="shared" si="72"/>
        <v/>
      </c>
      <c r="V215" s="73" t="str">
        <f t="shared" si="72"/>
        <v/>
      </c>
      <c r="W215" s="73" t="str">
        <f t="shared" si="72"/>
        <v/>
      </c>
      <c r="X215" s="73" t="str">
        <f t="shared" si="72"/>
        <v/>
      </c>
      <c r="Y215" s="73" t="str">
        <f t="shared" si="72"/>
        <v/>
      </c>
      <c r="Z215" s="73" t="str">
        <f t="shared" si="72"/>
        <v/>
      </c>
      <c r="AA215" s="73" t="str">
        <f t="shared" si="72"/>
        <v/>
      </c>
      <c r="AB215" s="74" t="str">
        <f t="shared" si="72"/>
        <v/>
      </c>
      <c r="AC215" s="35" t="str">
        <f t="shared" si="64"/>
        <v/>
      </c>
      <c r="AD215" s="40" t="str">
        <f t="shared" si="65"/>
        <v/>
      </c>
      <c r="AE215" s="37" t="str">
        <f t="shared" si="66"/>
        <v/>
      </c>
      <c r="AF215" s="40" t="str">
        <f t="shared" si="67"/>
        <v/>
      </c>
      <c r="AG215" s="37" t="str">
        <f t="shared" si="68"/>
        <v/>
      </c>
      <c r="AH215" s="40" t="str">
        <f t="shared" si="69"/>
        <v/>
      </c>
      <c r="AI215" s="37" t="str">
        <f t="shared" si="70"/>
        <v/>
      </c>
      <c r="AJ215" s="40" t="str">
        <f t="shared" si="71"/>
        <v/>
      </c>
      <c r="AK215" s="33" t="str">
        <f>IF(SEM!AK215="","",SEM!AK215)</f>
        <v/>
      </c>
      <c r="AL215" s="6"/>
      <c r="AM215" s="79" t="str">
        <f t="shared" si="61"/>
        <v/>
      </c>
      <c r="AR215" s="5"/>
      <c r="AU215" s="198"/>
      <c r="AV215" s="198"/>
      <c r="AW215" s="198"/>
      <c r="AX215" s="198"/>
    </row>
    <row r="216" spans="2:50" ht="17.25" customHeight="1" x14ac:dyDescent="0.2">
      <c r="B216" s="6"/>
      <c r="C216" s="49" t="str">
        <f>IF(SEM!C216="","",SEM!C216)</f>
        <v/>
      </c>
      <c r="D216" s="220" t="str">
        <f>IF(C216="","",VLOOKUP(SEM!C216,FROTA!$B$5:$C$305,2,0))</f>
        <v/>
      </c>
      <c r="E216" s="24" t="str">
        <f>IF(C216="","",VLOOKUP(C216,FROTA!$B$5:$N$305,7,0))</f>
        <v/>
      </c>
      <c r="F216" s="38" t="str">
        <f t="shared" si="57"/>
        <v/>
      </c>
      <c r="G216" s="71" t="str">
        <f t="shared" si="62"/>
        <v/>
      </c>
      <c r="H216" s="32" t="str">
        <f t="shared" si="73"/>
        <v/>
      </c>
      <c r="I216" s="73" t="str">
        <f t="shared" si="73"/>
        <v/>
      </c>
      <c r="J216" s="73" t="str">
        <f t="shared" si="73"/>
        <v/>
      </c>
      <c r="K216" s="73" t="str">
        <f t="shared" si="63"/>
        <v/>
      </c>
      <c r="L216" s="73" t="str">
        <f t="shared" si="63"/>
        <v/>
      </c>
      <c r="M216" s="73" t="str">
        <f t="shared" si="63"/>
        <v/>
      </c>
      <c r="N216" s="73" t="str">
        <f t="shared" si="63"/>
        <v/>
      </c>
      <c r="O216" s="73" t="str">
        <f t="shared" si="63"/>
        <v/>
      </c>
      <c r="P216" s="73" t="str">
        <f t="shared" si="63"/>
        <v/>
      </c>
      <c r="Q216" s="73" t="str">
        <f t="shared" si="63"/>
        <v/>
      </c>
      <c r="R216" s="73" t="str">
        <f t="shared" si="72"/>
        <v/>
      </c>
      <c r="S216" s="73" t="str">
        <f t="shared" si="72"/>
        <v/>
      </c>
      <c r="T216" s="73" t="str">
        <f t="shared" si="72"/>
        <v/>
      </c>
      <c r="U216" s="73" t="str">
        <f t="shared" si="72"/>
        <v/>
      </c>
      <c r="V216" s="73" t="str">
        <f t="shared" si="72"/>
        <v/>
      </c>
      <c r="W216" s="73" t="str">
        <f t="shared" si="72"/>
        <v/>
      </c>
      <c r="X216" s="73" t="str">
        <f t="shared" si="72"/>
        <v/>
      </c>
      <c r="Y216" s="73" t="str">
        <f t="shared" si="72"/>
        <v/>
      </c>
      <c r="Z216" s="73" t="str">
        <f t="shared" si="72"/>
        <v/>
      </c>
      <c r="AA216" s="73" t="str">
        <f t="shared" si="72"/>
        <v/>
      </c>
      <c r="AB216" s="74" t="str">
        <f t="shared" si="72"/>
        <v/>
      </c>
      <c r="AC216" s="35" t="str">
        <f t="shared" si="64"/>
        <v/>
      </c>
      <c r="AD216" s="40" t="str">
        <f t="shared" si="65"/>
        <v/>
      </c>
      <c r="AE216" s="37" t="str">
        <f t="shared" si="66"/>
        <v/>
      </c>
      <c r="AF216" s="40" t="str">
        <f t="shared" si="67"/>
        <v/>
      </c>
      <c r="AG216" s="37" t="str">
        <f t="shared" si="68"/>
        <v/>
      </c>
      <c r="AH216" s="40" t="str">
        <f t="shared" si="69"/>
        <v/>
      </c>
      <c r="AI216" s="37" t="str">
        <f t="shared" si="70"/>
        <v/>
      </c>
      <c r="AJ216" s="40" t="str">
        <f t="shared" si="71"/>
        <v/>
      </c>
      <c r="AK216" s="33" t="str">
        <f>IF(SEM!AK216="","",SEM!AK216)</f>
        <v/>
      </c>
      <c r="AL216" s="6"/>
      <c r="AM216" s="79" t="str">
        <f t="shared" si="61"/>
        <v/>
      </c>
      <c r="AR216" s="5"/>
      <c r="AU216" s="198"/>
      <c r="AV216" s="198"/>
      <c r="AW216" s="198"/>
      <c r="AX216" s="198"/>
    </row>
    <row r="217" spans="2:50" ht="17.25" customHeight="1" x14ac:dyDescent="0.2">
      <c r="B217" s="6"/>
      <c r="C217" s="49" t="str">
        <f>IF(SEM!C217="","",SEM!C217)</f>
        <v/>
      </c>
      <c r="D217" s="220" t="str">
        <f>IF(C217="","",VLOOKUP(SEM!C217,FROTA!$B$5:$C$305,2,0))</f>
        <v/>
      </c>
      <c r="E217" s="24" t="str">
        <f>IF(C217="","",VLOOKUP(C217,FROTA!$B$5:$N$305,7,0))</f>
        <v/>
      </c>
      <c r="F217" s="38" t="str">
        <f t="shared" si="57"/>
        <v/>
      </c>
      <c r="G217" s="71" t="str">
        <f t="shared" si="62"/>
        <v/>
      </c>
      <c r="H217" s="32" t="str">
        <f t="shared" si="73"/>
        <v/>
      </c>
      <c r="I217" s="73" t="str">
        <f t="shared" si="73"/>
        <v/>
      </c>
      <c r="J217" s="73" t="str">
        <f t="shared" si="73"/>
        <v/>
      </c>
      <c r="K217" s="73" t="str">
        <f t="shared" si="63"/>
        <v/>
      </c>
      <c r="L217" s="73" t="str">
        <f t="shared" si="63"/>
        <v/>
      </c>
      <c r="M217" s="73" t="str">
        <f t="shared" si="63"/>
        <v/>
      </c>
      <c r="N217" s="73" t="str">
        <f t="shared" si="63"/>
        <v/>
      </c>
      <c r="O217" s="73" t="str">
        <f t="shared" si="63"/>
        <v/>
      </c>
      <c r="P217" s="73" t="str">
        <f t="shared" si="63"/>
        <v/>
      </c>
      <c r="Q217" s="73" t="str">
        <f t="shared" si="63"/>
        <v/>
      </c>
      <c r="R217" s="73" t="str">
        <f t="shared" si="72"/>
        <v/>
      </c>
      <c r="S217" s="73" t="str">
        <f t="shared" si="72"/>
        <v/>
      </c>
      <c r="T217" s="73" t="str">
        <f t="shared" si="72"/>
        <v/>
      </c>
      <c r="U217" s="73" t="str">
        <f t="shared" si="72"/>
        <v/>
      </c>
      <c r="V217" s="73" t="str">
        <f t="shared" si="72"/>
        <v/>
      </c>
      <c r="W217" s="73" t="str">
        <f t="shared" si="72"/>
        <v/>
      </c>
      <c r="X217" s="73" t="str">
        <f t="shared" si="72"/>
        <v/>
      </c>
      <c r="Y217" s="73" t="str">
        <f t="shared" si="72"/>
        <v/>
      </c>
      <c r="Z217" s="73" t="str">
        <f t="shared" si="72"/>
        <v/>
      </c>
      <c r="AA217" s="73" t="str">
        <f t="shared" si="72"/>
        <v/>
      </c>
      <c r="AB217" s="74" t="str">
        <f t="shared" si="72"/>
        <v/>
      </c>
      <c r="AC217" s="35" t="str">
        <f t="shared" si="64"/>
        <v/>
      </c>
      <c r="AD217" s="40" t="str">
        <f t="shared" si="65"/>
        <v/>
      </c>
      <c r="AE217" s="37" t="str">
        <f t="shared" si="66"/>
        <v/>
      </c>
      <c r="AF217" s="40" t="str">
        <f t="shared" si="67"/>
        <v/>
      </c>
      <c r="AG217" s="37" t="str">
        <f t="shared" si="68"/>
        <v/>
      </c>
      <c r="AH217" s="40" t="str">
        <f t="shared" si="69"/>
        <v/>
      </c>
      <c r="AI217" s="37" t="str">
        <f t="shared" si="70"/>
        <v/>
      </c>
      <c r="AJ217" s="40" t="str">
        <f t="shared" si="71"/>
        <v/>
      </c>
      <c r="AK217" s="33" t="str">
        <f>IF(SEM!AK217="","",SEM!AK217)</f>
        <v/>
      </c>
      <c r="AL217" s="6"/>
      <c r="AM217" s="79" t="str">
        <f t="shared" si="61"/>
        <v/>
      </c>
      <c r="AR217" s="5"/>
      <c r="AU217" s="198"/>
      <c r="AV217" s="198"/>
      <c r="AW217" s="198"/>
      <c r="AX217" s="198"/>
    </row>
    <row r="218" spans="2:50" ht="17.25" customHeight="1" x14ac:dyDescent="0.2">
      <c r="B218" s="6"/>
      <c r="C218" s="49" t="str">
        <f>IF(SEM!C218="","",SEM!C218)</f>
        <v/>
      </c>
      <c r="D218" s="220" t="str">
        <f>IF(C218="","",VLOOKUP(SEM!C218,FROTA!$B$5:$C$305,2,0))</f>
        <v/>
      </c>
      <c r="E218" s="24" t="str">
        <f>IF(C218="","",VLOOKUP(C218,FROTA!$B$5:$N$305,7,0))</f>
        <v/>
      </c>
      <c r="F218" s="38" t="str">
        <f t="shared" si="57"/>
        <v/>
      </c>
      <c r="G218" s="71" t="str">
        <f t="shared" si="62"/>
        <v/>
      </c>
      <c r="H218" s="32" t="str">
        <f t="shared" si="73"/>
        <v/>
      </c>
      <c r="I218" s="73" t="str">
        <f t="shared" si="73"/>
        <v/>
      </c>
      <c r="J218" s="73" t="str">
        <f t="shared" si="73"/>
        <v/>
      </c>
      <c r="K218" s="73" t="str">
        <f t="shared" si="63"/>
        <v/>
      </c>
      <c r="L218" s="73" t="str">
        <f t="shared" si="63"/>
        <v/>
      </c>
      <c r="M218" s="73" t="str">
        <f t="shared" si="63"/>
        <v/>
      </c>
      <c r="N218" s="73" t="str">
        <f t="shared" si="63"/>
        <v/>
      </c>
      <c r="O218" s="73" t="str">
        <f t="shared" si="63"/>
        <v/>
      </c>
      <c r="P218" s="73" t="str">
        <f t="shared" si="63"/>
        <v/>
      </c>
      <c r="Q218" s="73" t="str">
        <f t="shared" si="63"/>
        <v/>
      </c>
      <c r="R218" s="73" t="str">
        <f t="shared" si="72"/>
        <v/>
      </c>
      <c r="S218" s="73" t="str">
        <f t="shared" si="72"/>
        <v/>
      </c>
      <c r="T218" s="73" t="str">
        <f t="shared" si="72"/>
        <v/>
      </c>
      <c r="U218" s="73" t="str">
        <f t="shared" si="72"/>
        <v/>
      </c>
      <c r="V218" s="73" t="str">
        <f t="shared" si="72"/>
        <v/>
      </c>
      <c r="W218" s="73" t="str">
        <f t="shared" si="72"/>
        <v/>
      </c>
      <c r="X218" s="73" t="str">
        <f t="shared" si="72"/>
        <v/>
      </c>
      <c r="Y218" s="73" t="str">
        <f t="shared" si="72"/>
        <v/>
      </c>
      <c r="Z218" s="73" t="str">
        <f t="shared" si="72"/>
        <v/>
      </c>
      <c r="AA218" s="73" t="str">
        <f t="shared" si="72"/>
        <v/>
      </c>
      <c r="AB218" s="74" t="str">
        <f t="shared" si="72"/>
        <v/>
      </c>
      <c r="AC218" s="35" t="str">
        <f t="shared" si="64"/>
        <v/>
      </c>
      <c r="AD218" s="40" t="str">
        <f t="shared" si="65"/>
        <v/>
      </c>
      <c r="AE218" s="37" t="str">
        <f t="shared" si="66"/>
        <v/>
      </c>
      <c r="AF218" s="40" t="str">
        <f t="shared" si="67"/>
        <v/>
      </c>
      <c r="AG218" s="37" t="str">
        <f t="shared" si="68"/>
        <v/>
      </c>
      <c r="AH218" s="40" t="str">
        <f t="shared" si="69"/>
        <v/>
      </c>
      <c r="AI218" s="37" t="str">
        <f t="shared" si="70"/>
        <v/>
      </c>
      <c r="AJ218" s="40" t="str">
        <f t="shared" si="71"/>
        <v/>
      </c>
      <c r="AK218" s="33" t="str">
        <f>IF(SEM!AK218="","",SEM!AK218)</f>
        <v/>
      </c>
      <c r="AL218" s="6"/>
      <c r="AM218" s="79" t="str">
        <f t="shared" si="61"/>
        <v/>
      </c>
      <c r="AR218" s="5"/>
      <c r="AU218" s="198"/>
      <c r="AV218" s="198"/>
      <c r="AW218" s="198"/>
      <c r="AX218" s="198"/>
    </row>
    <row r="219" spans="2:50" ht="17.25" customHeight="1" x14ac:dyDescent="0.2">
      <c r="B219" s="6"/>
      <c r="C219" s="49" t="str">
        <f>IF(SEM!C219="","",SEM!C219)</f>
        <v/>
      </c>
      <c r="D219" s="220" t="str">
        <f>IF(C219="","",VLOOKUP(SEM!C219,FROTA!$B$5:$C$305,2,0))</f>
        <v/>
      </c>
      <c r="E219" s="24" t="str">
        <f>IF(C219="","",VLOOKUP(C219,FROTA!$B$5:$N$305,7,0))</f>
        <v/>
      </c>
      <c r="F219" s="38" t="str">
        <f t="shared" si="57"/>
        <v/>
      </c>
      <c r="G219" s="71" t="str">
        <f t="shared" si="62"/>
        <v/>
      </c>
      <c r="H219" s="32" t="str">
        <f t="shared" si="73"/>
        <v/>
      </c>
      <c r="I219" s="73" t="str">
        <f t="shared" si="73"/>
        <v/>
      </c>
      <c r="J219" s="73" t="str">
        <f t="shared" si="73"/>
        <v/>
      </c>
      <c r="K219" s="73" t="str">
        <f t="shared" si="63"/>
        <v/>
      </c>
      <c r="L219" s="73" t="str">
        <f t="shared" si="63"/>
        <v/>
      </c>
      <c r="M219" s="73" t="str">
        <f t="shared" si="63"/>
        <v/>
      </c>
      <c r="N219" s="73" t="str">
        <f t="shared" si="63"/>
        <v/>
      </c>
      <c r="O219" s="73" t="str">
        <f t="shared" si="63"/>
        <v/>
      </c>
      <c r="P219" s="73" t="str">
        <f t="shared" si="63"/>
        <v/>
      </c>
      <c r="Q219" s="73" t="str">
        <f t="shared" si="63"/>
        <v/>
      </c>
      <c r="R219" s="73" t="str">
        <f t="shared" si="72"/>
        <v/>
      </c>
      <c r="S219" s="73" t="str">
        <f t="shared" si="72"/>
        <v/>
      </c>
      <c r="T219" s="73" t="str">
        <f t="shared" si="72"/>
        <v/>
      </c>
      <c r="U219" s="73" t="str">
        <f t="shared" si="72"/>
        <v/>
      </c>
      <c r="V219" s="73" t="str">
        <f t="shared" si="72"/>
        <v/>
      </c>
      <c r="W219" s="73" t="str">
        <f t="shared" si="72"/>
        <v/>
      </c>
      <c r="X219" s="73" t="str">
        <f t="shared" si="72"/>
        <v/>
      </c>
      <c r="Y219" s="73" t="str">
        <f t="shared" si="72"/>
        <v/>
      </c>
      <c r="Z219" s="73" t="str">
        <f t="shared" si="72"/>
        <v/>
      </c>
      <c r="AA219" s="73" t="str">
        <f t="shared" si="72"/>
        <v/>
      </c>
      <c r="AB219" s="74" t="str">
        <f t="shared" si="72"/>
        <v/>
      </c>
      <c r="AC219" s="35" t="str">
        <f t="shared" si="64"/>
        <v/>
      </c>
      <c r="AD219" s="40" t="str">
        <f t="shared" si="65"/>
        <v/>
      </c>
      <c r="AE219" s="37" t="str">
        <f t="shared" si="66"/>
        <v/>
      </c>
      <c r="AF219" s="40" t="str">
        <f t="shared" si="67"/>
        <v/>
      </c>
      <c r="AG219" s="37" t="str">
        <f t="shared" si="68"/>
        <v/>
      </c>
      <c r="AH219" s="40" t="str">
        <f t="shared" si="69"/>
        <v/>
      </c>
      <c r="AI219" s="37" t="str">
        <f t="shared" si="70"/>
        <v/>
      </c>
      <c r="AJ219" s="40" t="str">
        <f t="shared" si="71"/>
        <v/>
      </c>
      <c r="AK219" s="33" t="str">
        <f>IF(SEM!AK219="","",SEM!AK219)</f>
        <v/>
      </c>
      <c r="AL219" s="6"/>
      <c r="AM219" s="79" t="str">
        <f t="shared" si="61"/>
        <v/>
      </c>
      <c r="AR219" s="5"/>
      <c r="AU219" s="198"/>
      <c r="AV219" s="198"/>
      <c r="AW219" s="198"/>
      <c r="AX219" s="198"/>
    </row>
    <row r="220" spans="2:50" ht="17.25" customHeight="1" x14ac:dyDescent="0.2">
      <c r="B220" s="6"/>
      <c r="C220" s="49" t="str">
        <f>IF(SEM!C220="","",SEM!C220)</f>
        <v/>
      </c>
      <c r="D220" s="220" t="str">
        <f>IF(C220="","",VLOOKUP(SEM!C220,FROTA!$B$5:$C$305,2,0))</f>
        <v/>
      </c>
      <c r="E220" s="24" t="str">
        <f>IF(C220="","",VLOOKUP(C220,FROTA!$B$5:$N$305,7,0))</f>
        <v/>
      </c>
      <c r="F220" s="38" t="str">
        <f t="shared" si="57"/>
        <v/>
      </c>
      <c r="G220" s="71" t="str">
        <f t="shared" si="62"/>
        <v/>
      </c>
      <c r="H220" s="32" t="str">
        <f t="shared" si="73"/>
        <v/>
      </c>
      <c r="I220" s="73" t="str">
        <f t="shared" si="73"/>
        <v/>
      </c>
      <c r="J220" s="73" t="str">
        <f t="shared" si="73"/>
        <v/>
      </c>
      <c r="K220" s="73" t="str">
        <f t="shared" si="63"/>
        <v/>
      </c>
      <c r="L220" s="73" t="str">
        <f t="shared" si="63"/>
        <v/>
      </c>
      <c r="M220" s="73" t="str">
        <f t="shared" si="63"/>
        <v/>
      </c>
      <c r="N220" s="73" t="str">
        <f t="shared" si="63"/>
        <v/>
      </c>
      <c r="O220" s="73" t="str">
        <f t="shared" si="63"/>
        <v/>
      </c>
      <c r="P220" s="73" t="str">
        <f t="shared" si="63"/>
        <v/>
      </c>
      <c r="Q220" s="73" t="str">
        <f t="shared" si="63"/>
        <v/>
      </c>
      <c r="R220" s="73" t="str">
        <f t="shared" si="72"/>
        <v/>
      </c>
      <c r="S220" s="73" t="str">
        <f t="shared" si="72"/>
        <v/>
      </c>
      <c r="T220" s="73" t="str">
        <f t="shared" si="72"/>
        <v/>
      </c>
      <c r="U220" s="73" t="str">
        <f t="shared" si="72"/>
        <v/>
      </c>
      <c r="V220" s="73" t="str">
        <f t="shared" si="72"/>
        <v/>
      </c>
      <c r="W220" s="73" t="str">
        <f t="shared" si="72"/>
        <v/>
      </c>
      <c r="X220" s="73" t="str">
        <f t="shared" si="72"/>
        <v/>
      </c>
      <c r="Y220" s="73" t="str">
        <f t="shared" si="72"/>
        <v/>
      </c>
      <c r="Z220" s="73" t="str">
        <f t="shared" si="72"/>
        <v/>
      </c>
      <c r="AA220" s="73" t="str">
        <f t="shared" si="72"/>
        <v/>
      </c>
      <c r="AB220" s="74" t="str">
        <f t="shared" si="72"/>
        <v/>
      </c>
      <c r="AC220" s="35" t="str">
        <f t="shared" si="64"/>
        <v/>
      </c>
      <c r="AD220" s="40" t="str">
        <f t="shared" si="65"/>
        <v/>
      </c>
      <c r="AE220" s="37" t="str">
        <f t="shared" si="66"/>
        <v/>
      </c>
      <c r="AF220" s="40" t="str">
        <f t="shared" si="67"/>
        <v/>
      </c>
      <c r="AG220" s="37" t="str">
        <f t="shared" si="68"/>
        <v/>
      </c>
      <c r="AH220" s="40" t="str">
        <f t="shared" si="69"/>
        <v/>
      </c>
      <c r="AI220" s="37" t="str">
        <f t="shared" si="70"/>
        <v/>
      </c>
      <c r="AJ220" s="40" t="str">
        <f t="shared" si="71"/>
        <v/>
      </c>
      <c r="AK220" s="33" t="str">
        <f>IF(SEM!AK220="","",SEM!AK220)</f>
        <v/>
      </c>
      <c r="AL220" s="6"/>
      <c r="AM220" s="79" t="str">
        <f t="shared" si="61"/>
        <v/>
      </c>
      <c r="AR220" s="5"/>
      <c r="AU220" s="198"/>
      <c r="AV220" s="198"/>
      <c r="AW220" s="198"/>
      <c r="AX220" s="198"/>
    </row>
    <row r="221" spans="2:50" ht="17.25" customHeight="1" x14ac:dyDescent="0.2">
      <c r="B221" s="6"/>
      <c r="C221" s="49" t="str">
        <f>IF(SEM!C221="","",SEM!C221)</f>
        <v/>
      </c>
      <c r="D221" s="220" t="str">
        <f>IF(C221="","",VLOOKUP(SEM!C221,FROTA!$B$5:$C$305,2,0))</f>
        <v/>
      </c>
      <c r="E221" s="24" t="str">
        <f>IF(C221="","",VLOOKUP(C221,FROTA!$B$5:$N$305,7,0))</f>
        <v/>
      </c>
      <c r="F221" s="38" t="str">
        <f t="shared" si="57"/>
        <v/>
      </c>
      <c r="G221" s="71" t="str">
        <f t="shared" si="62"/>
        <v/>
      </c>
      <c r="H221" s="32" t="str">
        <f t="shared" si="73"/>
        <v/>
      </c>
      <c r="I221" s="73" t="str">
        <f t="shared" si="73"/>
        <v/>
      </c>
      <c r="J221" s="73" t="str">
        <f t="shared" si="73"/>
        <v/>
      </c>
      <c r="K221" s="73" t="str">
        <f t="shared" si="63"/>
        <v/>
      </c>
      <c r="L221" s="73" t="str">
        <f t="shared" si="63"/>
        <v/>
      </c>
      <c r="M221" s="73" t="str">
        <f t="shared" si="63"/>
        <v/>
      </c>
      <c r="N221" s="73" t="str">
        <f t="shared" si="63"/>
        <v/>
      </c>
      <c r="O221" s="73" t="str">
        <f t="shared" si="63"/>
        <v/>
      </c>
      <c r="P221" s="73" t="str">
        <f t="shared" si="63"/>
        <v/>
      </c>
      <c r="Q221" s="73" t="str">
        <f t="shared" si="63"/>
        <v/>
      </c>
      <c r="R221" s="73" t="str">
        <f t="shared" si="72"/>
        <v/>
      </c>
      <c r="S221" s="73" t="str">
        <f t="shared" si="72"/>
        <v/>
      </c>
      <c r="T221" s="73" t="str">
        <f t="shared" si="72"/>
        <v/>
      </c>
      <c r="U221" s="73" t="str">
        <f t="shared" si="72"/>
        <v/>
      </c>
      <c r="V221" s="73" t="str">
        <f t="shared" si="72"/>
        <v/>
      </c>
      <c r="W221" s="73" t="str">
        <f t="shared" si="72"/>
        <v/>
      </c>
      <c r="X221" s="73" t="str">
        <f t="shared" si="72"/>
        <v/>
      </c>
      <c r="Y221" s="73" t="str">
        <f t="shared" si="72"/>
        <v/>
      </c>
      <c r="Z221" s="73" t="str">
        <f t="shared" si="72"/>
        <v/>
      </c>
      <c r="AA221" s="73" t="str">
        <f t="shared" si="72"/>
        <v/>
      </c>
      <c r="AB221" s="74" t="str">
        <f t="shared" si="72"/>
        <v/>
      </c>
      <c r="AC221" s="35" t="str">
        <f t="shared" si="64"/>
        <v/>
      </c>
      <c r="AD221" s="40" t="str">
        <f t="shared" si="65"/>
        <v/>
      </c>
      <c r="AE221" s="37" t="str">
        <f t="shared" si="66"/>
        <v/>
      </c>
      <c r="AF221" s="40" t="str">
        <f t="shared" si="67"/>
        <v/>
      </c>
      <c r="AG221" s="37" t="str">
        <f t="shared" si="68"/>
        <v/>
      </c>
      <c r="AH221" s="40" t="str">
        <f t="shared" si="69"/>
        <v/>
      </c>
      <c r="AI221" s="37" t="str">
        <f t="shared" si="70"/>
        <v/>
      </c>
      <c r="AJ221" s="40" t="str">
        <f t="shared" si="71"/>
        <v/>
      </c>
      <c r="AK221" s="33" t="str">
        <f>IF(SEM!AK221="","",SEM!AK221)</f>
        <v/>
      </c>
      <c r="AL221" s="6"/>
      <c r="AM221" s="79" t="str">
        <f t="shared" si="61"/>
        <v/>
      </c>
      <c r="AR221" s="5"/>
      <c r="AU221" s="198"/>
      <c r="AV221" s="198"/>
      <c r="AW221" s="198"/>
      <c r="AX221" s="198"/>
    </row>
    <row r="222" spans="2:50" ht="17.25" customHeight="1" x14ac:dyDescent="0.2">
      <c r="B222" s="6"/>
      <c r="C222" s="49" t="str">
        <f>IF(SEM!C222="","",SEM!C222)</f>
        <v/>
      </c>
      <c r="D222" s="220" t="str">
        <f>IF(C222="","",VLOOKUP(SEM!C222,FROTA!$B$5:$C$305,2,0))</f>
        <v/>
      </c>
      <c r="E222" s="24" t="str">
        <f>IF(C222="","",VLOOKUP(C222,FROTA!$B$5:$N$305,7,0))</f>
        <v/>
      </c>
      <c r="F222" s="38" t="str">
        <f t="shared" si="57"/>
        <v/>
      </c>
      <c r="G222" s="71" t="str">
        <f t="shared" si="62"/>
        <v/>
      </c>
      <c r="H222" s="32" t="str">
        <f t="shared" si="73"/>
        <v/>
      </c>
      <c r="I222" s="73" t="str">
        <f t="shared" si="73"/>
        <v/>
      </c>
      <c r="J222" s="73" t="str">
        <f t="shared" si="73"/>
        <v/>
      </c>
      <c r="K222" s="73" t="str">
        <f t="shared" si="63"/>
        <v/>
      </c>
      <c r="L222" s="73" t="str">
        <f t="shared" si="63"/>
        <v/>
      </c>
      <c r="M222" s="73" t="str">
        <f t="shared" si="63"/>
        <v/>
      </c>
      <c r="N222" s="73" t="str">
        <f t="shared" si="63"/>
        <v/>
      </c>
      <c r="O222" s="73" t="str">
        <f t="shared" si="63"/>
        <v/>
      </c>
      <c r="P222" s="73" t="str">
        <f t="shared" si="63"/>
        <v/>
      </c>
      <c r="Q222" s="73" t="str">
        <f t="shared" si="63"/>
        <v/>
      </c>
      <c r="R222" s="73" t="str">
        <f t="shared" si="72"/>
        <v/>
      </c>
      <c r="S222" s="73" t="str">
        <f t="shared" si="72"/>
        <v/>
      </c>
      <c r="T222" s="73" t="str">
        <f t="shared" si="72"/>
        <v/>
      </c>
      <c r="U222" s="73" t="str">
        <f t="shared" si="72"/>
        <v/>
      </c>
      <c r="V222" s="73" t="str">
        <f t="shared" si="72"/>
        <v/>
      </c>
      <c r="W222" s="73" t="str">
        <f t="shared" si="72"/>
        <v/>
      </c>
      <c r="X222" s="73" t="str">
        <f t="shared" si="72"/>
        <v/>
      </c>
      <c r="Y222" s="73" t="str">
        <f t="shared" si="72"/>
        <v/>
      </c>
      <c r="Z222" s="73" t="str">
        <f t="shared" si="72"/>
        <v/>
      </c>
      <c r="AA222" s="73" t="str">
        <f t="shared" si="72"/>
        <v/>
      </c>
      <c r="AB222" s="74" t="str">
        <f t="shared" si="72"/>
        <v/>
      </c>
      <c r="AC222" s="35" t="str">
        <f t="shared" si="64"/>
        <v/>
      </c>
      <c r="AD222" s="40" t="str">
        <f t="shared" si="65"/>
        <v/>
      </c>
      <c r="AE222" s="37" t="str">
        <f t="shared" si="66"/>
        <v/>
      </c>
      <c r="AF222" s="40" t="str">
        <f t="shared" si="67"/>
        <v/>
      </c>
      <c r="AG222" s="37" t="str">
        <f t="shared" si="68"/>
        <v/>
      </c>
      <c r="AH222" s="40" t="str">
        <f t="shared" si="69"/>
        <v/>
      </c>
      <c r="AI222" s="37" t="str">
        <f t="shared" si="70"/>
        <v/>
      </c>
      <c r="AJ222" s="40" t="str">
        <f t="shared" si="71"/>
        <v/>
      </c>
      <c r="AK222" s="33" t="str">
        <f>IF(SEM!AK222="","",SEM!AK222)</f>
        <v/>
      </c>
      <c r="AL222" s="6"/>
      <c r="AM222" s="79" t="str">
        <f t="shared" si="61"/>
        <v/>
      </c>
      <c r="AR222" s="5"/>
      <c r="AU222" s="198"/>
      <c r="AV222" s="198"/>
      <c r="AW222" s="198"/>
      <c r="AX222" s="198"/>
    </row>
    <row r="223" spans="2:50" ht="17.25" customHeight="1" x14ac:dyDescent="0.2">
      <c r="B223" s="6"/>
      <c r="C223" s="49" t="str">
        <f>IF(SEM!C223="","",SEM!C223)</f>
        <v/>
      </c>
      <c r="D223" s="220" t="str">
        <f>IF(C223="","",VLOOKUP(SEM!C223,FROTA!$B$5:$C$305,2,0))</f>
        <v/>
      </c>
      <c r="E223" s="24" t="str">
        <f>IF(C223="","",VLOOKUP(C223,FROTA!$B$5:$N$305,7,0))</f>
        <v/>
      </c>
      <c r="F223" s="38" t="str">
        <f t="shared" si="57"/>
        <v/>
      </c>
      <c r="G223" s="71" t="str">
        <f t="shared" si="62"/>
        <v/>
      </c>
      <c r="H223" s="32" t="str">
        <f t="shared" si="73"/>
        <v/>
      </c>
      <c r="I223" s="73" t="str">
        <f t="shared" si="73"/>
        <v/>
      </c>
      <c r="J223" s="73" t="str">
        <f t="shared" si="73"/>
        <v/>
      </c>
      <c r="K223" s="73" t="str">
        <f t="shared" si="63"/>
        <v/>
      </c>
      <c r="L223" s="73" t="str">
        <f t="shared" si="63"/>
        <v/>
      </c>
      <c r="M223" s="73" t="str">
        <f t="shared" si="63"/>
        <v/>
      </c>
      <c r="N223" s="73" t="str">
        <f t="shared" si="63"/>
        <v/>
      </c>
      <c r="O223" s="73" t="str">
        <f t="shared" si="63"/>
        <v/>
      </c>
      <c r="P223" s="73" t="str">
        <f t="shared" si="63"/>
        <v/>
      </c>
      <c r="Q223" s="73" t="str">
        <f t="shared" si="63"/>
        <v/>
      </c>
      <c r="R223" s="73" t="str">
        <f t="shared" si="72"/>
        <v/>
      </c>
      <c r="S223" s="73" t="str">
        <f t="shared" si="72"/>
        <v/>
      </c>
      <c r="T223" s="73" t="str">
        <f t="shared" si="72"/>
        <v/>
      </c>
      <c r="U223" s="73" t="str">
        <f t="shared" si="72"/>
        <v/>
      </c>
      <c r="V223" s="73" t="str">
        <f t="shared" si="72"/>
        <v/>
      </c>
      <c r="W223" s="73" t="str">
        <f t="shared" si="72"/>
        <v/>
      </c>
      <c r="X223" s="73" t="str">
        <f t="shared" si="72"/>
        <v/>
      </c>
      <c r="Y223" s="73" t="str">
        <f t="shared" si="72"/>
        <v/>
      </c>
      <c r="Z223" s="73" t="str">
        <f t="shared" si="72"/>
        <v/>
      </c>
      <c r="AA223" s="73" t="str">
        <f t="shared" si="72"/>
        <v/>
      </c>
      <c r="AB223" s="74" t="str">
        <f t="shared" si="72"/>
        <v/>
      </c>
      <c r="AC223" s="35" t="str">
        <f t="shared" si="64"/>
        <v/>
      </c>
      <c r="AD223" s="40" t="str">
        <f t="shared" si="65"/>
        <v/>
      </c>
      <c r="AE223" s="37" t="str">
        <f t="shared" si="66"/>
        <v/>
      </c>
      <c r="AF223" s="40" t="str">
        <f t="shared" si="67"/>
        <v/>
      </c>
      <c r="AG223" s="37" t="str">
        <f t="shared" si="68"/>
        <v/>
      </c>
      <c r="AH223" s="40" t="str">
        <f t="shared" si="69"/>
        <v/>
      </c>
      <c r="AI223" s="37" t="str">
        <f t="shared" si="70"/>
        <v/>
      </c>
      <c r="AJ223" s="40" t="str">
        <f t="shared" si="71"/>
        <v/>
      </c>
      <c r="AK223" s="33" t="str">
        <f>IF(SEM!AK223="","",SEM!AK223)</f>
        <v/>
      </c>
      <c r="AL223" s="6"/>
      <c r="AM223" s="79" t="str">
        <f t="shared" si="61"/>
        <v/>
      </c>
      <c r="AR223" s="5"/>
      <c r="AU223" s="198"/>
      <c r="AV223" s="198"/>
      <c r="AW223" s="198"/>
      <c r="AX223" s="198"/>
    </row>
    <row r="224" spans="2:50" ht="17.25" customHeight="1" x14ac:dyDescent="0.2">
      <c r="B224" s="6"/>
      <c r="C224" s="49" t="str">
        <f>IF(SEM!C224="","",SEM!C224)</f>
        <v/>
      </c>
      <c r="D224" s="220" t="str">
        <f>IF(C224="","",VLOOKUP(SEM!C224,FROTA!$B$5:$C$305,2,0))</f>
        <v/>
      </c>
      <c r="E224" s="24" t="str">
        <f>IF(C224="","",VLOOKUP(C224,FROTA!$B$5:$N$305,7,0))</f>
        <v/>
      </c>
      <c r="F224" s="38" t="str">
        <f t="shared" si="57"/>
        <v/>
      </c>
      <c r="G224" s="71" t="str">
        <f t="shared" si="62"/>
        <v/>
      </c>
      <c r="H224" s="32" t="str">
        <f t="shared" si="73"/>
        <v/>
      </c>
      <c r="I224" s="73" t="str">
        <f t="shared" si="73"/>
        <v/>
      </c>
      <c r="J224" s="73" t="str">
        <f t="shared" si="73"/>
        <v/>
      </c>
      <c r="K224" s="73" t="str">
        <f t="shared" si="63"/>
        <v/>
      </c>
      <c r="L224" s="73" t="str">
        <f t="shared" si="63"/>
        <v/>
      </c>
      <c r="M224" s="73" t="str">
        <f t="shared" si="63"/>
        <v/>
      </c>
      <c r="N224" s="73" t="str">
        <f t="shared" si="63"/>
        <v/>
      </c>
      <c r="O224" s="73" t="str">
        <f t="shared" si="63"/>
        <v/>
      </c>
      <c r="P224" s="73" t="str">
        <f t="shared" si="63"/>
        <v/>
      </c>
      <c r="Q224" s="73" t="str">
        <f t="shared" si="63"/>
        <v/>
      </c>
      <c r="R224" s="73" t="str">
        <f t="shared" si="72"/>
        <v/>
      </c>
      <c r="S224" s="73" t="str">
        <f t="shared" si="72"/>
        <v/>
      </c>
      <c r="T224" s="73" t="str">
        <f t="shared" si="72"/>
        <v/>
      </c>
      <c r="U224" s="73" t="str">
        <f t="shared" si="72"/>
        <v/>
      </c>
      <c r="V224" s="73" t="str">
        <f t="shared" si="72"/>
        <v/>
      </c>
      <c r="W224" s="73" t="str">
        <f t="shared" si="72"/>
        <v/>
      </c>
      <c r="X224" s="73" t="str">
        <f t="shared" si="72"/>
        <v/>
      </c>
      <c r="Y224" s="73" t="str">
        <f t="shared" si="72"/>
        <v/>
      </c>
      <c r="Z224" s="73" t="str">
        <f t="shared" si="72"/>
        <v/>
      </c>
      <c r="AA224" s="73" t="str">
        <f t="shared" si="72"/>
        <v/>
      </c>
      <c r="AB224" s="74" t="str">
        <f t="shared" si="72"/>
        <v/>
      </c>
      <c r="AC224" s="35" t="str">
        <f t="shared" si="64"/>
        <v/>
      </c>
      <c r="AD224" s="40" t="str">
        <f t="shared" si="65"/>
        <v/>
      </c>
      <c r="AE224" s="37" t="str">
        <f t="shared" si="66"/>
        <v/>
      </c>
      <c r="AF224" s="40" t="str">
        <f t="shared" si="67"/>
        <v/>
      </c>
      <c r="AG224" s="37" t="str">
        <f t="shared" si="68"/>
        <v/>
      </c>
      <c r="AH224" s="40" t="str">
        <f t="shared" si="69"/>
        <v/>
      </c>
      <c r="AI224" s="37" t="str">
        <f t="shared" si="70"/>
        <v/>
      </c>
      <c r="AJ224" s="40" t="str">
        <f t="shared" si="71"/>
        <v/>
      </c>
      <c r="AK224" s="33" t="str">
        <f>IF(SEM!AK224="","",SEM!AK224)</f>
        <v/>
      </c>
      <c r="AL224" s="6"/>
      <c r="AM224" s="79" t="str">
        <f t="shared" si="61"/>
        <v/>
      </c>
      <c r="AR224" s="5"/>
      <c r="AU224" s="198"/>
      <c r="AV224" s="198"/>
      <c r="AW224" s="198"/>
      <c r="AX224" s="198"/>
    </row>
    <row r="225" spans="2:50" ht="17.25" customHeight="1" x14ac:dyDescent="0.2">
      <c r="B225" s="6"/>
      <c r="C225" s="49" t="str">
        <f>IF(SEM!C225="","",SEM!C225)</f>
        <v/>
      </c>
      <c r="D225" s="220" t="str">
        <f>IF(C225="","",VLOOKUP(SEM!C225,FROTA!$B$5:$C$305,2,0))</f>
        <v/>
      </c>
      <c r="E225" s="24" t="str">
        <f>IF(C225="","",VLOOKUP(C225,FROTA!$B$5:$N$305,7,0))</f>
        <v/>
      </c>
      <c r="F225" s="38" t="str">
        <f t="shared" si="57"/>
        <v/>
      </c>
      <c r="G225" s="71" t="str">
        <f t="shared" si="62"/>
        <v/>
      </c>
      <c r="H225" s="32" t="str">
        <f t="shared" si="73"/>
        <v/>
      </c>
      <c r="I225" s="73" t="str">
        <f t="shared" si="73"/>
        <v/>
      </c>
      <c r="J225" s="73" t="str">
        <f t="shared" si="73"/>
        <v/>
      </c>
      <c r="K225" s="73" t="str">
        <f t="shared" si="63"/>
        <v/>
      </c>
      <c r="L225" s="73" t="str">
        <f t="shared" si="63"/>
        <v/>
      </c>
      <c r="M225" s="73" t="str">
        <f t="shared" si="63"/>
        <v/>
      </c>
      <c r="N225" s="73" t="str">
        <f t="shared" si="63"/>
        <v/>
      </c>
      <c r="O225" s="73" t="str">
        <f t="shared" si="63"/>
        <v/>
      </c>
      <c r="P225" s="73" t="str">
        <f t="shared" si="63"/>
        <v/>
      </c>
      <c r="Q225" s="73" t="str">
        <f t="shared" si="63"/>
        <v/>
      </c>
      <c r="R225" s="73" t="str">
        <f t="shared" si="72"/>
        <v/>
      </c>
      <c r="S225" s="73" t="str">
        <f t="shared" si="72"/>
        <v/>
      </c>
      <c r="T225" s="73" t="str">
        <f t="shared" si="72"/>
        <v/>
      </c>
      <c r="U225" s="73" t="str">
        <f t="shared" si="72"/>
        <v/>
      </c>
      <c r="V225" s="73" t="str">
        <f t="shared" si="72"/>
        <v/>
      </c>
      <c r="W225" s="73" t="str">
        <f t="shared" si="72"/>
        <v/>
      </c>
      <c r="X225" s="73" t="str">
        <f t="shared" si="72"/>
        <v/>
      </c>
      <c r="Y225" s="73" t="str">
        <f t="shared" si="72"/>
        <v/>
      </c>
      <c r="Z225" s="73" t="str">
        <f t="shared" si="72"/>
        <v/>
      </c>
      <c r="AA225" s="73" t="str">
        <f t="shared" si="72"/>
        <v/>
      </c>
      <c r="AB225" s="74" t="str">
        <f t="shared" si="72"/>
        <v/>
      </c>
      <c r="AC225" s="35" t="str">
        <f t="shared" si="64"/>
        <v/>
      </c>
      <c r="AD225" s="40" t="str">
        <f t="shared" si="65"/>
        <v/>
      </c>
      <c r="AE225" s="37" t="str">
        <f t="shared" si="66"/>
        <v/>
      </c>
      <c r="AF225" s="40" t="str">
        <f t="shared" si="67"/>
        <v/>
      </c>
      <c r="AG225" s="37" t="str">
        <f t="shared" si="68"/>
        <v/>
      </c>
      <c r="AH225" s="40" t="str">
        <f t="shared" si="69"/>
        <v/>
      </c>
      <c r="AI225" s="37" t="str">
        <f t="shared" si="70"/>
        <v/>
      </c>
      <c r="AJ225" s="40" t="str">
        <f t="shared" si="71"/>
        <v/>
      </c>
      <c r="AK225" s="33" t="str">
        <f>IF(SEM!AK225="","",SEM!AK225)</f>
        <v/>
      </c>
      <c r="AL225" s="6"/>
      <c r="AM225" s="79" t="str">
        <f t="shared" si="61"/>
        <v/>
      </c>
      <c r="AR225" s="5"/>
      <c r="AU225" s="198"/>
      <c r="AV225" s="198"/>
      <c r="AW225" s="198"/>
      <c r="AX225" s="198"/>
    </row>
    <row r="226" spans="2:50" ht="17.25" customHeight="1" x14ac:dyDescent="0.2">
      <c r="B226" s="6"/>
      <c r="C226" s="49" t="str">
        <f>IF(SEM!C226="","",SEM!C226)</f>
        <v/>
      </c>
      <c r="D226" s="220" t="str">
        <f>IF(C226="","",VLOOKUP(SEM!C226,FROTA!$B$5:$C$305,2,0))</f>
        <v/>
      </c>
      <c r="E226" s="24" t="str">
        <f>IF(C226="","",VLOOKUP(C226,FROTA!$B$5:$N$305,7,0))</f>
        <v/>
      </c>
      <c r="F226" s="38" t="str">
        <f t="shared" si="57"/>
        <v/>
      </c>
      <c r="G226" s="71" t="str">
        <f t="shared" si="62"/>
        <v/>
      </c>
      <c r="H226" s="32" t="str">
        <f t="shared" si="73"/>
        <v/>
      </c>
      <c r="I226" s="73" t="str">
        <f t="shared" si="73"/>
        <v/>
      </c>
      <c r="J226" s="73" t="str">
        <f t="shared" si="73"/>
        <v/>
      </c>
      <c r="K226" s="73" t="str">
        <f t="shared" si="63"/>
        <v/>
      </c>
      <c r="L226" s="73" t="str">
        <f t="shared" si="63"/>
        <v/>
      </c>
      <c r="M226" s="73" t="str">
        <f t="shared" si="63"/>
        <v/>
      </c>
      <c r="N226" s="73" t="str">
        <f t="shared" si="63"/>
        <v/>
      </c>
      <c r="O226" s="73" t="str">
        <f t="shared" si="63"/>
        <v/>
      </c>
      <c r="P226" s="73" t="str">
        <f t="shared" si="63"/>
        <v/>
      </c>
      <c r="Q226" s="73" t="str">
        <f t="shared" si="63"/>
        <v/>
      </c>
      <c r="R226" s="73" t="str">
        <f t="shared" si="72"/>
        <v/>
      </c>
      <c r="S226" s="73" t="str">
        <f t="shared" si="72"/>
        <v/>
      </c>
      <c r="T226" s="73" t="str">
        <f t="shared" si="72"/>
        <v/>
      </c>
      <c r="U226" s="73" t="str">
        <f t="shared" si="72"/>
        <v/>
      </c>
      <c r="V226" s="73" t="str">
        <f t="shared" si="72"/>
        <v/>
      </c>
      <c r="W226" s="73" t="str">
        <f t="shared" si="72"/>
        <v/>
      </c>
      <c r="X226" s="73" t="str">
        <f t="shared" si="72"/>
        <v/>
      </c>
      <c r="Y226" s="73" t="str">
        <f t="shared" si="72"/>
        <v/>
      </c>
      <c r="Z226" s="73" t="str">
        <f t="shared" si="72"/>
        <v/>
      </c>
      <c r="AA226" s="73" t="str">
        <f t="shared" si="72"/>
        <v/>
      </c>
      <c r="AB226" s="74" t="str">
        <f t="shared" si="72"/>
        <v/>
      </c>
      <c r="AC226" s="35" t="str">
        <f t="shared" si="64"/>
        <v/>
      </c>
      <c r="AD226" s="40" t="str">
        <f t="shared" si="65"/>
        <v/>
      </c>
      <c r="AE226" s="37" t="str">
        <f t="shared" si="66"/>
        <v/>
      </c>
      <c r="AF226" s="40" t="str">
        <f t="shared" si="67"/>
        <v/>
      </c>
      <c r="AG226" s="37" t="str">
        <f t="shared" si="68"/>
        <v/>
      </c>
      <c r="AH226" s="40" t="str">
        <f t="shared" si="69"/>
        <v/>
      </c>
      <c r="AI226" s="37" t="str">
        <f t="shared" si="70"/>
        <v/>
      </c>
      <c r="AJ226" s="40" t="str">
        <f t="shared" si="71"/>
        <v/>
      </c>
      <c r="AK226" s="33" t="str">
        <f>IF(SEM!AK226="","",SEM!AK226)</f>
        <v/>
      </c>
      <c r="AL226" s="6"/>
      <c r="AM226" s="79" t="str">
        <f t="shared" si="61"/>
        <v/>
      </c>
      <c r="AR226" s="5"/>
      <c r="AU226" s="198"/>
      <c r="AV226" s="198"/>
      <c r="AW226" s="198"/>
      <c r="AX226" s="198"/>
    </row>
    <row r="227" spans="2:50" ht="17.25" customHeight="1" x14ac:dyDescent="0.2">
      <c r="B227" s="6"/>
      <c r="C227" s="49" t="str">
        <f>IF(SEM!C227="","",SEM!C227)</f>
        <v/>
      </c>
      <c r="D227" s="220" t="str">
        <f>IF(C227="","",VLOOKUP(SEM!C227,FROTA!$B$5:$C$305,2,0))</f>
        <v/>
      </c>
      <c r="E227" s="24" t="str">
        <f>IF(C227="","",VLOOKUP(C227,FROTA!$B$5:$N$305,7,0))</f>
        <v/>
      </c>
      <c r="F227" s="38" t="str">
        <f t="shared" si="57"/>
        <v/>
      </c>
      <c r="G227" s="71" t="str">
        <f t="shared" si="62"/>
        <v/>
      </c>
      <c r="H227" s="32" t="str">
        <f t="shared" si="73"/>
        <v/>
      </c>
      <c r="I227" s="73" t="str">
        <f t="shared" si="73"/>
        <v/>
      </c>
      <c r="J227" s="73" t="str">
        <f t="shared" si="73"/>
        <v/>
      </c>
      <c r="K227" s="73" t="str">
        <f t="shared" si="63"/>
        <v/>
      </c>
      <c r="L227" s="73" t="str">
        <f t="shared" si="63"/>
        <v/>
      </c>
      <c r="M227" s="73" t="str">
        <f t="shared" si="63"/>
        <v/>
      </c>
      <c r="N227" s="73" t="str">
        <f t="shared" si="63"/>
        <v/>
      </c>
      <c r="O227" s="73" t="str">
        <f t="shared" si="63"/>
        <v/>
      </c>
      <c r="P227" s="73" t="str">
        <f t="shared" si="63"/>
        <v/>
      </c>
      <c r="Q227" s="73" t="str">
        <f t="shared" si="63"/>
        <v/>
      </c>
      <c r="R227" s="73" t="str">
        <f t="shared" si="72"/>
        <v/>
      </c>
      <c r="S227" s="73" t="str">
        <f t="shared" si="72"/>
        <v/>
      </c>
      <c r="T227" s="73" t="str">
        <f t="shared" si="72"/>
        <v/>
      </c>
      <c r="U227" s="73" t="str">
        <f t="shared" si="72"/>
        <v/>
      </c>
      <c r="V227" s="73" t="str">
        <f t="shared" si="72"/>
        <v/>
      </c>
      <c r="W227" s="73" t="str">
        <f t="shared" si="72"/>
        <v/>
      </c>
      <c r="X227" s="73" t="str">
        <f t="shared" si="72"/>
        <v/>
      </c>
      <c r="Y227" s="73" t="str">
        <f t="shared" si="72"/>
        <v/>
      </c>
      <c r="Z227" s="73" t="str">
        <f t="shared" si="72"/>
        <v/>
      </c>
      <c r="AA227" s="73" t="str">
        <f t="shared" si="72"/>
        <v/>
      </c>
      <c r="AB227" s="74" t="str">
        <f t="shared" si="72"/>
        <v/>
      </c>
      <c r="AC227" s="35" t="str">
        <f t="shared" si="64"/>
        <v/>
      </c>
      <c r="AD227" s="40" t="str">
        <f t="shared" si="65"/>
        <v/>
      </c>
      <c r="AE227" s="37" t="str">
        <f t="shared" si="66"/>
        <v/>
      </c>
      <c r="AF227" s="40" t="str">
        <f t="shared" si="67"/>
        <v/>
      </c>
      <c r="AG227" s="37" t="str">
        <f t="shared" si="68"/>
        <v/>
      </c>
      <c r="AH227" s="40" t="str">
        <f t="shared" si="69"/>
        <v/>
      </c>
      <c r="AI227" s="37" t="str">
        <f t="shared" si="70"/>
        <v/>
      </c>
      <c r="AJ227" s="40" t="str">
        <f t="shared" si="71"/>
        <v/>
      </c>
      <c r="AK227" s="33" t="str">
        <f>IF(SEM!AK227="","",SEM!AK227)</f>
        <v/>
      </c>
      <c r="AL227" s="6"/>
      <c r="AM227" s="79" t="str">
        <f t="shared" si="61"/>
        <v/>
      </c>
      <c r="AR227" s="5"/>
      <c r="AU227" s="198"/>
      <c r="AV227" s="198"/>
      <c r="AW227" s="198"/>
      <c r="AX227" s="198"/>
    </row>
    <row r="228" spans="2:50" ht="17.25" customHeight="1" x14ac:dyDescent="0.2">
      <c r="B228" s="6"/>
      <c r="C228" s="49" t="str">
        <f>IF(SEM!C228="","",SEM!C228)</f>
        <v/>
      </c>
      <c r="D228" s="220" t="str">
        <f>IF(C228="","",VLOOKUP(SEM!C228,FROTA!$B$5:$C$305,2,0))</f>
        <v/>
      </c>
      <c r="E228" s="24" t="str">
        <f>IF(C228="","",VLOOKUP(C228,FROTA!$B$5:$N$305,7,0))</f>
        <v/>
      </c>
      <c r="F228" s="38" t="str">
        <f t="shared" si="57"/>
        <v/>
      </c>
      <c r="G228" s="71" t="str">
        <f t="shared" si="62"/>
        <v/>
      </c>
      <c r="H228" s="32" t="str">
        <f t="shared" si="73"/>
        <v/>
      </c>
      <c r="I228" s="73" t="str">
        <f t="shared" si="73"/>
        <v/>
      </c>
      <c r="J228" s="73" t="str">
        <f t="shared" si="73"/>
        <v/>
      </c>
      <c r="K228" s="73" t="str">
        <f t="shared" si="63"/>
        <v/>
      </c>
      <c r="L228" s="73" t="str">
        <f t="shared" si="63"/>
        <v/>
      </c>
      <c r="M228" s="73" t="str">
        <f t="shared" si="63"/>
        <v/>
      </c>
      <c r="N228" s="73" t="str">
        <f t="shared" si="63"/>
        <v/>
      </c>
      <c r="O228" s="73" t="str">
        <f t="shared" si="63"/>
        <v/>
      </c>
      <c r="P228" s="73" t="str">
        <f t="shared" si="63"/>
        <v/>
      </c>
      <c r="Q228" s="73" t="str">
        <f t="shared" si="63"/>
        <v/>
      </c>
      <c r="R228" s="73" t="str">
        <f t="shared" si="72"/>
        <v/>
      </c>
      <c r="S228" s="73" t="str">
        <f t="shared" si="72"/>
        <v/>
      </c>
      <c r="T228" s="73" t="str">
        <f t="shared" si="72"/>
        <v/>
      </c>
      <c r="U228" s="73" t="str">
        <f t="shared" si="72"/>
        <v/>
      </c>
      <c r="V228" s="73" t="str">
        <f t="shared" si="72"/>
        <v/>
      </c>
      <c r="W228" s="73" t="str">
        <f t="shared" si="72"/>
        <v/>
      </c>
      <c r="X228" s="73" t="str">
        <f t="shared" si="72"/>
        <v/>
      </c>
      <c r="Y228" s="73" t="str">
        <f t="shared" si="72"/>
        <v/>
      </c>
      <c r="Z228" s="73" t="str">
        <f t="shared" si="72"/>
        <v/>
      </c>
      <c r="AA228" s="73" t="str">
        <f t="shared" si="72"/>
        <v/>
      </c>
      <c r="AB228" s="74" t="str">
        <f t="shared" si="72"/>
        <v/>
      </c>
      <c r="AC228" s="35" t="str">
        <f t="shared" si="64"/>
        <v/>
      </c>
      <c r="AD228" s="40" t="str">
        <f t="shared" si="65"/>
        <v/>
      </c>
      <c r="AE228" s="37" t="str">
        <f t="shared" si="66"/>
        <v/>
      </c>
      <c r="AF228" s="40" t="str">
        <f t="shared" si="67"/>
        <v/>
      </c>
      <c r="AG228" s="37" t="str">
        <f t="shared" si="68"/>
        <v/>
      </c>
      <c r="AH228" s="40" t="str">
        <f t="shared" si="69"/>
        <v/>
      </c>
      <c r="AI228" s="37" t="str">
        <f t="shared" si="70"/>
        <v/>
      </c>
      <c r="AJ228" s="40" t="str">
        <f t="shared" si="71"/>
        <v/>
      </c>
      <c r="AK228" s="33" t="str">
        <f>IF(SEM!AK228="","",SEM!AK228)</f>
        <v/>
      </c>
      <c r="AL228" s="6"/>
      <c r="AM228" s="79" t="str">
        <f t="shared" si="61"/>
        <v/>
      </c>
      <c r="AR228" s="5"/>
      <c r="AU228" s="198"/>
      <c r="AV228" s="198"/>
      <c r="AW228" s="198"/>
      <c r="AX228" s="198"/>
    </row>
    <row r="229" spans="2:50" ht="17.25" customHeight="1" x14ac:dyDescent="0.2">
      <c r="B229" s="6"/>
      <c r="C229" s="49" t="str">
        <f>IF(SEM!C229="","",SEM!C229)</f>
        <v/>
      </c>
      <c r="D229" s="220" t="str">
        <f>IF(C229="","",VLOOKUP(SEM!C229,FROTA!$B$5:$C$305,2,0))</f>
        <v/>
      </c>
      <c r="E229" s="24" t="str">
        <f>IF(C229="","",VLOOKUP(C229,FROTA!$B$5:$N$305,7,0))</f>
        <v/>
      </c>
      <c r="F229" s="38" t="str">
        <f t="shared" si="57"/>
        <v/>
      </c>
      <c r="G229" s="71" t="str">
        <f t="shared" si="62"/>
        <v/>
      </c>
      <c r="H229" s="32" t="str">
        <f t="shared" si="73"/>
        <v/>
      </c>
      <c r="I229" s="73" t="str">
        <f t="shared" si="73"/>
        <v/>
      </c>
      <c r="J229" s="73" t="str">
        <f t="shared" si="73"/>
        <v/>
      </c>
      <c r="K229" s="73" t="str">
        <f t="shared" si="63"/>
        <v/>
      </c>
      <c r="L229" s="73" t="str">
        <f t="shared" si="63"/>
        <v/>
      </c>
      <c r="M229" s="73" t="str">
        <f t="shared" si="63"/>
        <v/>
      </c>
      <c r="N229" s="73" t="str">
        <f t="shared" si="63"/>
        <v/>
      </c>
      <c r="O229" s="73" t="str">
        <f t="shared" si="63"/>
        <v/>
      </c>
      <c r="P229" s="73" t="str">
        <f t="shared" si="63"/>
        <v/>
      </c>
      <c r="Q229" s="73" t="str">
        <f t="shared" si="63"/>
        <v/>
      </c>
      <c r="R229" s="73" t="str">
        <f t="shared" si="72"/>
        <v/>
      </c>
      <c r="S229" s="73" t="str">
        <f t="shared" si="72"/>
        <v/>
      </c>
      <c r="T229" s="73" t="str">
        <f t="shared" si="72"/>
        <v/>
      </c>
      <c r="U229" s="73" t="str">
        <f t="shared" si="72"/>
        <v/>
      </c>
      <c r="V229" s="73" t="str">
        <f t="shared" si="72"/>
        <v/>
      </c>
      <c r="W229" s="73" t="str">
        <f t="shared" si="72"/>
        <v/>
      </c>
      <c r="X229" s="73" t="str">
        <f t="shared" si="72"/>
        <v/>
      </c>
      <c r="Y229" s="73" t="str">
        <f t="shared" si="72"/>
        <v/>
      </c>
      <c r="Z229" s="73" t="str">
        <f t="shared" si="72"/>
        <v/>
      </c>
      <c r="AA229" s="73" t="str">
        <f t="shared" si="72"/>
        <v/>
      </c>
      <c r="AB229" s="74" t="str">
        <f t="shared" si="72"/>
        <v/>
      </c>
      <c r="AC229" s="35" t="str">
        <f t="shared" si="64"/>
        <v/>
      </c>
      <c r="AD229" s="40" t="str">
        <f t="shared" si="65"/>
        <v/>
      </c>
      <c r="AE229" s="37" t="str">
        <f t="shared" si="66"/>
        <v/>
      </c>
      <c r="AF229" s="40" t="str">
        <f t="shared" si="67"/>
        <v/>
      </c>
      <c r="AG229" s="37" t="str">
        <f t="shared" si="68"/>
        <v/>
      </c>
      <c r="AH229" s="40" t="str">
        <f t="shared" si="69"/>
        <v/>
      </c>
      <c r="AI229" s="37" t="str">
        <f t="shared" si="70"/>
        <v/>
      </c>
      <c r="AJ229" s="40" t="str">
        <f t="shared" si="71"/>
        <v/>
      </c>
      <c r="AK229" s="33" t="str">
        <f>IF(SEM!AK229="","",SEM!AK229)</f>
        <v/>
      </c>
      <c r="AL229" s="6"/>
      <c r="AM229" s="79" t="str">
        <f t="shared" si="61"/>
        <v/>
      </c>
      <c r="AR229" s="5"/>
      <c r="AU229" s="198"/>
      <c r="AV229" s="198"/>
      <c r="AW229" s="198"/>
      <c r="AX229" s="198"/>
    </row>
    <row r="230" spans="2:50" ht="17.25" customHeight="1" x14ac:dyDescent="0.2">
      <c r="B230" s="6"/>
      <c r="C230" s="49" t="str">
        <f>IF(SEM!C230="","",SEM!C230)</f>
        <v/>
      </c>
      <c r="D230" s="220" t="str">
        <f>IF(C230="","",VLOOKUP(SEM!C230,FROTA!$B$5:$C$305,2,0))</f>
        <v/>
      </c>
      <c r="E230" s="24" t="str">
        <f>IF(C230="","",VLOOKUP(C230,FROTA!$B$5:$N$305,7,0))</f>
        <v/>
      </c>
      <c r="F230" s="38" t="str">
        <f t="shared" si="57"/>
        <v/>
      </c>
      <c r="G230" s="71" t="str">
        <f t="shared" si="62"/>
        <v/>
      </c>
      <c r="H230" s="32" t="str">
        <f t="shared" si="73"/>
        <v/>
      </c>
      <c r="I230" s="73" t="str">
        <f t="shared" si="73"/>
        <v/>
      </c>
      <c r="J230" s="73" t="str">
        <f t="shared" si="73"/>
        <v/>
      </c>
      <c r="K230" s="73" t="str">
        <f t="shared" si="63"/>
        <v/>
      </c>
      <c r="L230" s="73" t="str">
        <f t="shared" si="63"/>
        <v/>
      </c>
      <c r="M230" s="73" t="str">
        <f t="shared" si="63"/>
        <v/>
      </c>
      <c r="N230" s="73" t="str">
        <f t="shared" si="63"/>
        <v/>
      </c>
      <c r="O230" s="73" t="str">
        <f t="shared" si="63"/>
        <v/>
      </c>
      <c r="P230" s="73" t="str">
        <f t="shared" si="63"/>
        <v/>
      </c>
      <c r="Q230" s="73" t="str">
        <f t="shared" si="63"/>
        <v/>
      </c>
      <c r="R230" s="73" t="str">
        <f t="shared" si="72"/>
        <v/>
      </c>
      <c r="S230" s="73" t="str">
        <f t="shared" si="72"/>
        <v/>
      </c>
      <c r="T230" s="73" t="str">
        <f t="shared" si="72"/>
        <v/>
      </c>
      <c r="U230" s="73" t="str">
        <f t="shared" si="72"/>
        <v/>
      </c>
      <c r="V230" s="73" t="str">
        <f t="shared" si="72"/>
        <v/>
      </c>
      <c r="W230" s="73" t="str">
        <f t="shared" si="72"/>
        <v/>
      </c>
      <c r="X230" s="73" t="str">
        <f t="shared" si="72"/>
        <v/>
      </c>
      <c r="Y230" s="73" t="str">
        <f t="shared" ref="R230:AB253" si="74">IF($C230="","",IF(SUM(Y$307*$G230)&gt;$F230,$F230,SUM(Y$307*$G230)))</f>
        <v/>
      </c>
      <c r="Z230" s="73" t="str">
        <f t="shared" si="74"/>
        <v/>
      </c>
      <c r="AA230" s="73" t="str">
        <f t="shared" si="74"/>
        <v/>
      </c>
      <c r="AB230" s="74" t="str">
        <f t="shared" si="74"/>
        <v/>
      </c>
      <c r="AC230" s="35" t="str">
        <f t="shared" si="64"/>
        <v/>
      </c>
      <c r="AD230" s="40" t="str">
        <f t="shared" si="65"/>
        <v/>
      </c>
      <c r="AE230" s="37" t="str">
        <f t="shared" si="66"/>
        <v/>
      </c>
      <c r="AF230" s="40" t="str">
        <f t="shared" si="67"/>
        <v/>
      </c>
      <c r="AG230" s="37" t="str">
        <f t="shared" si="68"/>
        <v/>
      </c>
      <c r="AH230" s="40" t="str">
        <f t="shared" si="69"/>
        <v/>
      </c>
      <c r="AI230" s="37" t="str">
        <f t="shared" si="70"/>
        <v/>
      </c>
      <c r="AJ230" s="40" t="str">
        <f t="shared" si="71"/>
        <v/>
      </c>
      <c r="AK230" s="33" t="str">
        <f>IF(SEM!AK230="","",SEM!AK230)</f>
        <v/>
      </c>
      <c r="AL230" s="6"/>
      <c r="AM230" s="79" t="str">
        <f t="shared" si="61"/>
        <v/>
      </c>
      <c r="AR230" s="5"/>
      <c r="AU230" s="198"/>
      <c r="AV230" s="198"/>
      <c r="AW230" s="198"/>
      <c r="AX230" s="198"/>
    </row>
    <row r="231" spans="2:50" ht="17.25" customHeight="1" x14ac:dyDescent="0.2">
      <c r="B231" s="6"/>
      <c r="C231" s="49" t="str">
        <f>IF(SEM!C231="","",SEM!C231)</f>
        <v/>
      </c>
      <c r="D231" s="220" t="str">
        <f>IF(C231="","",VLOOKUP(SEM!C231,FROTA!$B$5:$C$305,2,0))</f>
        <v/>
      </c>
      <c r="E231" s="24" t="str">
        <f>IF(C231="","",VLOOKUP(C231,FROTA!$B$5:$N$305,7,0))</f>
        <v/>
      </c>
      <c r="F231" s="38" t="str">
        <f t="shared" si="57"/>
        <v/>
      </c>
      <c r="G231" s="71" t="str">
        <f t="shared" si="62"/>
        <v/>
      </c>
      <c r="H231" s="32" t="str">
        <f t="shared" si="73"/>
        <v/>
      </c>
      <c r="I231" s="73" t="str">
        <f t="shared" si="73"/>
        <v/>
      </c>
      <c r="J231" s="73" t="str">
        <f t="shared" si="73"/>
        <v/>
      </c>
      <c r="K231" s="73" t="str">
        <f t="shared" si="63"/>
        <v/>
      </c>
      <c r="L231" s="73" t="str">
        <f t="shared" si="63"/>
        <v/>
      </c>
      <c r="M231" s="73" t="str">
        <f t="shared" si="63"/>
        <v/>
      </c>
      <c r="N231" s="73" t="str">
        <f t="shared" si="63"/>
        <v/>
      </c>
      <c r="O231" s="73" t="str">
        <f t="shared" si="63"/>
        <v/>
      </c>
      <c r="P231" s="73" t="str">
        <f t="shared" si="63"/>
        <v/>
      </c>
      <c r="Q231" s="73" t="str">
        <f t="shared" si="63"/>
        <v/>
      </c>
      <c r="R231" s="73" t="str">
        <f t="shared" si="74"/>
        <v/>
      </c>
      <c r="S231" s="73" t="str">
        <f t="shared" si="74"/>
        <v/>
      </c>
      <c r="T231" s="73" t="str">
        <f t="shared" si="74"/>
        <v/>
      </c>
      <c r="U231" s="73" t="str">
        <f t="shared" si="74"/>
        <v/>
      </c>
      <c r="V231" s="73" t="str">
        <f t="shared" si="74"/>
        <v/>
      </c>
      <c r="W231" s="73" t="str">
        <f t="shared" si="74"/>
        <v/>
      </c>
      <c r="X231" s="73" t="str">
        <f t="shared" si="74"/>
        <v/>
      </c>
      <c r="Y231" s="73" t="str">
        <f t="shared" si="74"/>
        <v/>
      </c>
      <c r="Z231" s="73" t="str">
        <f t="shared" si="74"/>
        <v/>
      </c>
      <c r="AA231" s="73" t="str">
        <f t="shared" si="74"/>
        <v/>
      </c>
      <c r="AB231" s="74" t="str">
        <f t="shared" si="74"/>
        <v/>
      </c>
      <c r="AC231" s="35" t="str">
        <f t="shared" si="64"/>
        <v/>
      </c>
      <c r="AD231" s="40" t="str">
        <f t="shared" si="65"/>
        <v/>
      </c>
      <c r="AE231" s="37" t="str">
        <f t="shared" si="66"/>
        <v/>
      </c>
      <c r="AF231" s="40" t="str">
        <f t="shared" si="67"/>
        <v/>
      </c>
      <c r="AG231" s="37" t="str">
        <f t="shared" si="68"/>
        <v/>
      </c>
      <c r="AH231" s="40" t="str">
        <f t="shared" si="69"/>
        <v/>
      </c>
      <c r="AI231" s="37" t="str">
        <f t="shared" si="70"/>
        <v/>
      </c>
      <c r="AJ231" s="40" t="str">
        <f t="shared" si="71"/>
        <v/>
      </c>
      <c r="AK231" s="33" t="str">
        <f>IF(SEM!AK231="","",SEM!AK231)</f>
        <v/>
      </c>
      <c r="AL231" s="6"/>
      <c r="AM231" s="79" t="str">
        <f t="shared" si="61"/>
        <v/>
      </c>
      <c r="AR231" s="5"/>
      <c r="AU231" s="198"/>
      <c r="AV231" s="198"/>
      <c r="AW231" s="198"/>
      <c r="AX231" s="198"/>
    </row>
    <row r="232" spans="2:50" ht="17.25" customHeight="1" x14ac:dyDescent="0.2">
      <c r="B232" s="6"/>
      <c r="C232" s="49" t="str">
        <f>IF(SEM!C232="","",SEM!C232)</f>
        <v/>
      </c>
      <c r="D232" s="220" t="str">
        <f>IF(C232="","",VLOOKUP(SEM!C232,FROTA!$B$5:$C$305,2,0))</f>
        <v/>
      </c>
      <c r="E232" s="24" t="str">
        <f>IF(C232="","",VLOOKUP(C232,FROTA!$B$5:$N$305,7,0))</f>
        <v/>
      </c>
      <c r="F232" s="38" t="str">
        <f t="shared" si="57"/>
        <v/>
      </c>
      <c r="G232" s="71" t="str">
        <f t="shared" si="62"/>
        <v/>
      </c>
      <c r="H232" s="32" t="str">
        <f t="shared" si="73"/>
        <v/>
      </c>
      <c r="I232" s="73" t="str">
        <f t="shared" si="73"/>
        <v/>
      </c>
      <c r="J232" s="73" t="str">
        <f t="shared" si="73"/>
        <v/>
      </c>
      <c r="K232" s="73" t="str">
        <f t="shared" si="63"/>
        <v/>
      </c>
      <c r="L232" s="73" t="str">
        <f t="shared" si="63"/>
        <v/>
      </c>
      <c r="M232" s="73" t="str">
        <f t="shared" si="63"/>
        <v/>
      </c>
      <c r="N232" s="73" t="str">
        <f t="shared" si="63"/>
        <v/>
      </c>
      <c r="O232" s="73" t="str">
        <f t="shared" si="63"/>
        <v/>
      </c>
      <c r="P232" s="73" t="str">
        <f t="shared" si="63"/>
        <v/>
      </c>
      <c r="Q232" s="73" t="str">
        <f t="shared" si="63"/>
        <v/>
      </c>
      <c r="R232" s="73" t="str">
        <f t="shared" si="74"/>
        <v/>
      </c>
      <c r="S232" s="73" t="str">
        <f t="shared" si="74"/>
        <v/>
      </c>
      <c r="T232" s="73" t="str">
        <f t="shared" si="74"/>
        <v/>
      </c>
      <c r="U232" s="73" t="str">
        <f t="shared" si="74"/>
        <v/>
      </c>
      <c r="V232" s="73" t="str">
        <f t="shared" si="74"/>
        <v/>
      </c>
      <c r="W232" s="73" t="str">
        <f t="shared" si="74"/>
        <v/>
      </c>
      <c r="X232" s="73" t="str">
        <f t="shared" si="74"/>
        <v/>
      </c>
      <c r="Y232" s="73" t="str">
        <f t="shared" si="74"/>
        <v/>
      </c>
      <c r="Z232" s="73" t="str">
        <f t="shared" si="74"/>
        <v/>
      </c>
      <c r="AA232" s="73" t="str">
        <f t="shared" si="74"/>
        <v/>
      </c>
      <c r="AB232" s="74" t="str">
        <f t="shared" si="74"/>
        <v/>
      </c>
      <c r="AC232" s="35" t="str">
        <f t="shared" si="64"/>
        <v/>
      </c>
      <c r="AD232" s="40" t="str">
        <f t="shared" si="65"/>
        <v/>
      </c>
      <c r="AE232" s="37" t="str">
        <f t="shared" si="66"/>
        <v/>
      </c>
      <c r="AF232" s="40" t="str">
        <f t="shared" si="67"/>
        <v/>
      </c>
      <c r="AG232" s="37" t="str">
        <f t="shared" si="68"/>
        <v/>
      </c>
      <c r="AH232" s="40" t="str">
        <f t="shared" si="69"/>
        <v/>
      </c>
      <c r="AI232" s="37" t="str">
        <f t="shared" si="70"/>
        <v/>
      </c>
      <c r="AJ232" s="40" t="str">
        <f t="shared" si="71"/>
        <v/>
      </c>
      <c r="AK232" s="33" t="str">
        <f>IF(SEM!AK232="","",SEM!AK232)</f>
        <v/>
      </c>
      <c r="AL232" s="6"/>
      <c r="AM232" s="79" t="str">
        <f t="shared" si="61"/>
        <v/>
      </c>
      <c r="AR232" s="5"/>
      <c r="AU232" s="198"/>
      <c r="AV232" s="198"/>
      <c r="AW232" s="198"/>
      <c r="AX232" s="198"/>
    </row>
    <row r="233" spans="2:50" ht="17.25" customHeight="1" x14ac:dyDescent="0.2">
      <c r="B233" s="6"/>
      <c r="C233" s="49" t="str">
        <f>IF(SEM!C233="","",SEM!C233)</f>
        <v/>
      </c>
      <c r="D233" s="220" t="str">
        <f>IF(C233="","",VLOOKUP(SEM!C233,FROTA!$B$5:$C$305,2,0))</f>
        <v/>
      </c>
      <c r="E233" s="24" t="str">
        <f>IF(C233="","",VLOOKUP(C233,FROTA!$B$5:$N$305,7,0))</f>
        <v/>
      </c>
      <c r="F233" s="38" t="str">
        <f t="shared" si="57"/>
        <v/>
      </c>
      <c r="G233" s="71" t="str">
        <f t="shared" si="62"/>
        <v/>
      </c>
      <c r="H233" s="32" t="str">
        <f t="shared" si="73"/>
        <v/>
      </c>
      <c r="I233" s="73" t="str">
        <f t="shared" si="73"/>
        <v/>
      </c>
      <c r="J233" s="73" t="str">
        <f t="shared" si="73"/>
        <v/>
      </c>
      <c r="K233" s="73" t="str">
        <f t="shared" si="63"/>
        <v/>
      </c>
      <c r="L233" s="73" t="str">
        <f t="shared" si="63"/>
        <v/>
      </c>
      <c r="M233" s="73" t="str">
        <f t="shared" si="63"/>
        <v/>
      </c>
      <c r="N233" s="73" t="str">
        <f t="shared" si="63"/>
        <v/>
      </c>
      <c r="O233" s="73" t="str">
        <f t="shared" si="63"/>
        <v/>
      </c>
      <c r="P233" s="73" t="str">
        <f t="shared" si="63"/>
        <v/>
      </c>
      <c r="Q233" s="73" t="str">
        <f t="shared" si="63"/>
        <v/>
      </c>
      <c r="R233" s="73" t="str">
        <f t="shared" si="74"/>
        <v/>
      </c>
      <c r="S233" s="73" t="str">
        <f t="shared" si="74"/>
        <v/>
      </c>
      <c r="T233" s="73" t="str">
        <f t="shared" si="74"/>
        <v/>
      </c>
      <c r="U233" s="73" t="str">
        <f t="shared" si="74"/>
        <v/>
      </c>
      <c r="V233" s="73" t="str">
        <f t="shared" si="74"/>
        <v/>
      </c>
      <c r="W233" s="73" t="str">
        <f t="shared" si="74"/>
        <v/>
      </c>
      <c r="X233" s="73" t="str">
        <f t="shared" si="74"/>
        <v/>
      </c>
      <c r="Y233" s="73" t="str">
        <f t="shared" si="74"/>
        <v/>
      </c>
      <c r="Z233" s="73" t="str">
        <f t="shared" si="74"/>
        <v/>
      </c>
      <c r="AA233" s="73" t="str">
        <f t="shared" si="74"/>
        <v/>
      </c>
      <c r="AB233" s="74" t="str">
        <f t="shared" si="74"/>
        <v/>
      </c>
      <c r="AC233" s="35" t="str">
        <f t="shared" si="64"/>
        <v/>
      </c>
      <c r="AD233" s="40" t="str">
        <f t="shared" si="65"/>
        <v/>
      </c>
      <c r="AE233" s="37" t="str">
        <f t="shared" si="66"/>
        <v/>
      </c>
      <c r="AF233" s="40" t="str">
        <f t="shared" si="67"/>
        <v/>
      </c>
      <c r="AG233" s="37" t="str">
        <f t="shared" si="68"/>
        <v/>
      </c>
      <c r="AH233" s="40" t="str">
        <f t="shared" si="69"/>
        <v/>
      </c>
      <c r="AI233" s="37" t="str">
        <f t="shared" si="70"/>
        <v/>
      </c>
      <c r="AJ233" s="40" t="str">
        <f t="shared" si="71"/>
        <v/>
      </c>
      <c r="AK233" s="33" t="str">
        <f>IF(SEM!AK233="","",SEM!AK233)</f>
        <v/>
      </c>
      <c r="AL233" s="6"/>
      <c r="AM233" s="79" t="str">
        <f t="shared" si="61"/>
        <v/>
      </c>
      <c r="AR233" s="5"/>
      <c r="AU233" s="198"/>
      <c r="AV233" s="198"/>
      <c r="AW233" s="198"/>
      <c r="AX233" s="198"/>
    </row>
    <row r="234" spans="2:50" ht="17.25" customHeight="1" x14ac:dyDescent="0.2">
      <c r="B234" s="6"/>
      <c r="C234" s="49" t="str">
        <f>IF(SEM!C234="","",SEM!C234)</f>
        <v/>
      </c>
      <c r="D234" s="220" t="str">
        <f>IF(C234="","",VLOOKUP(SEM!C234,FROTA!$B$5:$C$305,2,0))</f>
        <v/>
      </c>
      <c r="E234" s="24" t="str">
        <f>IF(C234="","",VLOOKUP(C234,FROTA!$B$5:$N$305,7,0))</f>
        <v/>
      </c>
      <c r="F234" s="38" t="str">
        <f t="shared" si="57"/>
        <v/>
      </c>
      <c r="G234" s="71" t="str">
        <f t="shared" si="62"/>
        <v/>
      </c>
      <c r="H234" s="32" t="str">
        <f t="shared" si="73"/>
        <v/>
      </c>
      <c r="I234" s="73" t="str">
        <f t="shared" si="73"/>
        <v/>
      </c>
      <c r="J234" s="73" t="str">
        <f t="shared" si="73"/>
        <v/>
      </c>
      <c r="K234" s="73" t="str">
        <f t="shared" si="63"/>
        <v/>
      </c>
      <c r="L234" s="73" t="str">
        <f t="shared" si="63"/>
        <v/>
      </c>
      <c r="M234" s="73" t="str">
        <f t="shared" si="63"/>
        <v/>
      </c>
      <c r="N234" s="73" t="str">
        <f t="shared" si="63"/>
        <v/>
      </c>
      <c r="O234" s="73" t="str">
        <f t="shared" si="63"/>
        <v/>
      </c>
      <c r="P234" s="73" t="str">
        <f t="shared" si="63"/>
        <v/>
      </c>
      <c r="Q234" s="73" t="str">
        <f t="shared" si="63"/>
        <v/>
      </c>
      <c r="R234" s="73" t="str">
        <f t="shared" si="74"/>
        <v/>
      </c>
      <c r="S234" s="73" t="str">
        <f t="shared" si="74"/>
        <v/>
      </c>
      <c r="T234" s="73" t="str">
        <f t="shared" si="74"/>
        <v/>
      </c>
      <c r="U234" s="73" t="str">
        <f t="shared" si="74"/>
        <v/>
      </c>
      <c r="V234" s="73" t="str">
        <f t="shared" si="74"/>
        <v/>
      </c>
      <c r="W234" s="73" t="str">
        <f t="shared" si="74"/>
        <v/>
      </c>
      <c r="X234" s="73" t="str">
        <f t="shared" si="74"/>
        <v/>
      </c>
      <c r="Y234" s="73" t="str">
        <f t="shared" si="74"/>
        <v/>
      </c>
      <c r="Z234" s="73" t="str">
        <f t="shared" si="74"/>
        <v/>
      </c>
      <c r="AA234" s="73" t="str">
        <f t="shared" si="74"/>
        <v/>
      </c>
      <c r="AB234" s="74" t="str">
        <f t="shared" si="74"/>
        <v/>
      </c>
      <c r="AC234" s="35" t="str">
        <f t="shared" si="64"/>
        <v/>
      </c>
      <c r="AD234" s="40" t="str">
        <f t="shared" si="65"/>
        <v/>
      </c>
      <c r="AE234" s="37" t="str">
        <f t="shared" si="66"/>
        <v/>
      </c>
      <c r="AF234" s="40" t="str">
        <f t="shared" si="67"/>
        <v/>
      </c>
      <c r="AG234" s="37" t="str">
        <f t="shared" si="68"/>
        <v/>
      </c>
      <c r="AH234" s="40" t="str">
        <f t="shared" si="69"/>
        <v/>
      </c>
      <c r="AI234" s="37" t="str">
        <f t="shared" si="70"/>
        <v/>
      </c>
      <c r="AJ234" s="40" t="str">
        <f t="shared" si="71"/>
        <v/>
      </c>
      <c r="AK234" s="33" t="str">
        <f>IF(SEM!AK234="","",SEM!AK234)</f>
        <v/>
      </c>
      <c r="AL234" s="6"/>
      <c r="AM234" s="79" t="str">
        <f t="shared" si="61"/>
        <v/>
      </c>
      <c r="AR234" s="5"/>
      <c r="AU234" s="198"/>
      <c r="AV234" s="198"/>
      <c r="AW234" s="198"/>
      <c r="AX234" s="198"/>
    </row>
    <row r="235" spans="2:50" ht="17.25" customHeight="1" x14ac:dyDescent="0.2">
      <c r="B235" s="6"/>
      <c r="C235" s="49" t="str">
        <f>IF(SEM!C235="","",SEM!C235)</f>
        <v/>
      </c>
      <c r="D235" s="220" t="str">
        <f>IF(C235="","",VLOOKUP(SEM!C235,FROTA!$B$5:$C$305,2,0))</f>
        <v/>
      </c>
      <c r="E235" s="24" t="str">
        <f>IF(C235="","",VLOOKUP(C235,FROTA!$B$5:$N$305,7,0))</f>
        <v/>
      </c>
      <c r="F235" s="38" t="str">
        <f t="shared" si="57"/>
        <v/>
      </c>
      <c r="G235" s="71" t="str">
        <f t="shared" si="62"/>
        <v/>
      </c>
      <c r="H235" s="32" t="str">
        <f t="shared" si="73"/>
        <v/>
      </c>
      <c r="I235" s="73" t="str">
        <f t="shared" si="73"/>
        <v/>
      </c>
      <c r="J235" s="73" t="str">
        <f t="shared" si="73"/>
        <v/>
      </c>
      <c r="K235" s="73" t="str">
        <f t="shared" si="63"/>
        <v/>
      </c>
      <c r="L235" s="73" t="str">
        <f t="shared" si="63"/>
        <v/>
      </c>
      <c r="M235" s="73" t="str">
        <f t="shared" si="63"/>
        <v/>
      </c>
      <c r="N235" s="73" t="str">
        <f t="shared" si="63"/>
        <v/>
      </c>
      <c r="O235" s="73" t="str">
        <f t="shared" si="63"/>
        <v/>
      </c>
      <c r="P235" s="73" t="str">
        <f t="shared" si="63"/>
        <v/>
      </c>
      <c r="Q235" s="73" t="str">
        <f t="shared" si="63"/>
        <v/>
      </c>
      <c r="R235" s="73" t="str">
        <f t="shared" si="74"/>
        <v/>
      </c>
      <c r="S235" s="73" t="str">
        <f t="shared" si="74"/>
        <v/>
      </c>
      <c r="T235" s="73" t="str">
        <f t="shared" si="74"/>
        <v/>
      </c>
      <c r="U235" s="73" t="str">
        <f t="shared" si="74"/>
        <v/>
      </c>
      <c r="V235" s="73" t="str">
        <f t="shared" si="74"/>
        <v/>
      </c>
      <c r="W235" s="73" t="str">
        <f t="shared" si="74"/>
        <v/>
      </c>
      <c r="X235" s="73" t="str">
        <f t="shared" si="74"/>
        <v/>
      </c>
      <c r="Y235" s="73" t="str">
        <f t="shared" si="74"/>
        <v/>
      </c>
      <c r="Z235" s="73" t="str">
        <f t="shared" si="74"/>
        <v/>
      </c>
      <c r="AA235" s="73" t="str">
        <f t="shared" si="74"/>
        <v/>
      </c>
      <c r="AB235" s="74" t="str">
        <f t="shared" si="74"/>
        <v/>
      </c>
      <c r="AC235" s="35" t="str">
        <f t="shared" si="64"/>
        <v/>
      </c>
      <c r="AD235" s="40" t="str">
        <f t="shared" si="65"/>
        <v/>
      </c>
      <c r="AE235" s="37" t="str">
        <f t="shared" si="66"/>
        <v/>
      </c>
      <c r="AF235" s="40" t="str">
        <f t="shared" si="67"/>
        <v/>
      </c>
      <c r="AG235" s="37" t="str">
        <f t="shared" si="68"/>
        <v/>
      </c>
      <c r="AH235" s="40" t="str">
        <f t="shared" si="69"/>
        <v/>
      </c>
      <c r="AI235" s="37" t="str">
        <f t="shared" si="70"/>
        <v/>
      </c>
      <c r="AJ235" s="40" t="str">
        <f t="shared" si="71"/>
        <v/>
      </c>
      <c r="AK235" s="33" t="str">
        <f>IF(SEM!AK235="","",SEM!AK235)</f>
        <v/>
      </c>
      <c r="AL235" s="6"/>
      <c r="AM235" s="79" t="str">
        <f t="shared" si="61"/>
        <v/>
      </c>
      <c r="AR235" s="5"/>
      <c r="AU235" s="198"/>
      <c r="AV235" s="198"/>
      <c r="AW235" s="198"/>
      <c r="AX235" s="198"/>
    </row>
    <row r="236" spans="2:50" ht="17.25" customHeight="1" x14ac:dyDescent="0.2">
      <c r="B236" s="6"/>
      <c r="C236" s="49" t="str">
        <f>IF(SEM!C236="","",SEM!C236)</f>
        <v/>
      </c>
      <c r="D236" s="220" t="str">
        <f>IF(C236="","",VLOOKUP(SEM!C236,FROTA!$B$5:$C$305,2,0))</f>
        <v/>
      </c>
      <c r="E236" s="24" t="str">
        <f>IF(C236="","",VLOOKUP(C236,FROTA!$B$5:$N$305,7,0))</f>
        <v/>
      </c>
      <c r="F236" s="38" t="str">
        <f t="shared" si="57"/>
        <v/>
      </c>
      <c r="G236" s="71" t="str">
        <f t="shared" si="62"/>
        <v/>
      </c>
      <c r="H236" s="32" t="str">
        <f t="shared" si="73"/>
        <v/>
      </c>
      <c r="I236" s="73" t="str">
        <f t="shared" si="73"/>
        <v/>
      </c>
      <c r="J236" s="73" t="str">
        <f t="shared" si="73"/>
        <v/>
      </c>
      <c r="K236" s="73" t="str">
        <f t="shared" si="63"/>
        <v/>
      </c>
      <c r="L236" s="73" t="str">
        <f t="shared" si="63"/>
        <v/>
      </c>
      <c r="M236" s="73" t="str">
        <f t="shared" si="63"/>
        <v/>
      </c>
      <c r="N236" s="73" t="str">
        <f t="shared" si="63"/>
        <v/>
      </c>
      <c r="O236" s="73" t="str">
        <f t="shared" si="63"/>
        <v/>
      </c>
      <c r="P236" s="73" t="str">
        <f t="shared" si="63"/>
        <v/>
      </c>
      <c r="Q236" s="73" t="str">
        <f t="shared" si="63"/>
        <v/>
      </c>
      <c r="R236" s="73" t="str">
        <f t="shared" si="74"/>
        <v/>
      </c>
      <c r="S236" s="73" t="str">
        <f t="shared" si="74"/>
        <v/>
      </c>
      <c r="T236" s="73" t="str">
        <f t="shared" si="74"/>
        <v/>
      </c>
      <c r="U236" s="73" t="str">
        <f t="shared" si="74"/>
        <v/>
      </c>
      <c r="V236" s="73" t="str">
        <f t="shared" si="74"/>
        <v/>
      </c>
      <c r="W236" s="73" t="str">
        <f t="shared" si="74"/>
        <v/>
      </c>
      <c r="X236" s="73" t="str">
        <f t="shared" si="74"/>
        <v/>
      </c>
      <c r="Y236" s="73" t="str">
        <f t="shared" si="74"/>
        <v/>
      </c>
      <c r="Z236" s="73" t="str">
        <f t="shared" si="74"/>
        <v/>
      </c>
      <c r="AA236" s="73" t="str">
        <f t="shared" si="74"/>
        <v/>
      </c>
      <c r="AB236" s="74" t="str">
        <f t="shared" si="74"/>
        <v/>
      </c>
      <c r="AC236" s="35" t="str">
        <f t="shared" si="64"/>
        <v/>
      </c>
      <c r="AD236" s="40" t="str">
        <f t="shared" si="65"/>
        <v/>
      </c>
      <c r="AE236" s="37" t="str">
        <f t="shared" si="66"/>
        <v/>
      </c>
      <c r="AF236" s="40" t="str">
        <f t="shared" si="67"/>
        <v/>
      </c>
      <c r="AG236" s="37" t="str">
        <f t="shared" si="68"/>
        <v/>
      </c>
      <c r="AH236" s="40" t="str">
        <f t="shared" si="69"/>
        <v/>
      </c>
      <c r="AI236" s="37" t="str">
        <f t="shared" si="70"/>
        <v/>
      </c>
      <c r="AJ236" s="40" t="str">
        <f t="shared" si="71"/>
        <v/>
      </c>
      <c r="AK236" s="33" t="str">
        <f>IF(SEM!AK236="","",SEM!AK236)</f>
        <v/>
      </c>
      <c r="AL236" s="6"/>
      <c r="AM236" s="79" t="str">
        <f t="shared" si="61"/>
        <v/>
      </c>
      <c r="AR236" s="5"/>
      <c r="AU236" s="198"/>
      <c r="AV236" s="198"/>
      <c r="AW236" s="198"/>
      <c r="AX236" s="198"/>
    </row>
    <row r="237" spans="2:50" ht="17.25" customHeight="1" x14ac:dyDescent="0.2">
      <c r="B237" s="6"/>
      <c r="C237" s="49" t="str">
        <f>IF(SEM!C237="","",SEM!C237)</f>
        <v/>
      </c>
      <c r="D237" s="220" t="str">
        <f>IF(C237="","",VLOOKUP(SEM!C237,FROTA!$B$5:$C$305,2,0))</f>
        <v/>
      </c>
      <c r="E237" s="24" t="str">
        <f>IF(C237="","",VLOOKUP(C237,FROTA!$B$5:$N$305,7,0))</f>
        <v/>
      </c>
      <c r="F237" s="38" t="str">
        <f t="shared" si="57"/>
        <v/>
      </c>
      <c r="G237" s="71" t="str">
        <f t="shared" si="62"/>
        <v/>
      </c>
      <c r="H237" s="32" t="str">
        <f t="shared" si="73"/>
        <v/>
      </c>
      <c r="I237" s="73" t="str">
        <f t="shared" si="73"/>
        <v/>
      </c>
      <c r="J237" s="73" t="str">
        <f t="shared" si="73"/>
        <v/>
      </c>
      <c r="K237" s="73" t="str">
        <f t="shared" si="63"/>
        <v/>
      </c>
      <c r="L237" s="73" t="str">
        <f t="shared" si="63"/>
        <v/>
      </c>
      <c r="M237" s="73" t="str">
        <f t="shared" si="63"/>
        <v/>
      </c>
      <c r="N237" s="73" t="str">
        <f t="shared" si="63"/>
        <v/>
      </c>
      <c r="O237" s="73" t="str">
        <f t="shared" si="63"/>
        <v/>
      </c>
      <c r="P237" s="73" t="str">
        <f t="shared" si="63"/>
        <v/>
      </c>
      <c r="Q237" s="73" t="str">
        <f t="shared" si="63"/>
        <v/>
      </c>
      <c r="R237" s="73" t="str">
        <f t="shared" si="74"/>
        <v/>
      </c>
      <c r="S237" s="73" t="str">
        <f t="shared" si="74"/>
        <v/>
      </c>
      <c r="T237" s="73" t="str">
        <f t="shared" si="74"/>
        <v/>
      </c>
      <c r="U237" s="73" t="str">
        <f t="shared" si="74"/>
        <v/>
      </c>
      <c r="V237" s="73" t="str">
        <f t="shared" si="74"/>
        <v/>
      </c>
      <c r="W237" s="73" t="str">
        <f t="shared" si="74"/>
        <v/>
      </c>
      <c r="X237" s="73" t="str">
        <f t="shared" si="74"/>
        <v/>
      </c>
      <c r="Y237" s="73" t="str">
        <f t="shared" si="74"/>
        <v/>
      </c>
      <c r="Z237" s="73" t="str">
        <f t="shared" si="74"/>
        <v/>
      </c>
      <c r="AA237" s="73" t="str">
        <f t="shared" si="74"/>
        <v/>
      </c>
      <c r="AB237" s="74" t="str">
        <f t="shared" si="74"/>
        <v/>
      </c>
      <c r="AC237" s="35" t="str">
        <f t="shared" si="64"/>
        <v/>
      </c>
      <c r="AD237" s="40" t="str">
        <f t="shared" si="65"/>
        <v/>
      </c>
      <c r="AE237" s="37" t="str">
        <f t="shared" si="66"/>
        <v/>
      </c>
      <c r="AF237" s="40" t="str">
        <f t="shared" si="67"/>
        <v/>
      </c>
      <c r="AG237" s="37" t="str">
        <f t="shared" si="68"/>
        <v/>
      </c>
      <c r="AH237" s="40" t="str">
        <f t="shared" si="69"/>
        <v/>
      </c>
      <c r="AI237" s="37" t="str">
        <f t="shared" si="70"/>
        <v/>
      </c>
      <c r="AJ237" s="40" t="str">
        <f t="shared" si="71"/>
        <v/>
      </c>
      <c r="AK237" s="33" t="str">
        <f>IF(SEM!AK237="","",SEM!AK237)</f>
        <v/>
      </c>
      <c r="AL237" s="6"/>
      <c r="AM237" s="79" t="str">
        <f t="shared" si="61"/>
        <v/>
      </c>
      <c r="AR237" s="5"/>
      <c r="AU237" s="198"/>
      <c r="AV237" s="198"/>
      <c r="AW237" s="198"/>
      <c r="AX237" s="198"/>
    </row>
    <row r="238" spans="2:50" ht="17.25" customHeight="1" x14ac:dyDescent="0.2">
      <c r="B238" s="6"/>
      <c r="C238" s="49" t="str">
        <f>IF(SEM!C238="","",SEM!C238)</f>
        <v/>
      </c>
      <c r="D238" s="220" t="str">
        <f>IF(C238="","",VLOOKUP(SEM!C238,FROTA!$B$5:$C$305,2,0))</f>
        <v/>
      </c>
      <c r="E238" s="24" t="str">
        <f>IF(C238="","",VLOOKUP(C238,FROTA!$B$5:$N$305,7,0))</f>
        <v/>
      </c>
      <c r="F238" s="38" t="str">
        <f t="shared" si="57"/>
        <v/>
      </c>
      <c r="G238" s="71" t="str">
        <f t="shared" si="62"/>
        <v/>
      </c>
      <c r="H238" s="32" t="str">
        <f t="shared" si="73"/>
        <v/>
      </c>
      <c r="I238" s="73" t="str">
        <f t="shared" si="73"/>
        <v/>
      </c>
      <c r="J238" s="73" t="str">
        <f t="shared" si="73"/>
        <v/>
      </c>
      <c r="K238" s="73" t="str">
        <f t="shared" si="63"/>
        <v/>
      </c>
      <c r="L238" s="73" t="str">
        <f t="shared" si="63"/>
        <v/>
      </c>
      <c r="M238" s="73" t="str">
        <f t="shared" si="63"/>
        <v/>
      </c>
      <c r="N238" s="73" t="str">
        <f t="shared" si="63"/>
        <v/>
      </c>
      <c r="O238" s="73" t="str">
        <f t="shared" si="63"/>
        <v/>
      </c>
      <c r="P238" s="73" t="str">
        <f t="shared" si="63"/>
        <v/>
      </c>
      <c r="Q238" s="73" t="str">
        <f t="shared" si="63"/>
        <v/>
      </c>
      <c r="R238" s="73" t="str">
        <f t="shared" si="74"/>
        <v/>
      </c>
      <c r="S238" s="73" t="str">
        <f t="shared" si="74"/>
        <v/>
      </c>
      <c r="T238" s="73" t="str">
        <f t="shared" si="74"/>
        <v/>
      </c>
      <c r="U238" s="73" t="str">
        <f t="shared" si="74"/>
        <v/>
      </c>
      <c r="V238" s="73" t="str">
        <f t="shared" si="74"/>
        <v/>
      </c>
      <c r="W238" s="73" t="str">
        <f t="shared" si="74"/>
        <v/>
      </c>
      <c r="X238" s="73" t="str">
        <f t="shared" si="74"/>
        <v/>
      </c>
      <c r="Y238" s="73" t="str">
        <f t="shared" si="74"/>
        <v/>
      </c>
      <c r="Z238" s="73" t="str">
        <f t="shared" si="74"/>
        <v/>
      </c>
      <c r="AA238" s="73" t="str">
        <f t="shared" si="74"/>
        <v/>
      </c>
      <c r="AB238" s="74" t="str">
        <f t="shared" si="74"/>
        <v/>
      </c>
      <c r="AC238" s="35" t="str">
        <f t="shared" si="64"/>
        <v/>
      </c>
      <c r="AD238" s="40" t="str">
        <f t="shared" si="65"/>
        <v/>
      </c>
      <c r="AE238" s="37" t="str">
        <f t="shared" si="66"/>
        <v/>
      </c>
      <c r="AF238" s="40" t="str">
        <f t="shared" si="67"/>
        <v/>
      </c>
      <c r="AG238" s="37" t="str">
        <f t="shared" si="68"/>
        <v/>
      </c>
      <c r="AH238" s="40" t="str">
        <f t="shared" si="69"/>
        <v/>
      </c>
      <c r="AI238" s="37" t="str">
        <f t="shared" si="70"/>
        <v/>
      </c>
      <c r="AJ238" s="40" t="str">
        <f t="shared" si="71"/>
        <v/>
      </c>
      <c r="AK238" s="33" t="str">
        <f>IF(SEM!AK238="","",SEM!AK238)</f>
        <v/>
      </c>
      <c r="AL238" s="6"/>
      <c r="AM238" s="79" t="str">
        <f t="shared" si="61"/>
        <v/>
      </c>
      <c r="AR238" s="5"/>
      <c r="AU238" s="198"/>
      <c r="AV238" s="198"/>
      <c r="AW238" s="198"/>
      <c r="AX238" s="198"/>
    </row>
    <row r="239" spans="2:50" ht="17.25" customHeight="1" x14ac:dyDescent="0.2">
      <c r="B239" s="6"/>
      <c r="C239" s="49" t="str">
        <f>IF(SEM!C239="","",SEM!C239)</f>
        <v/>
      </c>
      <c r="D239" s="220" t="str">
        <f>IF(C239="","",VLOOKUP(SEM!C239,FROTA!$B$5:$C$305,2,0))</f>
        <v/>
      </c>
      <c r="E239" s="24" t="str">
        <f>IF(C239="","",VLOOKUP(C239,FROTA!$B$5:$N$305,7,0))</f>
        <v/>
      </c>
      <c r="F239" s="38" t="str">
        <f t="shared" si="57"/>
        <v/>
      </c>
      <c r="G239" s="71" t="str">
        <f t="shared" si="62"/>
        <v/>
      </c>
      <c r="H239" s="32" t="str">
        <f t="shared" si="73"/>
        <v/>
      </c>
      <c r="I239" s="73" t="str">
        <f t="shared" si="73"/>
        <v/>
      </c>
      <c r="J239" s="73" t="str">
        <f t="shared" si="73"/>
        <v/>
      </c>
      <c r="K239" s="73" t="str">
        <f t="shared" si="63"/>
        <v/>
      </c>
      <c r="L239" s="73" t="str">
        <f t="shared" si="63"/>
        <v/>
      </c>
      <c r="M239" s="73" t="str">
        <f t="shared" si="63"/>
        <v/>
      </c>
      <c r="N239" s="73" t="str">
        <f t="shared" si="63"/>
        <v/>
      </c>
      <c r="O239" s="73" t="str">
        <f t="shared" si="63"/>
        <v/>
      </c>
      <c r="P239" s="73" t="str">
        <f t="shared" si="63"/>
        <v/>
      </c>
      <c r="Q239" s="73" t="str">
        <f t="shared" si="63"/>
        <v/>
      </c>
      <c r="R239" s="73" t="str">
        <f t="shared" si="74"/>
        <v/>
      </c>
      <c r="S239" s="73" t="str">
        <f t="shared" si="74"/>
        <v/>
      </c>
      <c r="T239" s="73" t="str">
        <f t="shared" si="74"/>
        <v/>
      </c>
      <c r="U239" s="73" t="str">
        <f t="shared" si="74"/>
        <v/>
      </c>
      <c r="V239" s="73" t="str">
        <f t="shared" si="74"/>
        <v/>
      </c>
      <c r="W239" s="73" t="str">
        <f t="shared" si="74"/>
        <v/>
      </c>
      <c r="X239" s="73" t="str">
        <f t="shared" si="74"/>
        <v/>
      </c>
      <c r="Y239" s="73" t="str">
        <f t="shared" si="74"/>
        <v/>
      </c>
      <c r="Z239" s="73" t="str">
        <f t="shared" si="74"/>
        <v/>
      </c>
      <c r="AA239" s="73" t="str">
        <f t="shared" si="74"/>
        <v/>
      </c>
      <c r="AB239" s="74" t="str">
        <f t="shared" si="74"/>
        <v/>
      </c>
      <c r="AC239" s="35" t="str">
        <f t="shared" si="64"/>
        <v/>
      </c>
      <c r="AD239" s="40" t="str">
        <f t="shared" si="65"/>
        <v/>
      </c>
      <c r="AE239" s="37" t="str">
        <f t="shared" si="66"/>
        <v/>
      </c>
      <c r="AF239" s="40" t="str">
        <f t="shared" si="67"/>
        <v/>
      </c>
      <c r="AG239" s="37" t="str">
        <f t="shared" si="68"/>
        <v/>
      </c>
      <c r="AH239" s="40" t="str">
        <f t="shared" si="69"/>
        <v/>
      </c>
      <c r="AI239" s="37" t="str">
        <f t="shared" si="70"/>
        <v/>
      </c>
      <c r="AJ239" s="40" t="str">
        <f t="shared" si="71"/>
        <v/>
      </c>
      <c r="AK239" s="33" t="str">
        <f>IF(SEM!AK239="","",SEM!AK239)</f>
        <v/>
      </c>
      <c r="AL239" s="6"/>
      <c r="AM239" s="79" t="str">
        <f t="shared" si="61"/>
        <v/>
      </c>
      <c r="AR239" s="5"/>
      <c r="AU239" s="198"/>
      <c r="AV239" s="198"/>
      <c r="AW239" s="198"/>
      <c r="AX239" s="198"/>
    </row>
    <row r="240" spans="2:50" ht="17.25" customHeight="1" x14ac:dyDescent="0.2">
      <c r="B240" s="6"/>
      <c r="C240" s="49" t="str">
        <f>IF(SEM!C240="","",SEM!C240)</f>
        <v/>
      </c>
      <c r="D240" s="220" t="str">
        <f>IF(C240="","",VLOOKUP(SEM!C240,FROTA!$B$5:$C$305,2,0))</f>
        <v/>
      </c>
      <c r="E240" s="24" t="str">
        <f>IF(C240="","",VLOOKUP(C240,FROTA!$B$5:$N$305,7,0))</f>
        <v/>
      </c>
      <c r="F240" s="38" t="str">
        <f t="shared" si="57"/>
        <v/>
      </c>
      <c r="G240" s="71" t="str">
        <f t="shared" si="62"/>
        <v/>
      </c>
      <c r="H240" s="32" t="str">
        <f t="shared" si="73"/>
        <v/>
      </c>
      <c r="I240" s="73" t="str">
        <f t="shared" si="73"/>
        <v/>
      </c>
      <c r="J240" s="73" t="str">
        <f t="shared" si="73"/>
        <v/>
      </c>
      <c r="K240" s="73" t="str">
        <f t="shared" si="63"/>
        <v/>
      </c>
      <c r="L240" s="73" t="str">
        <f t="shared" si="63"/>
        <v/>
      </c>
      <c r="M240" s="73" t="str">
        <f t="shared" si="63"/>
        <v/>
      </c>
      <c r="N240" s="73" t="str">
        <f t="shared" si="63"/>
        <v/>
      </c>
      <c r="O240" s="73" t="str">
        <f t="shared" ref="K240:Q276" si="75">IF($C240="","",IF(SUM(O$307*$G240)&gt;$F240,$F240,SUM(O$307*$G240)))</f>
        <v/>
      </c>
      <c r="P240" s="73" t="str">
        <f t="shared" si="75"/>
        <v/>
      </c>
      <c r="Q240" s="73" t="str">
        <f t="shared" si="75"/>
        <v/>
      </c>
      <c r="R240" s="73" t="str">
        <f t="shared" si="74"/>
        <v/>
      </c>
      <c r="S240" s="73" t="str">
        <f t="shared" si="74"/>
        <v/>
      </c>
      <c r="T240" s="73" t="str">
        <f t="shared" si="74"/>
        <v/>
      </c>
      <c r="U240" s="73" t="str">
        <f t="shared" si="74"/>
        <v/>
      </c>
      <c r="V240" s="73" t="str">
        <f t="shared" si="74"/>
        <v/>
      </c>
      <c r="W240" s="73" t="str">
        <f t="shared" si="74"/>
        <v/>
      </c>
      <c r="X240" s="73" t="str">
        <f t="shared" si="74"/>
        <v/>
      </c>
      <c r="Y240" s="73" t="str">
        <f t="shared" si="74"/>
        <v/>
      </c>
      <c r="Z240" s="73" t="str">
        <f t="shared" si="74"/>
        <v/>
      </c>
      <c r="AA240" s="73" t="str">
        <f t="shared" si="74"/>
        <v/>
      </c>
      <c r="AB240" s="74" t="str">
        <f t="shared" si="74"/>
        <v/>
      </c>
      <c r="AC240" s="35" t="str">
        <f t="shared" si="64"/>
        <v/>
      </c>
      <c r="AD240" s="40" t="str">
        <f t="shared" si="65"/>
        <v/>
      </c>
      <c r="AE240" s="37" t="str">
        <f t="shared" si="66"/>
        <v/>
      </c>
      <c r="AF240" s="40" t="str">
        <f t="shared" si="67"/>
        <v/>
      </c>
      <c r="AG240" s="37" t="str">
        <f t="shared" si="68"/>
        <v/>
      </c>
      <c r="AH240" s="40" t="str">
        <f t="shared" si="69"/>
        <v/>
      </c>
      <c r="AI240" s="37" t="str">
        <f t="shared" si="70"/>
        <v/>
      </c>
      <c r="AJ240" s="40" t="str">
        <f t="shared" si="71"/>
        <v/>
      </c>
      <c r="AK240" s="33" t="str">
        <f>IF(SEM!AK240="","",SEM!AK240)</f>
        <v/>
      </c>
      <c r="AL240" s="6"/>
      <c r="AM240" s="79" t="str">
        <f t="shared" si="61"/>
        <v/>
      </c>
      <c r="AR240" s="5"/>
      <c r="AU240" s="198"/>
      <c r="AV240" s="198"/>
      <c r="AW240" s="198"/>
      <c r="AX240" s="198"/>
    </row>
    <row r="241" spans="2:50" ht="17.25" customHeight="1" x14ac:dyDescent="0.2">
      <c r="B241" s="6"/>
      <c r="C241" s="49" t="str">
        <f>IF(SEM!C241="","",SEM!C241)</f>
        <v/>
      </c>
      <c r="D241" s="220" t="str">
        <f>IF(C241="","",VLOOKUP(SEM!C241,FROTA!$B$5:$C$305,2,0))</f>
        <v/>
      </c>
      <c r="E241" s="24" t="str">
        <f>IF(C241="","",VLOOKUP(C241,FROTA!$B$5:$N$305,7,0))</f>
        <v/>
      </c>
      <c r="F241" s="38" t="str">
        <f t="shared" si="57"/>
        <v/>
      </c>
      <c r="G241" s="71" t="str">
        <f t="shared" si="62"/>
        <v/>
      </c>
      <c r="H241" s="32" t="str">
        <f t="shared" si="73"/>
        <v/>
      </c>
      <c r="I241" s="73" t="str">
        <f t="shared" si="73"/>
        <v/>
      </c>
      <c r="J241" s="73" t="str">
        <f t="shared" si="73"/>
        <v/>
      </c>
      <c r="K241" s="73" t="str">
        <f t="shared" si="75"/>
        <v/>
      </c>
      <c r="L241" s="73" t="str">
        <f t="shared" si="75"/>
        <v/>
      </c>
      <c r="M241" s="73" t="str">
        <f t="shared" si="75"/>
        <v/>
      </c>
      <c r="N241" s="73" t="str">
        <f t="shared" si="75"/>
        <v/>
      </c>
      <c r="O241" s="73" t="str">
        <f t="shared" si="75"/>
        <v/>
      </c>
      <c r="P241" s="73" t="str">
        <f t="shared" si="75"/>
        <v/>
      </c>
      <c r="Q241" s="73" t="str">
        <f t="shared" si="75"/>
        <v/>
      </c>
      <c r="R241" s="73" t="str">
        <f t="shared" si="74"/>
        <v/>
      </c>
      <c r="S241" s="73" t="str">
        <f t="shared" si="74"/>
        <v/>
      </c>
      <c r="T241" s="73" t="str">
        <f t="shared" si="74"/>
        <v/>
      </c>
      <c r="U241" s="73" t="str">
        <f t="shared" si="74"/>
        <v/>
      </c>
      <c r="V241" s="73" t="str">
        <f t="shared" si="74"/>
        <v/>
      </c>
      <c r="W241" s="73" t="str">
        <f t="shared" si="74"/>
        <v/>
      </c>
      <c r="X241" s="73" t="str">
        <f t="shared" si="74"/>
        <v/>
      </c>
      <c r="Y241" s="73" t="str">
        <f t="shared" si="74"/>
        <v/>
      </c>
      <c r="Z241" s="73" t="str">
        <f t="shared" si="74"/>
        <v/>
      </c>
      <c r="AA241" s="73" t="str">
        <f t="shared" si="74"/>
        <v/>
      </c>
      <c r="AB241" s="74" t="str">
        <f t="shared" si="74"/>
        <v/>
      </c>
      <c r="AC241" s="35" t="str">
        <f t="shared" si="64"/>
        <v/>
      </c>
      <c r="AD241" s="40" t="str">
        <f t="shared" si="65"/>
        <v/>
      </c>
      <c r="AE241" s="37" t="str">
        <f t="shared" si="66"/>
        <v/>
      </c>
      <c r="AF241" s="40" t="str">
        <f t="shared" si="67"/>
        <v/>
      </c>
      <c r="AG241" s="37" t="str">
        <f t="shared" si="68"/>
        <v/>
      </c>
      <c r="AH241" s="40" t="str">
        <f t="shared" si="69"/>
        <v/>
      </c>
      <c r="AI241" s="37" t="str">
        <f t="shared" si="70"/>
        <v/>
      </c>
      <c r="AJ241" s="40" t="str">
        <f t="shared" si="71"/>
        <v/>
      </c>
      <c r="AK241" s="33" t="str">
        <f>IF(SEM!AK241="","",SEM!AK241)</f>
        <v/>
      </c>
      <c r="AL241" s="6"/>
      <c r="AM241" s="79" t="str">
        <f t="shared" si="61"/>
        <v/>
      </c>
      <c r="AR241" s="5"/>
      <c r="AU241" s="198"/>
      <c r="AV241" s="198"/>
      <c r="AW241" s="198"/>
      <c r="AX241" s="198"/>
    </row>
    <row r="242" spans="2:50" ht="17.25" customHeight="1" x14ac:dyDescent="0.2">
      <c r="B242" s="6"/>
      <c r="C242" s="49" t="str">
        <f>IF(SEM!C242="","",SEM!C242)</f>
        <v/>
      </c>
      <c r="D242" s="220" t="str">
        <f>IF(C242="","",VLOOKUP(SEM!C242,FROTA!$B$5:$C$305,2,0))</f>
        <v/>
      </c>
      <c r="E242" s="24" t="str">
        <f>IF(C242="","",VLOOKUP(C242,FROTA!$B$5:$N$305,7,0))</f>
        <v/>
      </c>
      <c r="F242" s="38" t="str">
        <f t="shared" si="57"/>
        <v/>
      </c>
      <c r="G242" s="71" t="str">
        <f t="shared" si="62"/>
        <v/>
      </c>
      <c r="H242" s="32" t="str">
        <f t="shared" si="73"/>
        <v/>
      </c>
      <c r="I242" s="73" t="str">
        <f t="shared" si="73"/>
        <v/>
      </c>
      <c r="J242" s="73" t="str">
        <f t="shared" si="73"/>
        <v/>
      </c>
      <c r="K242" s="73" t="str">
        <f t="shared" si="75"/>
        <v/>
      </c>
      <c r="L242" s="73" t="str">
        <f t="shared" si="75"/>
        <v/>
      </c>
      <c r="M242" s="73" t="str">
        <f t="shared" si="75"/>
        <v/>
      </c>
      <c r="N242" s="73" t="str">
        <f t="shared" si="75"/>
        <v/>
      </c>
      <c r="O242" s="73" t="str">
        <f t="shared" si="75"/>
        <v/>
      </c>
      <c r="P242" s="73" t="str">
        <f t="shared" si="75"/>
        <v/>
      </c>
      <c r="Q242" s="73" t="str">
        <f t="shared" si="75"/>
        <v/>
      </c>
      <c r="R242" s="73" t="str">
        <f t="shared" si="74"/>
        <v/>
      </c>
      <c r="S242" s="73" t="str">
        <f t="shared" si="74"/>
        <v/>
      </c>
      <c r="T242" s="73" t="str">
        <f t="shared" si="74"/>
        <v/>
      </c>
      <c r="U242" s="73" t="str">
        <f t="shared" si="74"/>
        <v/>
      </c>
      <c r="V242" s="73" t="str">
        <f t="shared" si="74"/>
        <v/>
      </c>
      <c r="W242" s="73" t="str">
        <f t="shared" si="74"/>
        <v/>
      </c>
      <c r="X242" s="73" t="str">
        <f t="shared" si="74"/>
        <v/>
      </c>
      <c r="Y242" s="73" t="str">
        <f t="shared" si="74"/>
        <v/>
      </c>
      <c r="Z242" s="73" t="str">
        <f t="shared" si="74"/>
        <v/>
      </c>
      <c r="AA242" s="73" t="str">
        <f t="shared" si="74"/>
        <v/>
      </c>
      <c r="AB242" s="74" t="str">
        <f t="shared" si="74"/>
        <v/>
      </c>
      <c r="AC242" s="35" t="str">
        <f t="shared" si="64"/>
        <v/>
      </c>
      <c r="AD242" s="40" t="str">
        <f t="shared" si="65"/>
        <v/>
      </c>
      <c r="AE242" s="37" t="str">
        <f t="shared" si="66"/>
        <v/>
      </c>
      <c r="AF242" s="40" t="str">
        <f t="shared" si="67"/>
        <v/>
      </c>
      <c r="AG242" s="37" t="str">
        <f t="shared" si="68"/>
        <v/>
      </c>
      <c r="AH242" s="40" t="str">
        <f t="shared" si="69"/>
        <v/>
      </c>
      <c r="AI242" s="37" t="str">
        <f t="shared" si="70"/>
        <v/>
      </c>
      <c r="AJ242" s="40" t="str">
        <f t="shared" si="71"/>
        <v/>
      </c>
      <c r="AK242" s="33" t="str">
        <f>IF(SEM!AK242="","",SEM!AK242)</f>
        <v/>
      </c>
      <c r="AL242" s="6"/>
      <c r="AM242" s="79" t="str">
        <f t="shared" si="61"/>
        <v/>
      </c>
      <c r="AR242" s="5"/>
      <c r="AU242" s="198"/>
      <c r="AV242" s="198"/>
      <c r="AW242" s="198"/>
      <c r="AX242" s="198"/>
    </row>
    <row r="243" spans="2:50" ht="17.25" customHeight="1" x14ac:dyDescent="0.2">
      <c r="B243" s="6"/>
      <c r="C243" s="49" t="str">
        <f>IF(SEM!C243="","",SEM!C243)</f>
        <v/>
      </c>
      <c r="D243" s="220" t="str">
        <f>IF(C243="","",VLOOKUP(SEM!C243,FROTA!$B$5:$C$305,2,0))</f>
        <v/>
      </c>
      <c r="E243" s="24" t="str">
        <f>IF(C243="","",VLOOKUP(C243,FROTA!$B$5:$N$305,7,0))</f>
        <v/>
      </c>
      <c r="F243" s="38" t="str">
        <f t="shared" si="57"/>
        <v/>
      </c>
      <c r="G243" s="71" t="str">
        <f t="shared" si="62"/>
        <v/>
      </c>
      <c r="H243" s="32" t="str">
        <f t="shared" si="73"/>
        <v/>
      </c>
      <c r="I243" s="73" t="str">
        <f t="shared" si="73"/>
        <v/>
      </c>
      <c r="J243" s="73" t="str">
        <f t="shared" si="73"/>
        <v/>
      </c>
      <c r="K243" s="73" t="str">
        <f t="shared" si="75"/>
        <v/>
      </c>
      <c r="L243" s="73" t="str">
        <f t="shared" si="75"/>
        <v/>
      </c>
      <c r="M243" s="73" t="str">
        <f t="shared" si="75"/>
        <v/>
      </c>
      <c r="N243" s="73" t="str">
        <f t="shared" si="75"/>
        <v/>
      </c>
      <c r="O243" s="73" t="str">
        <f t="shared" si="75"/>
        <v/>
      </c>
      <c r="P243" s="73" t="str">
        <f t="shared" si="75"/>
        <v/>
      </c>
      <c r="Q243" s="73" t="str">
        <f t="shared" si="75"/>
        <v/>
      </c>
      <c r="R243" s="73" t="str">
        <f t="shared" si="74"/>
        <v/>
      </c>
      <c r="S243" s="73" t="str">
        <f t="shared" si="74"/>
        <v/>
      </c>
      <c r="T243" s="73" t="str">
        <f t="shared" si="74"/>
        <v/>
      </c>
      <c r="U243" s="73" t="str">
        <f t="shared" si="74"/>
        <v/>
      </c>
      <c r="V243" s="73" t="str">
        <f t="shared" si="74"/>
        <v/>
      </c>
      <c r="W243" s="73" t="str">
        <f t="shared" si="74"/>
        <v/>
      </c>
      <c r="X243" s="73" t="str">
        <f t="shared" si="74"/>
        <v/>
      </c>
      <c r="Y243" s="73" t="str">
        <f t="shared" si="74"/>
        <v/>
      </c>
      <c r="Z243" s="73" t="str">
        <f t="shared" si="74"/>
        <v/>
      </c>
      <c r="AA243" s="73" t="str">
        <f t="shared" si="74"/>
        <v/>
      </c>
      <c r="AB243" s="74" t="str">
        <f t="shared" si="74"/>
        <v/>
      </c>
      <c r="AC243" s="35" t="str">
        <f t="shared" si="64"/>
        <v/>
      </c>
      <c r="AD243" s="40" t="str">
        <f t="shared" si="65"/>
        <v/>
      </c>
      <c r="AE243" s="37" t="str">
        <f t="shared" si="66"/>
        <v/>
      </c>
      <c r="AF243" s="40" t="str">
        <f t="shared" si="67"/>
        <v/>
      </c>
      <c r="AG243" s="37" t="str">
        <f t="shared" si="68"/>
        <v/>
      </c>
      <c r="AH243" s="40" t="str">
        <f t="shared" si="69"/>
        <v/>
      </c>
      <c r="AI243" s="37" t="str">
        <f t="shared" si="70"/>
        <v/>
      </c>
      <c r="AJ243" s="40" t="str">
        <f t="shared" si="71"/>
        <v/>
      </c>
      <c r="AK243" s="33" t="str">
        <f>IF(SEM!AK243="","",SEM!AK243)</f>
        <v/>
      </c>
      <c r="AL243" s="6"/>
      <c r="AM243" s="79" t="str">
        <f t="shared" si="61"/>
        <v/>
      </c>
      <c r="AR243" s="5"/>
      <c r="AU243" s="198"/>
      <c r="AV243" s="198"/>
      <c r="AW243" s="198"/>
      <c r="AX243" s="198"/>
    </row>
    <row r="244" spans="2:50" ht="17.25" customHeight="1" x14ac:dyDescent="0.2">
      <c r="B244" s="6"/>
      <c r="C244" s="49" t="str">
        <f>IF(SEM!C244="","",SEM!C244)</f>
        <v/>
      </c>
      <c r="D244" s="220" t="str">
        <f>IF(C244="","",VLOOKUP(SEM!C244,FROTA!$B$5:$C$305,2,0))</f>
        <v/>
      </c>
      <c r="E244" s="24" t="str">
        <f>IF(C244="","",VLOOKUP(C244,FROTA!$B$5:$N$305,7,0))</f>
        <v/>
      </c>
      <c r="F244" s="38" t="str">
        <f t="shared" si="57"/>
        <v/>
      </c>
      <c r="G244" s="71" t="str">
        <f t="shared" si="62"/>
        <v/>
      </c>
      <c r="H244" s="32" t="str">
        <f t="shared" si="73"/>
        <v/>
      </c>
      <c r="I244" s="73" t="str">
        <f t="shared" si="73"/>
        <v/>
      </c>
      <c r="J244" s="73" t="str">
        <f t="shared" si="73"/>
        <v/>
      </c>
      <c r="K244" s="73" t="str">
        <f t="shared" si="75"/>
        <v/>
      </c>
      <c r="L244" s="73" t="str">
        <f t="shared" si="75"/>
        <v/>
      </c>
      <c r="M244" s="73" t="str">
        <f t="shared" si="75"/>
        <v/>
      </c>
      <c r="N244" s="73" t="str">
        <f t="shared" si="75"/>
        <v/>
      </c>
      <c r="O244" s="73" t="str">
        <f t="shared" si="75"/>
        <v/>
      </c>
      <c r="P244" s="73" t="str">
        <f t="shared" si="75"/>
        <v/>
      </c>
      <c r="Q244" s="73" t="str">
        <f t="shared" si="75"/>
        <v/>
      </c>
      <c r="R244" s="73" t="str">
        <f t="shared" si="74"/>
        <v/>
      </c>
      <c r="S244" s="73" t="str">
        <f t="shared" si="74"/>
        <v/>
      </c>
      <c r="T244" s="73" t="str">
        <f t="shared" si="74"/>
        <v/>
      </c>
      <c r="U244" s="73" t="str">
        <f t="shared" si="74"/>
        <v/>
      </c>
      <c r="V244" s="73" t="str">
        <f t="shared" si="74"/>
        <v/>
      </c>
      <c r="W244" s="73" t="str">
        <f t="shared" si="74"/>
        <v/>
      </c>
      <c r="X244" s="73" t="str">
        <f t="shared" si="74"/>
        <v/>
      </c>
      <c r="Y244" s="73" t="str">
        <f t="shared" si="74"/>
        <v/>
      </c>
      <c r="Z244" s="73" t="str">
        <f t="shared" si="74"/>
        <v/>
      </c>
      <c r="AA244" s="73" t="str">
        <f t="shared" si="74"/>
        <v/>
      </c>
      <c r="AB244" s="74" t="str">
        <f t="shared" si="74"/>
        <v/>
      </c>
      <c r="AC244" s="35" t="str">
        <f t="shared" si="64"/>
        <v/>
      </c>
      <c r="AD244" s="40" t="str">
        <f t="shared" si="65"/>
        <v/>
      </c>
      <c r="AE244" s="37" t="str">
        <f t="shared" si="66"/>
        <v/>
      </c>
      <c r="AF244" s="40" t="str">
        <f t="shared" si="67"/>
        <v/>
      </c>
      <c r="AG244" s="37" t="str">
        <f t="shared" si="68"/>
        <v/>
      </c>
      <c r="AH244" s="40" t="str">
        <f t="shared" si="69"/>
        <v/>
      </c>
      <c r="AI244" s="37" t="str">
        <f t="shared" si="70"/>
        <v/>
      </c>
      <c r="AJ244" s="40" t="str">
        <f t="shared" si="71"/>
        <v/>
      </c>
      <c r="AK244" s="33" t="str">
        <f>IF(SEM!AK244="","",SEM!AK244)</f>
        <v/>
      </c>
      <c r="AL244" s="6"/>
      <c r="AM244" s="79" t="str">
        <f t="shared" si="61"/>
        <v/>
      </c>
      <c r="AR244" s="5"/>
      <c r="AU244" s="198"/>
      <c r="AV244" s="198"/>
      <c r="AW244" s="198"/>
      <c r="AX244" s="198"/>
    </row>
    <row r="245" spans="2:50" ht="17.25" customHeight="1" x14ac:dyDescent="0.2">
      <c r="B245" s="6"/>
      <c r="C245" s="49" t="str">
        <f>IF(SEM!C245="","",SEM!C245)</f>
        <v/>
      </c>
      <c r="D245" s="220" t="str">
        <f>IF(C245="","",VLOOKUP(SEM!C245,FROTA!$B$5:$C$305,2,0))</f>
        <v/>
      </c>
      <c r="E245" s="24" t="str">
        <f>IF(C245="","",VLOOKUP(C245,FROTA!$B$5:$N$305,7,0))</f>
        <v/>
      </c>
      <c r="F245" s="38" t="str">
        <f t="shared" si="57"/>
        <v/>
      </c>
      <c r="G245" s="71" t="str">
        <f t="shared" si="62"/>
        <v/>
      </c>
      <c r="H245" s="32" t="str">
        <f t="shared" si="73"/>
        <v/>
      </c>
      <c r="I245" s="73" t="str">
        <f t="shared" si="73"/>
        <v/>
      </c>
      <c r="J245" s="73" t="str">
        <f t="shared" si="73"/>
        <v/>
      </c>
      <c r="K245" s="73" t="str">
        <f t="shared" si="75"/>
        <v/>
      </c>
      <c r="L245" s="73" t="str">
        <f t="shared" si="75"/>
        <v/>
      </c>
      <c r="M245" s="73" t="str">
        <f t="shared" si="75"/>
        <v/>
      </c>
      <c r="N245" s="73" t="str">
        <f t="shared" si="75"/>
        <v/>
      </c>
      <c r="O245" s="73" t="str">
        <f t="shared" si="75"/>
        <v/>
      </c>
      <c r="P245" s="73" t="str">
        <f t="shared" si="75"/>
        <v/>
      </c>
      <c r="Q245" s="73" t="str">
        <f t="shared" si="75"/>
        <v/>
      </c>
      <c r="R245" s="73" t="str">
        <f t="shared" si="74"/>
        <v/>
      </c>
      <c r="S245" s="73" t="str">
        <f t="shared" si="74"/>
        <v/>
      </c>
      <c r="T245" s="73" t="str">
        <f t="shared" si="74"/>
        <v/>
      </c>
      <c r="U245" s="73" t="str">
        <f t="shared" si="74"/>
        <v/>
      </c>
      <c r="V245" s="73" t="str">
        <f t="shared" si="74"/>
        <v/>
      </c>
      <c r="W245" s="73" t="str">
        <f t="shared" si="74"/>
        <v/>
      </c>
      <c r="X245" s="73" t="str">
        <f t="shared" si="74"/>
        <v/>
      </c>
      <c r="Y245" s="73" t="str">
        <f t="shared" si="74"/>
        <v/>
      </c>
      <c r="Z245" s="73" t="str">
        <f t="shared" si="74"/>
        <v/>
      </c>
      <c r="AA245" s="73" t="str">
        <f t="shared" si="74"/>
        <v/>
      </c>
      <c r="AB245" s="74" t="str">
        <f t="shared" si="74"/>
        <v/>
      </c>
      <c r="AC245" s="35" t="str">
        <f t="shared" si="64"/>
        <v/>
      </c>
      <c r="AD245" s="40" t="str">
        <f t="shared" si="65"/>
        <v/>
      </c>
      <c r="AE245" s="37" t="str">
        <f t="shared" si="66"/>
        <v/>
      </c>
      <c r="AF245" s="40" t="str">
        <f t="shared" si="67"/>
        <v/>
      </c>
      <c r="AG245" s="37" t="str">
        <f t="shared" si="68"/>
        <v/>
      </c>
      <c r="AH245" s="40" t="str">
        <f t="shared" si="69"/>
        <v/>
      </c>
      <c r="AI245" s="37" t="str">
        <f t="shared" si="70"/>
        <v/>
      </c>
      <c r="AJ245" s="40" t="str">
        <f t="shared" si="71"/>
        <v/>
      </c>
      <c r="AK245" s="33" t="str">
        <f>IF(SEM!AK245="","",SEM!AK245)</f>
        <v/>
      </c>
      <c r="AL245" s="6"/>
      <c r="AM245" s="79" t="str">
        <f t="shared" si="61"/>
        <v/>
      </c>
      <c r="AR245" s="5"/>
      <c r="AU245" s="198"/>
      <c r="AV245" s="198"/>
      <c r="AW245" s="198"/>
      <c r="AX245" s="198"/>
    </row>
    <row r="246" spans="2:50" ht="17.25" customHeight="1" x14ac:dyDescent="0.2">
      <c r="B246" s="6"/>
      <c r="C246" s="49" t="str">
        <f>IF(SEM!C246="","",SEM!C246)</f>
        <v/>
      </c>
      <c r="D246" s="220" t="str">
        <f>IF(C246="","",VLOOKUP(SEM!C246,FROTA!$B$5:$C$305,2,0))</f>
        <v/>
      </c>
      <c r="E246" s="24" t="str">
        <f>IF(C246="","",VLOOKUP(C246,FROTA!$B$5:$N$305,7,0))</f>
        <v/>
      </c>
      <c r="F246" s="38" t="str">
        <f t="shared" si="57"/>
        <v/>
      </c>
      <c r="G246" s="71" t="str">
        <f t="shared" si="62"/>
        <v/>
      </c>
      <c r="H246" s="32" t="str">
        <f t="shared" si="73"/>
        <v/>
      </c>
      <c r="I246" s="73" t="str">
        <f t="shared" si="73"/>
        <v/>
      </c>
      <c r="J246" s="73" t="str">
        <f t="shared" si="73"/>
        <v/>
      </c>
      <c r="K246" s="73" t="str">
        <f t="shared" si="75"/>
        <v/>
      </c>
      <c r="L246" s="73" t="str">
        <f t="shared" si="75"/>
        <v/>
      </c>
      <c r="M246" s="73" t="str">
        <f t="shared" si="75"/>
        <v/>
      </c>
      <c r="N246" s="73" t="str">
        <f t="shared" si="75"/>
        <v/>
      </c>
      <c r="O246" s="73" t="str">
        <f t="shared" si="75"/>
        <v/>
      </c>
      <c r="P246" s="73" t="str">
        <f t="shared" si="75"/>
        <v/>
      </c>
      <c r="Q246" s="73" t="str">
        <f t="shared" si="75"/>
        <v/>
      </c>
      <c r="R246" s="73" t="str">
        <f t="shared" si="74"/>
        <v/>
      </c>
      <c r="S246" s="73" t="str">
        <f t="shared" si="74"/>
        <v/>
      </c>
      <c r="T246" s="73" t="str">
        <f t="shared" si="74"/>
        <v/>
      </c>
      <c r="U246" s="73" t="str">
        <f t="shared" si="74"/>
        <v/>
      </c>
      <c r="V246" s="73" t="str">
        <f t="shared" si="74"/>
        <v/>
      </c>
      <c r="W246" s="73" t="str">
        <f t="shared" si="74"/>
        <v/>
      </c>
      <c r="X246" s="73" t="str">
        <f t="shared" si="74"/>
        <v/>
      </c>
      <c r="Y246" s="73" t="str">
        <f t="shared" si="74"/>
        <v/>
      </c>
      <c r="Z246" s="73" t="str">
        <f t="shared" si="74"/>
        <v/>
      </c>
      <c r="AA246" s="73" t="str">
        <f t="shared" si="74"/>
        <v/>
      </c>
      <c r="AB246" s="74" t="str">
        <f t="shared" si="74"/>
        <v/>
      </c>
      <c r="AC246" s="35" t="str">
        <f t="shared" si="64"/>
        <v/>
      </c>
      <c r="AD246" s="40" t="str">
        <f t="shared" si="65"/>
        <v/>
      </c>
      <c r="AE246" s="37" t="str">
        <f t="shared" si="66"/>
        <v/>
      </c>
      <c r="AF246" s="40" t="str">
        <f t="shared" si="67"/>
        <v/>
      </c>
      <c r="AG246" s="37" t="str">
        <f t="shared" si="68"/>
        <v/>
      </c>
      <c r="AH246" s="40" t="str">
        <f t="shared" si="69"/>
        <v/>
      </c>
      <c r="AI246" s="37" t="str">
        <f t="shared" si="70"/>
        <v/>
      </c>
      <c r="AJ246" s="40" t="str">
        <f t="shared" si="71"/>
        <v/>
      </c>
      <c r="AK246" s="33" t="str">
        <f>IF(SEM!AK246="","",SEM!AK246)</f>
        <v/>
      </c>
      <c r="AL246" s="6"/>
      <c r="AM246" s="79" t="str">
        <f t="shared" si="61"/>
        <v/>
      </c>
      <c r="AR246" s="5"/>
      <c r="AU246" s="198"/>
      <c r="AV246" s="198"/>
      <c r="AW246" s="198"/>
      <c r="AX246" s="198"/>
    </row>
    <row r="247" spans="2:50" ht="17.25" customHeight="1" x14ac:dyDescent="0.2">
      <c r="B247" s="6"/>
      <c r="C247" s="49" t="str">
        <f>IF(SEM!C247="","",SEM!C247)</f>
        <v/>
      </c>
      <c r="D247" s="220" t="str">
        <f>IF(C247="","",VLOOKUP(SEM!C247,FROTA!$B$5:$C$305,2,0))</f>
        <v/>
      </c>
      <c r="E247" s="24" t="str">
        <f>IF(C247="","",VLOOKUP(C247,FROTA!$B$5:$N$305,7,0))</f>
        <v/>
      </c>
      <c r="F247" s="38" t="str">
        <f t="shared" si="57"/>
        <v/>
      </c>
      <c r="G247" s="71" t="str">
        <f t="shared" si="62"/>
        <v/>
      </c>
      <c r="H247" s="32" t="str">
        <f t="shared" si="73"/>
        <v/>
      </c>
      <c r="I247" s="73" t="str">
        <f t="shared" si="73"/>
        <v/>
      </c>
      <c r="J247" s="73" t="str">
        <f t="shared" si="73"/>
        <v/>
      </c>
      <c r="K247" s="73" t="str">
        <f t="shared" si="75"/>
        <v/>
      </c>
      <c r="L247" s="73" t="str">
        <f t="shared" si="75"/>
        <v/>
      </c>
      <c r="M247" s="73" t="str">
        <f t="shared" si="75"/>
        <v/>
      </c>
      <c r="N247" s="73" t="str">
        <f t="shared" si="75"/>
        <v/>
      </c>
      <c r="O247" s="73" t="str">
        <f t="shared" si="75"/>
        <v/>
      </c>
      <c r="P247" s="73" t="str">
        <f t="shared" si="75"/>
        <v/>
      </c>
      <c r="Q247" s="73" t="str">
        <f t="shared" si="75"/>
        <v/>
      </c>
      <c r="R247" s="73" t="str">
        <f t="shared" si="74"/>
        <v/>
      </c>
      <c r="S247" s="73" t="str">
        <f t="shared" si="74"/>
        <v/>
      </c>
      <c r="T247" s="73" t="str">
        <f t="shared" si="74"/>
        <v/>
      </c>
      <c r="U247" s="73" t="str">
        <f t="shared" si="74"/>
        <v/>
      </c>
      <c r="V247" s="73" t="str">
        <f t="shared" si="74"/>
        <v/>
      </c>
      <c r="W247" s="73" t="str">
        <f t="shared" si="74"/>
        <v/>
      </c>
      <c r="X247" s="73" t="str">
        <f t="shared" si="74"/>
        <v/>
      </c>
      <c r="Y247" s="73" t="str">
        <f t="shared" si="74"/>
        <v/>
      </c>
      <c r="Z247" s="73" t="str">
        <f t="shared" si="74"/>
        <v/>
      </c>
      <c r="AA247" s="73" t="str">
        <f t="shared" si="74"/>
        <v/>
      </c>
      <c r="AB247" s="74" t="str">
        <f t="shared" si="74"/>
        <v/>
      </c>
      <c r="AC247" s="35" t="str">
        <f t="shared" si="64"/>
        <v/>
      </c>
      <c r="AD247" s="40" t="str">
        <f t="shared" si="65"/>
        <v/>
      </c>
      <c r="AE247" s="37" t="str">
        <f t="shared" si="66"/>
        <v/>
      </c>
      <c r="AF247" s="40" t="str">
        <f t="shared" si="67"/>
        <v/>
      </c>
      <c r="AG247" s="37" t="str">
        <f t="shared" si="68"/>
        <v/>
      </c>
      <c r="AH247" s="40" t="str">
        <f t="shared" si="69"/>
        <v/>
      </c>
      <c r="AI247" s="37" t="str">
        <f t="shared" si="70"/>
        <v/>
      </c>
      <c r="AJ247" s="40" t="str">
        <f t="shared" si="71"/>
        <v/>
      </c>
      <c r="AK247" s="33" t="str">
        <f>IF(SEM!AK247="","",SEM!AK247)</f>
        <v/>
      </c>
      <c r="AL247" s="6"/>
      <c r="AM247" s="79" t="str">
        <f t="shared" si="61"/>
        <v/>
      </c>
      <c r="AR247" s="5"/>
      <c r="AU247" s="198"/>
      <c r="AV247" s="198"/>
      <c r="AW247" s="198"/>
      <c r="AX247" s="198"/>
    </row>
    <row r="248" spans="2:50" ht="17.25" customHeight="1" x14ac:dyDescent="0.2">
      <c r="B248" s="6"/>
      <c r="C248" s="49" t="str">
        <f>IF(SEM!C248="","",SEM!C248)</f>
        <v/>
      </c>
      <c r="D248" s="220" t="str">
        <f>IF(C248="","",VLOOKUP(SEM!C248,FROTA!$B$5:$C$305,2,0))</f>
        <v/>
      </c>
      <c r="E248" s="24" t="str">
        <f>IF(C248="","",VLOOKUP(C248,FROTA!$B$5:$N$305,7,0))</f>
        <v/>
      </c>
      <c r="F248" s="38" t="str">
        <f t="shared" si="57"/>
        <v/>
      </c>
      <c r="G248" s="71" t="str">
        <f t="shared" si="62"/>
        <v/>
      </c>
      <c r="H248" s="32" t="str">
        <f t="shared" si="73"/>
        <v/>
      </c>
      <c r="I248" s="73" t="str">
        <f t="shared" si="73"/>
        <v/>
      </c>
      <c r="J248" s="73" t="str">
        <f t="shared" si="73"/>
        <v/>
      </c>
      <c r="K248" s="73" t="str">
        <f t="shared" si="75"/>
        <v/>
      </c>
      <c r="L248" s="73" t="str">
        <f t="shared" si="75"/>
        <v/>
      </c>
      <c r="M248" s="73" t="str">
        <f t="shared" si="75"/>
        <v/>
      </c>
      <c r="N248" s="73" t="str">
        <f t="shared" si="75"/>
        <v/>
      </c>
      <c r="O248" s="73" t="str">
        <f t="shared" si="75"/>
        <v/>
      </c>
      <c r="P248" s="73" t="str">
        <f t="shared" si="75"/>
        <v/>
      </c>
      <c r="Q248" s="73" t="str">
        <f t="shared" si="75"/>
        <v/>
      </c>
      <c r="R248" s="73" t="str">
        <f t="shared" si="74"/>
        <v/>
      </c>
      <c r="S248" s="73" t="str">
        <f t="shared" si="74"/>
        <v/>
      </c>
      <c r="T248" s="73" t="str">
        <f t="shared" si="74"/>
        <v/>
      </c>
      <c r="U248" s="73" t="str">
        <f t="shared" si="74"/>
        <v/>
      </c>
      <c r="V248" s="73" t="str">
        <f t="shared" si="74"/>
        <v/>
      </c>
      <c r="W248" s="73" t="str">
        <f t="shared" si="74"/>
        <v/>
      </c>
      <c r="X248" s="73" t="str">
        <f t="shared" si="74"/>
        <v/>
      </c>
      <c r="Y248" s="73" t="str">
        <f t="shared" si="74"/>
        <v/>
      </c>
      <c r="Z248" s="73" t="str">
        <f t="shared" si="74"/>
        <v/>
      </c>
      <c r="AA248" s="73" t="str">
        <f t="shared" si="74"/>
        <v/>
      </c>
      <c r="AB248" s="74" t="str">
        <f t="shared" si="74"/>
        <v/>
      </c>
      <c r="AC248" s="35" t="str">
        <f t="shared" si="64"/>
        <v/>
      </c>
      <c r="AD248" s="40" t="str">
        <f t="shared" si="65"/>
        <v/>
      </c>
      <c r="AE248" s="37" t="str">
        <f t="shared" si="66"/>
        <v/>
      </c>
      <c r="AF248" s="40" t="str">
        <f t="shared" si="67"/>
        <v/>
      </c>
      <c r="AG248" s="37" t="str">
        <f t="shared" si="68"/>
        <v/>
      </c>
      <c r="AH248" s="40" t="str">
        <f t="shared" si="69"/>
        <v/>
      </c>
      <c r="AI248" s="37" t="str">
        <f t="shared" si="70"/>
        <v/>
      </c>
      <c r="AJ248" s="40" t="str">
        <f t="shared" si="71"/>
        <v/>
      </c>
      <c r="AK248" s="33" t="str">
        <f>IF(SEM!AK248="","",SEM!AK248)</f>
        <v/>
      </c>
      <c r="AL248" s="6"/>
      <c r="AM248" s="79" t="str">
        <f t="shared" si="61"/>
        <v/>
      </c>
      <c r="AR248" s="5"/>
      <c r="AU248" s="198"/>
      <c r="AV248" s="198"/>
      <c r="AW248" s="198"/>
      <c r="AX248" s="198"/>
    </row>
    <row r="249" spans="2:50" ht="17.25" customHeight="1" x14ac:dyDescent="0.2">
      <c r="B249" s="6"/>
      <c r="C249" s="49" t="str">
        <f>IF(SEM!C249="","",SEM!C249)</f>
        <v/>
      </c>
      <c r="D249" s="220" t="str">
        <f>IF(C249="","",VLOOKUP(SEM!C249,FROTA!$B$5:$C$305,2,0))</f>
        <v/>
      </c>
      <c r="E249" s="24" t="str">
        <f>IF(C249="","",VLOOKUP(C249,FROTA!$B$5:$N$305,7,0))</f>
        <v/>
      </c>
      <c r="F249" s="38" t="str">
        <f t="shared" si="57"/>
        <v/>
      </c>
      <c r="G249" s="71" t="str">
        <f t="shared" si="62"/>
        <v/>
      </c>
      <c r="H249" s="32" t="str">
        <f t="shared" si="73"/>
        <v/>
      </c>
      <c r="I249" s="73" t="str">
        <f t="shared" si="73"/>
        <v/>
      </c>
      <c r="J249" s="73" t="str">
        <f t="shared" si="73"/>
        <v/>
      </c>
      <c r="K249" s="73" t="str">
        <f t="shared" si="75"/>
        <v/>
      </c>
      <c r="L249" s="73" t="str">
        <f t="shared" si="75"/>
        <v/>
      </c>
      <c r="M249" s="73" t="str">
        <f t="shared" si="75"/>
        <v/>
      </c>
      <c r="N249" s="73" t="str">
        <f t="shared" si="75"/>
        <v/>
      </c>
      <c r="O249" s="73" t="str">
        <f t="shared" si="75"/>
        <v/>
      </c>
      <c r="P249" s="73" t="str">
        <f t="shared" si="75"/>
        <v/>
      </c>
      <c r="Q249" s="73" t="str">
        <f t="shared" si="75"/>
        <v/>
      </c>
      <c r="R249" s="73" t="str">
        <f t="shared" si="74"/>
        <v/>
      </c>
      <c r="S249" s="73" t="str">
        <f t="shared" si="74"/>
        <v/>
      </c>
      <c r="T249" s="73" t="str">
        <f t="shared" si="74"/>
        <v/>
      </c>
      <c r="U249" s="73" t="str">
        <f t="shared" si="74"/>
        <v/>
      </c>
      <c r="V249" s="73" t="str">
        <f t="shared" si="74"/>
        <v/>
      </c>
      <c r="W249" s="73" t="str">
        <f t="shared" si="74"/>
        <v/>
      </c>
      <c r="X249" s="73" t="str">
        <f t="shared" si="74"/>
        <v/>
      </c>
      <c r="Y249" s="73" t="str">
        <f t="shared" si="74"/>
        <v/>
      </c>
      <c r="Z249" s="73" t="str">
        <f t="shared" si="74"/>
        <v/>
      </c>
      <c r="AA249" s="73" t="str">
        <f t="shared" si="74"/>
        <v/>
      </c>
      <c r="AB249" s="74" t="str">
        <f t="shared" si="74"/>
        <v/>
      </c>
      <c r="AC249" s="35" t="str">
        <f t="shared" si="64"/>
        <v/>
      </c>
      <c r="AD249" s="40" t="str">
        <f t="shared" si="65"/>
        <v/>
      </c>
      <c r="AE249" s="37" t="str">
        <f t="shared" si="66"/>
        <v/>
      </c>
      <c r="AF249" s="40" t="str">
        <f t="shared" si="67"/>
        <v/>
      </c>
      <c r="AG249" s="37" t="str">
        <f t="shared" si="68"/>
        <v/>
      </c>
      <c r="AH249" s="40" t="str">
        <f t="shared" si="69"/>
        <v/>
      </c>
      <c r="AI249" s="37" t="str">
        <f t="shared" si="70"/>
        <v/>
      </c>
      <c r="AJ249" s="40" t="str">
        <f t="shared" si="71"/>
        <v/>
      </c>
      <c r="AK249" s="33" t="str">
        <f>IF(SEM!AK249="","",SEM!AK249)</f>
        <v/>
      </c>
      <c r="AL249" s="6"/>
      <c r="AM249" s="79" t="str">
        <f t="shared" si="61"/>
        <v/>
      </c>
      <c r="AR249" s="5"/>
      <c r="AU249" s="198"/>
      <c r="AV249" s="198"/>
      <c r="AW249" s="198"/>
      <c r="AX249" s="198"/>
    </row>
    <row r="250" spans="2:50" ht="17.25" customHeight="1" x14ac:dyDescent="0.2">
      <c r="B250" s="6"/>
      <c r="C250" s="49" t="str">
        <f>IF(SEM!C250="","",SEM!C250)</f>
        <v/>
      </c>
      <c r="D250" s="220" t="str">
        <f>IF(C250="","",VLOOKUP(SEM!C250,FROTA!$B$5:$C$305,2,0))</f>
        <v/>
      </c>
      <c r="E250" s="24" t="str">
        <f>IF(C250="","",VLOOKUP(C250,FROTA!$B$5:$N$305,7,0))</f>
        <v/>
      </c>
      <c r="F250" s="38" t="str">
        <f t="shared" si="57"/>
        <v/>
      </c>
      <c r="G250" s="71" t="str">
        <f t="shared" si="62"/>
        <v/>
      </c>
      <c r="H250" s="32" t="str">
        <f t="shared" si="73"/>
        <v/>
      </c>
      <c r="I250" s="73" t="str">
        <f t="shared" si="73"/>
        <v/>
      </c>
      <c r="J250" s="73" t="str">
        <f t="shared" si="73"/>
        <v/>
      </c>
      <c r="K250" s="73" t="str">
        <f t="shared" si="75"/>
        <v/>
      </c>
      <c r="L250" s="73" t="str">
        <f t="shared" si="75"/>
        <v/>
      </c>
      <c r="M250" s="73" t="str">
        <f t="shared" si="75"/>
        <v/>
      </c>
      <c r="N250" s="73" t="str">
        <f t="shared" si="75"/>
        <v/>
      </c>
      <c r="O250" s="73" t="str">
        <f t="shared" si="75"/>
        <v/>
      </c>
      <c r="P250" s="73" t="str">
        <f t="shared" si="75"/>
        <v/>
      </c>
      <c r="Q250" s="73" t="str">
        <f t="shared" si="75"/>
        <v/>
      </c>
      <c r="R250" s="73" t="str">
        <f t="shared" si="74"/>
        <v/>
      </c>
      <c r="S250" s="73" t="str">
        <f t="shared" si="74"/>
        <v/>
      </c>
      <c r="T250" s="73" t="str">
        <f t="shared" si="74"/>
        <v/>
      </c>
      <c r="U250" s="73" t="str">
        <f t="shared" si="74"/>
        <v/>
      </c>
      <c r="V250" s="73" t="str">
        <f t="shared" si="74"/>
        <v/>
      </c>
      <c r="W250" s="73" t="str">
        <f t="shared" si="74"/>
        <v/>
      </c>
      <c r="X250" s="73" t="str">
        <f t="shared" si="74"/>
        <v/>
      </c>
      <c r="Y250" s="73" t="str">
        <f t="shared" si="74"/>
        <v/>
      </c>
      <c r="Z250" s="73" t="str">
        <f t="shared" si="74"/>
        <v/>
      </c>
      <c r="AA250" s="73" t="str">
        <f t="shared" si="74"/>
        <v/>
      </c>
      <c r="AB250" s="74" t="str">
        <f t="shared" si="74"/>
        <v/>
      </c>
      <c r="AC250" s="35" t="str">
        <f t="shared" si="64"/>
        <v/>
      </c>
      <c r="AD250" s="40" t="str">
        <f t="shared" si="65"/>
        <v/>
      </c>
      <c r="AE250" s="37" t="str">
        <f t="shared" si="66"/>
        <v/>
      </c>
      <c r="AF250" s="40" t="str">
        <f t="shared" si="67"/>
        <v/>
      </c>
      <c r="AG250" s="37" t="str">
        <f t="shared" si="68"/>
        <v/>
      </c>
      <c r="AH250" s="40" t="str">
        <f t="shared" si="69"/>
        <v/>
      </c>
      <c r="AI250" s="37" t="str">
        <f t="shared" si="70"/>
        <v/>
      </c>
      <c r="AJ250" s="40" t="str">
        <f t="shared" si="71"/>
        <v/>
      </c>
      <c r="AK250" s="33" t="str">
        <f>IF(SEM!AK250="","",SEM!AK250)</f>
        <v/>
      </c>
      <c r="AL250" s="6"/>
      <c r="AM250" s="79" t="str">
        <f t="shared" si="61"/>
        <v/>
      </c>
      <c r="AR250" s="5"/>
      <c r="AU250" s="198"/>
      <c r="AV250" s="198"/>
      <c r="AW250" s="198"/>
      <c r="AX250" s="198"/>
    </row>
    <row r="251" spans="2:50" ht="17.25" customHeight="1" x14ac:dyDescent="0.2">
      <c r="B251" s="6"/>
      <c r="C251" s="49" t="str">
        <f>IF(SEM!C251="","",SEM!C251)</f>
        <v/>
      </c>
      <c r="D251" s="220" t="str">
        <f>IF(C251="","",VLOOKUP(SEM!C251,FROTA!$B$5:$C$305,2,0))</f>
        <v/>
      </c>
      <c r="E251" s="24" t="str">
        <f>IF(C251="","",VLOOKUP(C251,FROTA!$B$5:$N$305,7,0))</f>
        <v/>
      </c>
      <c r="F251" s="38" t="str">
        <f t="shared" si="57"/>
        <v/>
      </c>
      <c r="G251" s="71" t="str">
        <f t="shared" si="62"/>
        <v/>
      </c>
      <c r="H251" s="32" t="str">
        <f t="shared" si="73"/>
        <v/>
      </c>
      <c r="I251" s="73" t="str">
        <f t="shared" si="73"/>
        <v/>
      </c>
      <c r="J251" s="73" t="str">
        <f t="shared" si="73"/>
        <v/>
      </c>
      <c r="K251" s="73" t="str">
        <f t="shared" si="75"/>
        <v/>
      </c>
      <c r="L251" s="73" t="str">
        <f t="shared" si="75"/>
        <v/>
      </c>
      <c r="M251" s="73" t="str">
        <f t="shared" si="75"/>
        <v/>
      </c>
      <c r="N251" s="73" t="str">
        <f t="shared" si="75"/>
        <v/>
      </c>
      <c r="O251" s="73" t="str">
        <f t="shared" si="75"/>
        <v/>
      </c>
      <c r="P251" s="73" t="str">
        <f t="shared" si="75"/>
        <v/>
      </c>
      <c r="Q251" s="73" t="str">
        <f t="shared" si="75"/>
        <v/>
      </c>
      <c r="R251" s="73" t="str">
        <f t="shared" si="74"/>
        <v/>
      </c>
      <c r="S251" s="73" t="str">
        <f t="shared" si="74"/>
        <v/>
      </c>
      <c r="T251" s="73" t="str">
        <f t="shared" si="74"/>
        <v/>
      </c>
      <c r="U251" s="73" t="str">
        <f t="shared" si="74"/>
        <v/>
      </c>
      <c r="V251" s="73" t="str">
        <f t="shared" si="74"/>
        <v/>
      </c>
      <c r="W251" s="73" t="str">
        <f t="shared" si="74"/>
        <v/>
      </c>
      <c r="X251" s="73" t="str">
        <f t="shared" si="74"/>
        <v/>
      </c>
      <c r="Y251" s="73" t="str">
        <f t="shared" si="74"/>
        <v/>
      </c>
      <c r="Z251" s="73" t="str">
        <f t="shared" si="74"/>
        <v/>
      </c>
      <c r="AA251" s="73" t="str">
        <f t="shared" si="74"/>
        <v/>
      </c>
      <c r="AB251" s="74" t="str">
        <f t="shared" si="74"/>
        <v/>
      </c>
      <c r="AC251" s="35" t="str">
        <f t="shared" si="64"/>
        <v/>
      </c>
      <c r="AD251" s="40" t="str">
        <f t="shared" si="65"/>
        <v/>
      </c>
      <c r="AE251" s="37" t="str">
        <f t="shared" si="66"/>
        <v/>
      </c>
      <c r="AF251" s="40" t="str">
        <f t="shared" si="67"/>
        <v/>
      </c>
      <c r="AG251" s="37" t="str">
        <f t="shared" si="68"/>
        <v/>
      </c>
      <c r="AH251" s="40" t="str">
        <f t="shared" si="69"/>
        <v/>
      </c>
      <c r="AI251" s="37" t="str">
        <f t="shared" si="70"/>
        <v/>
      </c>
      <c r="AJ251" s="40" t="str">
        <f t="shared" si="71"/>
        <v/>
      </c>
      <c r="AK251" s="33" t="str">
        <f>IF(SEM!AK251="","",SEM!AK251)</f>
        <v/>
      </c>
      <c r="AL251" s="6"/>
      <c r="AM251" s="79" t="str">
        <f t="shared" si="61"/>
        <v/>
      </c>
      <c r="AR251" s="5"/>
      <c r="AU251" s="198"/>
      <c r="AV251" s="198"/>
      <c r="AW251" s="198"/>
      <c r="AX251" s="198"/>
    </row>
    <row r="252" spans="2:50" ht="17.25" customHeight="1" x14ac:dyDescent="0.2">
      <c r="B252" s="6"/>
      <c r="C252" s="49" t="str">
        <f>IF(SEM!C252="","",SEM!C252)</f>
        <v/>
      </c>
      <c r="D252" s="220" t="str">
        <f>IF(C252="","",VLOOKUP(SEM!C252,FROTA!$B$5:$C$305,2,0))</f>
        <v/>
      </c>
      <c r="E252" s="24" t="str">
        <f>IF(C252="","",VLOOKUP(C252,FROTA!$B$5:$N$305,7,0))</f>
        <v/>
      </c>
      <c r="F252" s="38" t="str">
        <f t="shared" si="57"/>
        <v/>
      </c>
      <c r="G252" s="71" t="str">
        <f t="shared" si="62"/>
        <v/>
      </c>
      <c r="H252" s="32" t="str">
        <f t="shared" si="73"/>
        <v/>
      </c>
      <c r="I252" s="73" t="str">
        <f t="shared" si="73"/>
        <v/>
      </c>
      <c r="J252" s="73" t="str">
        <f t="shared" si="73"/>
        <v/>
      </c>
      <c r="K252" s="73" t="str">
        <f t="shared" si="75"/>
        <v/>
      </c>
      <c r="L252" s="73" t="str">
        <f t="shared" si="75"/>
        <v/>
      </c>
      <c r="M252" s="73" t="str">
        <f t="shared" si="75"/>
        <v/>
      </c>
      <c r="N252" s="73" t="str">
        <f t="shared" si="75"/>
        <v/>
      </c>
      <c r="O252" s="73" t="str">
        <f t="shared" si="75"/>
        <v/>
      </c>
      <c r="P252" s="73" t="str">
        <f t="shared" si="75"/>
        <v/>
      </c>
      <c r="Q252" s="73" t="str">
        <f t="shared" si="75"/>
        <v/>
      </c>
      <c r="R252" s="73" t="str">
        <f t="shared" si="74"/>
        <v/>
      </c>
      <c r="S252" s="73" t="str">
        <f t="shared" si="74"/>
        <v/>
      </c>
      <c r="T252" s="73" t="str">
        <f t="shared" si="74"/>
        <v/>
      </c>
      <c r="U252" s="73" t="str">
        <f t="shared" si="74"/>
        <v/>
      </c>
      <c r="V252" s="73" t="str">
        <f t="shared" si="74"/>
        <v/>
      </c>
      <c r="W252" s="73" t="str">
        <f t="shared" si="74"/>
        <v/>
      </c>
      <c r="X252" s="73" t="str">
        <f t="shared" si="74"/>
        <v/>
      </c>
      <c r="Y252" s="73" t="str">
        <f t="shared" si="74"/>
        <v/>
      </c>
      <c r="Z252" s="73" t="str">
        <f t="shared" si="74"/>
        <v/>
      </c>
      <c r="AA252" s="73" t="str">
        <f t="shared" si="74"/>
        <v/>
      </c>
      <c r="AB252" s="74" t="str">
        <f t="shared" si="74"/>
        <v/>
      </c>
      <c r="AC252" s="35" t="str">
        <f t="shared" si="64"/>
        <v/>
      </c>
      <c r="AD252" s="40" t="str">
        <f t="shared" si="65"/>
        <v/>
      </c>
      <c r="AE252" s="37" t="str">
        <f t="shared" si="66"/>
        <v/>
      </c>
      <c r="AF252" s="40" t="str">
        <f t="shared" si="67"/>
        <v/>
      </c>
      <c r="AG252" s="37" t="str">
        <f t="shared" si="68"/>
        <v/>
      </c>
      <c r="AH252" s="40" t="str">
        <f t="shared" si="69"/>
        <v/>
      </c>
      <c r="AI252" s="37" t="str">
        <f t="shared" si="70"/>
        <v/>
      </c>
      <c r="AJ252" s="40" t="str">
        <f t="shared" si="71"/>
        <v/>
      </c>
      <c r="AK252" s="33" t="str">
        <f>IF(SEM!AK252="","",SEM!AK252)</f>
        <v/>
      </c>
      <c r="AL252" s="6"/>
      <c r="AM252" s="79" t="str">
        <f t="shared" si="61"/>
        <v/>
      </c>
      <c r="AR252" s="5"/>
      <c r="AU252" s="198"/>
      <c r="AV252" s="198"/>
      <c r="AW252" s="198"/>
      <c r="AX252" s="198"/>
    </row>
    <row r="253" spans="2:50" ht="17.25" customHeight="1" x14ac:dyDescent="0.2">
      <c r="B253" s="6"/>
      <c r="C253" s="49" t="str">
        <f>IF(SEM!C253="","",SEM!C253)</f>
        <v/>
      </c>
      <c r="D253" s="220" t="str">
        <f>IF(C253="","",VLOOKUP(SEM!C253,FROTA!$B$5:$C$305,2,0))</f>
        <v/>
      </c>
      <c r="E253" s="24" t="str">
        <f>IF(C253="","",VLOOKUP(C253,FROTA!$B$5:$N$305,7,0))</f>
        <v/>
      </c>
      <c r="F253" s="38" t="str">
        <f t="shared" si="57"/>
        <v/>
      </c>
      <c r="G253" s="71" t="str">
        <f t="shared" si="62"/>
        <v/>
      </c>
      <c r="H253" s="32" t="str">
        <f t="shared" si="73"/>
        <v/>
      </c>
      <c r="I253" s="73" t="str">
        <f t="shared" si="73"/>
        <v/>
      </c>
      <c r="J253" s="73" t="str">
        <f t="shared" si="73"/>
        <v/>
      </c>
      <c r="K253" s="73" t="str">
        <f t="shared" si="75"/>
        <v/>
      </c>
      <c r="L253" s="73" t="str">
        <f t="shared" si="75"/>
        <v/>
      </c>
      <c r="M253" s="73" t="str">
        <f t="shared" si="75"/>
        <v/>
      </c>
      <c r="N253" s="73" t="str">
        <f t="shared" si="75"/>
        <v/>
      </c>
      <c r="O253" s="73" t="str">
        <f t="shared" si="75"/>
        <v/>
      </c>
      <c r="P253" s="73" t="str">
        <f t="shared" si="75"/>
        <v/>
      </c>
      <c r="Q253" s="73" t="str">
        <f t="shared" si="75"/>
        <v/>
      </c>
      <c r="R253" s="73" t="str">
        <f t="shared" si="74"/>
        <v/>
      </c>
      <c r="S253" s="73" t="str">
        <f t="shared" si="74"/>
        <v/>
      </c>
      <c r="T253" s="73" t="str">
        <f t="shared" si="74"/>
        <v/>
      </c>
      <c r="U253" s="73" t="str">
        <f t="shared" si="74"/>
        <v/>
      </c>
      <c r="V253" s="73" t="str">
        <f t="shared" si="74"/>
        <v/>
      </c>
      <c r="W253" s="73" t="str">
        <f t="shared" si="74"/>
        <v/>
      </c>
      <c r="X253" s="73" t="str">
        <f t="shared" si="74"/>
        <v/>
      </c>
      <c r="Y253" s="73" t="str">
        <f t="shared" si="74"/>
        <v/>
      </c>
      <c r="Z253" s="73" t="str">
        <f t="shared" si="74"/>
        <v/>
      </c>
      <c r="AA253" s="73" t="str">
        <f t="shared" ref="R253:AB276" si="76">IF($C253="","",IF(SUM(AA$307*$G253)&gt;$F253,$F253,SUM(AA$307*$G253)))</f>
        <v/>
      </c>
      <c r="AB253" s="74" t="str">
        <f t="shared" si="76"/>
        <v/>
      </c>
      <c r="AC253" s="35" t="str">
        <f t="shared" si="64"/>
        <v/>
      </c>
      <c r="AD253" s="40" t="str">
        <f t="shared" si="65"/>
        <v/>
      </c>
      <c r="AE253" s="37" t="str">
        <f t="shared" si="66"/>
        <v/>
      </c>
      <c r="AF253" s="40" t="str">
        <f t="shared" si="67"/>
        <v/>
      </c>
      <c r="AG253" s="37" t="str">
        <f t="shared" si="68"/>
        <v/>
      </c>
      <c r="AH253" s="40" t="str">
        <f t="shared" si="69"/>
        <v/>
      </c>
      <c r="AI253" s="37" t="str">
        <f t="shared" si="70"/>
        <v/>
      </c>
      <c r="AJ253" s="40" t="str">
        <f t="shared" si="71"/>
        <v/>
      </c>
      <c r="AK253" s="33" t="str">
        <f>IF(SEM!AK253="","",SEM!AK253)</f>
        <v/>
      </c>
      <c r="AL253" s="6"/>
      <c r="AM253" s="79" t="str">
        <f t="shared" si="61"/>
        <v/>
      </c>
      <c r="AR253" s="5"/>
      <c r="AU253" s="198"/>
      <c r="AV253" s="198"/>
      <c r="AW253" s="198"/>
      <c r="AX253" s="198"/>
    </row>
    <row r="254" spans="2:50" ht="17.25" customHeight="1" x14ac:dyDescent="0.2">
      <c r="B254" s="6"/>
      <c r="C254" s="49" t="str">
        <f>IF(SEM!C254="","",SEM!C254)</f>
        <v/>
      </c>
      <c r="D254" s="220" t="str">
        <f>IF(C254="","",VLOOKUP(SEM!C254,FROTA!$B$5:$C$305,2,0))</f>
        <v/>
      </c>
      <c r="E254" s="24" t="str">
        <f>IF(C254="","",VLOOKUP(C254,FROTA!$B$5:$N$305,7,0))</f>
        <v/>
      </c>
      <c r="F254" s="38" t="str">
        <f t="shared" si="57"/>
        <v/>
      </c>
      <c r="G254" s="71" t="str">
        <f t="shared" si="62"/>
        <v/>
      </c>
      <c r="H254" s="32" t="str">
        <f t="shared" si="73"/>
        <v/>
      </c>
      <c r="I254" s="73" t="str">
        <f t="shared" si="73"/>
        <v/>
      </c>
      <c r="J254" s="73" t="str">
        <f t="shared" si="73"/>
        <v/>
      </c>
      <c r="K254" s="73" t="str">
        <f t="shared" si="75"/>
        <v/>
      </c>
      <c r="L254" s="73" t="str">
        <f t="shared" si="75"/>
        <v/>
      </c>
      <c r="M254" s="73" t="str">
        <f t="shared" si="75"/>
        <v/>
      </c>
      <c r="N254" s="73" t="str">
        <f t="shared" si="75"/>
        <v/>
      </c>
      <c r="O254" s="73" t="str">
        <f t="shared" si="75"/>
        <v/>
      </c>
      <c r="P254" s="73" t="str">
        <f t="shared" si="75"/>
        <v/>
      </c>
      <c r="Q254" s="73" t="str">
        <f t="shared" si="75"/>
        <v/>
      </c>
      <c r="R254" s="73" t="str">
        <f t="shared" si="76"/>
        <v/>
      </c>
      <c r="S254" s="73" t="str">
        <f t="shared" si="76"/>
        <v/>
      </c>
      <c r="T254" s="73" t="str">
        <f t="shared" si="76"/>
        <v/>
      </c>
      <c r="U254" s="73" t="str">
        <f t="shared" si="76"/>
        <v/>
      </c>
      <c r="V254" s="73" t="str">
        <f t="shared" si="76"/>
        <v/>
      </c>
      <c r="W254" s="73" t="str">
        <f t="shared" si="76"/>
        <v/>
      </c>
      <c r="X254" s="73" t="str">
        <f t="shared" si="76"/>
        <v/>
      </c>
      <c r="Y254" s="73" t="str">
        <f t="shared" si="76"/>
        <v/>
      </c>
      <c r="Z254" s="73" t="str">
        <f t="shared" si="76"/>
        <v/>
      </c>
      <c r="AA254" s="73" t="str">
        <f t="shared" si="76"/>
        <v/>
      </c>
      <c r="AB254" s="74" t="str">
        <f t="shared" si="76"/>
        <v/>
      </c>
      <c r="AC254" s="35" t="str">
        <f t="shared" si="64"/>
        <v/>
      </c>
      <c r="AD254" s="40" t="str">
        <f t="shared" si="65"/>
        <v/>
      </c>
      <c r="AE254" s="37" t="str">
        <f t="shared" si="66"/>
        <v/>
      </c>
      <c r="AF254" s="40" t="str">
        <f t="shared" si="67"/>
        <v/>
      </c>
      <c r="AG254" s="37" t="str">
        <f t="shared" si="68"/>
        <v/>
      </c>
      <c r="AH254" s="40" t="str">
        <f t="shared" si="69"/>
        <v/>
      </c>
      <c r="AI254" s="37" t="str">
        <f t="shared" si="70"/>
        <v/>
      </c>
      <c r="AJ254" s="40" t="str">
        <f t="shared" si="71"/>
        <v/>
      </c>
      <c r="AK254" s="33" t="str">
        <f>IF(SEM!AK254="","",SEM!AK254)</f>
        <v/>
      </c>
      <c r="AL254" s="6"/>
      <c r="AM254" s="79" t="str">
        <f t="shared" si="61"/>
        <v/>
      </c>
      <c r="AR254" s="5"/>
      <c r="AU254" s="198"/>
      <c r="AV254" s="198"/>
      <c r="AW254" s="198"/>
      <c r="AX254" s="198"/>
    </row>
    <row r="255" spans="2:50" ht="17.25" customHeight="1" x14ac:dyDescent="0.2">
      <c r="B255" s="6"/>
      <c r="C255" s="49" t="str">
        <f>IF(SEM!C255="","",SEM!C255)</f>
        <v/>
      </c>
      <c r="D255" s="220" t="str">
        <f>IF(C255="","",VLOOKUP(SEM!C255,FROTA!$B$5:$C$305,2,0))</f>
        <v/>
      </c>
      <c r="E255" s="24" t="str">
        <f>IF(C255="","",VLOOKUP(C255,FROTA!$B$5:$N$305,7,0))</f>
        <v/>
      </c>
      <c r="F255" s="38" t="str">
        <f t="shared" si="57"/>
        <v/>
      </c>
      <c r="G255" s="71" t="str">
        <f t="shared" si="62"/>
        <v/>
      </c>
      <c r="H255" s="32" t="str">
        <f t="shared" si="73"/>
        <v/>
      </c>
      <c r="I255" s="73" t="str">
        <f t="shared" si="73"/>
        <v/>
      </c>
      <c r="J255" s="73" t="str">
        <f t="shared" si="73"/>
        <v/>
      </c>
      <c r="K255" s="73" t="str">
        <f t="shared" si="75"/>
        <v/>
      </c>
      <c r="L255" s="73" t="str">
        <f t="shared" si="75"/>
        <v/>
      </c>
      <c r="M255" s="73" t="str">
        <f t="shared" si="75"/>
        <v/>
      </c>
      <c r="N255" s="73" t="str">
        <f t="shared" si="75"/>
        <v/>
      </c>
      <c r="O255" s="73" t="str">
        <f t="shared" si="75"/>
        <v/>
      </c>
      <c r="P255" s="73" t="str">
        <f t="shared" si="75"/>
        <v/>
      </c>
      <c r="Q255" s="73" t="str">
        <f t="shared" si="75"/>
        <v/>
      </c>
      <c r="R255" s="73" t="str">
        <f t="shared" si="76"/>
        <v/>
      </c>
      <c r="S255" s="73" t="str">
        <f t="shared" si="76"/>
        <v/>
      </c>
      <c r="T255" s="73" t="str">
        <f t="shared" si="76"/>
        <v/>
      </c>
      <c r="U255" s="73" t="str">
        <f t="shared" si="76"/>
        <v/>
      </c>
      <c r="V255" s="73" t="str">
        <f t="shared" si="76"/>
        <v/>
      </c>
      <c r="W255" s="73" t="str">
        <f t="shared" si="76"/>
        <v/>
      </c>
      <c r="X255" s="73" t="str">
        <f t="shared" si="76"/>
        <v/>
      </c>
      <c r="Y255" s="73" t="str">
        <f t="shared" si="76"/>
        <v/>
      </c>
      <c r="Z255" s="73" t="str">
        <f t="shared" si="76"/>
        <v/>
      </c>
      <c r="AA255" s="73" t="str">
        <f t="shared" si="76"/>
        <v/>
      </c>
      <c r="AB255" s="74" t="str">
        <f t="shared" si="76"/>
        <v/>
      </c>
      <c r="AC255" s="35" t="str">
        <f t="shared" si="64"/>
        <v/>
      </c>
      <c r="AD255" s="40" t="str">
        <f t="shared" si="65"/>
        <v/>
      </c>
      <c r="AE255" s="37" t="str">
        <f t="shared" si="66"/>
        <v/>
      </c>
      <c r="AF255" s="40" t="str">
        <f t="shared" si="67"/>
        <v/>
      </c>
      <c r="AG255" s="37" t="str">
        <f t="shared" si="68"/>
        <v/>
      </c>
      <c r="AH255" s="40" t="str">
        <f t="shared" si="69"/>
        <v/>
      </c>
      <c r="AI255" s="37" t="str">
        <f t="shared" si="70"/>
        <v/>
      </c>
      <c r="AJ255" s="40" t="str">
        <f t="shared" si="71"/>
        <v/>
      </c>
      <c r="AK255" s="33" t="str">
        <f>IF(SEM!AK255="","",SEM!AK255)</f>
        <v/>
      </c>
      <c r="AL255" s="6"/>
      <c r="AM255" s="79" t="str">
        <f t="shared" si="61"/>
        <v/>
      </c>
      <c r="AR255" s="5"/>
      <c r="AU255" s="198"/>
      <c r="AV255" s="198"/>
      <c r="AW255" s="198"/>
      <c r="AX255" s="198"/>
    </row>
    <row r="256" spans="2:50" ht="17.25" customHeight="1" x14ac:dyDescent="0.2">
      <c r="B256" s="6"/>
      <c r="C256" s="49" t="str">
        <f>IF(SEM!C256="","",SEM!C256)</f>
        <v/>
      </c>
      <c r="D256" s="220" t="str">
        <f>IF(C256="","",VLOOKUP(SEM!C256,FROTA!$B$5:$C$305,2,0))</f>
        <v/>
      </c>
      <c r="E256" s="24" t="str">
        <f>IF(C256="","",VLOOKUP(C256,FROTA!$B$5:$N$305,7,0))</f>
        <v/>
      </c>
      <c r="F256" s="38" t="str">
        <f t="shared" si="57"/>
        <v/>
      </c>
      <c r="G256" s="71" t="str">
        <f t="shared" si="62"/>
        <v/>
      </c>
      <c r="H256" s="32" t="str">
        <f t="shared" si="73"/>
        <v/>
      </c>
      <c r="I256" s="73" t="str">
        <f t="shared" si="73"/>
        <v/>
      </c>
      <c r="J256" s="73" t="str">
        <f t="shared" si="73"/>
        <v/>
      </c>
      <c r="K256" s="73" t="str">
        <f t="shared" si="75"/>
        <v/>
      </c>
      <c r="L256" s="73" t="str">
        <f t="shared" si="75"/>
        <v/>
      </c>
      <c r="M256" s="73" t="str">
        <f t="shared" si="75"/>
        <v/>
      </c>
      <c r="N256" s="73" t="str">
        <f t="shared" si="75"/>
        <v/>
      </c>
      <c r="O256" s="73" t="str">
        <f t="shared" si="75"/>
        <v/>
      </c>
      <c r="P256" s="73" t="str">
        <f t="shared" si="75"/>
        <v/>
      </c>
      <c r="Q256" s="73" t="str">
        <f t="shared" si="75"/>
        <v/>
      </c>
      <c r="R256" s="73" t="str">
        <f t="shared" si="76"/>
        <v/>
      </c>
      <c r="S256" s="73" t="str">
        <f t="shared" si="76"/>
        <v/>
      </c>
      <c r="T256" s="73" t="str">
        <f t="shared" si="76"/>
        <v/>
      </c>
      <c r="U256" s="73" t="str">
        <f t="shared" si="76"/>
        <v/>
      </c>
      <c r="V256" s="73" t="str">
        <f t="shared" si="76"/>
        <v/>
      </c>
      <c r="W256" s="73" t="str">
        <f t="shared" si="76"/>
        <v/>
      </c>
      <c r="X256" s="73" t="str">
        <f t="shared" si="76"/>
        <v/>
      </c>
      <c r="Y256" s="73" t="str">
        <f t="shared" si="76"/>
        <v/>
      </c>
      <c r="Z256" s="73" t="str">
        <f t="shared" si="76"/>
        <v/>
      </c>
      <c r="AA256" s="73" t="str">
        <f t="shared" si="76"/>
        <v/>
      </c>
      <c r="AB256" s="74" t="str">
        <f t="shared" si="76"/>
        <v/>
      </c>
      <c r="AC256" s="35" t="str">
        <f t="shared" si="64"/>
        <v/>
      </c>
      <c r="AD256" s="40" t="str">
        <f t="shared" si="65"/>
        <v/>
      </c>
      <c r="AE256" s="37" t="str">
        <f t="shared" si="66"/>
        <v/>
      </c>
      <c r="AF256" s="40" t="str">
        <f t="shared" si="67"/>
        <v/>
      </c>
      <c r="AG256" s="37" t="str">
        <f t="shared" si="68"/>
        <v/>
      </c>
      <c r="AH256" s="40" t="str">
        <f t="shared" si="69"/>
        <v/>
      </c>
      <c r="AI256" s="37" t="str">
        <f t="shared" si="70"/>
        <v/>
      </c>
      <c r="AJ256" s="40" t="str">
        <f t="shared" si="71"/>
        <v/>
      </c>
      <c r="AK256" s="33" t="str">
        <f>IF(SEM!AK256="","",SEM!AK256)</f>
        <v/>
      </c>
      <c r="AL256" s="6"/>
      <c r="AM256" s="79" t="str">
        <f t="shared" si="61"/>
        <v/>
      </c>
      <c r="AR256" s="5"/>
      <c r="AU256" s="198"/>
      <c r="AV256" s="198"/>
      <c r="AW256" s="198"/>
      <c r="AX256" s="198"/>
    </row>
    <row r="257" spans="2:50" ht="17.25" customHeight="1" x14ac:dyDescent="0.2">
      <c r="B257" s="6"/>
      <c r="C257" s="49" t="str">
        <f>IF(SEM!C257="","",SEM!C257)</f>
        <v/>
      </c>
      <c r="D257" s="220" t="str">
        <f>IF(C257="","",VLOOKUP(SEM!C257,FROTA!$B$5:$C$305,2,0))</f>
        <v/>
      </c>
      <c r="E257" s="24" t="str">
        <f>IF(C257="","",VLOOKUP(C257,FROTA!$B$5:$N$305,7,0))</f>
        <v/>
      </c>
      <c r="F257" s="38" t="str">
        <f t="shared" si="57"/>
        <v/>
      </c>
      <c r="G257" s="71" t="str">
        <f t="shared" si="62"/>
        <v/>
      </c>
      <c r="H257" s="32" t="str">
        <f t="shared" si="73"/>
        <v/>
      </c>
      <c r="I257" s="73" t="str">
        <f t="shared" si="73"/>
        <v/>
      </c>
      <c r="J257" s="73" t="str">
        <f t="shared" si="73"/>
        <v/>
      </c>
      <c r="K257" s="73" t="str">
        <f t="shared" si="75"/>
        <v/>
      </c>
      <c r="L257" s="73" t="str">
        <f t="shared" si="75"/>
        <v/>
      </c>
      <c r="M257" s="73" t="str">
        <f t="shared" si="75"/>
        <v/>
      </c>
      <c r="N257" s="73" t="str">
        <f t="shared" si="75"/>
        <v/>
      </c>
      <c r="O257" s="73" t="str">
        <f t="shared" si="75"/>
        <v/>
      </c>
      <c r="P257" s="73" t="str">
        <f t="shared" si="75"/>
        <v/>
      </c>
      <c r="Q257" s="73" t="str">
        <f t="shared" si="75"/>
        <v/>
      </c>
      <c r="R257" s="73" t="str">
        <f t="shared" si="76"/>
        <v/>
      </c>
      <c r="S257" s="73" t="str">
        <f t="shared" si="76"/>
        <v/>
      </c>
      <c r="T257" s="73" t="str">
        <f t="shared" si="76"/>
        <v/>
      </c>
      <c r="U257" s="73" t="str">
        <f t="shared" si="76"/>
        <v/>
      </c>
      <c r="V257" s="73" t="str">
        <f t="shared" si="76"/>
        <v/>
      </c>
      <c r="W257" s="73" t="str">
        <f t="shared" si="76"/>
        <v/>
      </c>
      <c r="X257" s="73" t="str">
        <f t="shared" si="76"/>
        <v/>
      </c>
      <c r="Y257" s="73" t="str">
        <f t="shared" si="76"/>
        <v/>
      </c>
      <c r="Z257" s="73" t="str">
        <f t="shared" si="76"/>
        <v/>
      </c>
      <c r="AA257" s="73" t="str">
        <f t="shared" si="76"/>
        <v/>
      </c>
      <c r="AB257" s="74" t="str">
        <f t="shared" si="76"/>
        <v/>
      </c>
      <c r="AC257" s="35" t="str">
        <f t="shared" si="64"/>
        <v/>
      </c>
      <c r="AD257" s="40" t="str">
        <f t="shared" si="65"/>
        <v/>
      </c>
      <c r="AE257" s="37" t="str">
        <f t="shared" si="66"/>
        <v/>
      </c>
      <c r="AF257" s="40" t="str">
        <f t="shared" si="67"/>
        <v/>
      </c>
      <c r="AG257" s="37" t="str">
        <f t="shared" si="68"/>
        <v/>
      </c>
      <c r="AH257" s="40" t="str">
        <f t="shared" si="69"/>
        <v/>
      </c>
      <c r="AI257" s="37" t="str">
        <f t="shared" si="70"/>
        <v/>
      </c>
      <c r="AJ257" s="40" t="str">
        <f t="shared" si="71"/>
        <v/>
      </c>
      <c r="AK257" s="33" t="str">
        <f>IF(SEM!AK257="","",SEM!AK257)</f>
        <v/>
      </c>
      <c r="AL257" s="6"/>
      <c r="AM257" s="79" t="str">
        <f t="shared" si="61"/>
        <v/>
      </c>
      <c r="AR257" s="5"/>
      <c r="AU257" s="198"/>
      <c r="AV257" s="198"/>
      <c r="AW257" s="198"/>
      <c r="AX257" s="198"/>
    </row>
    <row r="258" spans="2:50" ht="17.25" customHeight="1" x14ac:dyDescent="0.2">
      <c r="B258" s="6"/>
      <c r="C258" s="49" t="str">
        <f>IF(SEM!C258="","",SEM!C258)</f>
        <v/>
      </c>
      <c r="D258" s="220" t="str">
        <f>IF(C258="","",VLOOKUP(SEM!C258,FROTA!$B$5:$C$305,2,0))</f>
        <v/>
      </c>
      <c r="E258" s="24" t="str">
        <f>IF(C258="","",VLOOKUP(C258,FROTA!$B$5:$N$305,7,0))</f>
        <v/>
      </c>
      <c r="F258" s="38" t="str">
        <f t="shared" si="57"/>
        <v/>
      </c>
      <c r="G258" s="71" t="str">
        <f t="shared" si="62"/>
        <v/>
      </c>
      <c r="H258" s="32" t="str">
        <f t="shared" si="73"/>
        <v/>
      </c>
      <c r="I258" s="73" t="str">
        <f t="shared" si="73"/>
        <v/>
      </c>
      <c r="J258" s="73" t="str">
        <f t="shared" si="73"/>
        <v/>
      </c>
      <c r="K258" s="73" t="str">
        <f t="shared" si="75"/>
        <v/>
      </c>
      <c r="L258" s="73" t="str">
        <f t="shared" si="75"/>
        <v/>
      </c>
      <c r="M258" s="73" t="str">
        <f t="shared" si="75"/>
        <v/>
      </c>
      <c r="N258" s="73" t="str">
        <f t="shared" si="75"/>
        <v/>
      </c>
      <c r="O258" s="73" t="str">
        <f t="shared" si="75"/>
        <v/>
      </c>
      <c r="P258" s="73" t="str">
        <f t="shared" si="75"/>
        <v/>
      </c>
      <c r="Q258" s="73" t="str">
        <f t="shared" si="75"/>
        <v/>
      </c>
      <c r="R258" s="73" t="str">
        <f t="shared" si="76"/>
        <v/>
      </c>
      <c r="S258" s="73" t="str">
        <f t="shared" si="76"/>
        <v/>
      </c>
      <c r="T258" s="73" t="str">
        <f t="shared" si="76"/>
        <v/>
      </c>
      <c r="U258" s="73" t="str">
        <f t="shared" si="76"/>
        <v/>
      </c>
      <c r="V258" s="73" t="str">
        <f t="shared" si="76"/>
        <v/>
      </c>
      <c r="W258" s="73" t="str">
        <f t="shared" si="76"/>
        <v/>
      </c>
      <c r="X258" s="73" t="str">
        <f t="shared" si="76"/>
        <v/>
      </c>
      <c r="Y258" s="73" t="str">
        <f t="shared" si="76"/>
        <v/>
      </c>
      <c r="Z258" s="73" t="str">
        <f t="shared" si="76"/>
        <v/>
      </c>
      <c r="AA258" s="73" t="str">
        <f t="shared" si="76"/>
        <v/>
      </c>
      <c r="AB258" s="74" t="str">
        <f t="shared" si="76"/>
        <v/>
      </c>
      <c r="AC258" s="35" t="str">
        <f t="shared" si="64"/>
        <v/>
      </c>
      <c r="AD258" s="40" t="str">
        <f t="shared" si="65"/>
        <v/>
      </c>
      <c r="AE258" s="37" t="str">
        <f t="shared" si="66"/>
        <v/>
      </c>
      <c r="AF258" s="40" t="str">
        <f t="shared" si="67"/>
        <v/>
      </c>
      <c r="AG258" s="37" t="str">
        <f t="shared" si="68"/>
        <v/>
      </c>
      <c r="AH258" s="40" t="str">
        <f t="shared" si="69"/>
        <v/>
      </c>
      <c r="AI258" s="37" t="str">
        <f t="shared" si="70"/>
        <v/>
      </c>
      <c r="AJ258" s="40" t="str">
        <f t="shared" si="71"/>
        <v/>
      </c>
      <c r="AK258" s="33" t="str">
        <f>IF(SEM!AK258="","",SEM!AK258)</f>
        <v/>
      </c>
      <c r="AL258" s="6"/>
      <c r="AM258" s="79" t="str">
        <f t="shared" si="61"/>
        <v/>
      </c>
      <c r="AR258" s="5"/>
      <c r="AU258" s="198"/>
      <c r="AV258" s="198"/>
      <c r="AW258" s="198"/>
      <c r="AX258" s="198"/>
    </row>
    <row r="259" spans="2:50" ht="17.25" customHeight="1" x14ac:dyDescent="0.2">
      <c r="B259" s="6"/>
      <c r="C259" s="49" t="str">
        <f>IF(SEM!C259="","",SEM!C259)</f>
        <v/>
      </c>
      <c r="D259" s="220" t="str">
        <f>IF(C259="","",VLOOKUP(SEM!C259,FROTA!$B$5:$C$305,2,0))</f>
        <v/>
      </c>
      <c r="E259" s="24" t="str">
        <f>IF(C259="","",VLOOKUP(C259,FROTA!$B$5:$N$305,7,0))</f>
        <v/>
      </c>
      <c r="F259" s="38" t="str">
        <f t="shared" si="57"/>
        <v/>
      </c>
      <c r="G259" s="71" t="str">
        <f t="shared" si="62"/>
        <v/>
      </c>
      <c r="H259" s="32" t="str">
        <f t="shared" si="73"/>
        <v/>
      </c>
      <c r="I259" s="73" t="str">
        <f t="shared" si="73"/>
        <v/>
      </c>
      <c r="J259" s="73" t="str">
        <f t="shared" si="73"/>
        <v/>
      </c>
      <c r="K259" s="73" t="str">
        <f t="shared" si="75"/>
        <v/>
      </c>
      <c r="L259" s="73" t="str">
        <f t="shared" si="75"/>
        <v/>
      </c>
      <c r="M259" s="73" t="str">
        <f t="shared" si="75"/>
        <v/>
      </c>
      <c r="N259" s="73" t="str">
        <f t="shared" si="75"/>
        <v/>
      </c>
      <c r="O259" s="73" t="str">
        <f t="shared" si="75"/>
        <v/>
      </c>
      <c r="P259" s="73" t="str">
        <f t="shared" si="75"/>
        <v/>
      </c>
      <c r="Q259" s="73" t="str">
        <f t="shared" si="75"/>
        <v/>
      </c>
      <c r="R259" s="73" t="str">
        <f t="shared" si="76"/>
        <v/>
      </c>
      <c r="S259" s="73" t="str">
        <f t="shared" si="76"/>
        <v/>
      </c>
      <c r="T259" s="73" t="str">
        <f t="shared" si="76"/>
        <v/>
      </c>
      <c r="U259" s="73" t="str">
        <f t="shared" si="76"/>
        <v/>
      </c>
      <c r="V259" s="73" t="str">
        <f t="shared" si="76"/>
        <v/>
      </c>
      <c r="W259" s="73" t="str">
        <f t="shared" si="76"/>
        <v/>
      </c>
      <c r="X259" s="73" t="str">
        <f t="shared" si="76"/>
        <v/>
      </c>
      <c r="Y259" s="73" t="str">
        <f t="shared" si="76"/>
        <v/>
      </c>
      <c r="Z259" s="73" t="str">
        <f t="shared" si="76"/>
        <v/>
      </c>
      <c r="AA259" s="73" t="str">
        <f t="shared" si="76"/>
        <v/>
      </c>
      <c r="AB259" s="74" t="str">
        <f t="shared" si="76"/>
        <v/>
      </c>
      <c r="AC259" s="35" t="str">
        <f t="shared" si="64"/>
        <v/>
      </c>
      <c r="AD259" s="40" t="str">
        <f t="shared" si="65"/>
        <v/>
      </c>
      <c r="AE259" s="37" t="str">
        <f t="shared" si="66"/>
        <v/>
      </c>
      <c r="AF259" s="40" t="str">
        <f t="shared" si="67"/>
        <v/>
      </c>
      <c r="AG259" s="37" t="str">
        <f t="shared" si="68"/>
        <v/>
      </c>
      <c r="AH259" s="40" t="str">
        <f t="shared" si="69"/>
        <v/>
      </c>
      <c r="AI259" s="37" t="str">
        <f t="shared" si="70"/>
        <v/>
      </c>
      <c r="AJ259" s="40" t="str">
        <f t="shared" si="71"/>
        <v/>
      </c>
      <c r="AK259" s="33" t="str">
        <f>IF(SEM!AK259="","",SEM!AK259)</f>
        <v/>
      </c>
      <c r="AL259" s="6"/>
      <c r="AM259" s="79" t="str">
        <f t="shared" si="61"/>
        <v/>
      </c>
      <c r="AR259" s="5"/>
      <c r="AU259" s="198"/>
      <c r="AV259" s="198"/>
      <c r="AW259" s="198"/>
      <c r="AX259" s="198"/>
    </row>
    <row r="260" spans="2:50" ht="17.25" customHeight="1" x14ac:dyDescent="0.2">
      <c r="B260" s="6"/>
      <c r="C260" s="49" t="str">
        <f>IF(SEM!C260="","",SEM!C260)</f>
        <v/>
      </c>
      <c r="D260" s="220" t="str">
        <f>IF(C260="","",VLOOKUP(SEM!C260,FROTA!$B$5:$C$305,2,0))</f>
        <v/>
      </c>
      <c r="E260" s="24" t="str">
        <f>IF(C260="","",VLOOKUP(C260,FROTA!$B$5:$N$305,7,0))</f>
        <v/>
      </c>
      <c r="F260" s="38" t="str">
        <f t="shared" si="57"/>
        <v/>
      </c>
      <c r="G260" s="71" t="str">
        <f t="shared" si="62"/>
        <v/>
      </c>
      <c r="H260" s="32" t="str">
        <f t="shared" si="73"/>
        <v/>
      </c>
      <c r="I260" s="73" t="str">
        <f t="shared" si="73"/>
        <v/>
      </c>
      <c r="J260" s="73" t="str">
        <f t="shared" si="73"/>
        <v/>
      </c>
      <c r="K260" s="73" t="str">
        <f t="shared" si="75"/>
        <v/>
      </c>
      <c r="L260" s="73" t="str">
        <f t="shared" si="75"/>
        <v/>
      </c>
      <c r="M260" s="73" t="str">
        <f t="shared" si="75"/>
        <v/>
      </c>
      <c r="N260" s="73" t="str">
        <f t="shared" si="75"/>
        <v/>
      </c>
      <c r="O260" s="73" t="str">
        <f t="shared" si="75"/>
        <v/>
      </c>
      <c r="P260" s="73" t="str">
        <f t="shared" si="75"/>
        <v/>
      </c>
      <c r="Q260" s="73" t="str">
        <f t="shared" si="75"/>
        <v/>
      </c>
      <c r="R260" s="73" t="str">
        <f t="shared" si="76"/>
        <v/>
      </c>
      <c r="S260" s="73" t="str">
        <f t="shared" si="76"/>
        <v/>
      </c>
      <c r="T260" s="73" t="str">
        <f t="shared" si="76"/>
        <v/>
      </c>
      <c r="U260" s="73" t="str">
        <f t="shared" si="76"/>
        <v/>
      </c>
      <c r="V260" s="73" t="str">
        <f t="shared" si="76"/>
        <v/>
      </c>
      <c r="W260" s="73" t="str">
        <f t="shared" si="76"/>
        <v/>
      </c>
      <c r="X260" s="73" t="str">
        <f t="shared" si="76"/>
        <v/>
      </c>
      <c r="Y260" s="73" t="str">
        <f t="shared" si="76"/>
        <v/>
      </c>
      <c r="Z260" s="73" t="str">
        <f t="shared" si="76"/>
        <v/>
      </c>
      <c r="AA260" s="73" t="str">
        <f t="shared" si="76"/>
        <v/>
      </c>
      <c r="AB260" s="74" t="str">
        <f t="shared" si="76"/>
        <v/>
      </c>
      <c r="AC260" s="35" t="str">
        <f t="shared" si="64"/>
        <v/>
      </c>
      <c r="AD260" s="40" t="str">
        <f t="shared" si="65"/>
        <v/>
      </c>
      <c r="AE260" s="37" t="str">
        <f t="shared" si="66"/>
        <v/>
      </c>
      <c r="AF260" s="40" t="str">
        <f t="shared" si="67"/>
        <v/>
      </c>
      <c r="AG260" s="37" t="str">
        <f t="shared" si="68"/>
        <v/>
      </c>
      <c r="AH260" s="40" t="str">
        <f t="shared" si="69"/>
        <v/>
      </c>
      <c r="AI260" s="37" t="str">
        <f t="shared" si="70"/>
        <v/>
      </c>
      <c r="AJ260" s="40" t="str">
        <f t="shared" si="71"/>
        <v/>
      </c>
      <c r="AK260" s="33" t="str">
        <f>IF(SEM!AK260="","",SEM!AK260)</f>
        <v/>
      </c>
      <c r="AL260" s="6"/>
      <c r="AM260" s="79" t="str">
        <f t="shared" si="61"/>
        <v/>
      </c>
      <c r="AR260" s="5"/>
      <c r="AU260" s="198"/>
      <c r="AV260" s="198"/>
      <c r="AW260" s="198"/>
      <c r="AX260" s="198"/>
    </row>
    <row r="261" spans="2:50" ht="17.25" customHeight="1" x14ac:dyDescent="0.2">
      <c r="B261" s="6"/>
      <c r="C261" s="49" t="str">
        <f>IF(SEM!C261="","",SEM!C261)</f>
        <v/>
      </c>
      <c r="D261" s="220" t="str">
        <f>IF(C261="","",VLOOKUP(SEM!C261,FROTA!$B$5:$C$305,2,0))</f>
        <v/>
      </c>
      <c r="E261" s="24" t="str">
        <f>IF(C261="","",VLOOKUP(C261,FROTA!$B$5:$N$305,7,0))</f>
        <v/>
      </c>
      <c r="F261" s="38" t="str">
        <f t="shared" si="57"/>
        <v/>
      </c>
      <c r="G261" s="71" t="str">
        <f t="shared" si="62"/>
        <v/>
      </c>
      <c r="H261" s="32" t="str">
        <f t="shared" si="73"/>
        <v/>
      </c>
      <c r="I261" s="73" t="str">
        <f t="shared" si="73"/>
        <v/>
      </c>
      <c r="J261" s="73" t="str">
        <f t="shared" si="73"/>
        <v/>
      </c>
      <c r="K261" s="73" t="str">
        <f t="shared" si="75"/>
        <v/>
      </c>
      <c r="L261" s="73" t="str">
        <f t="shared" si="75"/>
        <v/>
      </c>
      <c r="M261" s="73" t="str">
        <f t="shared" si="75"/>
        <v/>
      </c>
      <c r="N261" s="73" t="str">
        <f t="shared" si="75"/>
        <v/>
      </c>
      <c r="O261" s="73" t="str">
        <f t="shared" si="75"/>
        <v/>
      </c>
      <c r="P261" s="73" t="str">
        <f t="shared" si="75"/>
        <v/>
      </c>
      <c r="Q261" s="73" t="str">
        <f t="shared" si="75"/>
        <v/>
      </c>
      <c r="R261" s="73" t="str">
        <f t="shared" si="76"/>
        <v/>
      </c>
      <c r="S261" s="73" t="str">
        <f t="shared" si="76"/>
        <v/>
      </c>
      <c r="T261" s="73" t="str">
        <f t="shared" si="76"/>
        <v/>
      </c>
      <c r="U261" s="73" t="str">
        <f t="shared" si="76"/>
        <v/>
      </c>
      <c r="V261" s="73" t="str">
        <f t="shared" si="76"/>
        <v/>
      </c>
      <c r="W261" s="73" t="str">
        <f t="shared" si="76"/>
        <v/>
      </c>
      <c r="X261" s="73" t="str">
        <f t="shared" si="76"/>
        <v/>
      </c>
      <c r="Y261" s="73" t="str">
        <f t="shared" si="76"/>
        <v/>
      </c>
      <c r="Z261" s="73" t="str">
        <f t="shared" si="76"/>
        <v/>
      </c>
      <c r="AA261" s="73" t="str">
        <f t="shared" si="76"/>
        <v/>
      </c>
      <c r="AB261" s="74" t="str">
        <f t="shared" si="76"/>
        <v/>
      </c>
      <c r="AC261" s="35" t="str">
        <f t="shared" si="64"/>
        <v/>
      </c>
      <c r="AD261" s="40" t="str">
        <f t="shared" si="65"/>
        <v/>
      </c>
      <c r="AE261" s="37" t="str">
        <f t="shared" si="66"/>
        <v/>
      </c>
      <c r="AF261" s="40" t="str">
        <f t="shared" si="67"/>
        <v/>
      </c>
      <c r="AG261" s="37" t="str">
        <f t="shared" si="68"/>
        <v/>
      </c>
      <c r="AH261" s="40" t="str">
        <f t="shared" si="69"/>
        <v/>
      </c>
      <c r="AI261" s="37" t="str">
        <f t="shared" si="70"/>
        <v/>
      </c>
      <c r="AJ261" s="40" t="str">
        <f t="shared" si="71"/>
        <v/>
      </c>
      <c r="AK261" s="33" t="str">
        <f>IF(SEM!AK261="","",SEM!AK261)</f>
        <v/>
      </c>
      <c r="AL261" s="6"/>
      <c r="AM261" s="79" t="str">
        <f t="shared" si="61"/>
        <v/>
      </c>
      <c r="AR261" s="5"/>
      <c r="AU261" s="198"/>
      <c r="AV261" s="198"/>
      <c r="AW261" s="198"/>
      <c r="AX261" s="198"/>
    </row>
    <row r="262" spans="2:50" ht="17.25" customHeight="1" x14ac:dyDescent="0.2">
      <c r="B262" s="6"/>
      <c r="C262" s="49" t="str">
        <f>IF(SEM!C262="","",SEM!C262)</f>
        <v/>
      </c>
      <c r="D262" s="220" t="str">
        <f>IF(C262="","",VLOOKUP(SEM!C262,FROTA!$B$5:$C$305,2,0))</f>
        <v/>
      </c>
      <c r="E262" s="24" t="str">
        <f>IF(C262="","",VLOOKUP(C262,FROTA!$B$5:$N$305,7,0))</f>
        <v/>
      </c>
      <c r="F262" s="38" t="str">
        <f t="shared" si="57"/>
        <v/>
      </c>
      <c r="G262" s="71" t="str">
        <f t="shared" si="62"/>
        <v/>
      </c>
      <c r="H262" s="32" t="str">
        <f t="shared" si="73"/>
        <v/>
      </c>
      <c r="I262" s="73" t="str">
        <f t="shared" si="73"/>
        <v/>
      </c>
      <c r="J262" s="73" t="str">
        <f t="shared" si="73"/>
        <v/>
      </c>
      <c r="K262" s="73" t="str">
        <f t="shared" si="75"/>
        <v/>
      </c>
      <c r="L262" s="73" t="str">
        <f t="shared" si="75"/>
        <v/>
      </c>
      <c r="M262" s="73" t="str">
        <f t="shared" si="75"/>
        <v/>
      </c>
      <c r="N262" s="73" t="str">
        <f t="shared" si="75"/>
        <v/>
      </c>
      <c r="O262" s="73" t="str">
        <f t="shared" si="75"/>
        <v/>
      </c>
      <c r="P262" s="73" t="str">
        <f t="shared" si="75"/>
        <v/>
      </c>
      <c r="Q262" s="73" t="str">
        <f t="shared" si="75"/>
        <v/>
      </c>
      <c r="R262" s="73" t="str">
        <f t="shared" si="76"/>
        <v/>
      </c>
      <c r="S262" s="73" t="str">
        <f t="shared" si="76"/>
        <v/>
      </c>
      <c r="T262" s="73" t="str">
        <f t="shared" si="76"/>
        <v/>
      </c>
      <c r="U262" s="73" t="str">
        <f t="shared" si="76"/>
        <v/>
      </c>
      <c r="V262" s="73" t="str">
        <f t="shared" si="76"/>
        <v/>
      </c>
      <c r="W262" s="73" t="str">
        <f t="shared" si="76"/>
        <v/>
      </c>
      <c r="X262" s="73" t="str">
        <f t="shared" si="76"/>
        <v/>
      </c>
      <c r="Y262" s="73" t="str">
        <f t="shared" si="76"/>
        <v/>
      </c>
      <c r="Z262" s="73" t="str">
        <f t="shared" si="76"/>
        <v/>
      </c>
      <c r="AA262" s="73" t="str">
        <f t="shared" si="76"/>
        <v/>
      </c>
      <c r="AB262" s="74" t="str">
        <f t="shared" si="76"/>
        <v/>
      </c>
      <c r="AC262" s="35" t="str">
        <f t="shared" si="64"/>
        <v/>
      </c>
      <c r="AD262" s="40" t="str">
        <f t="shared" si="65"/>
        <v/>
      </c>
      <c r="AE262" s="37" t="str">
        <f t="shared" si="66"/>
        <v/>
      </c>
      <c r="AF262" s="40" t="str">
        <f t="shared" si="67"/>
        <v/>
      </c>
      <c r="AG262" s="37" t="str">
        <f t="shared" si="68"/>
        <v/>
      </c>
      <c r="AH262" s="40" t="str">
        <f t="shared" si="69"/>
        <v/>
      </c>
      <c r="AI262" s="37" t="str">
        <f t="shared" si="70"/>
        <v/>
      </c>
      <c r="AJ262" s="40" t="str">
        <f t="shared" si="71"/>
        <v/>
      </c>
      <c r="AK262" s="33" t="str">
        <f>IF(SEM!AK262="","",SEM!AK262)</f>
        <v/>
      </c>
      <c r="AL262" s="6"/>
      <c r="AM262" s="79" t="str">
        <f t="shared" si="61"/>
        <v/>
      </c>
      <c r="AR262" s="5"/>
      <c r="AU262" s="198"/>
      <c r="AV262" s="198"/>
      <c r="AW262" s="198"/>
      <c r="AX262" s="198"/>
    </row>
    <row r="263" spans="2:50" ht="17.25" customHeight="1" x14ac:dyDescent="0.2">
      <c r="B263" s="6"/>
      <c r="C263" s="49" t="str">
        <f>IF(SEM!C263="","",SEM!C263)</f>
        <v/>
      </c>
      <c r="D263" s="220" t="str">
        <f>IF(C263="","",VLOOKUP(SEM!C263,FROTA!$B$5:$C$305,2,0))</f>
        <v/>
      </c>
      <c r="E263" s="24" t="str">
        <f>IF(C263="","",VLOOKUP(C263,FROTA!$B$5:$N$305,7,0))</f>
        <v/>
      </c>
      <c r="F263" s="38" t="str">
        <f t="shared" ref="F263:F305" si="77">IF(E263="","",VLOOKUP(E263,$AP$5:$AQ$18,2,0))</f>
        <v/>
      </c>
      <c r="G263" s="71" t="str">
        <f t="shared" si="62"/>
        <v/>
      </c>
      <c r="H263" s="32" t="str">
        <f t="shared" si="73"/>
        <v/>
      </c>
      <c r="I263" s="73" t="str">
        <f t="shared" si="73"/>
        <v/>
      </c>
      <c r="J263" s="73" t="str">
        <f t="shared" si="73"/>
        <v/>
      </c>
      <c r="K263" s="73" t="str">
        <f t="shared" si="75"/>
        <v/>
      </c>
      <c r="L263" s="73" t="str">
        <f t="shared" si="75"/>
        <v/>
      </c>
      <c r="M263" s="73" t="str">
        <f t="shared" si="75"/>
        <v/>
      </c>
      <c r="N263" s="73" t="str">
        <f t="shared" si="75"/>
        <v/>
      </c>
      <c r="O263" s="73" t="str">
        <f t="shared" si="75"/>
        <v/>
      </c>
      <c r="P263" s="73" t="str">
        <f t="shared" si="75"/>
        <v/>
      </c>
      <c r="Q263" s="73" t="str">
        <f t="shared" si="75"/>
        <v/>
      </c>
      <c r="R263" s="73" t="str">
        <f t="shared" si="76"/>
        <v/>
      </c>
      <c r="S263" s="73" t="str">
        <f t="shared" si="76"/>
        <v/>
      </c>
      <c r="T263" s="73" t="str">
        <f t="shared" si="76"/>
        <v/>
      </c>
      <c r="U263" s="73" t="str">
        <f t="shared" si="76"/>
        <v/>
      </c>
      <c r="V263" s="73" t="str">
        <f t="shared" si="76"/>
        <v/>
      </c>
      <c r="W263" s="73" t="str">
        <f t="shared" si="76"/>
        <v/>
      </c>
      <c r="X263" s="73" t="str">
        <f t="shared" si="76"/>
        <v/>
      </c>
      <c r="Y263" s="73" t="str">
        <f t="shared" si="76"/>
        <v/>
      </c>
      <c r="Z263" s="73" t="str">
        <f t="shared" si="76"/>
        <v/>
      </c>
      <c r="AA263" s="73" t="str">
        <f t="shared" si="76"/>
        <v/>
      </c>
      <c r="AB263" s="74" t="str">
        <f t="shared" si="76"/>
        <v/>
      </c>
      <c r="AC263" s="35" t="str">
        <f t="shared" si="64"/>
        <v/>
      </c>
      <c r="AD263" s="40" t="str">
        <f t="shared" si="65"/>
        <v/>
      </c>
      <c r="AE263" s="37" t="str">
        <f t="shared" si="66"/>
        <v/>
      </c>
      <c r="AF263" s="40" t="str">
        <f t="shared" si="67"/>
        <v/>
      </c>
      <c r="AG263" s="37" t="str">
        <f t="shared" si="68"/>
        <v/>
      </c>
      <c r="AH263" s="40" t="str">
        <f t="shared" si="69"/>
        <v/>
      </c>
      <c r="AI263" s="37" t="str">
        <f t="shared" si="70"/>
        <v/>
      </c>
      <c r="AJ263" s="40" t="str">
        <f t="shared" si="71"/>
        <v/>
      </c>
      <c r="AK263" s="33" t="str">
        <f>IF(SEM!AK263="","",SEM!AK263)</f>
        <v/>
      </c>
      <c r="AL263" s="6"/>
      <c r="AM263" s="79" t="str">
        <f t="shared" ref="AM263:AM305" si="78">IF(C263="","",SUM(H263:AB263))</f>
        <v/>
      </c>
      <c r="AR263" s="5"/>
      <c r="AU263" s="198"/>
      <c r="AV263" s="198"/>
      <c r="AW263" s="198"/>
      <c r="AX263" s="198"/>
    </row>
    <row r="264" spans="2:50" ht="17.25" customHeight="1" x14ac:dyDescent="0.2">
      <c r="B264" s="6"/>
      <c r="C264" s="49" t="str">
        <f>IF(SEM!C264="","",SEM!C264)</f>
        <v/>
      </c>
      <c r="D264" s="220" t="str">
        <f>IF(C264="","",VLOOKUP(SEM!C264,FROTA!$B$5:$C$305,2,0))</f>
        <v/>
      </c>
      <c r="E264" s="24" t="str">
        <f>IF(C264="","",VLOOKUP(C264,FROTA!$B$5:$N$305,7,0))</f>
        <v/>
      </c>
      <c r="F264" s="38" t="str">
        <f t="shared" si="77"/>
        <v/>
      </c>
      <c r="G264" s="71" t="str">
        <f t="shared" si="62"/>
        <v/>
      </c>
      <c r="H264" s="32" t="str">
        <f t="shared" si="73"/>
        <v/>
      </c>
      <c r="I264" s="73" t="str">
        <f t="shared" si="73"/>
        <v/>
      </c>
      <c r="J264" s="73" t="str">
        <f t="shared" si="73"/>
        <v/>
      </c>
      <c r="K264" s="73" t="str">
        <f t="shared" si="75"/>
        <v/>
      </c>
      <c r="L264" s="73" t="str">
        <f t="shared" si="75"/>
        <v/>
      </c>
      <c r="M264" s="73" t="str">
        <f t="shared" si="75"/>
        <v/>
      </c>
      <c r="N264" s="73" t="str">
        <f t="shared" si="75"/>
        <v/>
      </c>
      <c r="O264" s="73" t="str">
        <f t="shared" si="75"/>
        <v/>
      </c>
      <c r="P264" s="73" t="str">
        <f t="shared" si="75"/>
        <v/>
      </c>
      <c r="Q264" s="73" t="str">
        <f t="shared" si="75"/>
        <v/>
      </c>
      <c r="R264" s="73" t="str">
        <f t="shared" si="76"/>
        <v/>
      </c>
      <c r="S264" s="73" t="str">
        <f t="shared" si="76"/>
        <v/>
      </c>
      <c r="T264" s="73" t="str">
        <f t="shared" si="76"/>
        <v/>
      </c>
      <c r="U264" s="73" t="str">
        <f t="shared" si="76"/>
        <v/>
      </c>
      <c r="V264" s="73" t="str">
        <f t="shared" si="76"/>
        <v/>
      </c>
      <c r="W264" s="73" t="str">
        <f t="shared" si="76"/>
        <v/>
      </c>
      <c r="X264" s="73" t="str">
        <f t="shared" si="76"/>
        <v/>
      </c>
      <c r="Y264" s="73" t="str">
        <f t="shared" si="76"/>
        <v/>
      </c>
      <c r="Z264" s="73" t="str">
        <f t="shared" si="76"/>
        <v/>
      </c>
      <c r="AA264" s="73" t="str">
        <f t="shared" si="76"/>
        <v/>
      </c>
      <c r="AB264" s="74" t="str">
        <f t="shared" si="76"/>
        <v/>
      </c>
      <c r="AC264" s="35" t="str">
        <f t="shared" si="64"/>
        <v/>
      </c>
      <c r="AD264" s="40" t="str">
        <f t="shared" si="65"/>
        <v/>
      </c>
      <c r="AE264" s="37" t="str">
        <f t="shared" si="66"/>
        <v/>
      </c>
      <c r="AF264" s="40" t="str">
        <f t="shared" si="67"/>
        <v/>
      </c>
      <c r="AG264" s="37" t="str">
        <f t="shared" si="68"/>
        <v/>
      </c>
      <c r="AH264" s="40" t="str">
        <f t="shared" si="69"/>
        <v/>
      </c>
      <c r="AI264" s="37" t="str">
        <f t="shared" si="70"/>
        <v/>
      </c>
      <c r="AJ264" s="40" t="str">
        <f t="shared" si="71"/>
        <v/>
      </c>
      <c r="AK264" s="33" t="str">
        <f>IF(SEM!AK264="","",SEM!AK264)</f>
        <v/>
      </c>
      <c r="AL264" s="6"/>
      <c r="AM264" s="79" t="str">
        <f t="shared" si="78"/>
        <v/>
      </c>
      <c r="AR264" s="5"/>
      <c r="AU264" s="198"/>
      <c r="AV264" s="198"/>
      <c r="AW264" s="198"/>
      <c r="AX264" s="198"/>
    </row>
    <row r="265" spans="2:50" ht="17.25" customHeight="1" x14ac:dyDescent="0.2">
      <c r="B265" s="6"/>
      <c r="C265" s="49" t="str">
        <f>IF(SEM!C265="","",SEM!C265)</f>
        <v/>
      </c>
      <c r="D265" s="220" t="str">
        <f>IF(C265="","",VLOOKUP(SEM!C265,FROTA!$B$5:$C$305,2,0))</f>
        <v/>
      </c>
      <c r="E265" s="24" t="str">
        <f>IF(C265="","",VLOOKUP(C265,FROTA!$B$5:$N$305,7,0))</f>
        <v/>
      </c>
      <c r="F265" s="38" t="str">
        <f t="shared" si="77"/>
        <v/>
      </c>
      <c r="G265" s="71" t="str">
        <f t="shared" ref="G265:G305" si="79">IF(C265="","",F265/$F$307)</f>
        <v/>
      </c>
      <c r="H265" s="32" t="str">
        <f t="shared" si="73"/>
        <v/>
      </c>
      <c r="I265" s="73" t="str">
        <f t="shared" si="73"/>
        <v/>
      </c>
      <c r="J265" s="73" t="str">
        <f t="shared" si="73"/>
        <v/>
      </c>
      <c r="K265" s="73" t="str">
        <f t="shared" si="75"/>
        <v/>
      </c>
      <c r="L265" s="73" t="str">
        <f t="shared" si="75"/>
        <v/>
      </c>
      <c r="M265" s="73" t="str">
        <f t="shared" si="75"/>
        <v/>
      </c>
      <c r="N265" s="73" t="str">
        <f t="shared" si="75"/>
        <v/>
      </c>
      <c r="O265" s="73" t="str">
        <f t="shared" si="75"/>
        <v/>
      </c>
      <c r="P265" s="73" t="str">
        <f t="shared" si="75"/>
        <v/>
      </c>
      <c r="Q265" s="73" t="str">
        <f t="shared" si="75"/>
        <v/>
      </c>
      <c r="R265" s="73" t="str">
        <f t="shared" si="76"/>
        <v/>
      </c>
      <c r="S265" s="73" t="str">
        <f t="shared" si="76"/>
        <v/>
      </c>
      <c r="T265" s="73" t="str">
        <f t="shared" si="76"/>
        <v/>
      </c>
      <c r="U265" s="73" t="str">
        <f t="shared" si="76"/>
        <v/>
      </c>
      <c r="V265" s="73" t="str">
        <f t="shared" si="76"/>
        <v/>
      </c>
      <c r="W265" s="73" t="str">
        <f t="shared" si="76"/>
        <v/>
      </c>
      <c r="X265" s="73" t="str">
        <f t="shared" si="76"/>
        <v/>
      </c>
      <c r="Y265" s="73" t="str">
        <f t="shared" si="76"/>
        <v/>
      </c>
      <c r="Z265" s="73" t="str">
        <f t="shared" si="76"/>
        <v/>
      </c>
      <c r="AA265" s="73" t="str">
        <f t="shared" si="76"/>
        <v/>
      </c>
      <c r="AB265" s="74" t="str">
        <f t="shared" si="76"/>
        <v/>
      </c>
      <c r="AC265" s="35" t="str">
        <f t="shared" si="64"/>
        <v/>
      </c>
      <c r="AD265" s="40" t="str">
        <f t="shared" si="65"/>
        <v/>
      </c>
      <c r="AE265" s="37" t="str">
        <f t="shared" si="66"/>
        <v/>
      </c>
      <c r="AF265" s="40" t="str">
        <f t="shared" si="67"/>
        <v/>
      </c>
      <c r="AG265" s="37" t="str">
        <f t="shared" si="68"/>
        <v/>
      </c>
      <c r="AH265" s="40" t="str">
        <f t="shared" si="69"/>
        <v/>
      </c>
      <c r="AI265" s="37" t="str">
        <f t="shared" si="70"/>
        <v/>
      </c>
      <c r="AJ265" s="40" t="str">
        <f t="shared" si="71"/>
        <v/>
      </c>
      <c r="AK265" s="33" t="str">
        <f>IF(SEM!AK265="","",SEM!AK265)</f>
        <v/>
      </c>
      <c r="AL265" s="6"/>
      <c r="AM265" s="79" t="str">
        <f t="shared" si="78"/>
        <v/>
      </c>
      <c r="AR265" s="5"/>
      <c r="AU265" s="198"/>
      <c r="AV265" s="198"/>
      <c r="AW265" s="198"/>
      <c r="AX265" s="198"/>
    </row>
    <row r="266" spans="2:50" ht="17.25" customHeight="1" x14ac:dyDescent="0.2">
      <c r="B266" s="6"/>
      <c r="C266" s="49" t="str">
        <f>IF(SEM!C266="","",SEM!C266)</f>
        <v/>
      </c>
      <c r="D266" s="220" t="str">
        <f>IF(C266="","",VLOOKUP(SEM!C266,FROTA!$B$5:$C$305,2,0))</f>
        <v/>
      </c>
      <c r="E266" s="24" t="str">
        <f>IF(C266="","",VLOOKUP(C266,FROTA!$B$5:$N$305,7,0))</f>
        <v/>
      </c>
      <c r="F266" s="38" t="str">
        <f t="shared" si="77"/>
        <v/>
      </c>
      <c r="G266" s="71" t="str">
        <f t="shared" si="79"/>
        <v/>
      </c>
      <c r="H266" s="32" t="str">
        <f t="shared" si="73"/>
        <v/>
      </c>
      <c r="I266" s="73" t="str">
        <f t="shared" si="73"/>
        <v/>
      </c>
      <c r="J266" s="73" t="str">
        <f t="shared" si="73"/>
        <v/>
      </c>
      <c r="K266" s="73" t="str">
        <f t="shared" si="75"/>
        <v/>
      </c>
      <c r="L266" s="73" t="str">
        <f t="shared" si="75"/>
        <v/>
      </c>
      <c r="M266" s="73" t="str">
        <f t="shared" si="75"/>
        <v/>
      </c>
      <c r="N266" s="73" t="str">
        <f t="shared" si="75"/>
        <v/>
      </c>
      <c r="O266" s="73" t="str">
        <f t="shared" si="75"/>
        <v/>
      </c>
      <c r="P266" s="73" t="str">
        <f t="shared" si="75"/>
        <v/>
      </c>
      <c r="Q266" s="73" t="str">
        <f t="shared" si="75"/>
        <v/>
      </c>
      <c r="R266" s="73" t="str">
        <f t="shared" si="76"/>
        <v/>
      </c>
      <c r="S266" s="73" t="str">
        <f t="shared" si="76"/>
        <v/>
      </c>
      <c r="T266" s="73" t="str">
        <f t="shared" si="76"/>
        <v/>
      </c>
      <c r="U266" s="73" t="str">
        <f t="shared" si="76"/>
        <v/>
      </c>
      <c r="V266" s="73" t="str">
        <f t="shared" si="76"/>
        <v/>
      </c>
      <c r="W266" s="73" t="str">
        <f t="shared" si="76"/>
        <v/>
      </c>
      <c r="X266" s="73" t="str">
        <f t="shared" si="76"/>
        <v/>
      </c>
      <c r="Y266" s="73" t="str">
        <f t="shared" si="76"/>
        <v/>
      </c>
      <c r="Z266" s="73" t="str">
        <f t="shared" si="76"/>
        <v/>
      </c>
      <c r="AA266" s="73" t="str">
        <f t="shared" si="76"/>
        <v/>
      </c>
      <c r="AB266" s="74" t="str">
        <f t="shared" si="76"/>
        <v/>
      </c>
      <c r="AC266" s="35" t="str">
        <f t="shared" si="64"/>
        <v/>
      </c>
      <c r="AD266" s="40" t="str">
        <f t="shared" si="65"/>
        <v/>
      </c>
      <c r="AE266" s="37" t="str">
        <f t="shared" si="66"/>
        <v/>
      </c>
      <c r="AF266" s="40" t="str">
        <f t="shared" si="67"/>
        <v/>
      </c>
      <c r="AG266" s="37" t="str">
        <f t="shared" si="68"/>
        <v/>
      </c>
      <c r="AH266" s="40" t="str">
        <f t="shared" si="69"/>
        <v/>
      </c>
      <c r="AI266" s="37" t="str">
        <f t="shared" si="70"/>
        <v/>
      </c>
      <c r="AJ266" s="40" t="str">
        <f t="shared" si="71"/>
        <v/>
      </c>
      <c r="AK266" s="33" t="str">
        <f>IF(SEM!AK266="","",SEM!AK266)</f>
        <v/>
      </c>
      <c r="AL266" s="6"/>
      <c r="AM266" s="79" t="str">
        <f t="shared" si="78"/>
        <v/>
      </c>
      <c r="AR266" s="5"/>
      <c r="AU266" s="198"/>
      <c r="AV266" s="198"/>
      <c r="AW266" s="198"/>
      <c r="AX266" s="198"/>
    </row>
    <row r="267" spans="2:50" ht="17.25" customHeight="1" x14ac:dyDescent="0.2">
      <c r="B267" s="6"/>
      <c r="C267" s="49" t="str">
        <f>IF(SEM!C267="","",SEM!C267)</f>
        <v/>
      </c>
      <c r="D267" s="220" t="str">
        <f>IF(C267="","",VLOOKUP(SEM!C267,FROTA!$B$5:$C$305,2,0))</f>
        <v/>
      </c>
      <c r="E267" s="24" t="str">
        <f>IF(C267="","",VLOOKUP(C267,FROTA!$B$5:$N$305,7,0))</f>
        <v/>
      </c>
      <c r="F267" s="38" t="str">
        <f t="shared" si="77"/>
        <v/>
      </c>
      <c r="G267" s="71" t="str">
        <f t="shared" si="79"/>
        <v/>
      </c>
      <c r="H267" s="32" t="str">
        <f t="shared" si="73"/>
        <v/>
      </c>
      <c r="I267" s="73" t="str">
        <f t="shared" si="73"/>
        <v/>
      </c>
      <c r="J267" s="73" t="str">
        <f t="shared" si="73"/>
        <v/>
      </c>
      <c r="K267" s="73" t="str">
        <f t="shared" si="75"/>
        <v/>
      </c>
      <c r="L267" s="73" t="str">
        <f t="shared" si="75"/>
        <v/>
      </c>
      <c r="M267" s="73" t="str">
        <f t="shared" si="75"/>
        <v/>
      </c>
      <c r="N267" s="73" t="str">
        <f t="shared" si="75"/>
        <v/>
      </c>
      <c r="O267" s="73" t="str">
        <f t="shared" si="75"/>
        <v/>
      </c>
      <c r="P267" s="73" t="str">
        <f t="shared" si="75"/>
        <v/>
      </c>
      <c r="Q267" s="73" t="str">
        <f t="shared" si="75"/>
        <v/>
      </c>
      <c r="R267" s="73" t="str">
        <f t="shared" si="76"/>
        <v/>
      </c>
      <c r="S267" s="73" t="str">
        <f t="shared" si="76"/>
        <v/>
      </c>
      <c r="T267" s="73" t="str">
        <f t="shared" si="76"/>
        <v/>
      </c>
      <c r="U267" s="73" t="str">
        <f t="shared" si="76"/>
        <v/>
      </c>
      <c r="V267" s="73" t="str">
        <f t="shared" si="76"/>
        <v/>
      </c>
      <c r="W267" s="73" t="str">
        <f t="shared" si="76"/>
        <v/>
      </c>
      <c r="X267" s="73" t="str">
        <f t="shared" si="76"/>
        <v/>
      </c>
      <c r="Y267" s="73" t="str">
        <f t="shared" si="76"/>
        <v/>
      </c>
      <c r="Z267" s="73" t="str">
        <f t="shared" si="76"/>
        <v/>
      </c>
      <c r="AA267" s="73" t="str">
        <f t="shared" si="76"/>
        <v/>
      </c>
      <c r="AB267" s="74" t="str">
        <f t="shared" si="76"/>
        <v/>
      </c>
      <c r="AC267" s="35" t="str">
        <f t="shared" si="64"/>
        <v/>
      </c>
      <c r="AD267" s="40" t="str">
        <f t="shared" si="65"/>
        <v/>
      </c>
      <c r="AE267" s="37" t="str">
        <f t="shared" si="66"/>
        <v/>
      </c>
      <c r="AF267" s="40" t="str">
        <f t="shared" si="67"/>
        <v/>
      </c>
      <c r="AG267" s="37" t="str">
        <f t="shared" si="68"/>
        <v/>
      </c>
      <c r="AH267" s="40" t="str">
        <f t="shared" si="69"/>
        <v/>
      </c>
      <c r="AI267" s="37" t="str">
        <f t="shared" si="70"/>
        <v/>
      </c>
      <c r="AJ267" s="40" t="str">
        <f t="shared" si="71"/>
        <v/>
      </c>
      <c r="AK267" s="33" t="str">
        <f>IF(SEM!AK267="","",SEM!AK267)</f>
        <v/>
      </c>
      <c r="AL267" s="6"/>
      <c r="AM267" s="79" t="str">
        <f t="shared" si="78"/>
        <v/>
      </c>
      <c r="AR267" s="5"/>
      <c r="AU267" s="198"/>
      <c r="AV267" s="198"/>
      <c r="AW267" s="198"/>
      <c r="AX267" s="198"/>
    </row>
    <row r="268" spans="2:50" ht="17.25" customHeight="1" x14ac:dyDescent="0.2">
      <c r="B268" s="6"/>
      <c r="C268" s="49" t="str">
        <f>IF(SEM!C268="","",SEM!C268)</f>
        <v/>
      </c>
      <c r="D268" s="220" t="str">
        <f>IF(C268="","",VLOOKUP(SEM!C268,FROTA!$B$5:$C$305,2,0))</f>
        <v/>
      </c>
      <c r="E268" s="24" t="str">
        <f>IF(C268="","",VLOOKUP(C268,FROTA!$B$5:$N$305,7,0))</f>
        <v/>
      </c>
      <c r="F268" s="38" t="str">
        <f t="shared" si="77"/>
        <v/>
      </c>
      <c r="G268" s="71" t="str">
        <f t="shared" si="79"/>
        <v/>
      </c>
      <c r="H268" s="32" t="str">
        <f t="shared" si="73"/>
        <v/>
      </c>
      <c r="I268" s="73" t="str">
        <f t="shared" si="73"/>
        <v/>
      </c>
      <c r="J268" s="73" t="str">
        <f t="shared" si="73"/>
        <v/>
      </c>
      <c r="K268" s="73" t="str">
        <f t="shared" si="75"/>
        <v/>
      </c>
      <c r="L268" s="73" t="str">
        <f t="shared" si="75"/>
        <v/>
      </c>
      <c r="M268" s="73" t="str">
        <f t="shared" si="75"/>
        <v/>
      </c>
      <c r="N268" s="73" t="str">
        <f t="shared" si="75"/>
        <v/>
      </c>
      <c r="O268" s="73" t="str">
        <f t="shared" si="75"/>
        <v/>
      </c>
      <c r="P268" s="73" t="str">
        <f t="shared" si="75"/>
        <v/>
      </c>
      <c r="Q268" s="73" t="str">
        <f t="shared" si="75"/>
        <v/>
      </c>
      <c r="R268" s="73" t="str">
        <f t="shared" si="76"/>
        <v/>
      </c>
      <c r="S268" s="73" t="str">
        <f t="shared" si="76"/>
        <v/>
      </c>
      <c r="T268" s="73" t="str">
        <f t="shared" si="76"/>
        <v/>
      </c>
      <c r="U268" s="73" t="str">
        <f t="shared" si="76"/>
        <v/>
      </c>
      <c r="V268" s="73" t="str">
        <f t="shared" si="76"/>
        <v/>
      </c>
      <c r="W268" s="73" t="str">
        <f t="shared" si="76"/>
        <v/>
      </c>
      <c r="X268" s="73" t="str">
        <f t="shared" si="76"/>
        <v/>
      </c>
      <c r="Y268" s="73" t="str">
        <f t="shared" si="76"/>
        <v/>
      </c>
      <c r="Z268" s="73" t="str">
        <f t="shared" si="76"/>
        <v/>
      </c>
      <c r="AA268" s="73" t="str">
        <f t="shared" si="76"/>
        <v/>
      </c>
      <c r="AB268" s="74" t="str">
        <f t="shared" si="76"/>
        <v/>
      </c>
      <c r="AC268" s="35" t="str">
        <f t="shared" si="64"/>
        <v/>
      </c>
      <c r="AD268" s="40" t="str">
        <f t="shared" si="65"/>
        <v/>
      </c>
      <c r="AE268" s="37" t="str">
        <f t="shared" si="66"/>
        <v/>
      </c>
      <c r="AF268" s="40" t="str">
        <f t="shared" si="67"/>
        <v/>
      </c>
      <c r="AG268" s="37" t="str">
        <f t="shared" si="68"/>
        <v/>
      </c>
      <c r="AH268" s="40" t="str">
        <f t="shared" si="69"/>
        <v/>
      </c>
      <c r="AI268" s="37" t="str">
        <f t="shared" si="70"/>
        <v/>
      </c>
      <c r="AJ268" s="40" t="str">
        <f t="shared" si="71"/>
        <v/>
      </c>
      <c r="AK268" s="33" t="str">
        <f>IF(SEM!AK268="","",SEM!AK268)</f>
        <v/>
      </c>
      <c r="AL268" s="6"/>
      <c r="AM268" s="79" t="str">
        <f t="shared" si="78"/>
        <v/>
      </c>
      <c r="AR268" s="5"/>
      <c r="AU268" s="198"/>
      <c r="AV268" s="198"/>
      <c r="AW268" s="198"/>
      <c r="AX268" s="198"/>
    </row>
    <row r="269" spans="2:50" ht="17.25" customHeight="1" x14ac:dyDescent="0.2">
      <c r="B269" s="6"/>
      <c r="C269" s="49" t="str">
        <f>IF(SEM!C269="","",SEM!C269)</f>
        <v/>
      </c>
      <c r="D269" s="220" t="str">
        <f>IF(C269="","",VLOOKUP(SEM!C269,FROTA!$B$5:$C$305,2,0))</f>
        <v/>
      </c>
      <c r="E269" s="24" t="str">
        <f>IF(C269="","",VLOOKUP(C269,FROTA!$B$5:$N$305,7,0))</f>
        <v/>
      </c>
      <c r="F269" s="38" t="str">
        <f t="shared" si="77"/>
        <v/>
      </c>
      <c r="G269" s="71" t="str">
        <f t="shared" si="79"/>
        <v/>
      </c>
      <c r="H269" s="32" t="str">
        <f t="shared" si="73"/>
        <v/>
      </c>
      <c r="I269" s="73" t="str">
        <f t="shared" si="73"/>
        <v/>
      </c>
      <c r="J269" s="73" t="str">
        <f t="shared" si="73"/>
        <v/>
      </c>
      <c r="K269" s="73" t="str">
        <f t="shared" si="75"/>
        <v/>
      </c>
      <c r="L269" s="73" t="str">
        <f t="shared" si="75"/>
        <v/>
      </c>
      <c r="M269" s="73" t="str">
        <f t="shared" si="75"/>
        <v/>
      </c>
      <c r="N269" s="73" t="str">
        <f t="shared" si="75"/>
        <v/>
      </c>
      <c r="O269" s="73" t="str">
        <f t="shared" si="75"/>
        <v/>
      </c>
      <c r="P269" s="73" t="str">
        <f t="shared" si="75"/>
        <v/>
      </c>
      <c r="Q269" s="73" t="str">
        <f t="shared" si="75"/>
        <v/>
      </c>
      <c r="R269" s="73" t="str">
        <f t="shared" si="76"/>
        <v/>
      </c>
      <c r="S269" s="73" t="str">
        <f t="shared" si="76"/>
        <v/>
      </c>
      <c r="T269" s="73" t="str">
        <f t="shared" si="76"/>
        <v/>
      </c>
      <c r="U269" s="73" t="str">
        <f t="shared" si="76"/>
        <v/>
      </c>
      <c r="V269" s="73" t="str">
        <f t="shared" si="76"/>
        <v/>
      </c>
      <c r="W269" s="73" t="str">
        <f t="shared" si="76"/>
        <v/>
      </c>
      <c r="X269" s="73" t="str">
        <f t="shared" si="76"/>
        <v/>
      </c>
      <c r="Y269" s="73" t="str">
        <f t="shared" si="76"/>
        <v/>
      </c>
      <c r="Z269" s="73" t="str">
        <f t="shared" si="76"/>
        <v/>
      </c>
      <c r="AA269" s="73" t="str">
        <f t="shared" si="76"/>
        <v/>
      </c>
      <c r="AB269" s="74" t="str">
        <f t="shared" si="76"/>
        <v/>
      </c>
      <c r="AC269" s="35" t="str">
        <f t="shared" ref="AC269:AC305" si="80">IF(C269="","",SUM(H269:AB269)*AK269)</f>
        <v/>
      </c>
      <c r="AD269" s="40" t="str">
        <f t="shared" ref="AD269:AD305" si="81">IF(C269="","",SUM(H269:AB269))</f>
        <v/>
      </c>
      <c r="AE269" s="37" t="str">
        <f t="shared" ref="AE269:AE305" si="82">IF(C269="","",SUM(H269:R269)*AK269)</f>
        <v/>
      </c>
      <c r="AF269" s="40" t="str">
        <f t="shared" ref="AF269:AF305" si="83">IF(C269="","",SUM(H269:Q269))</f>
        <v/>
      </c>
      <c r="AG269" s="37" t="str">
        <f t="shared" ref="AG269:AG305" si="84">IF(C269="","",SUM(R269:AB269)*AK269)</f>
        <v/>
      </c>
      <c r="AH269" s="40" t="str">
        <f t="shared" ref="AH269:AH305" si="85">IF(C269="","",SUM(R269:AB269))</f>
        <v/>
      </c>
      <c r="AI269" s="37" t="str">
        <f t="shared" ref="AI269:AI305" si="86">IF(C269="","",SUM(J269:M269,T269:W269)*AK269)</f>
        <v/>
      </c>
      <c r="AJ269" s="40" t="str">
        <f t="shared" ref="AJ269:AJ305" si="87">IF(C269="","",SUM(J269:M269,T269:W269))</f>
        <v/>
      </c>
      <c r="AK269" s="33" t="str">
        <f>IF(SEM!AK269="","",SEM!AK269)</f>
        <v/>
      </c>
      <c r="AL269" s="6"/>
      <c r="AM269" s="79" t="str">
        <f t="shared" si="78"/>
        <v/>
      </c>
      <c r="AR269" s="5"/>
      <c r="AU269" s="198"/>
      <c r="AV269" s="198"/>
      <c r="AW269" s="198"/>
      <c r="AX269" s="198"/>
    </row>
    <row r="270" spans="2:50" ht="17.25" customHeight="1" x14ac:dyDescent="0.2">
      <c r="B270" s="6"/>
      <c r="C270" s="49" t="str">
        <f>IF(SEM!C270="","",SEM!C270)</f>
        <v/>
      </c>
      <c r="D270" s="220" t="str">
        <f>IF(C270="","",VLOOKUP(SEM!C270,FROTA!$B$5:$C$305,2,0))</f>
        <v/>
      </c>
      <c r="E270" s="24" t="str">
        <f>IF(C270="","",VLOOKUP(C270,FROTA!$B$5:$N$305,7,0))</f>
        <v/>
      </c>
      <c r="F270" s="38" t="str">
        <f t="shared" si="77"/>
        <v/>
      </c>
      <c r="G270" s="71" t="str">
        <f t="shared" si="79"/>
        <v/>
      </c>
      <c r="H270" s="32" t="str">
        <f t="shared" si="73"/>
        <v/>
      </c>
      <c r="I270" s="73" t="str">
        <f t="shared" si="73"/>
        <v/>
      </c>
      <c r="J270" s="73" t="str">
        <f t="shared" si="73"/>
        <v/>
      </c>
      <c r="K270" s="73" t="str">
        <f t="shared" si="75"/>
        <v/>
      </c>
      <c r="L270" s="73" t="str">
        <f t="shared" si="75"/>
        <v/>
      </c>
      <c r="M270" s="73" t="str">
        <f t="shared" si="75"/>
        <v/>
      </c>
      <c r="N270" s="73" t="str">
        <f t="shared" si="75"/>
        <v/>
      </c>
      <c r="O270" s="73" t="str">
        <f t="shared" si="75"/>
        <v/>
      </c>
      <c r="P270" s="73" t="str">
        <f t="shared" si="75"/>
        <v/>
      </c>
      <c r="Q270" s="73" t="str">
        <f t="shared" si="75"/>
        <v/>
      </c>
      <c r="R270" s="73" t="str">
        <f t="shared" si="76"/>
        <v/>
      </c>
      <c r="S270" s="73" t="str">
        <f t="shared" si="76"/>
        <v/>
      </c>
      <c r="T270" s="73" t="str">
        <f t="shared" si="76"/>
        <v/>
      </c>
      <c r="U270" s="73" t="str">
        <f t="shared" si="76"/>
        <v/>
      </c>
      <c r="V270" s="73" t="str">
        <f t="shared" si="76"/>
        <v/>
      </c>
      <c r="W270" s="73" t="str">
        <f t="shared" si="76"/>
        <v/>
      </c>
      <c r="X270" s="73" t="str">
        <f t="shared" si="76"/>
        <v/>
      </c>
      <c r="Y270" s="73" t="str">
        <f t="shared" si="76"/>
        <v/>
      </c>
      <c r="Z270" s="73" t="str">
        <f t="shared" si="76"/>
        <v/>
      </c>
      <c r="AA270" s="73" t="str">
        <f t="shared" si="76"/>
        <v/>
      </c>
      <c r="AB270" s="74" t="str">
        <f t="shared" si="76"/>
        <v/>
      </c>
      <c r="AC270" s="35" t="str">
        <f t="shared" si="80"/>
        <v/>
      </c>
      <c r="AD270" s="40" t="str">
        <f t="shared" si="81"/>
        <v/>
      </c>
      <c r="AE270" s="37" t="str">
        <f t="shared" si="82"/>
        <v/>
      </c>
      <c r="AF270" s="40" t="str">
        <f t="shared" si="83"/>
        <v/>
      </c>
      <c r="AG270" s="37" t="str">
        <f t="shared" si="84"/>
        <v/>
      </c>
      <c r="AH270" s="40" t="str">
        <f t="shared" si="85"/>
        <v/>
      </c>
      <c r="AI270" s="37" t="str">
        <f t="shared" si="86"/>
        <v/>
      </c>
      <c r="AJ270" s="40" t="str">
        <f t="shared" si="87"/>
        <v/>
      </c>
      <c r="AK270" s="33" t="str">
        <f>IF(SEM!AK270="","",SEM!AK270)</f>
        <v/>
      </c>
      <c r="AL270" s="6"/>
      <c r="AM270" s="79" t="str">
        <f t="shared" si="78"/>
        <v/>
      </c>
      <c r="AR270" s="5"/>
      <c r="AU270" s="198"/>
      <c r="AV270" s="198"/>
      <c r="AW270" s="198"/>
      <c r="AX270" s="198"/>
    </row>
    <row r="271" spans="2:50" ht="17.25" customHeight="1" x14ac:dyDescent="0.2">
      <c r="B271" s="6"/>
      <c r="C271" s="49" t="str">
        <f>IF(SEM!C271="","",SEM!C271)</f>
        <v/>
      </c>
      <c r="D271" s="220" t="str">
        <f>IF(C271="","",VLOOKUP(SEM!C271,FROTA!$B$5:$C$305,2,0))</f>
        <v/>
      </c>
      <c r="E271" s="24" t="str">
        <f>IF(C271="","",VLOOKUP(C271,FROTA!$B$5:$N$305,7,0))</f>
        <v/>
      </c>
      <c r="F271" s="38" t="str">
        <f t="shared" si="77"/>
        <v/>
      </c>
      <c r="G271" s="71" t="str">
        <f t="shared" si="79"/>
        <v/>
      </c>
      <c r="H271" s="32" t="str">
        <f t="shared" si="73"/>
        <v/>
      </c>
      <c r="I271" s="73" t="str">
        <f t="shared" si="73"/>
        <v/>
      </c>
      <c r="J271" s="73" t="str">
        <f t="shared" si="73"/>
        <v/>
      </c>
      <c r="K271" s="73" t="str">
        <f t="shared" si="75"/>
        <v/>
      </c>
      <c r="L271" s="73" t="str">
        <f t="shared" si="75"/>
        <v/>
      </c>
      <c r="M271" s="73" t="str">
        <f t="shared" si="75"/>
        <v/>
      </c>
      <c r="N271" s="73" t="str">
        <f t="shared" si="75"/>
        <v/>
      </c>
      <c r="O271" s="73" t="str">
        <f t="shared" si="75"/>
        <v/>
      </c>
      <c r="P271" s="73" t="str">
        <f t="shared" si="75"/>
        <v/>
      </c>
      <c r="Q271" s="73" t="str">
        <f t="shared" si="75"/>
        <v/>
      </c>
      <c r="R271" s="73" t="str">
        <f t="shared" si="76"/>
        <v/>
      </c>
      <c r="S271" s="73" t="str">
        <f t="shared" si="76"/>
        <v/>
      </c>
      <c r="T271" s="73" t="str">
        <f t="shared" si="76"/>
        <v/>
      </c>
      <c r="U271" s="73" t="str">
        <f t="shared" si="76"/>
        <v/>
      </c>
      <c r="V271" s="73" t="str">
        <f t="shared" si="76"/>
        <v/>
      </c>
      <c r="W271" s="73" t="str">
        <f t="shared" si="76"/>
        <v/>
      </c>
      <c r="X271" s="73" t="str">
        <f t="shared" si="76"/>
        <v/>
      </c>
      <c r="Y271" s="73" t="str">
        <f t="shared" si="76"/>
        <v/>
      </c>
      <c r="Z271" s="73" t="str">
        <f t="shared" si="76"/>
        <v/>
      </c>
      <c r="AA271" s="73" t="str">
        <f t="shared" si="76"/>
        <v/>
      </c>
      <c r="AB271" s="74" t="str">
        <f t="shared" si="76"/>
        <v/>
      </c>
      <c r="AC271" s="35" t="str">
        <f t="shared" si="80"/>
        <v/>
      </c>
      <c r="AD271" s="40" t="str">
        <f t="shared" si="81"/>
        <v/>
      </c>
      <c r="AE271" s="37" t="str">
        <f t="shared" si="82"/>
        <v/>
      </c>
      <c r="AF271" s="40" t="str">
        <f t="shared" si="83"/>
        <v/>
      </c>
      <c r="AG271" s="37" t="str">
        <f t="shared" si="84"/>
        <v/>
      </c>
      <c r="AH271" s="40" t="str">
        <f t="shared" si="85"/>
        <v/>
      </c>
      <c r="AI271" s="37" t="str">
        <f t="shared" si="86"/>
        <v/>
      </c>
      <c r="AJ271" s="40" t="str">
        <f t="shared" si="87"/>
        <v/>
      </c>
      <c r="AK271" s="33" t="str">
        <f>IF(SEM!AK271="","",SEM!AK271)</f>
        <v/>
      </c>
      <c r="AL271" s="6"/>
      <c r="AM271" s="79" t="str">
        <f t="shared" si="78"/>
        <v/>
      </c>
      <c r="AR271" s="5"/>
      <c r="AU271" s="198"/>
      <c r="AV271" s="198"/>
      <c r="AW271" s="198"/>
      <c r="AX271" s="198"/>
    </row>
    <row r="272" spans="2:50" ht="17.25" customHeight="1" x14ac:dyDescent="0.2">
      <c r="B272" s="6"/>
      <c r="C272" s="49" t="str">
        <f>IF(SEM!C272="","",SEM!C272)</f>
        <v/>
      </c>
      <c r="D272" s="220" t="str">
        <f>IF(C272="","",VLOOKUP(SEM!C272,FROTA!$B$5:$C$305,2,0))</f>
        <v/>
      </c>
      <c r="E272" s="24" t="str">
        <f>IF(C272="","",VLOOKUP(C272,FROTA!$B$5:$N$305,7,0))</f>
        <v/>
      </c>
      <c r="F272" s="38" t="str">
        <f t="shared" si="77"/>
        <v/>
      </c>
      <c r="G272" s="71" t="str">
        <f t="shared" si="79"/>
        <v/>
      </c>
      <c r="H272" s="32" t="str">
        <f t="shared" si="73"/>
        <v/>
      </c>
      <c r="I272" s="73" t="str">
        <f t="shared" si="73"/>
        <v/>
      </c>
      <c r="J272" s="73" t="str">
        <f t="shared" si="73"/>
        <v/>
      </c>
      <c r="K272" s="73" t="str">
        <f t="shared" si="75"/>
        <v/>
      </c>
      <c r="L272" s="73" t="str">
        <f t="shared" si="75"/>
        <v/>
      </c>
      <c r="M272" s="73" t="str">
        <f t="shared" si="75"/>
        <v/>
      </c>
      <c r="N272" s="73" t="str">
        <f t="shared" si="75"/>
        <v/>
      </c>
      <c r="O272" s="73" t="str">
        <f t="shared" si="75"/>
        <v/>
      </c>
      <c r="P272" s="73" t="str">
        <f t="shared" si="75"/>
        <v/>
      </c>
      <c r="Q272" s="73" t="str">
        <f t="shared" si="75"/>
        <v/>
      </c>
      <c r="R272" s="73" t="str">
        <f t="shared" si="76"/>
        <v/>
      </c>
      <c r="S272" s="73" t="str">
        <f t="shared" si="76"/>
        <v/>
      </c>
      <c r="T272" s="73" t="str">
        <f t="shared" si="76"/>
        <v/>
      </c>
      <c r="U272" s="73" t="str">
        <f t="shared" si="76"/>
        <v/>
      </c>
      <c r="V272" s="73" t="str">
        <f t="shared" si="76"/>
        <v/>
      </c>
      <c r="W272" s="73" t="str">
        <f t="shared" si="76"/>
        <v/>
      </c>
      <c r="X272" s="73" t="str">
        <f t="shared" si="76"/>
        <v/>
      </c>
      <c r="Y272" s="73" t="str">
        <f t="shared" si="76"/>
        <v/>
      </c>
      <c r="Z272" s="73" t="str">
        <f t="shared" si="76"/>
        <v/>
      </c>
      <c r="AA272" s="73" t="str">
        <f t="shared" si="76"/>
        <v/>
      </c>
      <c r="AB272" s="74" t="str">
        <f t="shared" si="76"/>
        <v/>
      </c>
      <c r="AC272" s="35" t="str">
        <f t="shared" si="80"/>
        <v/>
      </c>
      <c r="AD272" s="40" t="str">
        <f t="shared" si="81"/>
        <v/>
      </c>
      <c r="AE272" s="37" t="str">
        <f t="shared" si="82"/>
        <v/>
      </c>
      <c r="AF272" s="40" t="str">
        <f t="shared" si="83"/>
        <v/>
      </c>
      <c r="AG272" s="37" t="str">
        <f t="shared" si="84"/>
        <v/>
      </c>
      <c r="AH272" s="40" t="str">
        <f t="shared" si="85"/>
        <v/>
      </c>
      <c r="AI272" s="37" t="str">
        <f t="shared" si="86"/>
        <v/>
      </c>
      <c r="AJ272" s="40" t="str">
        <f t="shared" si="87"/>
        <v/>
      </c>
      <c r="AK272" s="33" t="str">
        <f>IF(SEM!AK272="","",SEM!AK272)</f>
        <v/>
      </c>
      <c r="AL272" s="6"/>
      <c r="AM272" s="79" t="str">
        <f t="shared" si="78"/>
        <v/>
      </c>
      <c r="AR272" s="5"/>
      <c r="AU272" s="198"/>
      <c r="AV272" s="198"/>
      <c r="AW272" s="198"/>
      <c r="AX272" s="198"/>
    </row>
    <row r="273" spans="2:50" ht="17.25" customHeight="1" x14ac:dyDescent="0.2">
      <c r="B273" s="6"/>
      <c r="C273" s="49" t="str">
        <f>IF(SEM!C273="","",SEM!C273)</f>
        <v/>
      </c>
      <c r="D273" s="220" t="str">
        <f>IF(C273="","",VLOOKUP(SEM!C273,FROTA!$B$5:$C$305,2,0))</f>
        <v/>
      </c>
      <c r="E273" s="24" t="str">
        <f>IF(C273="","",VLOOKUP(C273,FROTA!$B$5:$N$305,7,0))</f>
        <v/>
      </c>
      <c r="F273" s="38" t="str">
        <f t="shared" si="77"/>
        <v/>
      </c>
      <c r="G273" s="71" t="str">
        <f t="shared" si="79"/>
        <v/>
      </c>
      <c r="H273" s="32" t="str">
        <f t="shared" si="73"/>
        <v/>
      </c>
      <c r="I273" s="73" t="str">
        <f t="shared" si="73"/>
        <v/>
      </c>
      <c r="J273" s="73" t="str">
        <f t="shared" si="73"/>
        <v/>
      </c>
      <c r="K273" s="73" t="str">
        <f t="shared" si="75"/>
        <v/>
      </c>
      <c r="L273" s="73" t="str">
        <f t="shared" si="75"/>
        <v/>
      </c>
      <c r="M273" s="73" t="str">
        <f t="shared" si="75"/>
        <v/>
      </c>
      <c r="N273" s="73" t="str">
        <f t="shared" si="75"/>
        <v/>
      </c>
      <c r="O273" s="73" t="str">
        <f t="shared" si="75"/>
        <v/>
      </c>
      <c r="P273" s="73" t="str">
        <f t="shared" si="75"/>
        <v/>
      </c>
      <c r="Q273" s="73" t="str">
        <f t="shared" si="75"/>
        <v/>
      </c>
      <c r="R273" s="73" t="str">
        <f t="shared" si="76"/>
        <v/>
      </c>
      <c r="S273" s="73" t="str">
        <f t="shared" si="76"/>
        <v/>
      </c>
      <c r="T273" s="73" t="str">
        <f t="shared" si="76"/>
        <v/>
      </c>
      <c r="U273" s="73" t="str">
        <f t="shared" si="76"/>
        <v/>
      </c>
      <c r="V273" s="73" t="str">
        <f t="shared" si="76"/>
        <v/>
      </c>
      <c r="W273" s="73" t="str">
        <f t="shared" si="76"/>
        <v/>
      </c>
      <c r="X273" s="73" t="str">
        <f t="shared" si="76"/>
        <v/>
      </c>
      <c r="Y273" s="73" t="str">
        <f t="shared" si="76"/>
        <v/>
      </c>
      <c r="Z273" s="73" t="str">
        <f t="shared" si="76"/>
        <v/>
      </c>
      <c r="AA273" s="73" t="str">
        <f t="shared" si="76"/>
        <v/>
      </c>
      <c r="AB273" s="74" t="str">
        <f t="shared" si="76"/>
        <v/>
      </c>
      <c r="AC273" s="35" t="str">
        <f t="shared" si="80"/>
        <v/>
      </c>
      <c r="AD273" s="40" t="str">
        <f t="shared" si="81"/>
        <v/>
      </c>
      <c r="AE273" s="37" t="str">
        <f t="shared" si="82"/>
        <v/>
      </c>
      <c r="AF273" s="40" t="str">
        <f t="shared" si="83"/>
        <v/>
      </c>
      <c r="AG273" s="37" t="str">
        <f t="shared" si="84"/>
        <v/>
      </c>
      <c r="AH273" s="40" t="str">
        <f t="shared" si="85"/>
        <v/>
      </c>
      <c r="AI273" s="37" t="str">
        <f t="shared" si="86"/>
        <v/>
      </c>
      <c r="AJ273" s="40" t="str">
        <f t="shared" si="87"/>
        <v/>
      </c>
      <c r="AK273" s="33" t="str">
        <f>IF(SEM!AK273="","",SEM!AK273)</f>
        <v/>
      </c>
      <c r="AL273" s="6"/>
      <c r="AM273" s="79" t="str">
        <f t="shared" si="78"/>
        <v/>
      </c>
      <c r="AR273" s="5"/>
      <c r="AU273" s="198"/>
      <c r="AV273" s="198"/>
      <c r="AW273" s="198"/>
      <c r="AX273" s="198"/>
    </row>
    <row r="274" spans="2:50" ht="17.25" customHeight="1" x14ac:dyDescent="0.2">
      <c r="B274" s="6"/>
      <c r="C274" s="49" t="str">
        <f>IF(SEM!C274="","",SEM!C274)</f>
        <v/>
      </c>
      <c r="D274" s="220" t="str">
        <f>IF(C274="","",VLOOKUP(SEM!C274,FROTA!$B$5:$C$305,2,0))</f>
        <v/>
      </c>
      <c r="E274" s="24" t="str">
        <f>IF(C274="","",VLOOKUP(C274,FROTA!$B$5:$N$305,7,0))</f>
        <v/>
      </c>
      <c r="F274" s="38" t="str">
        <f t="shared" si="77"/>
        <v/>
      </c>
      <c r="G274" s="71" t="str">
        <f t="shared" si="79"/>
        <v/>
      </c>
      <c r="H274" s="32" t="str">
        <f t="shared" si="73"/>
        <v/>
      </c>
      <c r="I274" s="73" t="str">
        <f t="shared" si="73"/>
        <v/>
      </c>
      <c r="J274" s="73" t="str">
        <f t="shared" si="73"/>
        <v/>
      </c>
      <c r="K274" s="73" t="str">
        <f t="shared" si="75"/>
        <v/>
      </c>
      <c r="L274" s="73" t="str">
        <f t="shared" si="75"/>
        <v/>
      </c>
      <c r="M274" s="73" t="str">
        <f t="shared" si="75"/>
        <v/>
      </c>
      <c r="N274" s="73" t="str">
        <f t="shared" si="75"/>
        <v/>
      </c>
      <c r="O274" s="73" t="str">
        <f t="shared" si="75"/>
        <v/>
      </c>
      <c r="P274" s="73" t="str">
        <f t="shared" si="75"/>
        <v/>
      </c>
      <c r="Q274" s="73" t="str">
        <f t="shared" si="75"/>
        <v/>
      </c>
      <c r="R274" s="73" t="str">
        <f t="shared" si="76"/>
        <v/>
      </c>
      <c r="S274" s="73" t="str">
        <f t="shared" si="76"/>
        <v/>
      </c>
      <c r="T274" s="73" t="str">
        <f t="shared" si="76"/>
        <v/>
      </c>
      <c r="U274" s="73" t="str">
        <f t="shared" si="76"/>
        <v/>
      </c>
      <c r="V274" s="73" t="str">
        <f t="shared" si="76"/>
        <v/>
      </c>
      <c r="W274" s="73" t="str">
        <f t="shared" si="76"/>
        <v/>
      </c>
      <c r="X274" s="73" t="str">
        <f t="shared" si="76"/>
        <v/>
      </c>
      <c r="Y274" s="73" t="str">
        <f t="shared" si="76"/>
        <v/>
      </c>
      <c r="Z274" s="73" t="str">
        <f t="shared" si="76"/>
        <v/>
      </c>
      <c r="AA274" s="73" t="str">
        <f t="shared" si="76"/>
        <v/>
      </c>
      <c r="AB274" s="74" t="str">
        <f t="shared" si="76"/>
        <v/>
      </c>
      <c r="AC274" s="35" t="str">
        <f t="shared" si="80"/>
        <v/>
      </c>
      <c r="AD274" s="40" t="str">
        <f t="shared" si="81"/>
        <v/>
      </c>
      <c r="AE274" s="37" t="str">
        <f t="shared" si="82"/>
        <v/>
      </c>
      <c r="AF274" s="40" t="str">
        <f t="shared" si="83"/>
        <v/>
      </c>
      <c r="AG274" s="37" t="str">
        <f t="shared" si="84"/>
        <v/>
      </c>
      <c r="AH274" s="40" t="str">
        <f t="shared" si="85"/>
        <v/>
      </c>
      <c r="AI274" s="37" t="str">
        <f t="shared" si="86"/>
        <v/>
      </c>
      <c r="AJ274" s="40" t="str">
        <f t="shared" si="87"/>
        <v/>
      </c>
      <c r="AK274" s="33" t="str">
        <f>IF(SEM!AK274="","",SEM!AK274)</f>
        <v/>
      </c>
      <c r="AL274" s="6"/>
      <c r="AM274" s="79" t="str">
        <f t="shared" si="78"/>
        <v/>
      </c>
      <c r="AR274" s="5"/>
      <c r="AU274" s="198"/>
      <c r="AV274" s="198"/>
      <c r="AW274" s="198"/>
      <c r="AX274" s="198"/>
    </row>
    <row r="275" spans="2:50" ht="17.25" customHeight="1" x14ac:dyDescent="0.2">
      <c r="B275" s="6"/>
      <c r="C275" s="49" t="str">
        <f>IF(SEM!C275="","",SEM!C275)</f>
        <v/>
      </c>
      <c r="D275" s="220" t="str">
        <f>IF(C275="","",VLOOKUP(SEM!C275,FROTA!$B$5:$C$305,2,0))</f>
        <v/>
      </c>
      <c r="E275" s="24" t="str">
        <f>IF(C275="","",VLOOKUP(C275,FROTA!$B$5:$N$305,7,0))</f>
        <v/>
      </c>
      <c r="F275" s="38" t="str">
        <f t="shared" si="77"/>
        <v/>
      </c>
      <c r="G275" s="71" t="str">
        <f t="shared" si="79"/>
        <v/>
      </c>
      <c r="H275" s="32" t="str">
        <f t="shared" si="73"/>
        <v/>
      </c>
      <c r="I275" s="73" t="str">
        <f t="shared" si="73"/>
        <v/>
      </c>
      <c r="J275" s="73" t="str">
        <f t="shared" si="73"/>
        <v/>
      </c>
      <c r="K275" s="73" t="str">
        <f t="shared" si="75"/>
        <v/>
      </c>
      <c r="L275" s="73" t="str">
        <f t="shared" si="75"/>
        <v/>
      </c>
      <c r="M275" s="73" t="str">
        <f t="shared" si="75"/>
        <v/>
      </c>
      <c r="N275" s="73" t="str">
        <f t="shared" si="75"/>
        <v/>
      </c>
      <c r="O275" s="73" t="str">
        <f t="shared" si="75"/>
        <v/>
      </c>
      <c r="P275" s="73" t="str">
        <f t="shared" si="75"/>
        <v/>
      </c>
      <c r="Q275" s="73" t="str">
        <f t="shared" si="75"/>
        <v/>
      </c>
      <c r="R275" s="73" t="str">
        <f t="shared" si="76"/>
        <v/>
      </c>
      <c r="S275" s="73" t="str">
        <f t="shared" si="76"/>
        <v/>
      </c>
      <c r="T275" s="73" t="str">
        <f t="shared" si="76"/>
        <v/>
      </c>
      <c r="U275" s="73" t="str">
        <f t="shared" si="76"/>
        <v/>
      </c>
      <c r="V275" s="73" t="str">
        <f t="shared" si="76"/>
        <v/>
      </c>
      <c r="W275" s="73" t="str">
        <f t="shared" si="76"/>
        <v/>
      </c>
      <c r="X275" s="73" t="str">
        <f t="shared" si="76"/>
        <v/>
      </c>
      <c r="Y275" s="73" t="str">
        <f t="shared" si="76"/>
        <v/>
      </c>
      <c r="Z275" s="73" t="str">
        <f t="shared" si="76"/>
        <v/>
      </c>
      <c r="AA275" s="73" t="str">
        <f t="shared" si="76"/>
        <v/>
      </c>
      <c r="AB275" s="74" t="str">
        <f t="shared" si="76"/>
        <v/>
      </c>
      <c r="AC275" s="35" t="str">
        <f t="shared" si="80"/>
        <v/>
      </c>
      <c r="AD275" s="40" t="str">
        <f t="shared" si="81"/>
        <v/>
      </c>
      <c r="AE275" s="37" t="str">
        <f t="shared" si="82"/>
        <v/>
      </c>
      <c r="AF275" s="40" t="str">
        <f t="shared" si="83"/>
        <v/>
      </c>
      <c r="AG275" s="37" t="str">
        <f t="shared" si="84"/>
        <v/>
      </c>
      <c r="AH275" s="40" t="str">
        <f t="shared" si="85"/>
        <v/>
      </c>
      <c r="AI275" s="37" t="str">
        <f t="shared" si="86"/>
        <v/>
      </c>
      <c r="AJ275" s="40" t="str">
        <f t="shared" si="87"/>
        <v/>
      </c>
      <c r="AK275" s="33" t="str">
        <f>IF(SEM!AK275="","",SEM!AK275)</f>
        <v/>
      </c>
      <c r="AL275" s="6"/>
      <c r="AM275" s="79" t="str">
        <f t="shared" si="78"/>
        <v/>
      </c>
      <c r="AR275" s="5"/>
      <c r="AU275" s="198"/>
      <c r="AV275" s="198"/>
      <c r="AW275" s="198"/>
      <c r="AX275" s="198"/>
    </row>
    <row r="276" spans="2:50" ht="17.25" customHeight="1" x14ac:dyDescent="0.2">
      <c r="B276" s="6"/>
      <c r="C276" s="49" t="str">
        <f>IF(SEM!C276="","",SEM!C276)</f>
        <v/>
      </c>
      <c r="D276" s="220" t="str">
        <f>IF(C276="","",VLOOKUP(SEM!C276,FROTA!$B$5:$C$305,2,0))</f>
        <v/>
      </c>
      <c r="E276" s="24" t="str">
        <f>IF(C276="","",VLOOKUP(C276,FROTA!$B$5:$N$305,7,0))</f>
        <v/>
      </c>
      <c r="F276" s="38" t="str">
        <f t="shared" si="77"/>
        <v/>
      </c>
      <c r="G276" s="71" t="str">
        <f t="shared" si="79"/>
        <v/>
      </c>
      <c r="H276" s="32" t="str">
        <f t="shared" si="73"/>
        <v/>
      </c>
      <c r="I276" s="73" t="str">
        <f t="shared" si="73"/>
        <v/>
      </c>
      <c r="J276" s="73" t="str">
        <f t="shared" si="73"/>
        <v/>
      </c>
      <c r="K276" s="73" t="str">
        <f t="shared" si="75"/>
        <v/>
      </c>
      <c r="L276" s="73" t="str">
        <f t="shared" si="75"/>
        <v/>
      </c>
      <c r="M276" s="73" t="str">
        <f t="shared" si="75"/>
        <v/>
      </c>
      <c r="N276" s="73" t="str">
        <f t="shared" si="75"/>
        <v/>
      </c>
      <c r="O276" s="73" t="str">
        <f t="shared" si="75"/>
        <v/>
      </c>
      <c r="P276" s="73" t="str">
        <f t="shared" si="75"/>
        <v/>
      </c>
      <c r="Q276" s="73" t="str">
        <f t="shared" si="75"/>
        <v/>
      </c>
      <c r="R276" s="73" t="str">
        <f t="shared" si="76"/>
        <v/>
      </c>
      <c r="S276" s="73" t="str">
        <f t="shared" si="76"/>
        <v/>
      </c>
      <c r="T276" s="73" t="str">
        <f t="shared" si="76"/>
        <v/>
      </c>
      <c r="U276" s="73" t="str">
        <f t="shared" si="76"/>
        <v/>
      </c>
      <c r="V276" s="73" t="str">
        <f t="shared" si="76"/>
        <v/>
      </c>
      <c r="W276" s="73" t="str">
        <f t="shared" si="76"/>
        <v/>
      </c>
      <c r="X276" s="73" t="str">
        <f t="shared" si="76"/>
        <v/>
      </c>
      <c r="Y276" s="73" t="str">
        <f t="shared" si="76"/>
        <v/>
      </c>
      <c r="Z276" s="73" t="str">
        <f t="shared" si="76"/>
        <v/>
      </c>
      <c r="AA276" s="73" t="str">
        <f t="shared" si="76"/>
        <v/>
      </c>
      <c r="AB276" s="74" t="str">
        <f t="shared" si="76"/>
        <v/>
      </c>
      <c r="AC276" s="35" t="str">
        <f t="shared" si="80"/>
        <v/>
      </c>
      <c r="AD276" s="40" t="str">
        <f t="shared" si="81"/>
        <v/>
      </c>
      <c r="AE276" s="37" t="str">
        <f t="shared" si="82"/>
        <v/>
      </c>
      <c r="AF276" s="40" t="str">
        <f t="shared" si="83"/>
        <v/>
      </c>
      <c r="AG276" s="37" t="str">
        <f t="shared" si="84"/>
        <v/>
      </c>
      <c r="AH276" s="40" t="str">
        <f t="shared" si="85"/>
        <v/>
      </c>
      <c r="AI276" s="37" t="str">
        <f t="shared" si="86"/>
        <v/>
      </c>
      <c r="AJ276" s="40" t="str">
        <f t="shared" si="87"/>
        <v/>
      </c>
      <c r="AK276" s="33" t="str">
        <f>IF(SEM!AK276="","",SEM!AK276)</f>
        <v/>
      </c>
      <c r="AL276" s="6"/>
      <c r="AM276" s="79" t="str">
        <f t="shared" si="78"/>
        <v/>
      </c>
      <c r="AR276" s="5"/>
      <c r="AU276" s="198"/>
      <c r="AV276" s="198"/>
      <c r="AW276" s="198"/>
      <c r="AX276" s="198"/>
    </row>
    <row r="277" spans="2:50" ht="17.25" customHeight="1" x14ac:dyDescent="0.2">
      <c r="B277" s="6"/>
      <c r="C277" s="49" t="str">
        <f>IF(SEM!C277="","",SEM!C277)</f>
        <v/>
      </c>
      <c r="D277" s="220" t="str">
        <f>IF(C277="","",VLOOKUP(SEM!C277,FROTA!$B$5:$C$305,2,0))</f>
        <v/>
      </c>
      <c r="E277" s="24" t="str">
        <f>IF(C277="","",VLOOKUP(C277,FROTA!$B$5:$N$305,7,0))</f>
        <v/>
      </c>
      <c r="F277" s="38" t="str">
        <f t="shared" si="77"/>
        <v/>
      </c>
      <c r="G277" s="71" t="str">
        <f t="shared" si="79"/>
        <v/>
      </c>
      <c r="H277" s="32" t="str">
        <f t="shared" si="73"/>
        <v/>
      </c>
      <c r="I277" s="73" t="str">
        <f t="shared" si="73"/>
        <v/>
      </c>
      <c r="J277" s="73" t="str">
        <f t="shared" si="73"/>
        <v/>
      </c>
      <c r="K277" s="73" t="str">
        <f t="shared" ref="K277:Q305" si="88">IF($C277="","",IF(SUM(K$307*$G277)&gt;$F277,$F277,SUM(K$307*$G277)))</f>
        <v/>
      </c>
      <c r="L277" s="73" t="str">
        <f t="shared" si="88"/>
        <v/>
      </c>
      <c r="M277" s="73" t="str">
        <f t="shared" si="88"/>
        <v/>
      </c>
      <c r="N277" s="73" t="str">
        <f t="shared" si="88"/>
        <v/>
      </c>
      <c r="O277" s="73" t="str">
        <f t="shared" si="88"/>
        <v/>
      </c>
      <c r="P277" s="73" t="str">
        <f t="shared" si="88"/>
        <v/>
      </c>
      <c r="Q277" s="73" t="str">
        <f t="shared" si="88"/>
        <v/>
      </c>
      <c r="R277" s="73" t="str">
        <f t="shared" ref="R277:AB300" si="89">IF($C277="","",IF(SUM(R$307*$G277)&gt;$F277,$F277,SUM(R$307*$G277)))</f>
        <v/>
      </c>
      <c r="S277" s="73" t="str">
        <f t="shared" si="89"/>
        <v/>
      </c>
      <c r="T277" s="73" t="str">
        <f t="shared" si="89"/>
        <v/>
      </c>
      <c r="U277" s="73" t="str">
        <f t="shared" si="89"/>
        <v/>
      </c>
      <c r="V277" s="73" t="str">
        <f t="shared" si="89"/>
        <v/>
      </c>
      <c r="W277" s="73" t="str">
        <f t="shared" si="89"/>
        <v/>
      </c>
      <c r="X277" s="73" t="str">
        <f t="shared" si="89"/>
        <v/>
      </c>
      <c r="Y277" s="73" t="str">
        <f t="shared" si="89"/>
        <v/>
      </c>
      <c r="Z277" s="73" t="str">
        <f t="shared" si="89"/>
        <v/>
      </c>
      <c r="AA277" s="73" t="str">
        <f t="shared" si="89"/>
        <v/>
      </c>
      <c r="AB277" s="74" t="str">
        <f t="shared" si="89"/>
        <v/>
      </c>
      <c r="AC277" s="35" t="str">
        <f t="shared" si="80"/>
        <v/>
      </c>
      <c r="AD277" s="40" t="str">
        <f t="shared" si="81"/>
        <v/>
      </c>
      <c r="AE277" s="37" t="str">
        <f t="shared" si="82"/>
        <v/>
      </c>
      <c r="AF277" s="40" t="str">
        <f t="shared" si="83"/>
        <v/>
      </c>
      <c r="AG277" s="37" t="str">
        <f t="shared" si="84"/>
        <v/>
      </c>
      <c r="AH277" s="40" t="str">
        <f t="shared" si="85"/>
        <v/>
      </c>
      <c r="AI277" s="37" t="str">
        <f t="shared" si="86"/>
        <v/>
      </c>
      <c r="AJ277" s="40" t="str">
        <f t="shared" si="87"/>
        <v/>
      </c>
      <c r="AK277" s="33" t="str">
        <f>IF(SEM!AK277="","",SEM!AK277)</f>
        <v/>
      </c>
      <c r="AL277" s="6"/>
      <c r="AM277" s="79" t="str">
        <f t="shared" si="78"/>
        <v/>
      </c>
      <c r="AR277" s="5"/>
      <c r="AU277" s="198"/>
      <c r="AV277" s="198"/>
      <c r="AW277" s="198"/>
      <c r="AX277" s="198"/>
    </row>
    <row r="278" spans="2:50" ht="17.25" customHeight="1" x14ac:dyDescent="0.2">
      <c r="B278" s="6"/>
      <c r="C278" s="49" t="str">
        <f>IF(SEM!C278="","",SEM!C278)</f>
        <v/>
      </c>
      <c r="D278" s="220" t="str">
        <f>IF(C278="","",VLOOKUP(SEM!C278,FROTA!$B$5:$C$305,2,0))</f>
        <v/>
      </c>
      <c r="E278" s="24" t="str">
        <f>IF(C278="","",VLOOKUP(C278,FROTA!$B$5:$N$305,7,0))</f>
        <v/>
      </c>
      <c r="F278" s="38" t="str">
        <f t="shared" si="77"/>
        <v/>
      </c>
      <c r="G278" s="71" t="str">
        <f t="shared" si="79"/>
        <v/>
      </c>
      <c r="H278" s="32" t="str">
        <f t="shared" si="73"/>
        <v/>
      </c>
      <c r="I278" s="73" t="str">
        <f t="shared" si="73"/>
        <v/>
      </c>
      <c r="J278" s="73" t="str">
        <f t="shared" si="73"/>
        <v/>
      </c>
      <c r="K278" s="73" t="str">
        <f t="shared" si="88"/>
        <v/>
      </c>
      <c r="L278" s="73" t="str">
        <f t="shared" si="88"/>
        <v/>
      </c>
      <c r="M278" s="73" t="str">
        <f t="shared" si="88"/>
        <v/>
      </c>
      <c r="N278" s="73" t="str">
        <f t="shared" si="88"/>
        <v/>
      </c>
      <c r="O278" s="73" t="str">
        <f t="shared" si="88"/>
        <v/>
      </c>
      <c r="P278" s="73" t="str">
        <f t="shared" si="88"/>
        <v/>
      </c>
      <c r="Q278" s="73" t="str">
        <f t="shared" si="88"/>
        <v/>
      </c>
      <c r="R278" s="73" t="str">
        <f t="shared" si="89"/>
        <v/>
      </c>
      <c r="S278" s="73" t="str">
        <f t="shared" si="89"/>
        <v/>
      </c>
      <c r="T278" s="73" t="str">
        <f t="shared" si="89"/>
        <v/>
      </c>
      <c r="U278" s="73" t="str">
        <f t="shared" si="89"/>
        <v/>
      </c>
      <c r="V278" s="73" t="str">
        <f t="shared" si="89"/>
        <v/>
      </c>
      <c r="W278" s="73" t="str">
        <f t="shared" si="89"/>
        <v/>
      </c>
      <c r="X278" s="73" t="str">
        <f t="shared" si="89"/>
        <v/>
      </c>
      <c r="Y278" s="73" t="str">
        <f t="shared" si="89"/>
        <v/>
      </c>
      <c r="Z278" s="73" t="str">
        <f t="shared" si="89"/>
        <v/>
      </c>
      <c r="AA278" s="73" t="str">
        <f t="shared" si="89"/>
        <v/>
      </c>
      <c r="AB278" s="74" t="str">
        <f t="shared" si="89"/>
        <v/>
      </c>
      <c r="AC278" s="35" t="str">
        <f t="shared" si="80"/>
        <v/>
      </c>
      <c r="AD278" s="40" t="str">
        <f t="shared" si="81"/>
        <v/>
      </c>
      <c r="AE278" s="37" t="str">
        <f t="shared" si="82"/>
        <v/>
      </c>
      <c r="AF278" s="40" t="str">
        <f t="shared" si="83"/>
        <v/>
      </c>
      <c r="AG278" s="37" t="str">
        <f t="shared" si="84"/>
        <v/>
      </c>
      <c r="AH278" s="40" t="str">
        <f t="shared" si="85"/>
        <v/>
      </c>
      <c r="AI278" s="37" t="str">
        <f t="shared" si="86"/>
        <v/>
      </c>
      <c r="AJ278" s="40" t="str">
        <f t="shared" si="87"/>
        <v/>
      </c>
      <c r="AK278" s="33" t="str">
        <f>IF(SEM!AK278="","",SEM!AK278)</f>
        <v/>
      </c>
      <c r="AL278" s="6"/>
      <c r="AM278" s="79" t="str">
        <f t="shared" si="78"/>
        <v/>
      </c>
      <c r="AR278" s="5"/>
      <c r="AU278" s="198"/>
      <c r="AV278" s="198"/>
      <c r="AW278" s="198"/>
      <c r="AX278" s="198"/>
    </row>
    <row r="279" spans="2:50" ht="17.25" customHeight="1" x14ac:dyDescent="0.2">
      <c r="B279" s="6"/>
      <c r="C279" s="49" t="str">
        <f>IF(SEM!C279="","",SEM!C279)</f>
        <v/>
      </c>
      <c r="D279" s="220" t="str">
        <f>IF(C279="","",VLOOKUP(SEM!C279,FROTA!$B$5:$C$305,2,0))</f>
        <v/>
      </c>
      <c r="E279" s="24" t="str">
        <f>IF(C279="","",VLOOKUP(C279,FROTA!$B$5:$N$305,7,0))</f>
        <v/>
      </c>
      <c r="F279" s="38" t="str">
        <f t="shared" si="77"/>
        <v/>
      </c>
      <c r="G279" s="71" t="str">
        <f t="shared" si="79"/>
        <v/>
      </c>
      <c r="H279" s="32" t="str">
        <f t="shared" ref="H279:J305" si="90">IF($C279="","",IF(SUM(H$307*$G279)&gt;$F279,$F279,SUM(H$307*$G279)))</f>
        <v/>
      </c>
      <c r="I279" s="73" t="str">
        <f t="shared" si="90"/>
        <v/>
      </c>
      <c r="J279" s="73" t="str">
        <f t="shared" si="90"/>
        <v/>
      </c>
      <c r="K279" s="73" t="str">
        <f t="shared" si="88"/>
        <v/>
      </c>
      <c r="L279" s="73" t="str">
        <f t="shared" si="88"/>
        <v/>
      </c>
      <c r="M279" s="73" t="str">
        <f t="shared" si="88"/>
        <v/>
      </c>
      <c r="N279" s="73" t="str">
        <f t="shared" si="88"/>
        <v/>
      </c>
      <c r="O279" s="73" t="str">
        <f t="shared" si="88"/>
        <v/>
      </c>
      <c r="P279" s="73" t="str">
        <f t="shared" si="88"/>
        <v/>
      </c>
      <c r="Q279" s="73" t="str">
        <f t="shared" si="88"/>
        <v/>
      </c>
      <c r="R279" s="73" t="str">
        <f t="shared" si="89"/>
        <v/>
      </c>
      <c r="S279" s="73" t="str">
        <f t="shared" si="89"/>
        <v/>
      </c>
      <c r="T279" s="73" t="str">
        <f t="shared" si="89"/>
        <v/>
      </c>
      <c r="U279" s="73" t="str">
        <f t="shared" si="89"/>
        <v/>
      </c>
      <c r="V279" s="73" t="str">
        <f t="shared" si="89"/>
        <v/>
      </c>
      <c r="W279" s="73" t="str">
        <f t="shared" si="89"/>
        <v/>
      </c>
      <c r="X279" s="73" t="str">
        <f t="shared" si="89"/>
        <v/>
      </c>
      <c r="Y279" s="73" t="str">
        <f t="shared" si="89"/>
        <v/>
      </c>
      <c r="Z279" s="73" t="str">
        <f t="shared" si="89"/>
        <v/>
      </c>
      <c r="AA279" s="73" t="str">
        <f t="shared" si="89"/>
        <v/>
      </c>
      <c r="AB279" s="74" t="str">
        <f t="shared" si="89"/>
        <v/>
      </c>
      <c r="AC279" s="35" t="str">
        <f t="shared" si="80"/>
        <v/>
      </c>
      <c r="AD279" s="40" t="str">
        <f t="shared" si="81"/>
        <v/>
      </c>
      <c r="AE279" s="37" t="str">
        <f t="shared" si="82"/>
        <v/>
      </c>
      <c r="AF279" s="40" t="str">
        <f t="shared" si="83"/>
        <v/>
      </c>
      <c r="AG279" s="37" t="str">
        <f t="shared" si="84"/>
        <v/>
      </c>
      <c r="AH279" s="40" t="str">
        <f t="shared" si="85"/>
        <v/>
      </c>
      <c r="AI279" s="37" t="str">
        <f t="shared" si="86"/>
        <v/>
      </c>
      <c r="AJ279" s="40" t="str">
        <f t="shared" si="87"/>
        <v/>
      </c>
      <c r="AK279" s="33" t="str">
        <f>IF(SEM!AK279="","",SEM!AK279)</f>
        <v/>
      </c>
      <c r="AL279" s="6"/>
      <c r="AM279" s="79" t="str">
        <f t="shared" si="78"/>
        <v/>
      </c>
      <c r="AR279" s="5"/>
      <c r="AU279" s="198"/>
      <c r="AV279" s="198"/>
      <c r="AW279" s="198"/>
      <c r="AX279" s="198"/>
    </row>
    <row r="280" spans="2:50" ht="17.25" customHeight="1" x14ac:dyDescent="0.2">
      <c r="B280" s="6"/>
      <c r="C280" s="49" t="str">
        <f>IF(SEM!C280="","",SEM!C280)</f>
        <v/>
      </c>
      <c r="D280" s="220" t="str">
        <f>IF(C280="","",VLOOKUP(SEM!C280,FROTA!$B$5:$C$305,2,0))</f>
        <v/>
      </c>
      <c r="E280" s="24" t="str">
        <f>IF(C280="","",VLOOKUP(C280,FROTA!$B$5:$N$305,7,0))</f>
        <v/>
      </c>
      <c r="F280" s="38" t="str">
        <f t="shared" si="77"/>
        <v/>
      </c>
      <c r="G280" s="71" t="str">
        <f t="shared" si="79"/>
        <v/>
      </c>
      <c r="H280" s="32" t="str">
        <f t="shared" si="90"/>
        <v/>
      </c>
      <c r="I280" s="73" t="str">
        <f t="shared" si="90"/>
        <v/>
      </c>
      <c r="J280" s="73" t="str">
        <f t="shared" si="90"/>
        <v/>
      </c>
      <c r="K280" s="73" t="str">
        <f t="shared" si="88"/>
        <v/>
      </c>
      <c r="L280" s="73" t="str">
        <f t="shared" si="88"/>
        <v/>
      </c>
      <c r="M280" s="73" t="str">
        <f t="shared" si="88"/>
        <v/>
      </c>
      <c r="N280" s="73" t="str">
        <f t="shared" si="88"/>
        <v/>
      </c>
      <c r="O280" s="73" t="str">
        <f t="shared" si="88"/>
        <v/>
      </c>
      <c r="P280" s="73" t="str">
        <f t="shared" si="88"/>
        <v/>
      </c>
      <c r="Q280" s="73" t="str">
        <f t="shared" si="88"/>
        <v/>
      </c>
      <c r="R280" s="73" t="str">
        <f t="shared" si="89"/>
        <v/>
      </c>
      <c r="S280" s="73" t="str">
        <f t="shared" si="89"/>
        <v/>
      </c>
      <c r="T280" s="73" t="str">
        <f t="shared" si="89"/>
        <v/>
      </c>
      <c r="U280" s="73" t="str">
        <f t="shared" si="89"/>
        <v/>
      </c>
      <c r="V280" s="73" t="str">
        <f t="shared" si="89"/>
        <v/>
      </c>
      <c r="W280" s="73" t="str">
        <f t="shared" si="89"/>
        <v/>
      </c>
      <c r="X280" s="73" t="str">
        <f t="shared" si="89"/>
        <v/>
      </c>
      <c r="Y280" s="73" t="str">
        <f t="shared" si="89"/>
        <v/>
      </c>
      <c r="Z280" s="73" t="str">
        <f t="shared" si="89"/>
        <v/>
      </c>
      <c r="AA280" s="73" t="str">
        <f t="shared" si="89"/>
        <v/>
      </c>
      <c r="AB280" s="74" t="str">
        <f t="shared" si="89"/>
        <v/>
      </c>
      <c r="AC280" s="35" t="str">
        <f t="shared" si="80"/>
        <v/>
      </c>
      <c r="AD280" s="40" t="str">
        <f t="shared" si="81"/>
        <v/>
      </c>
      <c r="AE280" s="37" t="str">
        <f t="shared" si="82"/>
        <v/>
      </c>
      <c r="AF280" s="40" t="str">
        <f t="shared" si="83"/>
        <v/>
      </c>
      <c r="AG280" s="37" t="str">
        <f t="shared" si="84"/>
        <v/>
      </c>
      <c r="AH280" s="40" t="str">
        <f t="shared" si="85"/>
        <v/>
      </c>
      <c r="AI280" s="37" t="str">
        <f t="shared" si="86"/>
        <v/>
      </c>
      <c r="AJ280" s="40" t="str">
        <f t="shared" si="87"/>
        <v/>
      </c>
      <c r="AK280" s="33" t="str">
        <f>IF(SEM!AK280="","",SEM!AK280)</f>
        <v/>
      </c>
      <c r="AL280" s="6"/>
      <c r="AM280" s="79" t="str">
        <f t="shared" si="78"/>
        <v/>
      </c>
      <c r="AR280" s="5"/>
      <c r="AU280" s="198"/>
      <c r="AV280" s="198"/>
      <c r="AW280" s="198"/>
      <c r="AX280" s="198"/>
    </row>
    <row r="281" spans="2:50" ht="17.25" customHeight="1" x14ac:dyDescent="0.2">
      <c r="B281" s="6"/>
      <c r="C281" s="49" t="str">
        <f>IF(SEM!C281="","",SEM!C281)</f>
        <v/>
      </c>
      <c r="D281" s="220" t="str">
        <f>IF(C281="","",VLOOKUP(SEM!C281,FROTA!$B$5:$C$305,2,0))</f>
        <v/>
      </c>
      <c r="E281" s="24" t="str">
        <f>IF(C281="","",VLOOKUP(C281,FROTA!$B$5:$N$305,7,0))</f>
        <v/>
      </c>
      <c r="F281" s="38" t="str">
        <f t="shared" si="77"/>
        <v/>
      </c>
      <c r="G281" s="71" t="str">
        <f t="shared" si="79"/>
        <v/>
      </c>
      <c r="H281" s="32" t="str">
        <f t="shared" si="90"/>
        <v/>
      </c>
      <c r="I281" s="73" t="str">
        <f t="shared" si="90"/>
        <v/>
      </c>
      <c r="J281" s="73" t="str">
        <f t="shared" si="90"/>
        <v/>
      </c>
      <c r="K281" s="73" t="str">
        <f t="shared" si="88"/>
        <v/>
      </c>
      <c r="L281" s="73" t="str">
        <f t="shared" si="88"/>
        <v/>
      </c>
      <c r="M281" s="73" t="str">
        <f t="shared" si="88"/>
        <v/>
      </c>
      <c r="N281" s="73" t="str">
        <f t="shared" si="88"/>
        <v/>
      </c>
      <c r="O281" s="73" t="str">
        <f t="shared" si="88"/>
        <v/>
      </c>
      <c r="P281" s="73" t="str">
        <f t="shared" si="88"/>
        <v/>
      </c>
      <c r="Q281" s="73" t="str">
        <f t="shared" si="88"/>
        <v/>
      </c>
      <c r="R281" s="73" t="str">
        <f t="shared" si="89"/>
        <v/>
      </c>
      <c r="S281" s="73" t="str">
        <f t="shared" si="89"/>
        <v/>
      </c>
      <c r="T281" s="73" t="str">
        <f t="shared" si="89"/>
        <v/>
      </c>
      <c r="U281" s="73" t="str">
        <f t="shared" si="89"/>
        <v/>
      </c>
      <c r="V281" s="73" t="str">
        <f t="shared" si="89"/>
        <v/>
      </c>
      <c r="W281" s="73" t="str">
        <f t="shared" si="89"/>
        <v/>
      </c>
      <c r="X281" s="73" t="str">
        <f t="shared" si="89"/>
        <v/>
      </c>
      <c r="Y281" s="73" t="str">
        <f t="shared" si="89"/>
        <v/>
      </c>
      <c r="Z281" s="73" t="str">
        <f t="shared" si="89"/>
        <v/>
      </c>
      <c r="AA281" s="73" t="str">
        <f t="shared" si="89"/>
        <v/>
      </c>
      <c r="AB281" s="74" t="str">
        <f t="shared" si="89"/>
        <v/>
      </c>
      <c r="AC281" s="35" t="str">
        <f t="shared" si="80"/>
        <v/>
      </c>
      <c r="AD281" s="40" t="str">
        <f t="shared" si="81"/>
        <v/>
      </c>
      <c r="AE281" s="37" t="str">
        <f t="shared" si="82"/>
        <v/>
      </c>
      <c r="AF281" s="40" t="str">
        <f t="shared" si="83"/>
        <v/>
      </c>
      <c r="AG281" s="37" t="str">
        <f t="shared" si="84"/>
        <v/>
      </c>
      <c r="AH281" s="40" t="str">
        <f t="shared" si="85"/>
        <v/>
      </c>
      <c r="AI281" s="37" t="str">
        <f t="shared" si="86"/>
        <v/>
      </c>
      <c r="AJ281" s="40" t="str">
        <f t="shared" si="87"/>
        <v/>
      </c>
      <c r="AK281" s="33" t="str">
        <f>IF(SEM!AK281="","",SEM!AK281)</f>
        <v/>
      </c>
      <c r="AL281" s="6"/>
      <c r="AM281" s="79" t="str">
        <f t="shared" si="78"/>
        <v/>
      </c>
      <c r="AR281" s="5"/>
      <c r="AU281" s="198"/>
      <c r="AV281" s="198"/>
      <c r="AW281" s="198"/>
      <c r="AX281" s="198"/>
    </row>
    <row r="282" spans="2:50" ht="17.25" customHeight="1" x14ac:dyDescent="0.2">
      <c r="B282" s="6"/>
      <c r="C282" s="49" t="str">
        <f>IF(SEM!C282="","",SEM!C282)</f>
        <v/>
      </c>
      <c r="D282" s="220" t="str">
        <f>IF(C282="","",VLOOKUP(SEM!C282,FROTA!$B$5:$C$305,2,0))</f>
        <v/>
      </c>
      <c r="E282" s="24" t="str">
        <f>IF(C282="","",VLOOKUP(C282,FROTA!$B$5:$N$305,7,0))</f>
        <v/>
      </c>
      <c r="F282" s="38" t="str">
        <f t="shared" si="77"/>
        <v/>
      </c>
      <c r="G282" s="71" t="str">
        <f t="shared" si="79"/>
        <v/>
      </c>
      <c r="H282" s="32" t="str">
        <f t="shared" si="90"/>
        <v/>
      </c>
      <c r="I282" s="73" t="str">
        <f t="shared" si="90"/>
        <v/>
      </c>
      <c r="J282" s="73" t="str">
        <f t="shared" si="90"/>
        <v/>
      </c>
      <c r="K282" s="73" t="str">
        <f t="shared" si="88"/>
        <v/>
      </c>
      <c r="L282" s="73" t="str">
        <f t="shared" si="88"/>
        <v/>
      </c>
      <c r="M282" s="73" t="str">
        <f t="shared" si="88"/>
        <v/>
      </c>
      <c r="N282" s="73" t="str">
        <f t="shared" si="88"/>
        <v/>
      </c>
      <c r="O282" s="73" t="str">
        <f t="shared" si="88"/>
        <v/>
      </c>
      <c r="P282" s="73" t="str">
        <f t="shared" si="88"/>
        <v/>
      </c>
      <c r="Q282" s="73" t="str">
        <f t="shared" si="88"/>
        <v/>
      </c>
      <c r="R282" s="73" t="str">
        <f t="shared" si="89"/>
        <v/>
      </c>
      <c r="S282" s="73" t="str">
        <f t="shared" si="89"/>
        <v/>
      </c>
      <c r="T282" s="73" t="str">
        <f t="shared" si="89"/>
        <v/>
      </c>
      <c r="U282" s="73" t="str">
        <f t="shared" si="89"/>
        <v/>
      </c>
      <c r="V282" s="73" t="str">
        <f t="shared" si="89"/>
        <v/>
      </c>
      <c r="W282" s="73" t="str">
        <f t="shared" si="89"/>
        <v/>
      </c>
      <c r="X282" s="73" t="str">
        <f t="shared" si="89"/>
        <v/>
      </c>
      <c r="Y282" s="73" t="str">
        <f t="shared" si="89"/>
        <v/>
      </c>
      <c r="Z282" s="73" t="str">
        <f t="shared" si="89"/>
        <v/>
      </c>
      <c r="AA282" s="73" t="str">
        <f t="shared" si="89"/>
        <v/>
      </c>
      <c r="AB282" s="74" t="str">
        <f t="shared" si="89"/>
        <v/>
      </c>
      <c r="AC282" s="35" t="str">
        <f t="shared" si="80"/>
        <v/>
      </c>
      <c r="AD282" s="40" t="str">
        <f t="shared" si="81"/>
        <v/>
      </c>
      <c r="AE282" s="37" t="str">
        <f t="shared" si="82"/>
        <v/>
      </c>
      <c r="AF282" s="40" t="str">
        <f t="shared" si="83"/>
        <v/>
      </c>
      <c r="AG282" s="37" t="str">
        <f t="shared" si="84"/>
        <v/>
      </c>
      <c r="AH282" s="40" t="str">
        <f t="shared" si="85"/>
        <v/>
      </c>
      <c r="AI282" s="37" t="str">
        <f t="shared" si="86"/>
        <v/>
      </c>
      <c r="AJ282" s="40" t="str">
        <f t="shared" si="87"/>
        <v/>
      </c>
      <c r="AK282" s="33" t="str">
        <f>IF(SEM!AK282="","",SEM!AK282)</f>
        <v/>
      </c>
      <c r="AL282" s="6"/>
      <c r="AM282" s="79" t="str">
        <f t="shared" si="78"/>
        <v/>
      </c>
      <c r="AR282" s="5"/>
      <c r="AU282" s="198"/>
      <c r="AV282" s="198"/>
      <c r="AW282" s="198"/>
      <c r="AX282" s="198"/>
    </row>
    <row r="283" spans="2:50" ht="17.25" customHeight="1" x14ac:dyDescent="0.2">
      <c r="B283" s="6"/>
      <c r="C283" s="49" t="str">
        <f>IF(SEM!C283="","",SEM!C283)</f>
        <v/>
      </c>
      <c r="D283" s="220" t="str">
        <f>IF(C283="","",VLOOKUP(SEM!C283,FROTA!$B$5:$C$305,2,0))</f>
        <v/>
      </c>
      <c r="E283" s="24" t="str">
        <f>IF(C283="","",VLOOKUP(C283,FROTA!$B$5:$N$305,7,0))</f>
        <v/>
      </c>
      <c r="F283" s="38" t="str">
        <f t="shared" si="77"/>
        <v/>
      </c>
      <c r="G283" s="71" t="str">
        <f t="shared" si="79"/>
        <v/>
      </c>
      <c r="H283" s="32" t="str">
        <f t="shared" si="90"/>
        <v/>
      </c>
      <c r="I283" s="73" t="str">
        <f t="shared" si="90"/>
        <v/>
      </c>
      <c r="J283" s="73" t="str">
        <f t="shared" si="90"/>
        <v/>
      </c>
      <c r="K283" s="73" t="str">
        <f t="shared" si="88"/>
        <v/>
      </c>
      <c r="L283" s="73" t="str">
        <f t="shared" si="88"/>
        <v/>
      </c>
      <c r="M283" s="73" t="str">
        <f t="shared" si="88"/>
        <v/>
      </c>
      <c r="N283" s="73" t="str">
        <f t="shared" si="88"/>
        <v/>
      </c>
      <c r="O283" s="73" t="str">
        <f t="shared" si="88"/>
        <v/>
      </c>
      <c r="P283" s="73" t="str">
        <f t="shared" si="88"/>
        <v/>
      </c>
      <c r="Q283" s="73" t="str">
        <f t="shared" si="88"/>
        <v/>
      </c>
      <c r="R283" s="73" t="str">
        <f t="shared" si="89"/>
        <v/>
      </c>
      <c r="S283" s="73" t="str">
        <f t="shared" si="89"/>
        <v/>
      </c>
      <c r="T283" s="73" t="str">
        <f t="shared" si="89"/>
        <v/>
      </c>
      <c r="U283" s="73" t="str">
        <f t="shared" si="89"/>
        <v/>
      </c>
      <c r="V283" s="73" t="str">
        <f t="shared" si="89"/>
        <v/>
      </c>
      <c r="W283" s="73" t="str">
        <f t="shared" si="89"/>
        <v/>
      </c>
      <c r="X283" s="73" t="str">
        <f t="shared" si="89"/>
        <v/>
      </c>
      <c r="Y283" s="73" t="str">
        <f t="shared" si="89"/>
        <v/>
      </c>
      <c r="Z283" s="73" t="str">
        <f t="shared" si="89"/>
        <v/>
      </c>
      <c r="AA283" s="73" t="str">
        <f t="shared" si="89"/>
        <v/>
      </c>
      <c r="AB283" s="74" t="str">
        <f t="shared" si="89"/>
        <v/>
      </c>
      <c r="AC283" s="35" t="str">
        <f t="shared" si="80"/>
        <v/>
      </c>
      <c r="AD283" s="40" t="str">
        <f t="shared" si="81"/>
        <v/>
      </c>
      <c r="AE283" s="37" t="str">
        <f t="shared" si="82"/>
        <v/>
      </c>
      <c r="AF283" s="40" t="str">
        <f t="shared" si="83"/>
        <v/>
      </c>
      <c r="AG283" s="37" t="str">
        <f t="shared" si="84"/>
        <v/>
      </c>
      <c r="AH283" s="40" t="str">
        <f t="shared" si="85"/>
        <v/>
      </c>
      <c r="AI283" s="37" t="str">
        <f t="shared" si="86"/>
        <v/>
      </c>
      <c r="AJ283" s="40" t="str">
        <f t="shared" si="87"/>
        <v/>
      </c>
      <c r="AK283" s="33" t="str">
        <f>IF(SEM!AK283="","",SEM!AK283)</f>
        <v/>
      </c>
      <c r="AL283" s="6"/>
      <c r="AM283" s="79" t="str">
        <f t="shared" si="78"/>
        <v/>
      </c>
      <c r="AR283" s="5"/>
      <c r="AU283" s="198"/>
      <c r="AV283" s="198"/>
      <c r="AW283" s="198"/>
      <c r="AX283" s="198"/>
    </row>
    <row r="284" spans="2:50" ht="17.25" customHeight="1" x14ac:dyDescent="0.2">
      <c r="B284" s="6"/>
      <c r="C284" s="49" t="str">
        <f>IF(SEM!C284="","",SEM!C284)</f>
        <v/>
      </c>
      <c r="D284" s="220" t="str">
        <f>IF(C284="","",VLOOKUP(SEM!C284,FROTA!$B$5:$C$305,2,0))</f>
        <v/>
      </c>
      <c r="E284" s="24" t="str">
        <f>IF(C284="","",VLOOKUP(C284,FROTA!$B$5:$N$305,7,0))</f>
        <v/>
      </c>
      <c r="F284" s="38" t="str">
        <f t="shared" si="77"/>
        <v/>
      </c>
      <c r="G284" s="71" t="str">
        <f t="shared" si="79"/>
        <v/>
      </c>
      <c r="H284" s="32" t="str">
        <f t="shared" si="90"/>
        <v/>
      </c>
      <c r="I284" s="73" t="str">
        <f t="shared" si="90"/>
        <v/>
      </c>
      <c r="J284" s="73" t="str">
        <f t="shared" si="90"/>
        <v/>
      </c>
      <c r="K284" s="73" t="str">
        <f t="shared" si="88"/>
        <v/>
      </c>
      <c r="L284" s="73" t="str">
        <f t="shared" si="88"/>
        <v/>
      </c>
      <c r="M284" s="73" t="str">
        <f t="shared" si="88"/>
        <v/>
      </c>
      <c r="N284" s="73" t="str">
        <f t="shared" si="88"/>
        <v/>
      </c>
      <c r="O284" s="73" t="str">
        <f t="shared" si="88"/>
        <v/>
      </c>
      <c r="P284" s="73" t="str">
        <f t="shared" si="88"/>
        <v/>
      </c>
      <c r="Q284" s="73" t="str">
        <f t="shared" si="88"/>
        <v/>
      </c>
      <c r="R284" s="73" t="str">
        <f t="shared" si="89"/>
        <v/>
      </c>
      <c r="S284" s="73" t="str">
        <f t="shared" si="89"/>
        <v/>
      </c>
      <c r="T284" s="73" t="str">
        <f t="shared" si="89"/>
        <v/>
      </c>
      <c r="U284" s="73" t="str">
        <f t="shared" si="89"/>
        <v/>
      </c>
      <c r="V284" s="73" t="str">
        <f t="shared" si="89"/>
        <v/>
      </c>
      <c r="W284" s="73" t="str">
        <f t="shared" si="89"/>
        <v/>
      </c>
      <c r="X284" s="73" t="str">
        <f t="shared" si="89"/>
        <v/>
      </c>
      <c r="Y284" s="73" t="str">
        <f t="shared" si="89"/>
        <v/>
      </c>
      <c r="Z284" s="73" t="str">
        <f t="shared" si="89"/>
        <v/>
      </c>
      <c r="AA284" s="73" t="str">
        <f t="shared" si="89"/>
        <v/>
      </c>
      <c r="AB284" s="74" t="str">
        <f t="shared" si="89"/>
        <v/>
      </c>
      <c r="AC284" s="35" t="str">
        <f t="shared" si="80"/>
        <v/>
      </c>
      <c r="AD284" s="40" t="str">
        <f t="shared" si="81"/>
        <v/>
      </c>
      <c r="AE284" s="37" t="str">
        <f t="shared" si="82"/>
        <v/>
      </c>
      <c r="AF284" s="40" t="str">
        <f t="shared" si="83"/>
        <v/>
      </c>
      <c r="AG284" s="37" t="str">
        <f t="shared" si="84"/>
        <v/>
      </c>
      <c r="AH284" s="40" t="str">
        <f t="shared" si="85"/>
        <v/>
      </c>
      <c r="AI284" s="37" t="str">
        <f t="shared" si="86"/>
        <v/>
      </c>
      <c r="AJ284" s="40" t="str">
        <f t="shared" si="87"/>
        <v/>
      </c>
      <c r="AK284" s="33" t="str">
        <f>IF(SEM!AK284="","",SEM!AK284)</f>
        <v/>
      </c>
      <c r="AL284" s="6"/>
      <c r="AM284" s="79" t="str">
        <f t="shared" si="78"/>
        <v/>
      </c>
      <c r="AR284" s="5"/>
      <c r="AU284" s="198"/>
      <c r="AV284" s="198"/>
      <c r="AW284" s="198"/>
      <c r="AX284" s="198"/>
    </row>
    <row r="285" spans="2:50" ht="17.25" customHeight="1" x14ac:dyDescent="0.2">
      <c r="B285" s="6"/>
      <c r="C285" s="49" t="str">
        <f>IF(SEM!C285="","",SEM!C285)</f>
        <v/>
      </c>
      <c r="D285" s="220" t="str">
        <f>IF(C285="","",VLOOKUP(SEM!C285,FROTA!$B$5:$C$305,2,0))</f>
        <v/>
      </c>
      <c r="E285" s="24" t="str">
        <f>IF(C285="","",VLOOKUP(C285,FROTA!$B$5:$N$305,7,0))</f>
        <v/>
      </c>
      <c r="F285" s="38" t="str">
        <f t="shared" si="77"/>
        <v/>
      </c>
      <c r="G285" s="71" t="str">
        <f t="shared" si="79"/>
        <v/>
      </c>
      <c r="H285" s="32" t="str">
        <f t="shared" si="90"/>
        <v/>
      </c>
      <c r="I285" s="73" t="str">
        <f t="shared" si="90"/>
        <v/>
      </c>
      <c r="J285" s="73" t="str">
        <f t="shared" si="90"/>
        <v/>
      </c>
      <c r="K285" s="73" t="str">
        <f t="shared" si="88"/>
        <v/>
      </c>
      <c r="L285" s="73" t="str">
        <f t="shared" si="88"/>
        <v/>
      </c>
      <c r="M285" s="73" t="str">
        <f t="shared" si="88"/>
        <v/>
      </c>
      <c r="N285" s="73" t="str">
        <f t="shared" si="88"/>
        <v/>
      </c>
      <c r="O285" s="73" t="str">
        <f t="shared" si="88"/>
        <v/>
      </c>
      <c r="P285" s="73" t="str">
        <f t="shared" si="88"/>
        <v/>
      </c>
      <c r="Q285" s="73" t="str">
        <f t="shared" si="88"/>
        <v/>
      </c>
      <c r="R285" s="73" t="str">
        <f t="shared" si="89"/>
        <v/>
      </c>
      <c r="S285" s="73" t="str">
        <f t="shared" si="89"/>
        <v/>
      </c>
      <c r="T285" s="73" t="str">
        <f t="shared" si="89"/>
        <v/>
      </c>
      <c r="U285" s="73" t="str">
        <f t="shared" si="89"/>
        <v/>
      </c>
      <c r="V285" s="73" t="str">
        <f t="shared" si="89"/>
        <v/>
      </c>
      <c r="W285" s="73" t="str">
        <f t="shared" si="89"/>
        <v/>
      </c>
      <c r="X285" s="73" t="str">
        <f t="shared" si="89"/>
        <v/>
      </c>
      <c r="Y285" s="73" t="str">
        <f t="shared" si="89"/>
        <v/>
      </c>
      <c r="Z285" s="73" t="str">
        <f t="shared" si="89"/>
        <v/>
      </c>
      <c r="AA285" s="73" t="str">
        <f t="shared" si="89"/>
        <v/>
      </c>
      <c r="AB285" s="74" t="str">
        <f t="shared" si="89"/>
        <v/>
      </c>
      <c r="AC285" s="35" t="str">
        <f t="shared" si="80"/>
        <v/>
      </c>
      <c r="AD285" s="40" t="str">
        <f t="shared" si="81"/>
        <v/>
      </c>
      <c r="AE285" s="37" t="str">
        <f t="shared" si="82"/>
        <v/>
      </c>
      <c r="AF285" s="40" t="str">
        <f t="shared" si="83"/>
        <v/>
      </c>
      <c r="AG285" s="37" t="str">
        <f t="shared" si="84"/>
        <v/>
      </c>
      <c r="AH285" s="40" t="str">
        <f t="shared" si="85"/>
        <v/>
      </c>
      <c r="AI285" s="37" t="str">
        <f t="shared" si="86"/>
        <v/>
      </c>
      <c r="AJ285" s="40" t="str">
        <f t="shared" si="87"/>
        <v/>
      </c>
      <c r="AK285" s="33" t="str">
        <f>IF(SEM!AK285="","",SEM!AK285)</f>
        <v/>
      </c>
      <c r="AL285" s="6"/>
      <c r="AM285" s="79" t="str">
        <f t="shared" si="78"/>
        <v/>
      </c>
      <c r="AR285" s="5"/>
      <c r="AU285" s="198"/>
      <c r="AV285" s="198"/>
      <c r="AW285" s="198"/>
      <c r="AX285" s="198"/>
    </row>
    <row r="286" spans="2:50" ht="17.25" customHeight="1" x14ac:dyDescent="0.2">
      <c r="B286" s="6"/>
      <c r="C286" s="49" t="str">
        <f>IF(SEM!C286="","",SEM!C286)</f>
        <v/>
      </c>
      <c r="D286" s="220" t="str">
        <f>IF(C286="","",VLOOKUP(SEM!C286,FROTA!$B$5:$C$305,2,0))</f>
        <v/>
      </c>
      <c r="E286" s="24" t="str">
        <f>IF(C286="","",VLOOKUP(C286,FROTA!$B$5:$N$305,7,0))</f>
        <v/>
      </c>
      <c r="F286" s="38" t="str">
        <f t="shared" si="77"/>
        <v/>
      </c>
      <c r="G286" s="71" t="str">
        <f t="shared" si="79"/>
        <v/>
      </c>
      <c r="H286" s="32" t="str">
        <f t="shared" si="90"/>
        <v/>
      </c>
      <c r="I286" s="73" t="str">
        <f t="shared" si="90"/>
        <v/>
      </c>
      <c r="J286" s="73" t="str">
        <f t="shared" si="90"/>
        <v/>
      </c>
      <c r="K286" s="73" t="str">
        <f t="shared" si="88"/>
        <v/>
      </c>
      <c r="L286" s="73" t="str">
        <f t="shared" si="88"/>
        <v/>
      </c>
      <c r="M286" s="73" t="str">
        <f t="shared" si="88"/>
        <v/>
      </c>
      <c r="N286" s="73" t="str">
        <f t="shared" si="88"/>
        <v/>
      </c>
      <c r="O286" s="73" t="str">
        <f t="shared" si="88"/>
        <v/>
      </c>
      <c r="P286" s="73" t="str">
        <f t="shared" si="88"/>
        <v/>
      </c>
      <c r="Q286" s="73" t="str">
        <f t="shared" si="88"/>
        <v/>
      </c>
      <c r="R286" s="73" t="str">
        <f t="shared" si="89"/>
        <v/>
      </c>
      <c r="S286" s="73" t="str">
        <f t="shared" si="89"/>
        <v/>
      </c>
      <c r="T286" s="73" t="str">
        <f t="shared" si="89"/>
        <v/>
      </c>
      <c r="U286" s="73" t="str">
        <f t="shared" si="89"/>
        <v/>
      </c>
      <c r="V286" s="73" t="str">
        <f t="shared" si="89"/>
        <v/>
      </c>
      <c r="W286" s="73" t="str">
        <f t="shared" si="89"/>
        <v/>
      </c>
      <c r="X286" s="73" t="str">
        <f t="shared" si="89"/>
        <v/>
      </c>
      <c r="Y286" s="73" t="str">
        <f t="shared" si="89"/>
        <v/>
      </c>
      <c r="Z286" s="73" t="str">
        <f t="shared" si="89"/>
        <v/>
      </c>
      <c r="AA286" s="73" t="str">
        <f t="shared" si="89"/>
        <v/>
      </c>
      <c r="AB286" s="74" t="str">
        <f t="shared" si="89"/>
        <v/>
      </c>
      <c r="AC286" s="35" t="str">
        <f t="shared" si="80"/>
        <v/>
      </c>
      <c r="AD286" s="40" t="str">
        <f t="shared" si="81"/>
        <v/>
      </c>
      <c r="AE286" s="37" t="str">
        <f t="shared" si="82"/>
        <v/>
      </c>
      <c r="AF286" s="40" t="str">
        <f t="shared" si="83"/>
        <v/>
      </c>
      <c r="AG286" s="37" t="str">
        <f t="shared" si="84"/>
        <v/>
      </c>
      <c r="AH286" s="40" t="str">
        <f t="shared" si="85"/>
        <v/>
      </c>
      <c r="AI286" s="37" t="str">
        <f t="shared" si="86"/>
        <v/>
      </c>
      <c r="AJ286" s="40" t="str">
        <f t="shared" si="87"/>
        <v/>
      </c>
      <c r="AK286" s="33" t="str">
        <f>IF(SEM!AK286="","",SEM!AK286)</f>
        <v/>
      </c>
      <c r="AL286" s="6"/>
      <c r="AM286" s="79" t="str">
        <f t="shared" si="78"/>
        <v/>
      </c>
      <c r="AR286" s="5"/>
      <c r="AU286" s="198"/>
      <c r="AV286" s="198"/>
      <c r="AW286" s="198"/>
      <c r="AX286" s="198"/>
    </row>
    <row r="287" spans="2:50" ht="17.25" customHeight="1" x14ac:dyDescent="0.2">
      <c r="B287" s="6"/>
      <c r="C287" s="49" t="str">
        <f>IF(SEM!C287="","",SEM!C287)</f>
        <v/>
      </c>
      <c r="D287" s="220" t="str">
        <f>IF(C287="","",VLOOKUP(SEM!C287,FROTA!$B$5:$C$305,2,0))</f>
        <v/>
      </c>
      <c r="E287" s="24" t="str">
        <f>IF(C287="","",VLOOKUP(C287,FROTA!$B$5:$N$305,7,0))</f>
        <v/>
      </c>
      <c r="F287" s="38" t="str">
        <f t="shared" si="77"/>
        <v/>
      </c>
      <c r="G287" s="71" t="str">
        <f t="shared" si="79"/>
        <v/>
      </c>
      <c r="H287" s="32" t="str">
        <f t="shared" si="90"/>
        <v/>
      </c>
      <c r="I287" s="73" t="str">
        <f t="shared" si="90"/>
        <v/>
      </c>
      <c r="J287" s="73" t="str">
        <f t="shared" si="90"/>
        <v/>
      </c>
      <c r="K287" s="73" t="str">
        <f t="shared" si="88"/>
        <v/>
      </c>
      <c r="L287" s="73" t="str">
        <f t="shared" si="88"/>
        <v/>
      </c>
      <c r="M287" s="73" t="str">
        <f t="shared" si="88"/>
        <v/>
      </c>
      <c r="N287" s="73" t="str">
        <f t="shared" si="88"/>
        <v/>
      </c>
      <c r="O287" s="73" t="str">
        <f t="shared" si="88"/>
        <v/>
      </c>
      <c r="P287" s="73" t="str">
        <f t="shared" si="88"/>
        <v/>
      </c>
      <c r="Q287" s="73" t="str">
        <f t="shared" si="88"/>
        <v/>
      </c>
      <c r="R287" s="73" t="str">
        <f t="shared" si="89"/>
        <v/>
      </c>
      <c r="S287" s="73" t="str">
        <f t="shared" si="89"/>
        <v/>
      </c>
      <c r="T287" s="73" t="str">
        <f t="shared" si="89"/>
        <v/>
      </c>
      <c r="U287" s="73" t="str">
        <f t="shared" si="89"/>
        <v/>
      </c>
      <c r="V287" s="73" t="str">
        <f t="shared" si="89"/>
        <v/>
      </c>
      <c r="W287" s="73" t="str">
        <f t="shared" si="89"/>
        <v/>
      </c>
      <c r="X287" s="73" t="str">
        <f t="shared" si="89"/>
        <v/>
      </c>
      <c r="Y287" s="73" t="str">
        <f t="shared" si="89"/>
        <v/>
      </c>
      <c r="Z287" s="73" t="str">
        <f t="shared" si="89"/>
        <v/>
      </c>
      <c r="AA287" s="73" t="str">
        <f t="shared" si="89"/>
        <v/>
      </c>
      <c r="AB287" s="74" t="str">
        <f t="shared" si="89"/>
        <v/>
      </c>
      <c r="AC287" s="35" t="str">
        <f t="shared" si="80"/>
        <v/>
      </c>
      <c r="AD287" s="40" t="str">
        <f t="shared" si="81"/>
        <v/>
      </c>
      <c r="AE287" s="37" t="str">
        <f t="shared" si="82"/>
        <v/>
      </c>
      <c r="AF287" s="40" t="str">
        <f t="shared" si="83"/>
        <v/>
      </c>
      <c r="AG287" s="37" t="str">
        <f t="shared" si="84"/>
        <v/>
      </c>
      <c r="AH287" s="40" t="str">
        <f t="shared" si="85"/>
        <v/>
      </c>
      <c r="AI287" s="37" t="str">
        <f t="shared" si="86"/>
        <v/>
      </c>
      <c r="AJ287" s="40" t="str">
        <f t="shared" si="87"/>
        <v/>
      </c>
      <c r="AK287" s="33" t="str">
        <f>IF(SEM!AK287="","",SEM!AK287)</f>
        <v/>
      </c>
      <c r="AL287" s="6"/>
      <c r="AM287" s="79" t="str">
        <f t="shared" si="78"/>
        <v/>
      </c>
      <c r="AR287" s="5"/>
      <c r="AU287" s="198"/>
      <c r="AV287" s="198"/>
      <c r="AW287" s="198"/>
      <c r="AX287" s="198"/>
    </row>
    <row r="288" spans="2:50" ht="17.25" customHeight="1" x14ac:dyDescent="0.2">
      <c r="B288" s="6"/>
      <c r="C288" s="49" t="str">
        <f>IF(SEM!C288="","",SEM!C288)</f>
        <v/>
      </c>
      <c r="D288" s="220" t="str">
        <f>IF(C288="","",VLOOKUP(SEM!C288,FROTA!$B$5:$C$305,2,0))</f>
        <v/>
      </c>
      <c r="E288" s="24" t="str">
        <f>IF(C288="","",VLOOKUP(C288,FROTA!$B$5:$N$305,7,0))</f>
        <v/>
      </c>
      <c r="F288" s="38" t="str">
        <f t="shared" si="77"/>
        <v/>
      </c>
      <c r="G288" s="71" t="str">
        <f t="shared" si="79"/>
        <v/>
      </c>
      <c r="H288" s="32" t="str">
        <f t="shared" si="90"/>
        <v/>
      </c>
      <c r="I288" s="73" t="str">
        <f t="shared" si="90"/>
        <v/>
      </c>
      <c r="J288" s="73" t="str">
        <f t="shared" si="90"/>
        <v/>
      </c>
      <c r="K288" s="73" t="str">
        <f t="shared" si="88"/>
        <v/>
      </c>
      <c r="L288" s="73" t="str">
        <f t="shared" si="88"/>
        <v/>
      </c>
      <c r="M288" s="73" t="str">
        <f t="shared" si="88"/>
        <v/>
      </c>
      <c r="N288" s="73" t="str">
        <f t="shared" si="88"/>
        <v/>
      </c>
      <c r="O288" s="73" t="str">
        <f t="shared" si="88"/>
        <v/>
      </c>
      <c r="P288" s="73" t="str">
        <f t="shared" si="88"/>
        <v/>
      </c>
      <c r="Q288" s="73" t="str">
        <f t="shared" si="88"/>
        <v/>
      </c>
      <c r="R288" s="73" t="str">
        <f t="shared" si="89"/>
        <v/>
      </c>
      <c r="S288" s="73" t="str">
        <f t="shared" si="89"/>
        <v/>
      </c>
      <c r="T288" s="73" t="str">
        <f t="shared" si="89"/>
        <v/>
      </c>
      <c r="U288" s="73" t="str">
        <f t="shared" si="89"/>
        <v/>
      </c>
      <c r="V288" s="73" t="str">
        <f t="shared" si="89"/>
        <v/>
      </c>
      <c r="W288" s="73" t="str">
        <f t="shared" si="89"/>
        <v/>
      </c>
      <c r="X288" s="73" t="str">
        <f t="shared" si="89"/>
        <v/>
      </c>
      <c r="Y288" s="73" t="str">
        <f t="shared" si="89"/>
        <v/>
      </c>
      <c r="Z288" s="73" t="str">
        <f t="shared" si="89"/>
        <v/>
      </c>
      <c r="AA288" s="73" t="str">
        <f t="shared" si="89"/>
        <v/>
      </c>
      <c r="AB288" s="74" t="str">
        <f t="shared" si="89"/>
        <v/>
      </c>
      <c r="AC288" s="35" t="str">
        <f t="shared" si="80"/>
        <v/>
      </c>
      <c r="AD288" s="40" t="str">
        <f t="shared" si="81"/>
        <v/>
      </c>
      <c r="AE288" s="37" t="str">
        <f t="shared" si="82"/>
        <v/>
      </c>
      <c r="AF288" s="40" t="str">
        <f t="shared" si="83"/>
        <v/>
      </c>
      <c r="AG288" s="37" t="str">
        <f t="shared" si="84"/>
        <v/>
      </c>
      <c r="AH288" s="40" t="str">
        <f t="shared" si="85"/>
        <v/>
      </c>
      <c r="AI288" s="37" t="str">
        <f t="shared" si="86"/>
        <v/>
      </c>
      <c r="AJ288" s="40" t="str">
        <f t="shared" si="87"/>
        <v/>
      </c>
      <c r="AK288" s="33" t="str">
        <f>IF(SEM!AK288="","",SEM!AK288)</f>
        <v/>
      </c>
      <c r="AL288" s="6"/>
      <c r="AM288" s="79" t="str">
        <f t="shared" si="78"/>
        <v/>
      </c>
      <c r="AR288" s="5"/>
      <c r="AU288" s="198"/>
      <c r="AV288" s="198"/>
      <c r="AW288" s="198"/>
      <c r="AX288" s="198"/>
    </row>
    <row r="289" spans="2:50" ht="17.25" customHeight="1" x14ac:dyDescent="0.2">
      <c r="B289" s="6"/>
      <c r="C289" s="49" t="str">
        <f>IF(SEM!C289="","",SEM!C289)</f>
        <v/>
      </c>
      <c r="D289" s="220" t="str">
        <f>IF(C289="","",VLOOKUP(SEM!C289,FROTA!$B$5:$C$305,2,0))</f>
        <v/>
      </c>
      <c r="E289" s="24" t="str">
        <f>IF(C289="","",VLOOKUP(C289,FROTA!$B$5:$N$305,7,0))</f>
        <v/>
      </c>
      <c r="F289" s="38" t="str">
        <f t="shared" si="77"/>
        <v/>
      </c>
      <c r="G289" s="71" t="str">
        <f t="shared" si="79"/>
        <v/>
      </c>
      <c r="H289" s="32" t="str">
        <f t="shared" si="90"/>
        <v/>
      </c>
      <c r="I289" s="73" t="str">
        <f t="shared" si="90"/>
        <v/>
      </c>
      <c r="J289" s="73" t="str">
        <f t="shared" si="90"/>
        <v/>
      </c>
      <c r="K289" s="73" t="str">
        <f t="shared" si="88"/>
        <v/>
      </c>
      <c r="L289" s="73" t="str">
        <f t="shared" si="88"/>
        <v/>
      </c>
      <c r="M289" s="73" t="str">
        <f t="shared" si="88"/>
        <v/>
      </c>
      <c r="N289" s="73" t="str">
        <f t="shared" si="88"/>
        <v/>
      </c>
      <c r="O289" s="73" t="str">
        <f t="shared" si="88"/>
        <v/>
      </c>
      <c r="P289" s="73" t="str">
        <f t="shared" si="88"/>
        <v/>
      </c>
      <c r="Q289" s="73" t="str">
        <f t="shared" si="88"/>
        <v/>
      </c>
      <c r="R289" s="73" t="str">
        <f t="shared" si="89"/>
        <v/>
      </c>
      <c r="S289" s="73" t="str">
        <f t="shared" si="89"/>
        <v/>
      </c>
      <c r="T289" s="73" t="str">
        <f t="shared" si="89"/>
        <v/>
      </c>
      <c r="U289" s="73" t="str">
        <f t="shared" si="89"/>
        <v/>
      </c>
      <c r="V289" s="73" t="str">
        <f t="shared" si="89"/>
        <v/>
      </c>
      <c r="W289" s="73" t="str">
        <f t="shared" si="89"/>
        <v/>
      </c>
      <c r="X289" s="73" t="str">
        <f t="shared" si="89"/>
        <v/>
      </c>
      <c r="Y289" s="73" t="str">
        <f t="shared" si="89"/>
        <v/>
      </c>
      <c r="Z289" s="73" t="str">
        <f t="shared" si="89"/>
        <v/>
      </c>
      <c r="AA289" s="73" t="str">
        <f t="shared" si="89"/>
        <v/>
      </c>
      <c r="AB289" s="74" t="str">
        <f t="shared" si="89"/>
        <v/>
      </c>
      <c r="AC289" s="35" t="str">
        <f t="shared" si="80"/>
        <v/>
      </c>
      <c r="AD289" s="40" t="str">
        <f t="shared" si="81"/>
        <v/>
      </c>
      <c r="AE289" s="37" t="str">
        <f t="shared" si="82"/>
        <v/>
      </c>
      <c r="AF289" s="40" t="str">
        <f t="shared" si="83"/>
        <v/>
      </c>
      <c r="AG289" s="37" t="str">
        <f t="shared" si="84"/>
        <v/>
      </c>
      <c r="AH289" s="40" t="str">
        <f t="shared" si="85"/>
        <v/>
      </c>
      <c r="AI289" s="37" t="str">
        <f t="shared" si="86"/>
        <v/>
      </c>
      <c r="AJ289" s="40" t="str">
        <f t="shared" si="87"/>
        <v/>
      </c>
      <c r="AK289" s="33" t="str">
        <f>IF(SEM!AK289="","",SEM!AK289)</f>
        <v/>
      </c>
      <c r="AL289" s="6"/>
      <c r="AM289" s="79" t="str">
        <f t="shared" si="78"/>
        <v/>
      </c>
      <c r="AR289" s="5"/>
      <c r="AU289" s="198"/>
      <c r="AV289" s="198"/>
      <c r="AW289" s="198"/>
      <c r="AX289" s="198"/>
    </row>
    <row r="290" spans="2:50" ht="17.25" customHeight="1" x14ac:dyDescent="0.2">
      <c r="B290" s="6"/>
      <c r="C290" s="49" t="str">
        <f>IF(SEM!C290="","",SEM!C290)</f>
        <v/>
      </c>
      <c r="D290" s="220" t="str">
        <f>IF(C290="","",VLOOKUP(SEM!C290,FROTA!$B$5:$C$305,2,0))</f>
        <v/>
      </c>
      <c r="E290" s="24" t="str">
        <f>IF(C290="","",VLOOKUP(C290,FROTA!$B$5:$N$305,7,0))</f>
        <v/>
      </c>
      <c r="F290" s="38" t="str">
        <f t="shared" si="77"/>
        <v/>
      </c>
      <c r="G290" s="71" t="str">
        <f t="shared" si="79"/>
        <v/>
      </c>
      <c r="H290" s="32" t="str">
        <f t="shared" si="90"/>
        <v/>
      </c>
      <c r="I290" s="73" t="str">
        <f t="shared" si="90"/>
        <v/>
      </c>
      <c r="J290" s="73" t="str">
        <f t="shared" si="90"/>
        <v/>
      </c>
      <c r="K290" s="73" t="str">
        <f t="shared" si="88"/>
        <v/>
      </c>
      <c r="L290" s="73" t="str">
        <f t="shared" si="88"/>
        <v/>
      </c>
      <c r="M290" s="73" t="str">
        <f t="shared" si="88"/>
        <v/>
      </c>
      <c r="N290" s="73" t="str">
        <f t="shared" si="88"/>
        <v/>
      </c>
      <c r="O290" s="73" t="str">
        <f t="shared" si="88"/>
        <v/>
      </c>
      <c r="P290" s="73" t="str">
        <f t="shared" si="88"/>
        <v/>
      </c>
      <c r="Q290" s="73" t="str">
        <f t="shared" si="88"/>
        <v/>
      </c>
      <c r="R290" s="73" t="str">
        <f t="shared" si="89"/>
        <v/>
      </c>
      <c r="S290" s="73" t="str">
        <f t="shared" si="89"/>
        <v/>
      </c>
      <c r="T290" s="73" t="str">
        <f t="shared" si="89"/>
        <v/>
      </c>
      <c r="U290" s="73" t="str">
        <f t="shared" si="89"/>
        <v/>
      </c>
      <c r="V290" s="73" t="str">
        <f t="shared" si="89"/>
        <v/>
      </c>
      <c r="W290" s="73" t="str">
        <f t="shared" si="89"/>
        <v/>
      </c>
      <c r="X290" s="73" t="str">
        <f t="shared" si="89"/>
        <v/>
      </c>
      <c r="Y290" s="73" t="str">
        <f t="shared" si="89"/>
        <v/>
      </c>
      <c r="Z290" s="73" t="str">
        <f t="shared" si="89"/>
        <v/>
      </c>
      <c r="AA290" s="73" t="str">
        <f t="shared" si="89"/>
        <v/>
      </c>
      <c r="AB290" s="74" t="str">
        <f t="shared" si="89"/>
        <v/>
      </c>
      <c r="AC290" s="35" t="str">
        <f t="shared" si="80"/>
        <v/>
      </c>
      <c r="AD290" s="40" t="str">
        <f t="shared" si="81"/>
        <v/>
      </c>
      <c r="AE290" s="37" t="str">
        <f t="shared" si="82"/>
        <v/>
      </c>
      <c r="AF290" s="40" t="str">
        <f t="shared" si="83"/>
        <v/>
      </c>
      <c r="AG290" s="37" t="str">
        <f t="shared" si="84"/>
        <v/>
      </c>
      <c r="AH290" s="40" t="str">
        <f t="shared" si="85"/>
        <v/>
      </c>
      <c r="AI290" s="37" t="str">
        <f t="shared" si="86"/>
        <v/>
      </c>
      <c r="AJ290" s="40" t="str">
        <f t="shared" si="87"/>
        <v/>
      </c>
      <c r="AK290" s="33" t="str">
        <f>IF(SEM!AK290="","",SEM!AK290)</f>
        <v/>
      </c>
      <c r="AL290" s="6"/>
      <c r="AM290" s="79" t="str">
        <f t="shared" si="78"/>
        <v/>
      </c>
      <c r="AR290" s="5"/>
      <c r="AU290" s="198"/>
      <c r="AV290" s="198"/>
      <c r="AW290" s="198"/>
      <c r="AX290" s="198"/>
    </row>
    <row r="291" spans="2:50" ht="17.25" customHeight="1" x14ac:dyDescent="0.2">
      <c r="B291" s="6"/>
      <c r="C291" s="49" t="str">
        <f>IF(SEM!C291="","",SEM!C291)</f>
        <v/>
      </c>
      <c r="D291" s="220" t="str">
        <f>IF(C291="","",VLOOKUP(SEM!C291,FROTA!$B$5:$C$305,2,0))</f>
        <v/>
      </c>
      <c r="E291" s="24" t="str">
        <f>IF(C291="","",VLOOKUP(C291,FROTA!$B$5:$N$305,7,0))</f>
        <v/>
      </c>
      <c r="F291" s="38" t="str">
        <f t="shared" si="77"/>
        <v/>
      </c>
      <c r="G291" s="71" t="str">
        <f t="shared" si="79"/>
        <v/>
      </c>
      <c r="H291" s="32" t="str">
        <f t="shared" si="90"/>
        <v/>
      </c>
      <c r="I291" s="73" t="str">
        <f t="shared" si="90"/>
        <v/>
      </c>
      <c r="J291" s="73" t="str">
        <f t="shared" si="90"/>
        <v/>
      </c>
      <c r="K291" s="73" t="str">
        <f t="shared" si="88"/>
        <v/>
      </c>
      <c r="L291" s="73" t="str">
        <f t="shared" si="88"/>
        <v/>
      </c>
      <c r="M291" s="73" t="str">
        <f t="shared" si="88"/>
        <v/>
      </c>
      <c r="N291" s="73" t="str">
        <f t="shared" si="88"/>
        <v/>
      </c>
      <c r="O291" s="73" t="str">
        <f t="shared" si="88"/>
        <v/>
      </c>
      <c r="P291" s="73" t="str">
        <f t="shared" si="88"/>
        <v/>
      </c>
      <c r="Q291" s="73" t="str">
        <f t="shared" si="88"/>
        <v/>
      </c>
      <c r="R291" s="73" t="str">
        <f t="shared" si="89"/>
        <v/>
      </c>
      <c r="S291" s="73" t="str">
        <f t="shared" si="89"/>
        <v/>
      </c>
      <c r="T291" s="73" t="str">
        <f t="shared" si="89"/>
        <v/>
      </c>
      <c r="U291" s="73" t="str">
        <f t="shared" si="89"/>
        <v/>
      </c>
      <c r="V291" s="73" t="str">
        <f t="shared" si="89"/>
        <v/>
      </c>
      <c r="W291" s="73" t="str">
        <f t="shared" si="89"/>
        <v/>
      </c>
      <c r="X291" s="73" t="str">
        <f t="shared" si="89"/>
        <v/>
      </c>
      <c r="Y291" s="73" t="str">
        <f t="shared" si="89"/>
        <v/>
      </c>
      <c r="Z291" s="73" t="str">
        <f t="shared" si="89"/>
        <v/>
      </c>
      <c r="AA291" s="73" t="str">
        <f t="shared" si="89"/>
        <v/>
      </c>
      <c r="AB291" s="74" t="str">
        <f t="shared" si="89"/>
        <v/>
      </c>
      <c r="AC291" s="35" t="str">
        <f t="shared" si="80"/>
        <v/>
      </c>
      <c r="AD291" s="40" t="str">
        <f t="shared" si="81"/>
        <v/>
      </c>
      <c r="AE291" s="37" t="str">
        <f t="shared" si="82"/>
        <v/>
      </c>
      <c r="AF291" s="40" t="str">
        <f t="shared" si="83"/>
        <v/>
      </c>
      <c r="AG291" s="37" t="str">
        <f t="shared" si="84"/>
        <v/>
      </c>
      <c r="AH291" s="40" t="str">
        <f t="shared" si="85"/>
        <v/>
      </c>
      <c r="AI291" s="37" t="str">
        <f t="shared" si="86"/>
        <v/>
      </c>
      <c r="AJ291" s="40" t="str">
        <f t="shared" si="87"/>
        <v/>
      </c>
      <c r="AK291" s="33" t="str">
        <f>IF(SEM!AK291="","",SEM!AK291)</f>
        <v/>
      </c>
      <c r="AL291" s="6"/>
      <c r="AM291" s="79" t="str">
        <f t="shared" si="78"/>
        <v/>
      </c>
      <c r="AR291" s="5"/>
      <c r="AU291" s="198"/>
      <c r="AV291" s="198"/>
      <c r="AW291" s="198"/>
      <c r="AX291" s="198"/>
    </row>
    <row r="292" spans="2:50" ht="17.25" customHeight="1" x14ac:dyDescent="0.2">
      <c r="B292" s="6"/>
      <c r="C292" s="49" t="str">
        <f>IF(SEM!C292="","",SEM!C292)</f>
        <v/>
      </c>
      <c r="D292" s="220" t="str">
        <f>IF(C292="","",VLOOKUP(SEM!C292,FROTA!$B$5:$C$305,2,0))</f>
        <v/>
      </c>
      <c r="E292" s="24" t="str">
        <f>IF(C292="","",VLOOKUP(C292,FROTA!$B$5:$N$305,7,0))</f>
        <v/>
      </c>
      <c r="F292" s="38" t="str">
        <f t="shared" si="77"/>
        <v/>
      </c>
      <c r="G292" s="71" t="str">
        <f t="shared" si="79"/>
        <v/>
      </c>
      <c r="H292" s="32" t="str">
        <f t="shared" si="90"/>
        <v/>
      </c>
      <c r="I292" s="73" t="str">
        <f t="shared" si="90"/>
        <v/>
      </c>
      <c r="J292" s="73" t="str">
        <f t="shared" si="90"/>
        <v/>
      </c>
      <c r="K292" s="73" t="str">
        <f t="shared" si="88"/>
        <v/>
      </c>
      <c r="L292" s="73" t="str">
        <f t="shared" si="88"/>
        <v/>
      </c>
      <c r="M292" s="73" t="str">
        <f t="shared" si="88"/>
        <v/>
      </c>
      <c r="N292" s="73" t="str">
        <f t="shared" si="88"/>
        <v/>
      </c>
      <c r="O292" s="73" t="str">
        <f t="shared" si="88"/>
        <v/>
      </c>
      <c r="P292" s="73" t="str">
        <f t="shared" si="88"/>
        <v/>
      </c>
      <c r="Q292" s="73" t="str">
        <f t="shared" si="88"/>
        <v/>
      </c>
      <c r="R292" s="73" t="str">
        <f t="shared" si="89"/>
        <v/>
      </c>
      <c r="S292" s="73" t="str">
        <f t="shared" si="89"/>
        <v/>
      </c>
      <c r="T292" s="73" t="str">
        <f t="shared" si="89"/>
        <v/>
      </c>
      <c r="U292" s="73" t="str">
        <f t="shared" si="89"/>
        <v/>
      </c>
      <c r="V292" s="73" t="str">
        <f t="shared" si="89"/>
        <v/>
      </c>
      <c r="W292" s="73" t="str">
        <f t="shared" si="89"/>
        <v/>
      </c>
      <c r="X292" s="73" t="str">
        <f t="shared" si="89"/>
        <v/>
      </c>
      <c r="Y292" s="73" t="str">
        <f t="shared" si="89"/>
        <v/>
      </c>
      <c r="Z292" s="73" t="str">
        <f t="shared" si="89"/>
        <v/>
      </c>
      <c r="AA292" s="73" t="str">
        <f t="shared" si="89"/>
        <v/>
      </c>
      <c r="AB292" s="74" t="str">
        <f t="shared" si="89"/>
        <v/>
      </c>
      <c r="AC292" s="35" t="str">
        <f t="shared" si="80"/>
        <v/>
      </c>
      <c r="AD292" s="40" t="str">
        <f t="shared" si="81"/>
        <v/>
      </c>
      <c r="AE292" s="37" t="str">
        <f t="shared" si="82"/>
        <v/>
      </c>
      <c r="AF292" s="40" t="str">
        <f t="shared" si="83"/>
        <v/>
      </c>
      <c r="AG292" s="37" t="str">
        <f t="shared" si="84"/>
        <v/>
      </c>
      <c r="AH292" s="40" t="str">
        <f t="shared" si="85"/>
        <v/>
      </c>
      <c r="AI292" s="37" t="str">
        <f t="shared" si="86"/>
        <v/>
      </c>
      <c r="AJ292" s="40" t="str">
        <f t="shared" si="87"/>
        <v/>
      </c>
      <c r="AK292" s="33" t="str">
        <f>IF(SEM!AK292="","",SEM!AK292)</f>
        <v/>
      </c>
      <c r="AL292" s="6"/>
      <c r="AM292" s="79" t="str">
        <f t="shared" si="78"/>
        <v/>
      </c>
      <c r="AR292" s="5"/>
      <c r="AU292" s="198"/>
      <c r="AV292" s="198"/>
      <c r="AW292" s="198"/>
      <c r="AX292" s="198"/>
    </row>
    <row r="293" spans="2:50" ht="17.25" customHeight="1" x14ac:dyDescent="0.2">
      <c r="B293" s="6"/>
      <c r="C293" s="49" t="str">
        <f>IF(SEM!C293="","",SEM!C293)</f>
        <v/>
      </c>
      <c r="D293" s="220" t="str">
        <f>IF(C293="","",VLOOKUP(SEM!C293,FROTA!$B$5:$C$305,2,0))</f>
        <v/>
      </c>
      <c r="E293" s="24" t="str">
        <f>IF(C293="","",VLOOKUP(C293,FROTA!$B$5:$N$305,7,0))</f>
        <v/>
      </c>
      <c r="F293" s="38" t="str">
        <f t="shared" si="77"/>
        <v/>
      </c>
      <c r="G293" s="71" t="str">
        <f t="shared" si="79"/>
        <v/>
      </c>
      <c r="H293" s="32" t="str">
        <f t="shared" si="90"/>
        <v/>
      </c>
      <c r="I293" s="73" t="str">
        <f t="shared" si="90"/>
        <v/>
      </c>
      <c r="J293" s="73" t="str">
        <f t="shared" si="90"/>
        <v/>
      </c>
      <c r="K293" s="73" t="str">
        <f t="shared" si="88"/>
        <v/>
      </c>
      <c r="L293" s="73" t="str">
        <f t="shared" si="88"/>
        <v/>
      </c>
      <c r="M293" s="73" t="str">
        <f t="shared" si="88"/>
        <v/>
      </c>
      <c r="N293" s="73" t="str">
        <f t="shared" si="88"/>
        <v/>
      </c>
      <c r="O293" s="73" t="str">
        <f t="shared" si="88"/>
        <v/>
      </c>
      <c r="P293" s="73" t="str">
        <f t="shared" si="88"/>
        <v/>
      </c>
      <c r="Q293" s="73" t="str">
        <f t="shared" si="88"/>
        <v/>
      </c>
      <c r="R293" s="73" t="str">
        <f t="shared" si="89"/>
        <v/>
      </c>
      <c r="S293" s="73" t="str">
        <f t="shared" si="89"/>
        <v/>
      </c>
      <c r="T293" s="73" t="str">
        <f t="shared" si="89"/>
        <v/>
      </c>
      <c r="U293" s="73" t="str">
        <f t="shared" si="89"/>
        <v/>
      </c>
      <c r="V293" s="73" t="str">
        <f t="shared" si="89"/>
        <v/>
      </c>
      <c r="W293" s="73" t="str">
        <f t="shared" si="89"/>
        <v/>
      </c>
      <c r="X293" s="73" t="str">
        <f t="shared" si="89"/>
        <v/>
      </c>
      <c r="Y293" s="73" t="str">
        <f t="shared" si="89"/>
        <v/>
      </c>
      <c r="Z293" s="73" t="str">
        <f t="shared" si="89"/>
        <v/>
      </c>
      <c r="AA293" s="73" t="str">
        <f t="shared" si="89"/>
        <v/>
      </c>
      <c r="AB293" s="74" t="str">
        <f t="shared" si="89"/>
        <v/>
      </c>
      <c r="AC293" s="35" t="str">
        <f t="shared" si="80"/>
        <v/>
      </c>
      <c r="AD293" s="40" t="str">
        <f t="shared" si="81"/>
        <v/>
      </c>
      <c r="AE293" s="37" t="str">
        <f t="shared" si="82"/>
        <v/>
      </c>
      <c r="AF293" s="40" t="str">
        <f t="shared" si="83"/>
        <v/>
      </c>
      <c r="AG293" s="37" t="str">
        <f t="shared" si="84"/>
        <v/>
      </c>
      <c r="AH293" s="40" t="str">
        <f t="shared" si="85"/>
        <v/>
      </c>
      <c r="AI293" s="37" t="str">
        <f t="shared" si="86"/>
        <v/>
      </c>
      <c r="AJ293" s="40" t="str">
        <f t="shared" si="87"/>
        <v/>
      </c>
      <c r="AK293" s="33" t="str">
        <f>IF(SEM!AK293="","",SEM!AK293)</f>
        <v/>
      </c>
      <c r="AL293" s="6"/>
      <c r="AM293" s="79" t="str">
        <f t="shared" si="78"/>
        <v/>
      </c>
      <c r="AR293" s="5"/>
      <c r="AU293" s="198"/>
      <c r="AV293" s="198"/>
      <c r="AW293" s="198"/>
      <c r="AX293" s="198"/>
    </row>
    <row r="294" spans="2:50" ht="17.25" customHeight="1" x14ac:dyDescent="0.2">
      <c r="B294" s="6"/>
      <c r="C294" s="49" t="str">
        <f>IF(SEM!C294="","",SEM!C294)</f>
        <v/>
      </c>
      <c r="D294" s="220" t="str">
        <f>IF(C294="","",VLOOKUP(SEM!C294,FROTA!$B$5:$C$305,2,0))</f>
        <v/>
      </c>
      <c r="E294" s="24" t="str">
        <f>IF(C294="","",VLOOKUP(C294,FROTA!$B$5:$N$305,7,0))</f>
        <v/>
      </c>
      <c r="F294" s="38" t="str">
        <f t="shared" si="77"/>
        <v/>
      </c>
      <c r="G294" s="71" t="str">
        <f t="shared" si="79"/>
        <v/>
      </c>
      <c r="H294" s="32" t="str">
        <f t="shared" si="90"/>
        <v/>
      </c>
      <c r="I294" s="73" t="str">
        <f t="shared" si="90"/>
        <v/>
      </c>
      <c r="J294" s="73" t="str">
        <f t="shared" si="90"/>
        <v/>
      </c>
      <c r="K294" s="73" t="str">
        <f t="shared" si="88"/>
        <v/>
      </c>
      <c r="L294" s="73" t="str">
        <f t="shared" si="88"/>
        <v/>
      </c>
      <c r="M294" s="73" t="str">
        <f t="shared" si="88"/>
        <v/>
      </c>
      <c r="N294" s="73" t="str">
        <f t="shared" si="88"/>
        <v/>
      </c>
      <c r="O294" s="73" t="str">
        <f t="shared" si="88"/>
        <v/>
      </c>
      <c r="P294" s="73" t="str">
        <f t="shared" si="88"/>
        <v/>
      </c>
      <c r="Q294" s="73" t="str">
        <f t="shared" si="88"/>
        <v/>
      </c>
      <c r="R294" s="73" t="str">
        <f t="shared" si="89"/>
        <v/>
      </c>
      <c r="S294" s="73" t="str">
        <f t="shared" si="89"/>
        <v/>
      </c>
      <c r="T294" s="73" t="str">
        <f t="shared" si="89"/>
        <v/>
      </c>
      <c r="U294" s="73" t="str">
        <f t="shared" si="89"/>
        <v/>
      </c>
      <c r="V294" s="73" t="str">
        <f t="shared" si="89"/>
        <v/>
      </c>
      <c r="W294" s="73" t="str">
        <f t="shared" si="89"/>
        <v/>
      </c>
      <c r="X294" s="73" t="str">
        <f t="shared" si="89"/>
        <v/>
      </c>
      <c r="Y294" s="73" t="str">
        <f t="shared" si="89"/>
        <v/>
      </c>
      <c r="Z294" s="73" t="str">
        <f t="shared" si="89"/>
        <v/>
      </c>
      <c r="AA294" s="73" t="str">
        <f t="shared" si="89"/>
        <v/>
      </c>
      <c r="AB294" s="74" t="str">
        <f t="shared" si="89"/>
        <v/>
      </c>
      <c r="AC294" s="35" t="str">
        <f t="shared" si="80"/>
        <v/>
      </c>
      <c r="AD294" s="40" t="str">
        <f t="shared" si="81"/>
        <v/>
      </c>
      <c r="AE294" s="37" t="str">
        <f t="shared" si="82"/>
        <v/>
      </c>
      <c r="AF294" s="40" t="str">
        <f t="shared" si="83"/>
        <v/>
      </c>
      <c r="AG294" s="37" t="str">
        <f t="shared" si="84"/>
        <v/>
      </c>
      <c r="AH294" s="40" t="str">
        <f t="shared" si="85"/>
        <v/>
      </c>
      <c r="AI294" s="37" t="str">
        <f t="shared" si="86"/>
        <v/>
      </c>
      <c r="AJ294" s="40" t="str">
        <f t="shared" si="87"/>
        <v/>
      </c>
      <c r="AK294" s="33" t="str">
        <f>IF(SEM!AK294="","",SEM!AK294)</f>
        <v/>
      </c>
      <c r="AL294" s="6"/>
      <c r="AM294" s="79" t="str">
        <f t="shared" si="78"/>
        <v/>
      </c>
      <c r="AR294" s="5"/>
      <c r="AU294" s="198"/>
      <c r="AV294" s="198"/>
      <c r="AW294" s="198"/>
      <c r="AX294" s="198"/>
    </row>
    <row r="295" spans="2:50" ht="17.25" customHeight="1" x14ac:dyDescent="0.2">
      <c r="B295" s="6"/>
      <c r="C295" s="49" t="str">
        <f>IF(SEM!C295="","",SEM!C295)</f>
        <v/>
      </c>
      <c r="D295" s="220" t="str">
        <f>IF(C295="","",VLOOKUP(SEM!C295,FROTA!$B$5:$C$305,2,0))</f>
        <v/>
      </c>
      <c r="E295" s="24" t="str">
        <f>IF(C295="","",VLOOKUP(C295,FROTA!$B$5:$N$305,7,0))</f>
        <v/>
      </c>
      <c r="F295" s="38" t="str">
        <f t="shared" si="77"/>
        <v/>
      </c>
      <c r="G295" s="71" t="str">
        <f t="shared" si="79"/>
        <v/>
      </c>
      <c r="H295" s="32" t="str">
        <f t="shared" si="90"/>
        <v/>
      </c>
      <c r="I295" s="73" t="str">
        <f t="shared" si="90"/>
        <v/>
      </c>
      <c r="J295" s="73" t="str">
        <f t="shared" si="90"/>
        <v/>
      </c>
      <c r="K295" s="73" t="str">
        <f t="shared" si="88"/>
        <v/>
      </c>
      <c r="L295" s="73" t="str">
        <f t="shared" si="88"/>
        <v/>
      </c>
      <c r="M295" s="73" t="str">
        <f t="shared" si="88"/>
        <v/>
      </c>
      <c r="N295" s="73" t="str">
        <f t="shared" si="88"/>
        <v/>
      </c>
      <c r="O295" s="73" t="str">
        <f t="shared" si="88"/>
        <v/>
      </c>
      <c r="P295" s="73" t="str">
        <f t="shared" si="88"/>
        <v/>
      </c>
      <c r="Q295" s="73" t="str">
        <f t="shared" si="88"/>
        <v/>
      </c>
      <c r="R295" s="73" t="str">
        <f t="shared" si="89"/>
        <v/>
      </c>
      <c r="S295" s="73" t="str">
        <f t="shared" si="89"/>
        <v/>
      </c>
      <c r="T295" s="73" t="str">
        <f t="shared" si="89"/>
        <v/>
      </c>
      <c r="U295" s="73" t="str">
        <f t="shared" si="89"/>
        <v/>
      </c>
      <c r="V295" s="73" t="str">
        <f t="shared" si="89"/>
        <v/>
      </c>
      <c r="W295" s="73" t="str">
        <f t="shared" si="89"/>
        <v/>
      </c>
      <c r="X295" s="73" t="str">
        <f t="shared" si="89"/>
        <v/>
      </c>
      <c r="Y295" s="73" t="str">
        <f t="shared" si="89"/>
        <v/>
      </c>
      <c r="Z295" s="73" t="str">
        <f t="shared" si="89"/>
        <v/>
      </c>
      <c r="AA295" s="73" t="str">
        <f t="shared" si="89"/>
        <v/>
      </c>
      <c r="AB295" s="74" t="str">
        <f t="shared" si="89"/>
        <v/>
      </c>
      <c r="AC295" s="35" t="str">
        <f t="shared" si="80"/>
        <v/>
      </c>
      <c r="AD295" s="40" t="str">
        <f t="shared" si="81"/>
        <v/>
      </c>
      <c r="AE295" s="37" t="str">
        <f t="shared" si="82"/>
        <v/>
      </c>
      <c r="AF295" s="40" t="str">
        <f t="shared" si="83"/>
        <v/>
      </c>
      <c r="AG295" s="37" t="str">
        <f t="shared" si="84"/>
        <v/>
      </c>
      <c r="AH295" s="40" t="str">
        <f t="shared" si="85"/>
        <v/>
      </c>
      <c r="AI295" s="37" t="str">
        <f t="shared" si="86"/>
        <v/>
      </c>
      <c r="AJ295" s="40" t="str">
        <f t="shared" si="87"/>
        <v/>
      </c>
      <c r="AK295" s="33" t="str">
        <f>IF(SEM!AK295="","",SEM!AK295)</f>
        <v/>
      </c>
      <c r="AL295" s="6"/>
      <c r="AM295" s="79" t="str">
        <f t="shared" si="78"/>
        <v/>
      </c>
      <c r="AR295" s="5"/>
      <c r="AU295" s="198"/>
      <c r="AV295" s="198"/>
      <c r="AW295" s="198"/>
      <c r="AX295" s="198"/>
    </row>
    <row r="296" spans="2:50" ht="17.25" customHeight="1" x14ac:dyDescent="0.2">
      <c r="B296" s="6"/>
      <c r="C296" s="49" t="str">
        <f>IF(SEM!C296="","",SEM!C296)</f>
        <v/>
      </c>
      <c r="D296" s="220" t="str">
        <f>IF(C296="","",VLOOKUP(SEM!C296,FROTA!$B$5:$C$305,2,0))</f>
        <v/>
      </c>
      <c r="E296" s="24" t="str">
        <f>IF(C296="","",VLOOKUP(C296,FROTA!$B$5:$N$305,7,0))</f>
        <v/>
      </c>
      <c r="F296" s="38" t="str">
        <f t="shared" si="77"/>
        <v/>
      </c>
      <c r="G296" s="71" t="str">
        <f t="shared" si="79"/>
        <v/>
      </c>
      <c r="H296" s="32" t="str">
        <f t="shared" si="90"/>
        <v/>
      </c>
      <c r="I296" s="73" t="str">
        <f t="shared" si="90"/>
        <v/>
      </c>
      <c r="J296" s="73" t="str">
        <f t="shared" si="90"/>
        <v/>
      </c>
      <c r="K296" s="73" t="str">
        <f t="shared" si="88"/>
        <v/>
      </c>
      <c r="L296" s="73" t="str">
        <f t="shared" si="88"/>
        <v/>
      </c>
      <c r="M296" s="73" t="str">
        <f t="shared" si="88"/>
        <v/>
      </c>
      <c r="N296" s="73" t="str">
        <f t="shared" si="88"/>
        <v/>
      </c>
      <c r="O296" s="73" t="str">
        <f t="shared" si="88"/>
        <v/>
      </c>
      <c r="P296" s="73" t="str">
        <f t="shared" si="88"/>
        <v/>
      </c>
      <c r="Q296" s="73" t="str">
        <f t="shared" si="88"/>
        <v/>
      </c>
      <c r="R296" s="73" t="str">
        <f t="shared" si="89"/>
        <v/>
      </c>
      <c r="S296" s="73" t="str">
        <f t="shared" si="89"/>
        <v/>
      </c>
      <c r="T296" s="73" t="str">
        <f t="shared" si="89"/>
        <v/>
      </c>
      <c r="U296" s="73" t="str">
        <f t="shared" si="89"/>
        <v/>
      </c>
      <c r="V296" s="73" t="str">
        <f t="shared" si="89"/>
        <v/>
      </c>
      <c r="W296" s="73" t="str">
        <f t="shared" si="89"/>
        <v/>
      </c>
      <c r="X296" s="73" t="str">
        <f t="shared" si="89"/>
        <v/>
      </c>
      <c r="Y296" s="73" t="str">
        <f t="shared" si="89"/>
        <v/>
      </c>
      <c r="Z296" s="73" t="str">
        <f t="shared" si="89"/>
        <v/>
      </c>
      <c r="AA296" s="73" t="str">
        <f t="shared" si="89"/>
        <v/>
      </c>
      <c r="AB296" s="74" t="str">
        <f t="shared" si="89"/>
        <v/>
      </c>
      <c r="AC296" s="35" t="str">
        <f t="shared" si="80"/>
        <v/>
      </c>
      <c r="AD296" s="40" t="str">
        <f t="shared" si="81"/>
        <v/>
      </c>
      <c r="AE296" s="37" t="str">
        <f t="shared" si="82"/>
        <v/>
      </c>
      <c r="AF296" s="40" t="str">
        <f t="shared" si="83"/>
        <v/>
      </c>
      <c r="AG296" s="37" t="str">
        <f t="shared" si="84"/>
        <v/>
      </c>
      <c r="AH296" s="40" t="str">
        <f t="shared" si="85"/>
        <v/>
      </c>
      <c r="AI296" s="37" t="str">
        <f t="shared" si="86"/>
        <v/>
      </c>
      <c r="AJ296" s="40" t="str">
        <f t="shared" si="87"/>
        <v/>
      </c>
      <c r="AK296" s="33" t="str">
        <f>IF(SEM!AK296="","",SEM!AK296)</f>
        <v/>
      </c>
      <c r="AL296" s="6"/>
      <c r="AM296" s="79" t="str">
        <f t="shared" si="78"/>
        <v/>
      </c>
      <c r="AR296" s="5"/>
      <c r="AU296" s="198"/>
      <c r="AV296" s="198"/>
      <c r="AW296" s="198"/>
      <c r="AX296" s="198"/>
    </row>
    <row r="297" spans="2:50" ht="17.25" customHeight="1" x14ac:dyDescent="0.2">
      <c r="B297" s="6"/>
      <c r="C297" s="49" t="str">
        <f>IF(SEM!C297="","",SEM!C297)</f>
        <v/>
      </c>
      <c r="D297" s="220" t="str">
        <f>IF(C297="","",VLOOKUP(SEM!C297,FROTA!$B$5:$C$305,2,0))</f>
        <v/>
      </c>
      <c r="E297" s="24" t="str">
        <f>IF(C297="","",VLOOKUP(C297,FROTA!$B$5:$N$305,7,0))</f>
        <v/>
      </c>
      <c r="F297" s="38" t="str">
        <f t="shared" si="77"/>
        <v/>
      </c>
      <c r="G297" s="71" t="str">
        <f t="shared" si="79"/>
        <v/>
      </c>
      <c r="H297" s="32" t="str">
        <f t="shared" si="90"/>
        <v/>
      </c>
      <c r="I297" s="73" t="str">
        <f t="shared" si="90"/>
        <v/>
      </c>
      <c r="J297" s="73" t="str">
        <f t="shared" si="90"/>
        <v/>
      </c>
      <c r="K297" s="73" t="str">
        <f t="shared" si="88"/>
        <v/>
      </c>
      <c r="L297" s="73" t="str">
        <f t="shared" si="88"/>
        <v/>
      </c>
      <c r="M297" s="73" t="str">
        <f t="shared" si="88"/>
        <v/>
      </c>
      <c r="N297" s="73" t="str">
        <f t="shared" si="88"/>
        <v/>
      </c>
      <c r="O297" s="73" t="str">
        <f t="shared" si="88"/>
        <v/>
      </c>
      <c r="P297" s="73" t="str">
        <f t="shared" si="88"/>
        <v/>
      </c>
      <c r="Q297" s="73" t="str">
        <f t="shared" si="88"/>
        <v/>
      </c>
      <c r="R297" s="73" t="str">
        <f t="shared" si="89"/>
        <v/>
      </c>
      <c r="S297" s="73" t="str">
        <f t="shared" si="89"/>
        <v/>
      </c>
      <c r="T297" s="73" t="str">
        <f t="shared" si="89"/>
        <v/>
      </c>
      <c r="U297" s="73" t="str">
        <f t="shared" si="89"/>
        <v/>
      </c>
      <c r="V297" s="73" t="str">
        <f t="shared" si="89"/>
        <v/>
      </c>
      <c r="W297" s="73" t="str">
        <f t="shared" si="89"/>
        <v/>
      </c>
      <c r="X297" s="73" t="str">
        <f t="shared" si="89"/>
        <v/>
      </c>
      <c r="Y297" s="73" t="str">
        <f t="shared" si="89"/>
        <v/>
      </c>
      <c r="Z297" s="73" t="str">
        <f t="shared" si="89"/>
        <v/>
      </c>
      <c r="AA297" s="73" t="str">
        <f t="shared" si="89"/>
        <v/>
      </c>
      <c r="AB297" s="74" t="str">
        <f t="shared" si="89"/>
        <v/>
      </c>
      <c r="AC297" s="35" t="str">
        <f t="shared" si="80"/>
        <v/>
      </c>
      <c r="AD297" s="40" t="str">
        <f t="shared" si="81"/>
        <v/>
      </c>
      <c r="AE297" s="37" t="str">
        <f t="shared" si="82"/>
        <v/>
      </c>
      <c r="AF297" s="40" t="str">
        <f t="shared" si="83"/>
        <v/>
      </c>
      <c r="AG297" s="37" t="str">
        <f t="shared" si="84"/>
        <v/>
      </c>
      <c r="AH297" s="40" t="str">
        <f t="shared" si="85"/>
        <v/>
      </c>
      <c r="AI297" s="37" t="str">
        <f t="shared" si="86"/>
        <v/>
      </c>
      <c r="AJ297" s="40" t="str">
        <f t="shared" si="87"/>
        <v/>
      </c>
      <c r="AK297" s="33" t="str">
        <f>IF(SEM!AK297="","",SEM!AK297)</f>
        <v/>
      </c>
      <c r="AL297" s="6"/>
      <c r="AM297" s="79" t="str">
        <f t="shared" si="78"/>
        <v/>
      </c>
      <c r="AR297" s="5"/>
      <c r="AU297" s="198"/>
      <c r="AV297" s="198"/>
      <c r="AW297" s="198"/>
      <c r="AX297" s="198"/>
    </row>
    <row r="298" spans="2:50" ht="17.25" customHeight="1" x14ac:dyDescent="0.2">
      <c r="B298" s="6"/>
      <c r="C298" s="49" t="str">
        <f>IF(SEM!C298="","",SEM!C298)</f>
        <v/>
      </c>
      <c r="D298" s="220" t="str">
        <f>IF(C298="","",VLOOKUP(SEM!C298,FROTA!$B$5:$C$305,2,0))</f>
        <v/>
      </c>
      <c r="E298" s="24" t="str">
        <f>IF(C298="","",VLOOKUP(C298,FROTA!$B$5:$N$305,7,0))</f>
        <v/>
      </c>
      <c r="F298" s="38" t="str">
        <f t="shared" si="77"/>
        <v/>
      </c>
      <c r="G298" s="71" t="str">
        <f t="shared" si="79"/>
        <v/>
      </c>
      <c r="H298" s="32" t="str">
        <f t="shared" si="90"/>
        <v/>
      </c>
      <c r="I298" s="73" t="str">
        <f t="shared" si="90"/>
        <v/>
      </c>
      <c r="J298" s="73" t="str">
        <f t="shared" si="90"/>
        <v/>
      </c>
      <c r="K298" s="73" t="str">
        <f t="shared" si="88"/>
        <v/>
      </c>
      <c r="L298" s="73" t="str">
        <f t="shared" si="88"/>
        <v/>
      </c>
      <c r="M298" s="73" t="str">
        <f t="shared" si="88"/>
        <v/>
      </c>
      <c r="N298" s="73" t="str">
        <f t="shared" si="88"/>
        <v/>
      </c>
      <c r="O298" s="73" t="str">
        <f t="shared" si="88"/>
        <v/>
      </c>
      <c r="P298" s="73" t="str">
        <f t="shared" si="88"/>
        <v/>
      </c>
      <c r="Q298" s="73" t="str">
        <f t="shared" si="88"/>
        <v/>
      </c>
      <c r="R298" s="73" t="str">
        <f t="shared" si="89"/>
        <v/>
      </c>
      <c r="S298" s="73" t="str">
        <f t="shared" si="89"/>
        <v/>
      </c>
      <c r="T298" s="73" t="str">
        <f t="shared" si="89"/>
        <v/>
      </c>
      <c r="U298" s="73" t="str">
        <f t="shared" si="89"/>
        <v/>
      </c>
      <c r="V298" s="73" t="str">
        <f t="shared" si="89"/>
        <v/>
      </c>
      <c r="W298" s="73" t="str">
        <f t="shared" si="89"/>
        <v/>
      </c>
      <c r="X298" s="73" t="str">
        <f t="shared" si="89"/>
        <v/>
      </c>
      <c r="Y298" s="73" t="str">
        <f t="shared" si="89"/>
        <v/>
      </c>
      <c r="Z298" s="73" t="str">
        <f t="shared" si="89"/>
        <v/>
      </c>
      <c r="AA298" s="73" t="str">
        <f t="shared" si="89"/>
        <v/>
      </c>
      <c r="AB298" s="74" t="str">
        <f t="shared" si="89"/>
        <v/>
      </c>
      <c r="AC298" s="35" t="str">
        <f t="shared" si="80"/>
        <v/>
      </c>
      <c r="AD298" s="40" t="str">
        <f t="shared" si="81"/>
        <v/>
      </c>
      <c r="AE298" s="37" t="str">
        <f t="shared" si="82"/>
        <v/>
      </c>
      <c r="AF298" s="40" t="str">
        <f t="shared" si="83"/>
        <v/>
      </c>
      <c r="AG298" s="37" t="str">
        <f t="shared" si="84"/>
        <v/>
      </c>
      <c r="AH298" s="40" t="str">
        <f t="shared" si="85"/>
        <v/>
      </c>
      <c r="AI298" s="37" t="str">
        <f t="shared" si="86"/>
        <v/>
      </c>
      <c r="AJ298" s="40" t="str">
        <f t="shared" si="87"/>
        <v/>
      </c>
      <c r="AK298" s="33" t="str">
        <f>IF(SEM!AK298="","",SEM!AK298)</f>
        <v/>
      </c>
      <c r="AL298" s="6"/>
      <c r="AM298" s="79" t="str">
        <f t="shared" si="78"/>
        <v/>
      </c>
      <c r="AR298" s="5"/>
      <c r="AU298" s="198"/>
      <c r="AV298" s="198"/>
      <c r="AW298" s="198"/>
      <c r="AX298" s="198"/>
    </row>
    <row r="299" spans="2:50" ht="17.25" customHeight="1" x14ac:dyDescent="0.2">
      <c r="B299" s="6"/>
      <c r="C299" s="49" t="str">
        <f>IF(SEM!C299="","",SEM!C299)</f>
        <v/>
      </c>
      <c r="D299" s="220" t="str">
        <f>IF(C299="","",VLOOKUP(SEM!C299,FROTA!$B$5:$C$305,2,0))</f>
        <v/>
      </c>
      <c r="E299" s="24" t="str">
        <f>IF(C299="","",VLOOKUP(C299,FROTA!$B$5:$N$305,7,0))</f>
        <v/>
      </c>
      <c r="F299" s="38" t="str">
        <f t="shared" si="77"/>
        <v/>
      </c>
      <c r="G299" s="71" t="str">
        <f t="shared" si="79"/>
        <v/>
      </c>
      <c r="H299" s="32" t="str">
        <f t="shared" si="90"/>
        <v/>
      </c>
      <c r="I299" s="73" t="str">
        <f t="shared" si="90"/>
        <v/>
      </c>
      <c r="J299" s="73" t="str">
        <f t="shared" si="90"/>
        <v/>
      </c>
      <c r="K299" s="73" t="str">
        <f t="shared" si="88"/>
        <v/>
      </c>
      <c r="L299" s="73" t="str">
        <f t="shared" si="88"/>
        <v/>
      </c>
      <c r="M299" s="73" t="str">
        <f t="shared" si="88"/>
        <v/>
      </c>
      <c r="N299" s="73" t="str">
        <f t="shared" si="88"/>
        <v/>
      </c>
      <c r="O299" s="73" t="str">
        <f t="shared" si="88"/>
        <v/>
      </c>
      <c r="P299" s="73" t="str">
        <f t="shared" si="88"/>
        <v/>
      </c>
      <c r="Q299" s="73" t="str">
        <f t="shared" si="88"/>
        <v/>
      </c>
      <c r="R299" s="73" t="str">
        <f t="shared" si="89"/>
        <v/>
      </c>
      <c r="S299" s="73" t="str">
        <f t="shared" si="89"/>
        <v/>
      </c>
      <c r="T299" s="73" t="str">
        <f t="shared" si="89"/>
        <v/>
      </c>
      <c r="U299" s="73" t="str">
        <f t="shared" si="89"/>
        <v/>
      </c>
      <c r="V299" s="73" t="str">
        <f t="shared" si="89"/>
        <v/>
      </c>
      <c r="W299" s="73" t="str">
        <f t="shared" si="89"/>
        <v/>
      </c>
      <c r="X299" s="73" t="str">
        <f t="shared" si="89"/>
        <v/>
      </c>
      <c r="Y299" s="73" t="str">
        <f t="shared" si="89"/>
        <v/>
      </c>
      <c r="Z299" s="73" t="str">
        <f t="shared" si="89"/>
        <v/>
      </c>
      <c r="AA299" s="73" t="str">
        <f t="shared" si="89"/>
        <v/>
      </c>
      <c r="AB299" s="74" t="str">
        <f t="shared" si="89"/>
        <v/>
      </c>
      <c r="AC299" s="35" t="str">
        <f t="shared" si="80"/>
        <v/>
      </c>
      <c r="AD299" s="40" t="str">
        <f t="shared" si="81"/>
        <v/>
      </c>
      <c r="AE299" s="37" t="str">
        <f t="shared" si="82"/>
        <v/>
      </c>
      <c r="AF299" s="40" t="str">
        <f t="shared" si="83"/>
        <v/>
      </c>
      <c r="AG299" s="37" t="str">
        <f t="shared" si="84"/>
        <v/>
      </c>
      <c r="AH299" s="40" t="str">
        <f t="shared" si="85"/>
        <v/>
      </c>
      <c r="AI299" s="37" t="str">
        <f t="shared" si="86"/>
        <v/>
      </c>
      <c r="AJ299" s="40" t="str">
        <f t="shared" si="87"/>
        <v/>
      </c>
      <c r="AK299" s="33" t="str">
        <f>IF(SEM!AK299="","",SEM!AK299)</f>
        <v/>
      </c>
      <c r="AL299" s="6"/>
      <c r="AM299" s="79" t="str">
        <f t="shared" si="78"/>
        <v/>
      </c>
      <c r="AR299" s="5"/>
      <c r="AU299" s="198"/>
      <c r="AV299" s="198"/>
      <c r="AW299" s="198"/>
      <c r="AX299" s="198"/>
    </row>
    <row r="300" spans="2:50" ht="17.25" customHeight="1" x14ac:dyDescent="0.2">
      <c r="B300" s="6"/>
      <c r="C300" s="49" t="str">
        <f>IF(SEM!C300="","",SEM!C300)</f>
        <v/>
      </c>
      <c r="D300" s="220" t="str">
        <f>IF(C300="","",VLOOKUP(SEM!C300,FROTA!$B$5:$C$305,2,0))</f>
        <v/>
      </c>
      <c r="E300" s="24" t="str">
        <f>IF(C300="","",VLOOKUP(C300,FROTA!$B$5:$N$305,7,0))</f>
        <v/>
      </c>
      <c r="F300" s="38" t="str">
        <f t="shared" si="77"/>
        <v/>
      </c>
      <c r="G300" s="71" t="str">
        <f t="shared" si="79"/>
        <v/>
      </c>
      <c r="H300" s="32" t="str">
        <f t="shared" si="90"/>
        <v/>
      </c>
      <c r="I300" s="73" t="str">
        <f t="shared" si="90"/>
        <v/>
      </c>
      <c r="J300" s="73" t="str">
        <f t="shared" si="90"/>
        <v/>
      </c>
      <c r="K300" s="73" t="str">
        <f t="shared" si="88"/>
        <v/>
      </c>
      <c r="L300" s="73" t="str">
        <f t="shared" si="88"/>
        <v/>
      </c>
      <c r="M300" s="73" t="str">
        <f t="shared" si="88"/>
        <v/>
      </c>
      <c r="N300" s="73" t="str">
        <f t="shared" si="88"/>
        <v/>
      </c>
      <c r="O300" s="73" t="str">
        <f t="shared" si="88"/>
        <v/>
      </c>
      <c r="P300" s="73" t="str">
        <f t="shared" si="88"/>
        <v/>
      </c>
      <c r="Q300" s="73" t="str">
        <f t="shared" si="88"/>
        <v/>
      </c>
      <c r="R300" s="73" t="str">
        <f t="shared" si="89"/>
        <v/>
      </c>
      <c r="S300" s="73" t="str">
        <f t="shared" si="89"/>
        <v/>
      </c>
      <c r="T300" s="73" t="str">
        <f t="shared" ref="R300:AB305" si="91">IF($C300="","",IF(SUM(T$307*$G300)&gt;$F300,$F300,SUM(T$307*$G300)))</f>
        <v/>
      </c>
      <c r="U300" s="73" t="str">
        <f t="shared" si="91"/>
        <v/>
      </c>
      <c r="V300" s="73" t="str">
        <f t="shared" si="91"/>
        <v/>
      </c>
      <c r="W300" s="73" t="str">
        <f t="shared" si="91"/>
        <v/>
      </c>
      <c r="X300" s="73" t="str">
        <f t="shared" si="91"/>
        <v/>
      </c>
      <c r="Y300" s="73" t="str">
        <f t="shared" si="91"/>
        <v/>
      </c>
      <c r="Z300" s="73" t="str">
        <f t="shared" si="91"/>
        <v/>
      </c>
      <c r="AA300" s="73" t="str">
        <f t="shared" si="91"/>
        <v/>
      </c>
      <c r="AB300" s="74" t="str">
        <f t="shared" si="91"/>
        <v/>
      </c>
      <c r="AC300" s="35" t="str">
        <f t="shared" si="80"/>
        <v/>
      </c>
      <c r="AD300" s="40" t="str">
        <f t="shared" si="81"/>
        <v/>
      </c>
      <c r="AE300" s="37" t="str">
        <f t="shared" si="82"/>
        <v/>
      </c>
      <c r="AF300" s="40" t="str">
        <f t="shared" si="83"/>
        <v/>
      </c>
      <c r="AG300" s="37" t="str">
        <f t="shared" si="84"/>
        <v/>
      </c>
      <c r="AH300" s="40" t="str">
        <f t="shared" si="85"/>
        <v/>
      </c>
      <c r="AI300" s="37" t="str">
        <f t="shared" si="86"/>
        <v/>
      </c>
      <c r="AJ300" s="40" t="str">
        <f t="shared" si="87"/>
        <v/>
      </c>
      <c r="AK300" s="33" t="str">
        <f>IF(SEM!AK300="","",SEM!AK300)</f>
        <v/>
      </c>
      <c r="AL300" s="6"/>
      <c r="AM300" s="79" t="str">
        <f t="shared" si="78"/>
        <v/>
      </c>
      <c r="AR300" s="5"/>
      <c r="AU300" s="198"/>
      <c r="AV300" s="198"/>
      <c r="AW300" s="198"/>
      <c r="AX300" s="198"/>
    </row>
    <row r="301" spans="2:50" ht="17.25" customHeight="1" x14ac:dyDescent="0.2">
      <c r="B301" s="6"/>
      <c r="C301" s="49" t="str">
        <f>IF(SEM!C301="","",SEM!C301)</f>
        <v/>
      </c>
      <c r="D301" s="220" t="str">
        <f>IF(C301="","",VLOOKUP(SEM!C301,FROTA!$B$5:$C$305,2,0))</f>
        <v/>
      </c>
      <c r="E301" s="24" t="str">
        <f>IF(C301="","",VLOOKUP(C301,FROTA!$B$5:$N$305,7,0))</f>
        <v/>
      </c>
      <c r="F301" s="38" t="str">
        <f t="shared" si="77"/>
        <v/>
      </c>
      <c r="G301" s="71" t="str">
        <f t="shared" si="79"/>
        <v/>
      </c>
      <c r="H301" s="32" t="str">
        <f t="shared" si="90"/>
        <v/>
      </c>
      <c r="I301" s="73" t="str">
        <f t="shared" si="90"/>
        <v/>
      </c>
      <c r="J301" s="73" t="str">
        <f t="shared" si="90"/>
        <v/>
      </c>
      <c r="K301" s="73" t="str">
        <f t="shared" si="88"/>
        <v/>
      </c>
      <c r="L301" s="73" t="str">
        <f t="shared" si="88"/>
        <v/>
      </c>
      <c r="M301" s="73" t="str">
        <f t="shared" si="88"/>
        <v/>
      </c>
      <c r="N301" s="73" t="str">
        <f t="shared" si="88"/>
        <v/>
      </c>
      <c r="O301" s="73" t="str">
        <f t="shared" si="88"/>
        <v/>
      </c>
      <c r="P301" s="73" t="str">
        <f t="shared" si="88"/>
        <v/>
      </c>
      <c r="Q301" s="73" t="str">
        <f t="shared" si="88"/>
        <v/>
      </c>
      <c r="R301" s="73" t="str">
        <f t="shared" si="91"/>
        <v/>
      </c>
      <c r="S301" s="73" t="str">
        <f t="shared" si="91"/>
        <v/>
      </c>
      <c r="T301" s="73" t="str">
        <f t="shared" si="91"/>
        <v/>
      </c>
      <c r="U301" s="73" t="str">
        <f t="shared" si="91"/>
        <v/>
      </c>
      <c r="V301" s="73" t="str">
        <f t="shared" si="91"/>
        <v/>
      </c>
      <c r="W301" s="73" t="str">
        <f t="shared" si="91"/>
        <v/>
      </c>
      <c r="X301" s="73" t="str">
        <f t="shared" si="91"/>
        <v/>
      </c>
      <c r="Y301" s="73" t="str">
        <f t="shared" si="91"/>
        <v/>
      </c>
      <c r="Z301" s="73" t="str">
        <f t="shared" si="91"/>
        <v/>
      </c>
      <c r="AA301" s="73" t="str">
        <f t="shared" si="91"/>
        <v/>
      </c>
      <c r="AB301" s="74" t="str">
        <f t="shared" si="91"/>
        <v/>
      </c>
      <c r="AC301" s="35" t="str">
        <f t="shared" si="80"/>
        <v/>
      </c>
      <c r="AD301" s="40" t="str">
        <f t="shared" si="81"/>
        <v/>
      </c>
      <c r="AE301" s="37" t="str">
        <f t="shared" si="82"/>
        <v/>
      </c>
      <c r="AF301" s="40" t="str">
        <f t="shared" si="83"/>
        <v/>
      </c>
      <c r="AG301" s="37" t="str">
        <f t="shared" si="84"/>
        <v/>
      </c>
      <c r="AH301" s="40" t="str">
        <f t="shared" si="85"/>
        <v/>
      </c>
      <c r="AI301" s="37" t="str">
        <f t="shared" si="86"/>
        <v/>
      </c>
      <c r="AJ301" s="40" t="str">
        <f t="shared" si="87"/>
        <v/>
      </c>
      <c r="AK301" s="33" t="str">
        <f>IF(SEM!AK301="","",SEM!AK301)</f>
        <v/>
      </c>
      <c r="AL301" s="6"/>
      <c r="AM301" s="79" t="str">
        <f t="shared" si="78"/>
        <v/>
      </c>
      <c r="AR301" s="5"/>
      <c r="AU301" s="198"/>
      <c r="AV301" s="198"/>
      <c r="AW301" s="198"/>
      <c r="AX301" s="198"/>
    </row>
    <row r="302" spans="2:50" ht="17.25" customHeight="1" x14ac:dyDescent="0.2">
      <c r="B302" s="6"/>
      <c r="C302" s="49" t="str">
        <f>IF(SEM!C302="","",SEM!C302)</f>
        <v/>
      </c>
      <c r="D302" s="220" t="str">
        <f>IF(C302="","",VLOOKUP(SEM!C302,FROTA!$B$5:$C$305,2,0))</f>
        <v/>
      </c>
      <c r="E302" s="24" t="str">
        <f>IF(C302="","",VLOOKUP(C302,FROTA!$B$5:$N$305,7,0))</f>
        <v/>
      </c>
      <c r="F302" s="38" t="str">
        <f t="shared" si="77"/>
        <v/>
      </c>
      <c r="G302" s="71" t="str">
        <f t="shared" si="79"/>
        <v/>
      </c>
      <c r="H302" s="32" t="str">
        <f t="shared" si="90"/>
        <v/>
      </c>
      <c r="I302" s="73" t="str">
        <f t="shared" si="90"/>
        <v/>
      </c>
      <c r="J302" s="73" t="str">
        <f t="shared" si="90"/>
        <v/>
      </c>
      <c r="K302" s="73" t="str">
        <f t="shared" si="88"/>
        <v/>
      </c>
      <c r="L302" s="73" t="str">
        <f t="shared" si="88"/>
        <v/>
      </c>
      <c r="M302" s="73" t="str">
        <f t="shared" si="88"/>
        <v/>
      </c>
      <c r="N302" s="73" t="str">
        <f t="shared" si="88"/>
        <v/>
      </c>
      <c r="O302" s="73" t="str">
        <f t="shared" si="88"/>
        <v/>
      </c>
      <c r="P302" s="73" t="str">
        <f t="shared" si="88"/>
        <v/>
      </c>
      <c r="Q302" s="73" t="str">
        <f t="shared" si="88"/>
        <v/>
      </c>
      <c r="R302" s="73" t="str">
        <f t="shared" si="91"/>
        <v/>
      </c>
      <c r="S302" s="73" t="str">
        <f t="shared" si="91"/>
        <v/>
      </c>
      <c r="T302" s="73" t="str">
        <f t="shared" si="91"/>
        <v/>
      </c>
      <c r="U302" s="73" t="str">
        <f t="shared" si="91"/>
        <v/>
      </c>
      <c r="V302" s="73" t="str">
        <f t="shared" si="91"/>
        <v/>
      </c>
      <c r="W302" s="73" t="str">
        <f t="shared" si="91"/>
        <v/>
      </c>
      <c r="X302" s="73" t="str">
        <f t="shared" si="91"/>
        <v/>
      </c>
      <c r="Y302" s="73" t="str">
        <f t="shared" si="91"/>
        <v/>
      </c>
      <c r="Z302" s="73" t="str">
        <f t="shared" si="91"/>
        <v/>
      </c>
      <c r="AA302" s="73" t="str">
        <f t="shared" si="91"/>
        <v/>
      </c>
      <c r="AB302" s="74" t="str">
        <f t="shared" si="91"/>
        <v/>
      </c>
      <c r="AC302" s="35" t="str">
        <f t="shared" si="80"/>
        <v/>
      </c>
      <c r="AD302" s="40" t="str">
        <f t="shared" si="81"/>
        <v/>
      </c>
      <c r="AE302" s="37" t="str">
        <f t="shared" si="82"/>
        <v/>
      </c>
      <c r="AF302" s="40" t="str">
        <f t="shared" si="83"/>
        <v/>
      </c>
      <c r="AG302" s="37" t="str">
        <f t="shared" si="84"/>
        <v/>
      </c>
      <c r="AH302" s="40" t="str">
        <f t="shared" si="85"/>
        <v/>
      </c>
      <c r="AI302" s="37" t="str">
        <f t="shared" si="86"/>
        <v/>
      </c>
      <c r="AJ302" s="40" t="str">
        <f t="shared" si="87"/>
        <v/>
      </c>
      <c r="AK302" s="33" t="str">
        <f>IF(SEM!AK302="","",SEM!AK302)</f>
        <v/>
      </c>
      <c r="AL302" s="6"/>
      <c r="AM302" s="79" t="str">
        <f t="shared" si="78"/>
        <v/>
      </c>
      <c r="AR302" s="5"/>
      <c r="AU302" s="198"/>
      <c r="AV302" s="198"/>
      <c r="AW302" s="198"/>
      <c r="AX302" s="198"/>
    </row>
    <row r="303" spans="2:50" ht="17.25" customHeight="1" x14ac:dyDescent="0.2">
      <c r="B303" s="6"/>
      <c r="C303" s="49" t="str">
        <f>IF(SEM!C303="","",SEM!C303)</f>
        <v/>
      </c>
      <c r="D303" s="220" t="str">
        <f>IF(C303="","",VLOOKUP(SEM!C303,FROTA!$B$5:$C$305,2,0))</f>
        <v/>
      </c>
      <c r="E303" s="24" t="str">
        <f>IF(C303="","",VLOOKUP(C303,FROTA!$B$5:$N$305,7,0))</f>
        <v/>
      </c>
      <c r="F303" s="38" t="str">
        <f t="shared" si="77"/>
        <v/>
      </c>
      <c r="G303" s="71" t="str">
        <f t="shared" si="79"/>
        <v/>
      </c>
      <c r="H303" s="32" t="str">
        <f t="shared" si="90"/>
        <v/>
      </c>
      <c r="I303" s="73" t="str">
        <f t="shared" si="90"/>
        <v/>
      </c>
      <c r="J303" s="73" t="str">
        <f t="shared" si="90"/>
        <v/>
      </c>
      <c r="K303" s="73" t="str">
        <f t="shared" si="88"/>
        <v/>
      </c>
      <c r="L303" s="73" t="str">
        <f t="shared" si="88"/>
        <v/>
      </c>
      <c r="M303" s="73" t="str">
        <f t="shared" si="88"/>
        <v/>
      </c>
      <c r="N303" s="73" t="str">
        <f t="shared" si="88"/>
        <v/>
      </c>
      <c r="O303" s="73" t="str">
        <f t="shared" si="88"/>
        <v/>
      </c>
      <c r="P303" s="73" t="str">
        <f t="shared" si="88"/>
        <v/>
      </c>
      <c r="Q303" s="73" t="str">
        <f t="shared" si="88"/>
        <v/>
      </c>
      <c r="R303" s="73" t="str">
        <f t="shared" si="91"/>
        <v/>
      </c>
      <c r="S303" s="73" t="str">
        <f t="shared" si="91"/>
        <v/>
      </c>
      <c r="T303" s="73" t="str">
        <f t="shared" si="91"/>
        <v/>
      </c>
      <c r="U303" s="73" t="str">
        <f t="shared" si="91"/>
        <v/>
      </c>
      <c r="V303" s="73" t="str">
        <f t="shared" si="91"/>
        <v/>
      </c>
      <c r="W303" s="73" t="str">
        <f t="shared" si="91"/>
        <v/>
      </c>
      <c r="X303" s="73" t="str">
        <f t="shared" si="91"/>
        <v/>
      </c>
      <c r="Y303" s="73" t="str">
        <f t="shared" si="91"/>
        <v/>
      </c>
      <c r="Z303" s="73" t="str">
        <f t="shared" si="91"/>
        <v/>
      </c>
      <c r="AA303" s="73" t="str">
        <f t="shared" si="91"/>
        <v/>
      </c>
      <c r="AB303" s="74" t="str">
        <f t="shared" si="91"/>
        <v/>
      </c>
      <c r="AC303" s="35" t="str">
        <f t="shared" si="80"/>
        <v/>
      </c>
      <c r="AD303" s="40" t="str">
        <f t="shared" si="81"/>
        <v/>
      </c>
      <c r="AE303" s="37" t="str">
        <f t="shared" si="82"/>
        <v/>
      </c>
      <c r="AF303" s="40" t="str">
        <f t="shared" si="83"/>
        <v/>
      </c>
      <c r="AG303" s="37" t="str">
        <f t="shared" si="84"/>
        <v/>
      </c>
      <c r="AH303" s="40" t="str">
        <f t="shared" si="85"/>
        <v/>
      </c>
      <c r="AI303" s="37" t="str">
        <f t="shared" si="86"/>
        <v/>
      </c>
      <c r="AJ303" s="40" t="str">
        <f t="shared" si="87"/>
        <v/>
      </c>
      <c r="AK303" s="33" t="str">
        <f>IF(SEM!AK303="","",SEM!AK303)</f>
        <v/>
      </c>
      <c r="AL303" s="6"/>
      <c r="AM303" s="79" t="str">
        <f t="shared" si="78"/>
        <v/>
      </c>
      <c r="AR303" s="5"/>
      <c r="AU303" s="198"/>
      <c r="AV303" s="198"/>
      <c r="AW303" s="198"/>
      <c r="AX303" s="198"/>
    </row>
    <row r="304" spans="2:50" ht="17.25" customHeight="1" x14ac:dyDescent="0.2">
      <c r="B304" s="6"/>
      <c r="C304" s="49" t="str">
        <f>IF(SEM!C304="","",SEM!C304)</f>
        <v/>
      </c>
      <c r="D304" s="220" t="str">
        <f>IF(C304="","",VLOOKUP(SEM!C304,FROTA!$B$5:$C$305,2,0))</f>
        <v/>
      </c>
      <c r="E304" s="24" t="str">
        <f>IF(C304="","",VLOOKUP(C304,FROTA!$B$5:$N$305,7,0))</f>
        <v/>
      </c>
      <c r="F304" s="38" t="str">
        <f t="shared" si="77"/>
        <v/>
      </c>
      <c r="G304" s="71" t="str">
        <f t="shared" si="79"/>
        <v/>
      </c>
      <c r="H304" s="32" t="str">
        <f t="shared" si="90"/>
        <v/>
      </c>
      <c r="I304" s="73" t="str">
        <f t="shared" si="90"/>
        <v/>
      </c>
      <c r="J304" s="73" t="str">
        <f t="shared" si="90"/>
        <v/>
      </c>
      <c r="K304" s="73" t="str">
        <f t="shared" si="88"/>
        <v/>
      </c>
      <c r="L304" s="73" t="str">
        <f t="shared" si="88"/>
        <v/>
      </c>
      <c r="M304" s="73" t="str">
        <f t="shared" si="88"/>
        <v/>
      </c>
      <c r="N304" s="73" t="str">
        <f t="shared" si="88"/>
        <v/>
      </c>
      <c r="O304" s="73" t="str">
        <f t="shared" si="88"/>
        <v/>
      </c>
      <c r="P304" s="73" t="str">
        <f t="shared" si="88"/>
        <v/>
      </c>
      <c r="Q304" s="73" t="str">
        <f t="shared" si="88"/>
        <v/>
      </c>
      <c r="R304" s="73" t="str">
        <f t="shared" si="91"/>
        <v/>
      </c>
      <c r="S304" s="73" t="str">
        <f t="shared" si="91"/>
        <v/>
      </c>
      <c r="T304" s="73" t="str">
        <f t="shared" si="91"/>
        <v/>
      </c>
      <c r="U304" s="73" t="str">
        <f t="shared" si="91"/>
        <v/>
      </c>
      <c r="V304" s="73" t="str">
        <f t="shared" si="91"/>
        <v/>
      </c>
      <c r="W304" s="73" t="str">
        <f t="shared" si="91"/>
        <v/>
      </c>
      <c r="X304" s="73" t="str">
        <f t="shared" si="91"/>
        <v/>
      </c>
      <c r="Y304" s="73" t="str">
        <f t="shared" si="91"/>
        <v/>
      </c>
      <c r="Z304" s="73" t="str">
        <f t="shared" si="91"/>
        <v/>
      </c>
      <c r="AA304" s="73" t="str">
        <f t="shared" si="91"/>
        <v/>
      </c>
      <c r="AB304" s="74" t="str">
        <f t="shared" si="91"/>
        <v/>
      </c>
      <c r="AC304" s="35" t="str">
        <f t="shared" si="80"/>
        <v/>
      </c>
      <c r="AD304" s="40" t="str">
        <f t="shared" si="81"/>
        <v/>
      </c>
      <c r="AE304" s="37" t="str">
        <f t="shared" si="82"/>
        <v/>
      </c>
      <c r="AF304" s="40" t="str">
        <f t="shared" si="83"/>
        <v/>
      </c>
      <c r="AG304" s="37" t="str">
        <f t="shared" si="84"/>
        <v/>
      </c>
      <c r="AH304" s="40" t="str">
        <f t="shared" si="85"/>
        <v/>
      </c>
      <c r="AI304" s="37" t="str">
        <f t="shared" si="86"/>
        <v/>
      </c>
      <c r="AJ304" s="40" t="str">
        <f t="shared" si="87"/>
        <v/>
      </c>
      <c r="AK304" s="33" t="str">
        <f>IF(SEM!AK304="","",SEM!AK304)</f>
        <v/>
      </c>
      <c r="AL304" s="6"/>
      <c r="AM304" s="79" t="str">
        <f t="shared" si="78"/>
        <v/>
      </c>
      <c r="AR304" s="5"/>
      <c r="AU304" s="198"/>
      <c r="AV304" s="198"/>
      <c r="AW304" s="198"/>
      <c r="AX304" s="198"/>
    </row>
    <row r="305" spans="2:50" ht="17.25" customHeight="1" x14ac:dyDescent="0.2">
      <c r="B305" s="6"/>
      <c r="C305" s="49" t="str">
        <f>IF(SEM!C305="","",SEM!C305)</f>
        <v/>
      </c>
      <c r="D305" s="220" t="str">
        <f>IF(C305="","",VLOOKUP(SEM!C305,FROTA!$B$5:$C$305,2,0))</f>
        <v/>
      </c>
      <c r="E305" s="24" t="str">
        <f>IF(C305="","",VLOOKUP(C305,FROTA!$B$5:$N$305,7,0))</f>
        <v/>
      </c>
      <c r="F305" s="38" t="str">
        <f t="shared" si="77"/>
        <v/>
      </c>
      <c r="G305" s="71" t="str">
        <f t="shared" si="79"/>
        <v/>
      </c>
      <c r="H305" s="32" t="str">
        <f t="shared" si="90"/>
        <v/>
      </c>
      <c r="I305" s="73" t="str">
        <f t="shared" si="90"/>
        <v/>
      </c>
      <c r="J305" s="73" t="str">
        <f t="shared" si="90"/>
        <v/>
      </c>
      <c r="K305" s="73" t="str">
        <f t="shared" si="88"/>
        <v/>
      </c>
      <c r="L305" s="73" t="str">
        <f t="shared" si="88"/>
        <v/>
      </c>
      <c r="M305" s="73" t="str">
        <f t="shared" si="88"/>
        <v/>
      </c>
      <c r="N305" s="73" t="str">
        <f t="shared" si="88"/>
        <v/>
      </c>
      <c r="O305" s="73" t="str">
        <f t="shared" si="88"/>
        <v/>
      </c>
      <c r="P305" s="73" t="str">
        <f t="shared" si="88"/>
        <v/>
      </c>
      <c r="Q305" s="73" t="str">
        <f t="shared" si="88"/>
        <v/>
      </c>
      <c r="R305" s="73" t="str">
        <f t="shared" si="91"/>
        <v/>
      </c>
      <c r="S305" s="73" t="str">
        <f t="shared" si="91"/>
        <v/>
      </c>
      <c r="T305" s="73" t="str">
        <f t="shared" si="91"/>
        <v/>
      </c>
      <c r="U305" s="73" t="str">
        <f t="shared" si="91"/>
        <v/>
      </c>
      <c r="V305" s="73" t="str">
        <f t="shared" si="91"/>
        <v/>
      </c>
      <c r="W305" s="73" t="str">
        <f t="shared" si="91"/>
        <v/>
      </c>
      <c r="X305" s="73" t="str">
        <f t="shared" si="91"/>
        <v/>
      </c>
      <c r="Y305" s="73" t="str">
        <f t="shared" si="91"/>
        <v/>
      </c>
      <c r="Z305" s="73" t="str">
        <f t="shared" si="91"/>
        <v/>
      </c>
      <c r="AA305" s="73" t="str">
        <f t="shared" si="91"/>
        <v/>
      </c>
      <c r="AB305" s="74" t="str">
        <f t="shared" si="91"/>
        <v/>
      </c>
      <c r="AC305" s="35" t="str">
        <f t="shared" si="80"/>
        <v/>
      </c>
      <c r="AD305" s="40" t="str">
        <f t="shared" si="81"/>
        <v/>
      </c>
      <c r="AE305" s="37" t="str">
        <f t="shared" si="82"/>
        <v/>
      </c>
      <c r="AF305" s="40" t="str">
        <f t="shared" si="83"/>
        <v/>
      </c>
      <c r="AG305" s="37" t="str">
        <f t="shared" si="84"/>
        <v/>
      </c>
      <c r="AH305" s="40" t="str">
        <f t="shared" si="85"/>
        <v/>
      </c>
      <c r="AI305" s="37" t="str">
        <f t="shared" si="86"/>
        <v/>
      </c>
      <c r="AJ305" s="40" t="str">
        <f t="shared" si="87"/>
        <v/>
      </c>
      <c r="AK305" s="33" t="str">
        <f>IF(SEM!AK305="","",SEM!AK305)</f>
        <v/>
      </c>
      <c r="AL305" s="6"/>
      <c r="AM305" s="79" t="str">
        <f t="shared" si="78"/>
        <v/>
      </c>
      <c r="AR305" s="5"/>
      <c r="AU305" s="198"/>
      <c r="AV305" s="198"/>
      <c r="AW305" s="198"/>
      <c r="AX305" s="198"/>
    </row>
    <row r="306" spans="2:50" ht="7.5" customHeight="1" x14ac:dyDescent="0.2">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R306" s="5"/>
    </row>
    <row r="307" spans="2:50" ht="17.25" customHeight="1" x14ac:dyDescent="0.2">
      <c r="F307" s="77">
        <f>SUM(F6:F305)</f>
        <v>0</v>
      </c>
      <c r="G307" s="77">
        <f>SUM(G6:G305)</f>
        <v>0</v>
      </c>
      <c r="H307" s="738" t="str">
        <f>IF($AH$2="","",$AH$2*0.03/2)</f>
        <v/>
      </c>
      <c r="I307" s="738" t="str">
        <f>IF($AH$2="","",$AH$2*0.23/6)</f>
        <v/>
      </c>
      <c r="J307" s="738" t="str">
        <f>IF($AH$2="","",$AH$2*0.23/6)</f>
        <v/>
      </c>
      <c r="K307" s="738" t="str">
        <f>IF($AH$2="","",$AH$2*0.23/6)</f>
        <v/>
      </c>
      <c r="L307" s="738" t="str">
        <f>IF($AH$2="","",$AH$2*0.74/13)</f>
        <v/>
      </c>
      <c r="M307" s="738" t="str">
        <f t="shared" ref="M307:X307" si="92">IF($AH$2="","",$AH$2*0.74/13)</f>
        <v/>
      </c>
      <c r="N307" s="738" t="str">
        <f t="shared" si="92"/>
        <v/>
      </c>
      <c r="O307" s="738" t="str">
        <f t="shared" si="92"/>
        <v/>
      </c>
      <c r="P307" s="738" t="str">
        <f t="shared" si="92"/>
        <v/>
      </c>
      <c r="Q307" s="738" t="str">
        <f t="shared" si="92"/>
        <v/>
      </c>
      <c r="R307" s="738" t="str">
        <f t="shared" si="92"/>
        <v/>
      </c>
      <c r="S307" s="738" t="str">
        <f t="shared" si="92"/>
        <v/>
      </c>
      <c r="T307" s="738" t="str">
        <f t="shared" si="92"/>
        <v/>
      </c>
      <c r="U307" s="738" t="str">
        <f t="shared" si="92"/>
        <v/>
      </c>
      <c r="V307" s="738" t="str">
        <f t="shared" si="92"/>
        <v/>
      </c>
      <c r="W307" s="738" t="str">
        <f t="shared" si="92"/>
        <v/>
      </c>
      <c r="X307" s="738" t="str">
        <f t="shared" si="92"/>
        <v/>
      </c>
      <c r="Y307" s="738" t="str">
        <f>IF($AH$2="","",$AH$2*0.23/6)</f>
        <v/>
      </c>
      <c r="Z307" s="738" t="str">
        <f>IF($AH$2="","",$AH$2*0.23/6)</f>
        <v/>
      </c>
      <c r="AA307" s="738" t="str">
        <f>IF($AH$2="","",$AH$2*0.23/6)</f>
        <v/>
      </c>
      <c r="AB307" s="738" t="str">
        <f>IF($AH$2="","",$AH$2*0.03/2)</f>
        <v/>
      </c>
    </row>
    <row r="308" spans="2:50" ht="17.25" customHeight="1" x14ac:dyDescent="0.2">
      <c r="H308" s="738"/>
      <c r="I308" s="738"/>
      <c r="J308" s="738"/>
      <c r="K308" s="738"/>
      <c r="L308" s="738"/>
      <c r="M308" s="738"/>
      <c r="N308" s="738"/>
      <c r="O308" s="738"/>
      <c r="P308" s="738"/>
      <c r="Q308" s="738"/>
      <c r="R308" s="738"/>
      <c r="S308" s="738"/>
      <c r="T308" s="738"/>
      <c r="U308" s="738"/>
      <c r="V308" s="738"/>
      <c r="W308" s="738"/>
      <c r="X308" s="738"/>
      <c r="Y308" s="738"/>
      <c r="Z308" s="738"/>
      <c r="AA308" s="738"/>
      <c r="AB308" s="738"/>
    </row>
    <row r="309" spans="2:50" ht="17.25" customHeight="1" x14ac:dyDescent="0.2">
      <c r="H309" s="738"/>
      <c r="I309" s="738"/>
      <c r="J309" s="738"/>
      <c r="K309" s="738"/>
      <c r="L309" s="738"/>
      <c r="M309" s="738"/>
      <c r="N309" s="738"/>
      <c r="O309" s="738"/>
      <c r="P309" s="738"/>
      <c r="Q309" s="738"/>
      <c r="R309" s="738"/>
      <c r="S309" s="738"/>
      <c r="T309" s="738"/>
      <c r="U309" s="738"/>
      <c r="V309" s="738"/>
      <c r="W309" s="738"/>
      <c r="X309" s="738"/>
      <c r="Y309" s="738"/>
      <c r="Z309" s="738"/>
      <c r="AA309" s="738"/>
      <c r="AB309" s="738"/>
      <c r="AC309" s="81">
        <f>SUM(H307:AB311)</f>
        <v>0</v>
      </c>
    </row>
    <row r="310" spans="2:50" ht="17.25" customHeight="1" x14ac:dyDescent="0.2">
      <c r="H310" s="738"/>
      <c r="I310" s="738"/>
      <c r="J310" s="738"/>
      <c r="K310" s="738"/>
      <c r="L310" s="738"/>
      <c r="M310" s="738"/>
      <c r="N310" s="738"/>
      <c r="O310" s="738"/>
      <c r="P310" s="738"/>
      <c r="Q310" s="738"/>
      <c r="R310" s="738"/>
      <c r="S310" s="738"/>
      <c r="T310" s="738"/>
      <c r="U310" s="738"/>
      <c r="V310" s="738"/>
      <c r="W310" s="738"/>
      <c r="X310" s="738"/>
      <c r="Y310" s="738"/>
      <c r="Z310" s="738"/>
      <c r="AA310" s="738"/>
      <c r="AB310" s="738"/>
    </row>
    <row r="311" spans="2:50" ht="17.25" customHeight="1" x14ac:dyDescent="0.2">
      <c r="H311" s="738"/>
      <c r="I311" s="738"/>
      <c r="J311" s="738"/>
      <c r="K311" s="738"/>
      <c r="L311" s="738"/>
      <c r="M311" s="738"/>
      <c r="N311" s="738"/>
      <c r="O311" s="738"/>
      <c r="P311" s="738"/>
      <c r="Q311" s="738"/>
      <c r="R311" s="738"/>
      <c r="S311" s="738"/>
      <c r="T311" s="738"/>
      <c r="U311" s="738"/>
      <c r="V311" s="738"/>
      <c r="W311" s="738"/>
      <c r="X311" s="738"/>
      <c r="Y311" s="738"/>
      <c r="Z311" s="738"/>
      <c r="AA311" s="738"/>
      <c r="AB311" s="738"/>
    </row>
  </sheetData>
  <mergeCells count="27">
    <mergeCell ref="AU3:AV3"/>
    <mergeCell ref="AW3:AX3"/>
    <mergeCell ref="C3:AK3"/>
    <mergeCell ref="C2:AD2"/>
    <mergeCell ref="AE2:AG2"/>
    <mergeCell ref="AH2:AK2"/>
    <mergeCell ref="H307:H311"/>
    <mergeCell ref="I307:I311"/>
    <mergeCell ref="J307:J311"/>
    <mergeCell ref="K307:K311"/>
    <mergeCell ref="L307:L311"/>
    <mergeCell ref="M307:M311"/>
    <mergeCell ref="N307:N311"/>
    <mergeCell ref="O307:O311"/>
    <mergeCell ref="P307:P311"/>
    <mergeCell ref="Q307:Q311"/>
    <mergeCell ref="R307:R311"/>
    <mergeCell ref="S307:S311"/>
    <mergeCell ref="Y307:Y311"/>
    <mergeCell ref="Z307:Z311"/>
    <mergeCell ref="AA307:AA311"/>
    <mergeCell ref="AB307:AB311"/>
    <mergeCell ref="T307:T311"/>
    <mergeCell ref="U307:U311"/>
    <mergeCell ref="V307:V311"/>
    <mergeCell ref="W307:W311"/>
    <mergeCell ref="X307:X311"/>
  </mergeCell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9">
    <tabColor theme="1" tint="4.9989318521683403E-2"/>
  </sheetPr>
  <dimension ref="B1:W399"/>
  <sheetViews>
    <sheetView workbookViewId="0">
      <pane xSplit="4" ySplit="4" topLeftCell="E5" activePane="bottomRight" state="frozen"/>
      <selection pane="topRight" activeCell="E1" sqref="E1"/>
      <selection pane="bottomLeft" activeCell="A6" sqref="A6"/>
      <selection pane="bottomRight" activeCell="E5" sqref="E5"/>
    </sheetView>
  </sheetViews>
  <sheetFormatPr defaultRowHeight="13.5" customHeight="1" x14ac:dyDescent="0.2"/>
  <cols>
    <col min="1" max="1" width="5.28515625" style="1" customWidth="1"/>
    <col min="2" max="3" width="10.28515625" style="1" customWidth="1"/>
    <col min="4" max="4" width="19.85546875" style="1" customWidth="1"/>
    <col min="5" max="5" width="20.85546875" style="2" customWidth="1"/>
    <col min="6" max="6" width="11" style="1" bestFit="1" customWidth="1"/>
    <col min="7" max="7" width="20.85546875" style="2" customWidth="1"/>
    <col min="8" max="8" width="11" style="1" bestFit="1" customWidth="1"/>
    <col min="9" max="9" width="20.85546875" style="2" customWidth="1"/>
    <col min="10" max="10" width="11" style="1" bestFit="1" customWidth="1"/>
    <col min="11" max="11" width="4" style="135" hidden="1" customWidth="1"/>
    <col min="12" max="12" width="11.42578125" style="136" hidden="1" customWidth="1"/>
    <col min="13" max="13" width="4" style="135" bestFit="1" customWidth="1"/>
    <col min="14" max="14" width="11.42578125" style="136" customWidth="1"/>
    <col min="15" max="15" width="4.42578125" style="135" bestFit="1" customWidth="1"/>
    <col min="16" max="16" width="11.42578125" style="136" customWidth="1"/>
    <col min="17" max="17" width="4.42578125" style="135" bestFit="1" customWidth="1"/>
    <col min="18" max="18" width="11.42578125" style="136" customWidth="1"/>
    <col min="19" max="19" width="13.5703125" style="163" bestFit="1" customWidth="1"/>
    <col min="20" max="20" width="10.42578125" style="163" bestFit="1" customWidth="1"/>
    <col min="21" max="21" width="7.85546875" style="163" bestFit="1" customWidth="1"/>
    <col min="22" max="22" width="9.140625" style="119"/>
    <col min="23" max="23" width="13.5703125" style="1" bestFit="1" customWidth="1"/>
    <col min="24" max="16384" width="9.140625" style="1"/>
  </cols>
  <sheetData>
    <row r="1" spans="2:23" ht="13.5" customHeight="1" x14ac:dyDescent="0.2">
      <c r="B1" s="746" t="s">
        <v>287</v>
      </c>
      <c r="C1" s="746"/>
      <c r="D1" s="746"/>
      <c r="E1" s="741" t="s">
        <v>288</v>
      </c>
      <c r="F1" s="741"/>
      <c r="G1" s="741" t="s">
        <v>289</v>
      </c>
      <c r="H1" s="741"/>
      <c r="I1" s="741" t="s">
        <v>290</v>
      </c>
      <c r="J1" s="741"/>
      <c r="K1" s="141"/>
      <c r="M1" s="749" t="s">
        <v>291</v>
      </c>
      <c r="N1" s="749"/>
      <c r="O1" s="749"/>
      <c r="P1" s="749"/>
      <c r="Q1" s="749"/>
      <c r="R1" s="749"/>
    </row>
    <row r="2" spans="2:23" ht="13.5" customHeight="1" x14ac:dyDescent="0.2">
      <c r="B2" s="747" t="str">
        <f>IF(B5="","",SUM(D5:D304))</f>
        <v/>
      </c>
      <c r="C2" s="747"/>
      <c r="D2" s="747"/>
      <c r="E2" s="742" t="str">
        <f>IF(B5="","",SUM(F5:F304))</f>
        <v/>
      </c>
      <c r="F2" s="742"/>
      <c r="G2" s="742" t="str">
        <f>IF(E2="","",SUM(H5:H304))</f>
        <v/>
      </c>
      <c r="H2" s="742"/>
      <c r="I2" s="742" t="str">
        <f>IF(E2="","",SUM(J5:J304))</f>
        <v/>
      </c>
      <c r="J2" s="742"/>
      <c r="K2" s="141"/>
      <c r="M2" s="742" t="str">
        <f>IF(B5="","",SUM(E2:J3))</f>
        <v/>
      </c>
      <c r="N2" s="742"/>
      <c r="O2" s="742"/>
      <c r="P2" s="742"/>
      <c r="Q2" s="742"/>
      <c r="R2" s="742"/>
    </row>
    <row r="3" spans="2:23" ht="13.5" customHeight="1" x14ac:dyDescent="0.2">
      <c r="B3" s="748"/>
      <c r="C3" s="748"/>
      <c r="D3" s="748"/>
      <c r="E3" s="743"/>
      <c r="F3" s="743"/>
      <c r="G3" s="743"/>
      <c r="H3" s="743"/>
      <c r="I3" s="743"/>
      <c r="J3" s="743"/>
      <c r="K3" s="141"/>
      <c r="M3" s="743"/>
      <c r="N3" s="743"/>
      <c r="O3" s="743"/>
      <c r="P3" s="743"/>
      <c r="Q3" s="743"/>
      <c r="R3" s="743"/>
      <c r="U3" s="256"/>
    </row>
    <row r="4" spans="2:23" ht="29.25" customHeight="1" x14ac:dyDescent="0.2">
      <c r="B4" s="21" t="s">
        <v>164</v>
      </c>
      <c r="C4" s="138" t="s">
        <v>0</v>
      </c>
      <c r="D4" s="146" t="s">
        <v>280</v>
      </c>
      <c r="E4" s="3" t="s">
        <v>277</v>
      </c>
      <c r="F4" s="146" t="s">
        <v>208</v>
      </c>
      <c r="G4" s="3" t="s">
        <v>278</v>
      </c>
      <c r="H4" s="146" t="s">
        <v>208</v>
      </c>
      <c r="I4" s="3" t="s">
        <v>279</v>
      </c>
      <c r="J4" s="146" t="s">
        <v>208</v>
      </c>
      <c r="K4" s="744" t="s">
        <v>281</v>
      </c>
      <c r="L4" s="745"/>
      <c r="M4" s="744" t="s">
        <v>282</v>
      </c>
      <c r="N4" s="745"/>
      <c r="O4" s="744" t="s">
        <v>283</v>
      </c>
      <c r="P4" s="745"/>
      <c r="Q4" s="744" t="s">
        <v>284</v>
      </c>
      <c r="R4" s="745"/>
      <c r="T4" s="257">
        <v>42795</v>
      </c>
      <c r="U4" s="256" t="s">
        <v>64</v>
      </c>
    </row>
    <row r="5" spans="2:23" ht="13.5" customHeight="1" x14ac:dyDescent="0.2">
      <c r="B5" s="23" t="str">
        <f>IF(FROTA!B6="","",FROTA!B6)</f>
        <v/>
      </c>
      <c r="C5" s="139" t="str">
        <f>IF(B5="","",VLOOKUP(B5,FROTA!$B$5:$C$306,2,0))</f>
        <v/>
      </c>
      <c r="D5" s="22" t="str">
        <f>IF(B5="","",SUM(E5,G5,I5,L5,N5,P5,R5))</f>
        <v/>
      </c>
      <c r="E5" s="4" t="str">
        <f>IF(B5="","",SUM(VLOOKUP(C5,ESCALA!$B$3:$N$19,8,0))*(VLOOKUP(SEM!C6,SEM!$C$5:$AC$305,27,0)))</f>
        <v/>
      </c>
      <c r="F5" s="120" t="str">
        <f>IF(D5="","",ROUNDUP(SEM!$AD6*VLOOKUP(RECEITAS!$C5,ESCALA!$B$3:$N$19,8,0),0))</f>
        <v/>
      </c>
      <c r="G5" s="4" t="str">
        <f>IF(B5="","",(SUM((VLOOKUP(C5,ESCALA!$B$3:$N$19,10,0))*(VLOOKUP(SAB!C6,SAB!$C$5:$AC$305,27,0))/VLOOKUP(C5,PERFIL!$B$4:$M$20,8,0))*VLOOKUP(C5,PERFIL!$B$4:$M$20,11,0)))</f>
        <v/>
      </c>
      <c r="H5" s="120" t="str">
        <f>IF(F5="","",ROUNDUP(SAB!$AD6*VLOOKUP(RECEITAS!$C5,ESCALA!$B$3:$N$19,10,0),0))</f>
        <v/>
      </c>
      <c r="I5" s="4" t="str">
        <f>IF(B5="","",SUM(VLOOKUP(C5,ESCALA!$B$3:$N$19,12,0))*(VLOOKUP(DF!C6,DF!$C$5:$AC$305,27,0))/VLOOKUP(C5,PERFIL!$B$4:$M$20,8,0)*VLOOKUP(C5,PERFIL!$B$4:$M$20,12,0))</f>
        <v/>
      </c>
      <c r="J5" s="120" t="str">
        <f>IF(H5="","",ROUNDUP(DF!$AD6*VLOOKUP(RECEITAS!$C5,ESCALA!$B$3:$N$19,12,0),0))</f>
        <v/>
      </c>
      <c r="K5" s="4" t="str">
        <f>IF(FROTA!AA6="","",FROTA!AA6)</f>
        <v>SIM</v>
      </c>
      <c r="L5" s="4">
        <f>IF(K5="sim",SUM($E5,$G5,$I5)*0,"")</f>
        <v>0</v>
      </c>
      <c r="M5" s="4" t="str">
        <f>IF(FROTA!AC6="","",FROTA!AC6)</f>
        <v>SIM</v>
      </c>
      <c r="N5" s="4">
        <f>IF(M5="sim",SUM($E5,$G5,$I5)*0.0085,"")</f>
        <v>0</v>
      </c>
      <c r="O5" s="4" t="str">
        <f>IF(FROTA!AE6="","",FROTA!AE6)</f>
        <v>SIM</v>
      </c>
      <c r="P5" s="4">
        <f>IF(O5="sim",SUM($E5,$G5,$I5)*0.0085,"")</f>
        <v>0</v>
      </c>
      <c r="Q5" s="4" t="str">
        <f>IF(FROTA!AG6="","",FROTA!AG6)</f>
        <v>SIM</v>
      </c>
      <c r="R5" s="4">
        <f>IF(Q5="sim",SUM($E5,$G5,$I5)*0.0085,"")</f>
        <v>0</v>
      </c>
      <c r="S5" s="164">
        <f>SUM(E5,G5,I5,L5,N5,P5,R5)</f>
        <v>0</v>
      </c>
      <c r="T5" s="257">
        <v>42796</v>
      </c>
      <c r="U5" s="256" t="s">
        <v>59</v>
      </c>
    </row>
    <row r="6" spans="2:23" ht="13.5" customHeight="1" x14ac:dyDescent="0.2">
      <c r="B6" s="23" t="str">
        <f>IF(FROTA!B7="","",FROTA!B7)</f>
        <v/>
      </c>
      <c r="C6" s="139" t="str">
        <f>IF(B6="","",VLOOKUP(B6,FROTA!$B$5:$C$306,2,0))</f>
        <v/>
      </c>
      <c r="D6" s="22" t="str">
        <f t="shared" ref="D6:D69" si="0">IF(B6="","",SUM(E6,G6,I6,L6,N6,P6,R6))</f>
        <v/>
      </c>
      <c r="E6" s="4" t="str">
        <f>IF(B6="","",SUM(VLOOKUP(C6,ESCALA!$B$3:$N$19,8,0))*(VLOOKUP(SEM!C7,SEM!$C$5:$AC$305,27,0)))</f>
        <v/>
      </c>
      <c r="F6" s="120" t="str">
        <f>IF(D6="","",ROUNDUP(SEM!$AD7*VLOOKUP(RECEITAS!$C6,ESCALA!$B$3:$N$19,8,0),0))</f>
        <v/>
      </c>
      <c r="G6" s="4" t="str">
        <f>IF(B6="","",(SUM((VLOOKUP(C6,ESCALA!$B$3:$N$19,10,0))*(VLOOKUP(SAB!C7,SAB!$C$5:$AC$305,27,0))/VLOOKUP(C6,PERFIL!$B$4:$M$20,8,0))*VLOOKUP(C6,PERFIL!$B$4:$M$20,11,0)))</f>
        <v/>
      </c>
      <c r="H6" s="120" t="str">
        <f>IF(F6="","",ROUNDUP(SAB!$AD7*VLOOKUP(RECEITAS!$C6,ESCALA!$B$3:$N$19,10,0),0))</f>
        <v/>
      </c>
      <c r="I6" s="4" t="str">
        <f>IF(B6="","",SUM(VLOOKUP(C6,ESCALA!$B$3:$N$19,12,0))*(VLOOKUP(DF!C7,DF!$C$5:$AC$305,27,0))/VLOOKUP(C6,PERFIL!$B$4:$M$20,8,0)*VLOOKUP(C6,PERFIL!$B$4:$M$20,12,0))</f>
        <v/>
      </c>
      <c r="J6" s="120" t="str">
        <f>IF(H6="","",ROUNDUP(DF!$AD7*VLOOKUP(RECEITAS!$C6,ESCALA!$B$3:$N$19,12,0),0))</f>
        <v/>
      </c>
      <c r="K6" s="4" t="str">
        <f>IF(FROTA!AA7="","",FROTA!AA7)</f>
        <v/>
      </c>
      <c r="L6" s="4" t="str">
        <f t="shared" ref="L6:L69" si="1">IF(K6="sim",SUM($E6,$G6,$I6)*0,"")</f>
        <v/>
      </c>
      <c r="M6" s="4" t="str">
        <f>IF(FROTA!AC7="","",FROTA!AC7)</f>
        <v/>
      </c>
      <c r="N6" s="4" t="str">
        <f t="shared" ref="N6:N69" si="2">IF(M6="sim",SUM($E6,$G6,$I6)*0.0085,"")</f>
        <v/>
      </c>
      <c r="O6" s="4" t="str">
        <f>IF(FROTA!AE7="","",FROTA!AE7)</f>
        <v/>
      </c>
      <c r="P6" s="4" t="str">
        <f t="shared" ref="P6:P69" si="3">IF(O6="sim",SUM($E6,$G6,$I6)*0.0085,"")</f>
        <v/>
      </c>
      <c r="Q6" s="4" t="str">
        <f>IF(FROTA!AG7="","",FROTA!AG7)</f>
        <v/>
      </c>
      <c r="R6" s="4" t="str">
        <f t="shared" ref="R6:R69" si="4">IF(Q6="sim",SUM($E6,$G6,$I6)*0.0085,"")</f>
        <v/>
      </c>
      <c r="S6" s="164">
        <f>SUM(E6,G6,I6,L6,N6,P6,R6)</f>
        <v>0</v>
      </c>
      <c r="T6" s="257">
        <v>42797</v>
      </c>
      <c r="U6" s="256" t="s">
        <v>60</v>
      </c>
      <c r="W6" s="140"/>
    </row>
    <row r="7" spans="2:23" ht="13.5" customHeight="1" x14ac:dyDescent="0.2">
      <c r="B7" s="23" t="str">
        <f>IF(FROTA!B8="","",FROTA!B8)</f>
        <v/>
      </c>
      <c r="C7" s="139" t="str">
        <f>IF(B7="","",VLOOKUP(B7,FROTA!$B$5:$C$306,2,0))</f>
        <v/>
      </c>
      <c r="D7" s="22" t="str">
        <f t="shared" si="0"/>
        <v/>
      </c>
      <c r="E7" s="4" t="str">
        <f>IF(B7="","",SUM(VLOOKUP(C7,ESCALA!$B$3:$N$19,8,0))*(VLOOKUP(SEM!C8,SEM!$C$5:$AC$305,27,0)))</f>
        <v/>
      </c>
      <c r="F7" s="120" t="str">
        <f>IF(D7="","",ROUNDUP(SEM!$AD8*VLOOKUP(RECEITAS!$C7,ESCALA!$B$3:$N$19,8,0),0))</f>
        <v/>
      </c>
      <c r="G7" s="4" t="str">
        <f>IF(B7="","",(SUM((VLOOKUP(C7,ESCALA!$B$3:$N$19,10,0))*(VLOOKUP(SAB!C8,SAB!$C$5:$AC$305,27,0))/VLOOKUP(C7,PERFIL!$B$4:$M$20,8,0))*VLOOKUP(C7,PERFIL!$B$4:$M$20,11,0)))</f>
        <v/>
      </c>
      <c r="H7" s="120" t="str">
        <f>IF(F7="","",ROUNDUP(SAB!$AD8*VLOOKUP(RECEITAS!$C7,ESCALA!$B$3:$N$19,10,0),0))</f>
        <v/>
      </c>
      <c r="I7" s="4" t="str">
        <f>IF(B7="","",SUM(VLOOKUP(C7,ESCALA!$B$3:$N$19,12,0))*(VLOOKUP(DF!C8,DF!$C$5:$AC$305,27,0))/VLOOKUP(C7,PERFIL!$B$4:$M$20,8,0)*VLOOKUP(C7,PERFIL!$B$4:$M$20,12,0))</f>
        <v/>
      </c>
      <c r="J7" s="120" t="str">
        <f>IF(H7="","",ROUNDUP(DF!$AD8*VLOOKUP(RECEITAS!$C7,ESCALA!$B$3:$N$19,12,0),0))</f>
        <v/>
      </c>
      <c r="K7" s="4" t="str">
        <f>IF(FROTA!AA8="","",FROTA!AA8)</f>
        <v/>
      </c>
      <c r="L7" s="4" t="str">
        <f t="shared" si="1"/>
        <v/>
      </c>
      <c r="M7" s="4" t="str">
        <f>IF(FROTA!AC8="","",FROTA!AC8)</f>
        <v/>
      </c>
      <c r="N7" s="4" t="str">
        <f t="shared" si="2"/>
        <v/>
      </c>
      <c r="O7" s="4" t="str">
        <f>IF(FROTA!AE8="","",FROTA!AE8)</f>
        <v/>
      </c>
      <c r="P7" s="4" t="str">
        <f t="shared" si="3"/>
        <v/>
      </c>
      <c r="Q7" s="4" t="str">
        <f>IF(FROTA!AG8="","",FROTA!AG8)</f>
        <v/>
      </c>
      <c r="R7" s="4" t="str">
        <f t="shared" si="4"/>
        <v/>
      </c>
      <c r="S7" s="164">
        <f t="shared" ref="S7:S70" si="5">SUM(E7,G7,I7,L7,N7,P7,R7)</f>
        <v>0</v>
      </c>
      <c r="T7" s="257">
        <v>42798</v>
      </c>
      <c r="U7" s="256" t="s">
        <v>61</v>
      </c>
    </row>
    <row r="8" spans="2:23" ht="13.5" customHeight="1" x14ac:dyDescent="0.2">
      <c r="B8" s="23" t="str">
        <f>IF(FROTA!B9="","",FROTA!B9)</f>
        <v/>
      </c>
      <c r="C8" s="139" t="str">
        <f>IF(B8="","",VLOOKUP(B8,FROTA!$B$5:$C$306,2,0))</f>
        <v/>
      </c>
      <c r="D8" s="22" t="str">
        <f t="shared" si="0"/>
        <v/>
      </c>
      <c r="E8" s="4" t="str">
        <f>IF(B8="","",SUM(VLOOKUP(C8,ESCALA!$B$3:$N$19,8,0))*(VLOOKUP(SEM!C9,SEM!$C$5:$AC$305,27,0)))</f>
        <v/>
      </c>
      <c r="F8" s="120" t="str">
        <f>IF(D8="","",ROUNDUP(SEM!$AD9*VLOOKUP(RECEITAS!$C8,ESCALA!$B$3:$N$19,8,0),0))</f>
        <v/>
      </c>
      <c r="G8" s="4" t="str">
        <f>IF(B8="","",(SUM((VLOOKUP(C8,ESCALA!$B$3:$N$19,10,0))*(VLOOKUP(SAB!C9,SAB!$C$5:$AC$305,27,0))/VLOOKUP(C8,PERFIL!$B$4:$M$20,8,0))*VLOOKUP(C8,PERFIL!$B$4:$M$20,11,0)))</f>
        <v/>
      </c>
      <c r="H8" s="120" t="str">
        <f>IF(F8="","",ROUNDUP(SAB!$AD9*VLOOKUP(RECEITAS!$C8,ESCALA!$B$3:$N$19,10,0),0))</f>
        <v/>
      </c>
      <c r="I8" s="4" t="str">
        <f>IF(B8="","",SUM(VLOOKUP(C8,ESCALA!$B$3:$N$19,12,0))*(VLOOKUP(DF!C9,DF!$C$5:$AC$305,27,0))/VLOOKUP(C8,PERFIL!$B$4:$M$20,8,0)*VLOOKUP(C8,PERFIL!$B$4:$M$20,12,0))</f>
        <v/>
      </c>
      <c r="J8" s="120" t="str">
        <f>IF(H8="","",ROUNDUP(DF!$AD9*VLOOKUP(RECEITAS!$C8,ESCALA!$B$3:$N$19,12,0),0))</f>
        <v/>
      </c>
      <c r="K8" s="4" t="str">
        <f>IF(FROTA!AA9="","",FROTA!AA9)</f>
        <v/>
      </c>
      <c r="L8" s="4" t="str">
        <f t="shared" si="1"/>
        <v/>
      </c>
      <c r="M8" s="4" t="str">
        <f>IF(FROTA!AC9="","",FROTA!AC9)</f>
        <v/>
      </c>
      <c r="N8" s="4" t="str">
        <f t="shared" si="2"/>
        <v/>
      </c>
      <c r="O8" s="4" t="str">
        <f>IF(FROTA!AE9="","",FROTA!AE9)</f>
        <v/>
      </c>
      <c r="P8" s="4" t="str">
        <f t="shared" si="3"/>
        <v/>
      </c>
      <c r="Q8" s="4" t="str">
        <f>IF(FROTA!AG9="","",FROTA!AG9)</f>
        <v/>
      </c>
      <c r="R8" s="4" t="str">
        <f t="shared" si="4"/>
        <v/>
      </c>
      <c r="S8" s="164">
        <f t="shared" si="5"/>
        <v>0</v>
      </c>
      <c r="T8" s="257">
        <v>42799</v>
      </c>
      <c r="U8" s="256" t="s">
        <v>58</v>
      </c>
    </row>
    <row r="9" spans="2:23" ht="13.5" customHeight="1" x14ac:dyDescent="0.2">
      <c r="B9" s="23" t="str">
        <f>IF(FROTA!B10="","",FROTA!B10)</f>
        <v/>
      </c>
      <c r="C9" s="139" t="str">
        <f>IF(B9="","",VLOOKUP(B9,FROTA!$B$5:$C$306,2,0))</f>
        <v/>
      </c>
      <c r="D9" s="22" t="str">
        <f t="shared" si="0"/>
        <v/>
      </c>
      <c r="E9" s="4" t="str">
        <f>IF(B9="","",SUM(VLOOKUP(C9,ESCALA!$B$3:$N$19,8,0))*(VLOOKUP(SEM!C10,SEM!$C$5:$AC$305,27,0)))</f>
        <v/>
      </c>
      <c r="F9" s="120" t="str">
        <f>IF(D9="","",ROUNDUP(SEM!$AD10*VLOOKUP(RECEITAS!$C9,ESCALA!$B$3:$N$19,8,0),0))</f>
        <v/>
      </c>
      <c r="G9" s="4" t="str">
        <f>IF(B9="","",(SUM((VLOOKUP(C9,ESCALA!$B$3:$N$19,10,0))*(VLOOKUP(SAB!C10,SAB!$C$5:$AC$305,27,0))/VLOOKUP(C9,PERFIL!$B$4:$M$20,8,0))*VLOOKUP(C9,PERFIL!$B$4:$M$20,11,0)))</f>
        <v/>
      </c>
      <c r="H9" s="120" t="str">
        <f>IF(F9="","",ROUNDUP(SAB!$AD10*VLOOKUP(RECEITAS!$C9,ESCALA!$B$3:$N$19,10,0),0))</f>
        <v/>
      </c>
      <c r="I9" s="4" t="str">
        <f>IF(B9="","",SUM(VLOOKUP(C9,ESCALA!$B$3:$N$19,12,0))*(VLOOKUP(DF!C10,DF!$C$5:$AC$305,27,0))/VLOOKUP(C9,PERFIL!$B$4:$M$20,8,0)*VLOOKUP(C9,PERFIL!$B$4:$M$20,12,0))</f>
        <v/>
      </c>
      <c r="J9" s="120" t="str">
        <f>IF(H9="","",ROUNDUP(DF!$AD10*VLOOKUP(RECEITAS!$C9,ESCALA!$B$3:$N$19,12,0),0))</f>
        <v/>
      </c>
      <c r="K9" s="4" t="str">
        <f>IF(FROTA!AA10="","",FROTA!AA10)</f>
        <v/>
      </c>
      <c r="L9" s="4" t="str">
        <f t="shared" si="1"/>
        <v/>
      </c>
      <c r="M9" s="4" t="str">
        <f>IF(FROTA!AC10="","",FROTA!AC10)</f>
        <v/>
      </c>
      <c r="N9" s="4" t="str">
        <f t="shared" si="2"/>
        <v/>
      </c>
      <c r="O9" s="4" t="str">
        <f>IF(FROTA!AE10="","",FROTA!AE10)</f>
        <v/>
      </c>
      <c r="P9" s="4" t="str">
        <f t="shared" si="3"/>
        <v/>
      </c>
      <c r="Q9" s="4" t="str">
        <f>IF(FROTA!AG10="","",FROTA!AG10)</f>
        <v/>
      </c>
      <c r="R9" s="4" t="str">
        <f t="shared" si="4"/>
        <v/>
      </c>
      <c r="S9" s="164">
        <f t="shared" si="5"/>
        <v>0</v>
      </c>
      <c r="T9" s="257">
        <v>42800</v>
      </c>
      <c r="U9" s="256" t="s">
        <v>62</v>
      </c>
    </row>
    <row r="10" spans="2:23" ht="13.5" customHeight="1" x14ac:dyDescent="0.2">
      <c r="B10" s="23" t="str">
        <f>IF(FROTA!B11="","",FROTA!B11)</f>
        <v/>
      </c>
      <c r="C10" s="139" t="str">
        <f>IF(B10="","",VLOOKUP(B10,FROTA!$B$5:$C$306,2,0))</f>
        <v/>
      </c>
      <c r="D10" s="22" t="str">
        <f t="shared" si="0"/>
        <v/>
      </c>
      <c r="E10" s="4" t="str">
        <f>IF(B10="","",SUM(VLOOKUP(C10,ESCALA!$B$3:$N$19,8,0))*(VLOOKUP(SEM!C11,SEM!$C$5:$AC$305,27,0)))</f>
        <v/>
      </c>
      <c r="F10" s="120" t="str">
        <f>IF(D10="","",ROUNDUP(SEM!$AD11*VLOOKUP(RECEITAS!$C10,ESCALA!$B$3:$N$19,8,0),0))</f>
        <v/>
      </c>
      <c r="G10" s="4" t="str">
        <f>IF(B10="","",(SUM((VLOOKUP(C10,ESCALA!$B$3:$N$19,10,0))*(VLOOKUP(SAB!C11,SAB!$C$5:$AC$305,27,0))/VLOOKUP(C10,PERFIL!$B$4:$M$20,8,0))*VLOOKUP(C10,PERFIL!$B$4:$M$20,11,0)))</f>
        <v/>
      </c>
      <c r="H10" s="120" t="str">
        <f>IF(F10="","",ROUNDUP(SAB!$AD11*VLOOKUP(RECEITAS!$C10,ESCALA!$B$3:$N$19,10,0),0))</f>
        <v/>
      </c>
      <c r="I10" s="4" t="str">
        <f>IF(B10="","",SUM(VLOOKUP(C10,ESCALA!$B$3:$N$19,12,0))*(VLOOKUP(DF!C11,DF!$C$5:$AC$305,27,0))/VLOOKUP(C10,PERFIL!$B$4:$M$20,8,0)*VLOOKUP(C10,PERFIL!$B$4:$M$20,12,0))</f>
        <v/>
      </c>
      <c r="J10" s="120" t="str">
        <f>IF(H10="","",ROUNDUP(DF!$AD11*VLOOKUP(RECEITAS!$C10,ESCALA!$B$3:$N$19,12,0),0))</f>
        <v/>
      </c>
      <c r="K10" s="4" t="str">
        <f>IF(FROTA!AA11="","",FROTA!AA11)</f>
        <v/>
      </c>
      <c r="L10" s="4" t="str">
        <f t="shared" si="1"/>
        <v/>
      </c>
      <c r="M10" s="4" t="str">
        <f>IF(FROTA!AC11="","",FROTA!AC11)</f>
        <v/>
      </c>
      <c r="N10" s="4" t="str">
        <f t="shared" si="2"/>
        <v/>
      </c>
      <c r="O10" s="4" t="str">
        <f>IF(FROTA!AE11="","",FROTA!AE11)</f>
        <v/>
      </c>
      <c r="P10" s="4" t="str">
        <f t="shared" si="3"/>
        <v/>
      </c>
      <c r="Q10" s="4" t="str">
        <f>IF(FROTA!AG11="","",FROTA!AG11)</f>
        <v/>
      </c>
      <c r="R10" s="4" t="str">
        <f t="shared" si="4"/>
        <v/>
      </c>
      <c r="S10" s="164">
        <f t="shared" si="5"/>
        <v>0</v>
      </c>
      <c r="T10" s="257">
        <v>42801</v>
      </c>
      <c r="U10" s="256" t="s">
        <v>63</v>
      </c>
    </row>
    <row r="11" spans="2:23" ht="13.5" customHeight="1" x14ac:dyDescent="0.2">
      <c r="B11" s="23" t="str">
        <f>IF(FROTA!B12="","",FROTA!B12)</f>
        <v/>
      </c>
      <c r="C11" s="139" t="str">
        <f>IF(B11="","",VLOOKUP(B11,FROTA!$B$5:$C$306,2,0))</f>
        <v/>
      </c>
      <c r="D11" s="22" t="str">
        <f t="shared" si="0"/>
        <v/>
      </c>
      <c r="E11" s="4" t="str">
        <f>IF(B11="","",SUM(VLOOKUP(C11,ESCALA!$B$3:$N$19,8,0))*(VLOOKUP(SEM!C12,SEM!$C$5:$AC$305,27,0)))</f>
        <v/>
      </c>
      <c r="F11" s="120" t="str">
        <f>IF(D11="","",ROUNDUP(SEM!$AD12*VLOOKUP(RECEITAS!$C11,ESCALA!$B$3:$N$19,8,0),0))</f>
        <v/>
      </c>
      <c r="G11" s="4" t="str">
        <f>IF(B11="","",(SUM((VLOOKUP(C11,ESCALA!$B$3:$N$19,10,0))*(VLOOKUP(SAB!C12,SAB!$C$5:$AC$305,27,0))/VLOOKUP(C11,PERFIL!$B$4:$M$20,8,0))*VLOOKUP(C11,PERFIL!$B$4:$M$20,11,0)))</f>
        <v/>
      </c>
      <c r="H11" s="120" t="str">
        <f>IF(F11="","",ROUNDUP(SAB!$AD12*VLOOKUP(RECEITAS!$C11,ESCALA!$B$3:$N$19,10,0),0))</f>
        <v/>
      </c>
      <c r="I11" s="4" t="str">
        <f>IF(B11="","",SUM(VLOOKUP(C11,ESCALA!$B$3:$N$19,12,0))*(VLOOKUP(DF!C12,DF!$C$5:$AC$305,27,0))/VLOOKUP(C11,PERFIL!$B$4:$M$20,8,0)*VLOOKUP(C11,PERFIL!$B$4:$M$20,12,0))</f>
        <v/>
      </c>
      <c r="J11" s="120" t="str">
        <f>IF(H11="","",ROUNDUP(DF!$AD12*VLOOKUP(RECEITAS!$C11,ESCALA!$B$3:$N$19,12,0),0))</f>
        <v/>
      </c>
      <c r="K11" s="4" t="str">
        <f>IF(FROTA!AA12="","",FROTA!AA12)</f>
        <v/>
      </c>
      <c r="L11" s="4" t="str">
        <f t="shared" si="1"/>
        <v/>
      </c>
      <c r="M11" s="4" t="str">
        <f>IF(FROTA!AC12="","",FROTA!AC12)</f>
        <v/>
      </c>
      <c r="N11" s="4" t="str">
        <f t="shared" si="2"/>
        <v/>
      </c>
      <c r="O11" s="4" t="str">
        <f>IF(FROTA!AE12="","",FROTA!AE12)</f>
        <v/>
      </c>
      <c r="P11" s="4" t="str">
        <f t="shared" si="3"/>
        <v/>
      </c>
      <c r="Q11" s="4" t="str">
        <f>IF(FROTA!AG12="","",FROTA!AG12)</f>
        <v/>
      </c>
      <c r="R11" s="4" t="str">
        <f t="shared" si="4"/>
        <v/>
      </c>
      <c r="S11" s="164">
        <f t="shared" si="5"/>
        <v>0</v>
      </c>
      <c r="T11" s="257">
        <v>42802</v>
      </c>
      <c r="U11" s="256" t="s">
        <v>64</v>
      </c>
    </row>
    <row r="12" spans="2:23" ht="13.5" customHeight="1" x14ac:dyDescent="0.2">
      <c r="B12" s="23" t="str">
        <f>IF(FROTA!B13="","",FROTA!B13)</f>
        <v/>
      </c>
      <c r="C12" s="139" t="str">
        <f>IF(B12="","",VLOOKUP(B12,FROTA!$B$5:$C$306,2,0))</f>
        <v/>
      </c>
      <c r="D12" s="22" t="str">
        <f t="shared" si="0"/>
        <v/>
      </c>
      <c r="E12" s="4" t="str">
        <f>IF(B12="","",SUM(VLOOKUP(C12,ESCALA!$B$3:$N$19,8,0))*(VLOOKUP(SEM!C13,SEM!$C$5:$AC$305,27,0)))</f>
        <v/>
      </c>
      <c r="F12" s="120" t="str">
        <f>IF(D12="","",ROUNDUP(SEM!$AD13*VLOOKUP(RECEITAS!$C12,ESCALA!$B$3:$N$19,8,0),0))</f>
        <v/>
      </c>
      <c r="G12" s="4" t="str">
        <f>IF(B12="","",(SUM((VLOOKUP(C12,ESCALA!$B$3:$N$19,10,0))*(VLOOKUP(SAB!C13,SAB!$C$5:$AC$305,27,0))/VLOOKUP(C12,PERFIL!$B$4:$M$20,8,0))*VLOOKUP(C12,PERFIL!$B$4:$M$20,11,0)))</f>
        <v/>
      </c>
      <c r="H12" s="120" t="str">
        <f>IF(F12="","",ROUNDUP(SAB!$AD13*VLOOKUP(RECEITAS!$C12,ESCALA!$B$3:$N$19,10,0),0))</f>
        <v/>
      </c>
      <c r="I12" s="4" t="str">
        <f>IF(B12="","",SUM(VLOOKUP(C12,ESCALA!$B$3:$N$19,12,0))*(VLOOKUP(DF!C13,DF!$C$5:$AC$305,27,0))/VLOOKUP(C12,PERFIL!$B$4:$M$20,8,0)*VLOOKUP(C12,PERFIL!$B$4:$M$20,12,0))</f>
        <v/>
      </c>
      <c r="J12" s="120" t="str">
        <f>IF(H12="","",ROUNDUP(DF!$AD13*VLOOKUP(RECEITAS!$C12,ESCALA!$B$3:$N$19,12,0),0))</f>
        <v/>
      </c>
      <c r="K12" s="4" t="str">
        <f>IF(FROTA!AA13="","",FROTA!AA13)</f>
        <v/>
      </c>
      <c r="L12" s="4" t="str">
        <f t="shared" si="1"/>
        <v/>
      </c>
      <c r="M12" s="4" t="str">
        <f>IF(FROTA!AC13="","",FROTA!AC13)</f>
        <v/>
      </c>
      <c r="N12" s="4" t="str">
        <f t="shared" si="2"/>
        <v/>
      </c>
      <c r="O12" s="4" t="str">
        <f>IF(FROTA!AE13="","",FROTA!AE13)</f>
        <v/>
      </c>
      <c r="P12" s="4" t="str">
        <f t="shared" si="3"/>
        <v/>
      </c>
      <c r="Q12" s="4" t="str">
        <f>IF(FROTA!AG13="","",FROTA!AG13)</f>
        <v/>
      </c>
      <c r="R12" s="4" t="str">
        <f t="shared" si="4"/>
        <v/>
      </c>
      <c r="S12" s="164">
        <f t="shared" si="5"/>
        <v>0</v>
      </c>
      <c r="T12" s="257">
        <v>42803</v>
      </c>
      <c r="U12" s="256" t="s">
        <v>59</v>
      </c>
    </row>
    <row r="13" spans="2:23" ht="13.5" customHeight="1" x14ac:dyDescent="0.2">
      <c r="B13" s="23" t="str">
        <f>IF(FROTA!B14="","",FROTA!B14)</f>
        <v/>
      </c>
      <c r="C13" s="139" t="str">
        <f>IF(B13="","",VLOOKUP(B13,FROTA!$B$5:$C$306,2,0))</f>
        <v/>
      </c>
      <c r="D13" s="22" t="str">
        <f t="shared" si="0"/>
        <v/>
      </c>
      <c r="E13" s="4" t="str">
        <f>IF(B13="","",SUM(VLOOKUP(C13,ESCALA!$B$3:$N$19,8,0))*(VLOOKUP(SEM!C14,SEM!$C$5:$AC$305,27,0)))</f>
        <v/>
      </c>
      <c r="F13" s="120" t="str">
        <f>IF(D13="","",ROUNDUP(SEM!$AD14*VLOOKUP(RECEITAS!$C13,ESCALA!$B$3:$N$19,8,0),0))</f>
        <v/>
      </c>
      <c r="G13" s="4" t="str">
        <f>IF(B13="","",(SUM((VLOOKUP(C13,ESCALA!$B$3:$N$19,10,0))*(VLOOKUP(SAB!C14,SAB!$C$5:$AC$305,27,0))/VLOOKUP(C13,PERFIL!$B$4:$M$20,8,0))*VLOOKUP(C13,PERFIL!$B$4:$M$20,11,0)))</f>
        <v/>
      </c>
      <c r="H13" s="120" t="str">
        <f>IF(F13="","",ROUNDUP(SAB!$AD14*VLOOKUP(RECEITAS!$C13,ESCALA!$B$3:$N$19,10,0),0))</f>
        <v/>
      </c>
      <c r="I13" s="4" t="str">
        <f>IF(B13="","",SUM(VLOOKUP(C13,ESCALA!$B$3:$N$19,12,0))*(VLOOKUP(DF!C14,DF!$C$5:$AC$305,27,0))/VLOOKUP(C13,PERFIL!$B$4:$M$20,8,0)*VLOOKUP(C13,PERFIL!$B$4:$M$20,12,0))</f>
        <v/>
      </c>
      <c r="J13" s="120" t="str">
        <f>IF(H13="","",ROUNDUP(DF!$AD14*VLOOKUP(RECEITAS!$C13,ESCALA!$B$3:$N$19,12,0),0))</f>
        <v/>
      </c>
      <c r="K13" s="4" t="str">
        <f>IF(FROTA!AA14="","",FROTA!AA14)</f>
        <v/>
      </c>
      <c r="L13" s="4" t="str">
        <f t="shared" si="1"/>
        <v/>
      </c>
      <c r="M13" s="4" t="str">
        <f>IF(FROTA!AC14="","",FROTA!AC14)</f>
        <v/>
      </c>
      <c r="N13" s="4" t="str">
        <f t="shared" si="2"/>
        <v/>
      </c>
      <c r="O13" s="4" t="str">
        <f>IF(FROTA!AE14="","",FROTA!AE14)</f>
        <v/>
      </c>
      <c r="P13" s="4" t="str">
        <f t="shared" si="3"/>
        <v/>
      </c>
      <c r="Q13" s="4" t="str">
        <f>IF(FROTA!AG14="","",FROTA!AG14)</f>
        <v/>
      </c>
      <c r="R13" s="4" t="str">
        <f t="shared" si="4"/>
        <v/>
      </c>
      <c r="S13" s="164">
        <f t="shared" si="5"/>
        <v>0</v>
      </c>
      <c r="T13" s="257">
        <v>42804</v>
      </c>
      <c r="U13" s="256" t="s">
        <v>60</v>
      </c>
    </row>
    <row r="14" spans="2:23" ht="13.5" customHeight="1" x14ac:dyDescent="0.2">
      <c r="B14" s="23" t="str">
        <f>IF(FROTA!B15="","",FROTA!B15)</f>
        <v/>
      </c>
      <c r="C14" s="139" t="str">
        <f>IF(B14="","",VLOOKUP(B14,FROTA!$B$5:$C$306,2,0))</f>
        <v/>
      </c>
      <c r="D14" s="22" t="str">
        <f t="shared" si="0"/>
        <v/>
      </c>
      <c r="E14" s="4" t="str">
        <f>IF(B14="","",SUM(VLOOKUP(C14,ESCALA!$B$3:$N$19,8,0))*(VLOOKUP(SEM!C15,SEM!$C$5:$AC$305,27,0)))</f>
        <v/>
      </c>
      <c r="F14" s="120" t="str">
        <f>IF(D14="","",ROUNDUP(SEM!$AD15*VLOOKUP(RECEITAS!$C14,ESCALA!$B$3:$N$19,8,0),0))</f>
        <v/>
      </c>
      <c r="G14" s="4" t="str">
        <f>IF(B14="","",(SUM((VLOOKUP(C14,ESCALA!$B$3:$N$19,10,0))*(VLOOKUP(SAB!C15,SAB!$C$5:$AC$305,27,0))/VLOOKUP(C14,PERFIL!$B$4:$M$20,8,0))*VLOOKUP(C14,PERFIL!$B$4:$M$20,11,0)))</f>
        <v/>
      </c>
      <c r="H14" s="120" t="str">
        <f>IF(F14="","",ROUNDUP(SAB!$AD15*VLOOKUP(RECEITAS!$C14,ESCALA!$B$3:$N$19,10,0),0))</f>
        <v/>
      </c>
      <c r="I14" s="4" t="str">
        <f>IF(B14="","",SUM(VLOOKUP(C14,ESCALA!$B$3:$N$19,12,0))*(VLOOKUP(DF!C15,DF!$C$5:$AC$305,27,0))/VLOOKUP(C14,PERFIL!$B$4:$M$20,8,0)*VLOOKUP(C14,PERFIL!$B$4:$M$20,12,0))</f>
        <v/>
      </c>
      <c r="J14" s="120" t="str">
        <f>IF(H14="","",ROUNDUP(DF!$AD15*VLOOKUP(RECEITAS!$C14,ESCALA!$B$3:$N$19,12,0),0))</f>
        <v/>
      </c>
      <c r="K14" s="4" t="str">
        <f>IF(FROTA!AA15="","",FROTA!AA15)</f>
        <v/>
      </c>
      <c r="L14" s="4" t="str">
        <f t="shared" si="1"/>
        <v/>
      </c>
      <c r="M14" s="4" t="str">
        <f>IF(FROTA!AC15="","",FROTA!AC15)</f>
        <v/>
      </c>
      <c r="N14" s="4" t="str">
        <f t="shared" si="2"/>
        <v/>
      </c>
      <c r="O14" s="4" t="str">
        <f>IF(FROTA!AE15="","",FROTA!AE15)</f>
        <v/>
      </c>
      <c r="P14" s="4" t="str">
        <f t="shared" si="3"/>
        <v/>
      </c>
      <c r="Q14" s="4" t="str">
        <f>IF(FROTA!AG15="","",FROTA!AG15)</f>
        <v/>
      </c>
      <c r="R14" s="4" t="str">
        <f t="shared" si="4"/>
        <v/>
      </c>
      <c r="S14" s="164">
        <f t="shared" si="5"/>
        <v>0</v>
      </c>
      <c r="T14" s="257">
        <v>42805</v>
      </c>
      <c r="U14" s="256" t="s">
        <v>61</v>
      </c>
    </row>
    <row r="15" spans="2:23" ht="13.5" customHeight="1" x14ac:dyDescent="0.2">
      <c r="B15" s="23" t="str">
        <f>IF(FROTA!B16="","",FROTA!B16)</f>
        <v/>
      </c>
      <c r="C15" s="139" t="str">
        <f>IF(B15="","",VLOOKUP(B15,FROTA!$B$5:$C$306,2,0))</f>
        <v/>
      </c>
      <c r="D15" s="22" t="str">
        <f t="shared" si="0"/>
        <v/>
      </c>
      <c r="E15" s="4" t="str">
        <f>IF(B15="","",SUM(VLOOKUP(C15,ESCALA!$B$3:$N$19,8,0))*(VLOOKUP(SEM!C16,SEM!$C$5:$AC$305,27,0)))</f>
        <v/>
      </c>
      <c r="F15" s="120" t="str">
        <f>IF(D15="","",ROUNDUP(SEM!$AD16*VLOOKUP(RECEITAS!$C15,ESCALA!$B$3:$N$19,8,0),0))</f>
        <v/>
      </c>
      <c r="G15" s="4" t="str">
        <f>IF(B15="","",(SUM((VLOOKUP(C15,ESCALA!$B$3:$N$19,10,0))*(VLOOKUP(SAB!C16,SAB!$C$5:$AC$305,27,0))/VLOOKUP(C15,PERFIL!$B$4:$M$20,8,0))*VLOOKUP(C15,PERFIL!$B$4:$M$20,11,0)))</f>
        <v/>
      </c>
      <c r="H15" s="120" t="str">
        <f>IF(F15="","",ROUNDUP(SAB!$AD16*VLOOKUP(RECEITAS!$C15,ESCALA!$B$3:$N$19,10,0),0))</f>
        <v/>
      </c>
      <c r="I15" s="4" t="str">
        <f>IF(B15="","",SUM(VLOOKUP(C15,ESCALA!$B$3:$N$19,12,0))*(VLOOKUP(DF!C16,DF!$C$5:$AC$305,27,0))/VLOOKUP(C15,PERFIL!$B$4:$M$20,8,0)*VLOOKUP(C15,PERFIL!$B$4:$M$20,12,0))</f>
        <v/>
      </c>
      <c r="J15" s="120" t="str">
        <f>IF(H15="","",ROUNDUP(DF!$AD16*VLOOKUP(RECEITAS!$C15,ESCALA!$B$3:$N$19,12,0),0))</f>
        <v/>
      </c>
      <c r="K15" s="4" t="str">
        <f>IF(FROTA!AA16="","",FROTA!AA16)</f>
        <v/>
      </c>
      <c r="L15" s="4" t="str">
        <f t="shared" si="1"/>
        <v/>
      </c>
      <c r="M15" s="4" t="str">
        <f>IF(FROTA!AC16="","",FROTA!AC16)</f>
        <v/>
      </c>
      <c r="N15" s="4" t="str">
        <f t="shared" si="2"/>
        <v/>
      </c>
      <c r="O15" s="4" t="str">
        <f>IF(FROTA!AE16="","",FROTA!AE16)</f>
        <v/>
      </c>
      <c r="P15" s="4" t="str">
        <f t="shared" si="3"/>
        <v/>
      </c>
      <c r="Q15" s="4" t="str">
        <f>IF(FROTA!AG16="","",FROTA!AG16)</f>
        <v/>
      </c>
      <c r="R15" s="4" t="str">
        <f t="shared" si="4"/>
        <v/>
      </c>
      <c r="S15" s="164">
        <f t="shared" si="5"/>
        <v>0</v>
      </c>
      <c r="T15" s="257">
        <v>42806</v>
      </c>
      <c r="U15" s="256" t="s">
        <v>58</v>
      </c>
    </row>
    <row r="16" spans="2:23" ht="13.5" customHeight="1" x14ac:dyDescent="0.2">
      <c r="B16" s="23" t="str">
        <f>IF(FROTA!B17="","",FROTA!B17)</f>
        <v/>
      </c>
      <c r="C16" s="139" t="str">
        <f>IF(B16="","",VLOOKUP(B16,FROTA!$B$5:$C$306,2,0))</f>
        <v/>
      </c>
      <c r="D16" s="22" t="str">
        <f t="shared" si="0"/>
        <v/>
      </c>
      <c r="E16" s="4" t="str">
        <f>IF(B16="","",SUM(VLOOKUP(C16,ESCALA!$B$3:$N$19,8,0))*(VLOOKUP(SEM!C17,SEM!$C$5:$AC$305,27,0)))</f>
        <v/>
      </c>
      <c r="F16" s="120" t="str">
        <f>IF(D16="","",ROUNDUP(SEM!$AD17*VLOOKUP(RECEITAS!$C16,ESCALA!$B$3:$N$19,8,0),0))</f>
        <v/>
      </c>
      <c r="G16" s="4" t="str">
        <f>IF(B16="","",(SUM((VLOOKUP(C16,ESCALA!$B$3:$N$19,10,0))*(VLOOKUP(SAB!C17,SAB!$C$5:$AC$305,27,0))/VLOOKUP(C16,PERFIL!$B$4:$M$20,8,0))*VLOOKUP(C16,PERFIL!$B$4:$M$20,11,0)))</f>
        <v/>
      </c>
      <c r="H16" s="120" t="str">
        <f>IF(F16="","",ROUNDUP(SAB!$AD17*VLOOKUP(RECEITAS!$C16,ESCALA!$B$3:$N$19,10,0),0))</f>
        <v/>
      </c>
      <c r="I16" s="4" t="str">
        <f>IF(B16="","",SUM(VLOOKUP(C16,ESCALA!$B$3:$N$19,12,0))*(VLOOKUP(DF!C17,DF!$C$5:$AC$305,27,0))/VLOOKUP(C16,PERFIL!$B$4:$M$20,8,0)*VLOOKUP(C16,PERFIL!$B$4:$M$20,12,0))</f>
        <v/>
      </c>
      <c r="J16" s="120" t="str">
        <f>IF(H16="","",ROUNDUP(DF!$AD17*VLOOKUP(RECEITAS!$C16,ESCALA!$B$3:$N$19,12,0),0))</f>
        <v/>
      </c>
      <c r="K16" s="4" t="str">
        <f>IF(FROTA!AA17="","",FROTA!AA17)</f>
        <v/>
      </c>
      <c r="L16" s="4" t="str">
        <f t="shared" si="1"/>
        <v/>
      </c>
      <c r="M16" s="4" t="str">
        <f>IF(FROTA!AC17="","",FROTA!AC17)</f>
        <v/>
      </c>
      <c r="N16" s="4" t="str">
        <f t="shared" si="2"/>
        <v/>
      </c>
      <c r="O16" s="4" t="str">
        <f>IF(FROTA!AE17="","",FROTA!AE17)</f>
        <v/>
      </c>
      <c r="P16" s="4" t="str">
        <f t="shared" si="3"/>
        <v/>
      </c>
      <c r="Q16" s="4" t="str">
        <f>IF(FROTA!AG17="","",FROTA!AG17)</f>
        <v/>
      </c>
      <c r="R16" s="4" t="str">
        <f t="shared" si="4"/>
        <v/>
      </c>
      <c r="S16" s="164">
        <f t="shared" si="5"/>
        <v>0</v>
      </c>
      <c r="T16" s="257">
        <v>42807</v>
      </c>
      <c r="U16" s="256" t="s">
        <v>62</v>
      </c>
    </row>
    <row r="17" spans="2:21" ht="13.5" customHeight="1" x14ac:dyDescent="0.2">
      <c r="B17" s="23" t="str">
        <f>IF(FROTA!B18="","",FROTA!B18)</f>
        <v/>
      </c>
      <c r="C17" s="139" t="str">
        <f>IF(B17="","",VLOOKUP(B17,FROTA!$B$5:$C$306,2,0))</f>
        <v/>
      </c>
      <c r="D17" s="22" t="str">
        <f t="shared" si="0"/>
        <v/>
      </c>
      <c r="E17" s="4" t="str">
        <f>IF(B17="","",SUM(VLOOKUP(C17,ESCALA!$B$3:$N$19,8,0))*(VLOOKUP(SEM!C18,SEM!$C$5:$AC$305,27,0)))</f>
        <v/>
      </c>
      <c r="F17" s="120" t="str">
        <f>IF(D17="","",ROUNDUP(SEM!$AD18*VLOOKUP(RECEITAS!$C17,ESCALA!$B$3:$N$19,8,0),0))</f>
        <v/>
      </c>
      <c r="G17" s="4" t="str">
        <f>IF(B17="","",(SUM((VLOOKUP(C17,ESCALA!$B$3:$N$19,10,0))*(VLOOKUP(SAB!C18,SAB!$C$5:$AC$305,27,0))/VLOOKUP(C17,PERFIL!$B$4:$M$20,8,0))*VLOOKUP(C17,PERFIL!$B$4:$M$20,11,0)))</f>
        <v/>
      </c>
      <c r="H17" s="120" t="str">
        <f>IF(F17="","",ROUNDUP(SAB!$AD18*VLOOKUP(RECEITAS!$C17,ESCALA!$B$3:$N$19,10,0),0))</f>
        <v/>
      </c>
      <c r="I17" s="4" t="str">
        <f>IF(B17="","",SUM(VLOOKUP(C17,ESCALA!$B$3:$N$19,12,0))*(VLOOKUP(DF!C18,DF!$C$5:$AC$305,27,0))/VLOOKUP(C17,PERFIL!$B$4:$M$20,8,0)*VLOOKUP(C17,PERFIL!$B$4:$M$20,12,0))</f>
        <v/>
      </c>
      <c r="J17" s="120" t="str">
        <f>IF(H17="","",ROUNDUP(DF!$AD18*VLOOKUP(RECEITAS!$C17,ESCALA!$B$3:$N$19,12,0),0))</f>
        <v/>
      </c>
      <c r="K17" s="4" t="str">
        <f>IF(FROTA!AA18="","",FROTA!AA18)</f>
        <v/>
      </c>
      <c r="L17" s="4" t="str">
        <f t="shared" si="1"/>
        <v/>
      </c>
      <c r="M17" s="4" t="str">
        <f>IF(FROTA!AC18="","",FROTA!AC18)</f>
        <v/>
      </c>
      <c r="N17" s="4" t="str">
        <f t="shared" si="2"/>
        <v/>
      </c>
      <c r="O17" s="4" t="str">
        <f>IF(FROTA!AE18="","",FROTA!AE18)</f>
        <v/>
      </c>
      <c r="P17" s="4" t="str">
        <f t="shared" si="3"/>
        <v/>
      </c>
      <c r="Q17" s="4" t="str">
        <f>IF(FROTA!AG18="","",FROTA!AG18)</f>
        <v/>
      </c>
      <c r="R17" s="4" t="str">
        <f t="shared" si="4"/>
        <v/>
      </c>
      <c r="S17" s="164">
        <f t="shared" si="5"/>
        <v>0</v>
      </c>
      <c r="T17" s="257">
        <v>42808</v>
      </c>
      <c r="U17" s="256" t="s">
        <v>63</v>
      </c>
    </row>
    <row r="18" spans="2:21" ht="13.5" customHeight="1" x14ac:dyDescent="0.2">
      <c r="B18" s="23" t="str">
        <f>IF(FROTA!B19="","",FROTA!B19)</f>
        <v/>
      </c>
      <c r="C18" s="139" t="str">
        <f>IF(B18="","",VLOOKUP(B18,FROTA!$B$5:$C$306,2,0))</f>
        <v/>
      </c>
      <c r="D18" s="22" t="str">
        <f t="shared" si="0"/>
        <v/>
      </c>
      <c r="E18" s="4" t="str">
        <f>IF(B18="","",SUM(VLOOKUP(C18,ESCALA!$B$3:$N$19,8,0))*(VLOOKUP(SEM!C19,SEM!$C$5:$AC$305,27,0)))</f>
        <v/>
      </c>
      <c r="F18" s="120" t="str">
        <f>IF(D18="","",ROUNDUP(SEM!$AD19*VLOOKUP(RECEITAS!$C18,ESCALA!$B$3:$N$19,8,0),0))</f>
        <v/>
      </c>
      <c r="G18" s="4" t="str">
        <f>IF(B18="","",(SUM((VLOOKUP(C18,ESCALA!$B$3:$N$19,10,0))*(VLOOKUP(SAB!C19,SAB!$C$5:$AC$305,27,0))/VLOOKUP(C18,PERFIL!$B$4:$M$20,8,0))*VLOOKUP(C18,PERFIL!$B$4:$M$20,11,0)))</f>
        <v/>
      </c>
      <c r="H18" s="120" t="str">
        <f>IF(F18="","",ROUNDUP(SAB!$AD19*VLOOKUP(RECEITAS!$C18,ESCALA!$B$3:$N$19,10,0),0))</f>
        <v/>
      </c>
      <c r="I18" s="4" t="str">
        <f>IF(B18="","",SUM(VLOOKUP(C18,ESCALA!$B$3:$N$19,12,0))*(VLOOKUP(DF!C19,DF!$C$5:$AC$305,27,0))/VLOOKUP(C18,PERFIL!$B$4:$M$20,8,0)*VLOOKUP(C18,PERFIL!$B$4:$M$20,12,0))</f>
        <v/>
      </c>
      <c r="J18" s="120" t="str">
        <f>IF(H18="","",ROUNDUP(DF!$AD19*VLOOKUP(RECEITAS!$C18,ESCALA!$B$3:$N$19,12,0),0))</f>
        <v/>
      </c>
      <c r="K18" s="4" t="str">
        <f>IF(FROTA!AA19="","",FROTA!AA19)</f>
        <v/>
      </c>
      <c r="L18" s="4" t="str">
        <f t="shared" si="1"/>
        <v/>
      </c>
      <c r="M18" s="4" t="str">
        <f>IF(FROTA!AC19="","",FROTA!AC19)</f>
        <v/>
      </c>
      <c r="N18" s="4" t="str">
        <f t="shared" si="2"/>
        <v/>
      </c>
      <c r="O18" s="4" t="str">
        <f>IF(FROTA!AE19="","",FROTA!AE19)</f>
        <v/>
      </c>
      <c r="P18" s="4" t="str">
        <f t="shared" si="3"/>
        <v/>
      </c>
      <c r="Q18" s="4" t="str">
        <f>IF(FROTA!AG19="","",FROTA!AG19)</f>
        <v/>
      </c>
      <c r="R18" s="4" t="str">
        <f t="shared" si="4"/>
        <v/>
      </c>
      <c r="S18" s="164">
        <f t="shared" si="5"/>
        <v>0</v>
      </c>
      <c r="T18" s="257">
        <v>42809</v>
      </c>
      <c r="U18" s="256" t="s">
        <v>64</v>
      </c>
    </row>
    <row r="19" spans="2:21" ht="13.5" customHeight="1" x14ac:dyDescent="0.2">
      <c r="B19" s="23" t="str">
        <f>IF(FROTA!B20="","",FROTA!B20)</f>
        <v/>
      </c>
      <c r="C19" s="139" t="str">
        <f>IF(B19="","",VLOOKUP(B19,FROTA!$B$5:$C$306,2,0))</f>
        <v/>
      </c>
      <c r="D19" s="22" t="str">
        <f t="shared" si="0"/>
        <v/>
      </c>
      <c r="E19" s="4" t="str">
        <f>IF(B19="","",SUM(VLOOKUP(C19,ESCALA!$B$3:$N$19,8,0))*(VLOOKUP(SEM!C20,SEM!$C$5:$AC$305,27,0)))</f>
        <v/>
      </c>
      <c r="F19" s="120" t="str">
        <f>IF(D19="","",ROUNDUP(SEM!$AD20*VLOOKUP(RECEITAS!$C19,ESCALA!$B$3:$N$19,8,0),0))</f>
        <v/>
      </c>
      <c r="G19" s="4" t="str">
        <f>IF(B19="","",(SUM((VLOOKUP(C19,ESCALA!$B$3:$N$19,10,0))*(VLOOKUP(SAB!C20,SAB!$C$5:$AC$305,27,0))/VLOOKUP(C19,PERFIL!$B$4:$M$20,8,0))*VLOOKUP(C19,PERFIL!$B$4:$M$20,11,0)))</f>
        <v/>
      </c>
      <c r="H19" s="120" t="str">
        <f>IF(F19="","",ROUNDUP(SAB!$AD20*VLOOKUP(RECEITAS!$C19,ESCALA!$B$3:$N$19,10,0),0))</f>
        <v/>
      </c>
      <c r="I19" s="4" t="str">
        <f>IF(B19="","",SUM(VLOOKUP(C19,ESCALA!$B$3:$N$19,12,0))*(VLOOKUP(DF!C20,DF!$C$5:$AC$305,27,0))/VLOOKUP(C19,PERFIL!$B$4:$M$20,8,0)*VLOOKUP(C19,PERFIL!$B$4:$M$20,12,0))</f>
        <v/>
      </c>
      <c r="J19" s="120" t="str">
        <f>IF(H19="","",ROUNDUP(DF!$AD20*VLOOKUP(RECEITAS!$C19,ESCALA!$B$3:$N$19,12,0),0))</f>
        <v/>
      </c>
      <c r="K19" s="4" t="str">
        <f>IF(FROTA!AA20="","",FROTA!AA20)</f>
        <v/>
      </c>
      <c r="L19" s="4" t="str">
        <f t="shared" si="1"/>
        <v/>
      </c>
      <c r="M19" s="4" t="str">
        <f>IF(FROTA!AC20="","",FROTA!AC20)</f>
        <v/>
      </c>
      <c r="N19" s="4" t="str">
        <f t="shared" si="2"/>
        <v/>
      </c>
      <c r="O19" s="4" t="str">
        <f>IF(FROTA!AE20="","",FROTA!AE20)</f>
        <v/>
      </c>
      <c r="P19" s="4" t="str">
        <f t="shared" si="3"/>
        <v/>
      </c>
      <c r="Q19" s="4" t="str">
        <f>IF(FROTA!AG20="","",FROTA!AG20)</f>
        <v/>
      </c>
      <c r="R19" s="4" t="str">
        <f t="shared" si="4"/>
        <v/>
      </c>
      <c r="S19" s="164">
        <f t="shared" si="5"/>
        <v>0</v>
      </c>
      <c r="T19" s="257">
        <v>42810</v>
      </c>
      <c r="U19" s="256" t="s">
        <v>59</v>
      </c>
    </row>
    <row r="20" spans="2:21" ht="13.5" customHeight="1" x14ac:dyDescent="0.2">
      <c r="B20" s="23" t="str">
        <f>IF(FROTA!B21="","",FROTA!B21)</f>
        <v/>
      </c>
      <c r="C20" s="139" t="str">
        <f>IF(B20="","",VLOOKUP(B20,FROTA!$B$5:$C$306,2,0))</f>
        <v/>
      </c>
      <c r="D20" s="22" t="str">
        <f t="shared" si="0"/>
        <v/>
      </c>
      <c r="E20" s="4" t="str">
        <f>IF(B20="","",SUM(VLOOKUP(C20,ESCALA!$B$3:$N$19,8,0))*(VLOOKUP(SEM!C21,SEM!$C$5:$AC$305,27,0)))</f>
        <v/>
      </c>
      <c r="F20" s="120" t="str">
        <f>IF(D20="","",ROUNDUP(SEM!$AD21*VLOOKUP(RECEITAS!$C20,ESCALA!$B$3:$N$19,8,0),0))</f>
        <v/>
      </c>
      <c r="G20" s="4" t="str">
        <f>IF(B20="","",(SUM((VLOOKUP(C20,ESCALA!$B$3:$N$19,10,0))*(VLOOKUP(SAB!C21,SAB!$C$5:$AC$305,27,0))/VLOOKUP(C20,PERFIL!$B$4:$M$20,8,0))*VLOOKUP(C20,PERFIL!$B$4:$M$20,11,0)))</f>
        <v/>
      </c>
      <c r="H20" s="120" t="str">
        <f>IF(F20="","",ROUNDUP(SAB!$AD21*VLOOKUP(RECEITAS!$C20,ESCALA!$B$3:$N$19,10,0),0))</f>
        <v/>
      </c>
      <c r="I20" s="4" t="str">
        <f>IF(B20="","",SUM(VLOOKUP(C20,ESCALA!$B$3:$N$19,12,0))*(VLOOKUP(DF!C21,DF!$C$5:$AC$305,27,0))/VLOOKUP(C20,PERFIL!$B$4:$M$20,8,0)*VLOOKUP(C20,PERFIL!$B$4:$M$20,12,0))</f>
        <v/>
      </c>
      <c r="J20" s="120" t="str">
        <f>IF(H20="","",ROUNDUP(DF!$AD21*VLOOKUP(RECEITAS!$C20,ESCALA!$B$3:$N$19,12,0),0))</f>
        <v/>
      </c>
      <c r="K20" s="4" t="str">
        <f>IF(FROTA!AA21="","",FROTA!AA21)</f>
        <v/>
      </c>
      <c r="L20" s="4" t="str">
        <f t="shared" si="1"/>
        <v/>
      </c>
      <c r="M20" s="4" t="str">
        <f>IF(FROTA!AC21="","",FROTA!AC21)</f>
        <v/>
      </c>
      <c r="N20" s="4" t="str">
        <f t="shared" si="2"/>
        <v/>
      </c>
      <c r="O20" s="4" t="str">
        <f>IF(FROTA!AE21="","",FROTA!AE21)</f>
        <v/>
      </c>
      <c r="P20" s="4" t="str">
        <f t="shared" si="3"/>
        <v/>
      </c>
      <c r="Q20" s="4" t="str">
        <f>IF(FROTA!AG21="","",FROTA!AG21)</f>
        <v/>
      </c>
      <c r="R20" s="4" t="str">
        <f t="shared" si="4"/>
        <v/>
      </c>
      <c r="S20" s="164">
        <f t="shared" si="5"/>
        <v>0</v>
      </c>
      <c r="T20" s="257">
        <v>42811</v>
      </c>
      <c r="U20" s="256" t="s">
        <v>60</v>
      </c>
    </row>
    <row r="21" spans="2:21" ht="13.5" customHeight="1" x14ac:dyDescent="0.2">
      <c r="B21" s="23" t="str">
        <f>IF(FROTA!B22="","",FROTA!B22)</f>
        <v/>
      </c>
      <c r="C21" s="139" t="str">
        <f>IF(B21="","",VLOOKUP(B21,FROTA!$B$5:$C$306,2,0))</f>
        <v/>
      </c>
      <c r="D21" s="22" t="str">
        <f t="shared" si="0"/>
        <v/>
      </c>
      <c r="E21" s="4" t="str">
        <f>IF(B21="","",SUM(VLOOKUP(C21,ESCALA!$B$3:$N$19,8,0))*(VLOOKUP(SEM!C22,SEM!$C$5:$AC$305,27,0)))</f>
        <v/>
      </c>
      <c r="F21" s="120" t="str">
        <f>IF(D21="","",ROUNDUP(SEM!$AD22*VLOOKUP(RECEITAS!$C21,ESCALA!$B$3:$N$19,8,0),0))</f>
        <v/>
      </c>
      <c r="G21" s="4" t="str">
        <f>IF(B21="","",(SUM((VLOOKUP(C21,ESCALA!$B$3:$N$19,10,0))*(VLOOKUP(SAB!C22,SAB!$C$5:$AC$305,27,0))/VLOOKUP(C21,PERFIL!$B$4:$M$20,8,0))*VLOOKUP(C21,PERFIL!$B$4:$M$20,11,0)))</f>
        <v/>
      </c>
      <c r="H21" s="120" t="str">
        <f>IF(F21="","",ROUNDUP(SAB!$AD22*VLOOKUP(RECEITAS!$C21,ESCALA!$B$3:$N$19,10,0),0))</f>
        <v/>
      </c>
      <c r="I21" s="4" t="str">
        <f>IF(B21="","",SUM(VLOOKUP(C21,ESCALA!$B$3:$N$19,12,0))*(VLOOKUP(DF!C22,DF!$C$5:$AC$305,27,0))/VLOOKUP(C21,PERFIL!$B$4:$M$20,8,0)*VLOOKUP(C21,PERFIL!$B$4:$M$20,12,0))</f>
        <v/>
      </c>
      <c r="J21" s="120" t="str">
        <f>IF(H21="","",ROUNDUP(DF!$AD22*VLOOKUP(RECEITAS!$C21,ESCALA!$B$3:$N$19,12,0),0))</f>
        <v/>
      </c>
      <c r="K21" s="4" t="str">
        <f>IF(FROTA!AA22="","",FROTA!AA22)</f>
        <v/>
      </c>
      <c r="L21" s="4" t="str">
        <f t="shared" si="1"/>
        <v/>
      </c>
      <c r="M21" s="4" t="str">
        <f>IF(FROTA!AC22="","",FROTA!AC22)</f>
        <v/>
      </c>
      <c r="N21" s="4" t="str">
        <f t="shared" si="2"/>
        <v/>
      </c>
      <c r="O21" s="4" t="str">
        <f>IF(FROTA!AE22="","",FROTA!AE22)</f>
        <v/>
      </c>
      <c r="P21" s="4" t="str">
        <f t="shared" si="3"/>
        <v/>
      </c>
      <c r="Q21" s="4" t="str">
        <f>IF(FROTA!AG22="","",FROTA!AG22)</f>
        <v/>
      </c>
      <c r="R21" s="4" t="str">
        <f t="shared" si="4"/>
        <v/>
      </c>
      <c r="S21" s="164">
        <f t="shared" si="5"/>
        <v>0</v>
      </c>
      <c r="T21" s="257">
        <v>42812</v>
      </c>
      <c r="U21" s="256" t="s">
        <v>61</v>
      </c>
    </row>
    <row r="22" spans="2:21" ht="13.5" customHeight="1" x14ac:dyDescent="0.2">
      <c r="B22" s="23" t="str">
        <f>IF(FROTA!B23="","",FROTA!B23)</f>
        <v/>
      </c>
      <c r="C22" s="139" t="str">
        <f>IF(B22="","",VLOOKUP(B22,FROTA!$B$5:$C$306,2,0))</f>
        <v/>
      </c>
      <c r="D22" s="22" t="str">
        <f t="shared" si="0"/>
        <v/>
      </c>
      <c r="E22" s="4" t="str">
        <f>IF(B22="","",SUM(VLOOKUP(C22,ESCALA!$B$3:$N$19,8,0))*(VLOOKUP(SEM!C23,SEM!$C$5:$AC$305,27,0)))</f>
        <v/>
      </c>
      <c r="F22" s="120" t="str">
        <f>IF(D22="","",ROUNDUP(SEM!$AD23*VLOOKUP(RECEITAS!$C22,ESCALA!$B$3:$N$19,8,0),0))</f>
        <v/>
      </c>
      <c r="G22" s="4" t="str">
        <f>IF(B22="","",(SUM((VLOOKUP(C22,ESCALA!$B$3:$N$19,10,0))*(VLOOKUP(SAB!C23,SAB!$C$5:$AC$305,27,0))/VLOOKUP(C22,PERFIL!$B$4:$M$20,8,0))*VLOOKUP(C22,PERFIL!$B$4:$M$20,11,0)))</f>
        <v/>
      </c>
      <c r="H22" s="120" t="str">
        <f>IF(F22="","",ROUNDUP(SAB!$AD23*VLOOKUP(RECEITAS!$C22,ESCALA!$B$3:$N$19,10,0),0))</f>
        <v/>
      </c>
      <c r="I22" s="4" t="str">
        <f>IF(B22="","",SUM(VLOOKUP(C22,ESCALA!$B$3:$N$19,12,0))*(VLOOKUP(DF!C23,DF!$C$5:$AC$305,27,0))/VLOOKUP(C22,PERFIL!$B$4:$M$20,8,0)*VLOOKUP(C22,PERFIL!$B$4:$M$20,12,0))</f>
        <v/>
      </c>
      <c r="J22" s="120" t="str">
        <f>IF(H22="","",ROUNDUP(DF!$AD23*VLOOKUP(RECEITAS!$C22,ESCALA!$B$3:$N$19,12,0),0))</f>
        <v/>
      </c>
      <c r="K22" s="4" t="str">
        <f>IF(FROTA!AA23="","",FROTA!AA23)</f>
        <v/>
      </c>
      <c r="L22" s="4" t="str">
        <f t="shared" si="1"/>
        <v/>
      </c>
      <c r="M22" s="4" t="str">
        <f>IF(FROTA!AC23="","",FROTA!AC23)</f>
        <v/>
      </c>
      <c r="N22" s="4" t="str">
        <f t="shared" si="2"/>
        <v/>
      </c>
      <c r="O22" s="4" t="str">
        <f>IF(FROTA!AE23="","",FROTA!AE23)</f>
        <v/>
      </c>
      <c r="P22" s="4" t="str">
        <f t="shared" si="3"/>
        <v/>
      </c>
      <c r="Q22" s="4" t="str">
        <f>IF(FROTA!AG23="","",FROTA!AG23)</f>
        <v/>
      </c>
      <c r="R22" s="4" t="str">
        <f t="shared" si="4"/>
        <v/>
      </c>
      <c r="S22" s="164">
        <f t="shared" si="5"/>
        <v>0</v>
      </c>
      <c r="T22" s="257">
        <v>42813</v>
      </c>
      <c r="U22" s="256" t="s">
        <v>58</v>
      </c>
    </row>
    <row r="23" spans="2:21" ht="13.5" customHeight="1" x14ac:dyDescent="0.2">
      <c r="B23" s="23" t="str">
        <f>IF(FROTA!B24="","",FROTA!B24)</f>
        <v/>
      </c>
      <c r="C23" s="139" t="str">
        <f>IF(B23="","",VLOOKUP(B23,FROTA!$B$5:$C$306,2,0))</f>
        <v/>
      </c>
      <c r="D23" s="22" t="str">
        <f t="shared" si="0"/>
        <v/>
      </c>
      <c r="E23" s="4" t="str">
        <f>IF(B23="","",SUM(VLOOKUP(C23,ESCALA!$B$3:$N$19,8,0))*(VLOOKUP(SEM!C24,SEM!$C$5:$AC$305,27,0)))</f>
        <v/>
      </c>
      <c r="F23" s="120" t="str">
        <f>IF(D23="","",ROUNDUP(SEM!$AD24*VLOOKUP(RECEITAS!$C23,ESCALA!$B$3:$N$19,8,0),0))</f>
        <v/>
      </c>
      <c r="G23" s="4" t="str">
        <f>IF(B23="","",(SUM((VLOOKUP(C23,ESCALA!$B$3:$N$19,10,0))*(VLOOKUP(SAB!C24,SAB!$C$5:$AC$305,27,0))/VLOOKUP(C23,PERFIL!$B$4:$M$20,8,0))*VLOOKUP(C23,PERFIL!$B$4:$M$20,11,0)))</f>
        <v/>
      </c>
      <c r="H23" s="120" t="str">
        <f>IF(F23="","",ROUNDUP(SAB!$AD24*VLOOKUP(RECEITAS!$C23,ESCALA!$B$3:$N$19,10,0),0))</f>
        <v/>
      </c>
      <c r="I23" s="4" t="str">
        <f>IF(B23="","",SUM(VLOOKUP(C23,ESCALA!$B$3:$N$19,12,0))*(VLOOKUP(DF!C24,DF!$C$5:$AC$305,27,0))/VLOOKUP(C23,PERFIL!$B$4:$M$20,8,0)*VLOOKUP(C23,PERFIL!$B$4:$M$20,12,0))</f>
        <v/>
      </c>
      <c r="J23" s="120" t="str">
        <f>IF(H23="","",ROUNDUP(DF!$AD24*VLOOKUP(RECEITAS!$C23,ESCALA!$B$3:$N$19,12,0),0))</f>
        <v/>
      </c>
      <c r="K23" s="4" t="str">
        <f>IF(FROTA!AA24="","",FROTA!AA24)</f>
        <v/>
      </c>
      <c r="L23" s="4" t="str">
        <f t="shared" si="1"/>
        <v/>
      </c>
      <c r="M23" s="4" t="str">
        <f>IF(FROTA!AC24="","",FROTA!AC24)</f>
        <v/>
      </c>
      <c r="N23" s="4" t="str">
        <f t="shared" si="2"/>
        <v/>
      </c>
      <c r="O23" s="4" t="str">
        <f>IF(FROTA!AE24="","",FROTA!AE24)</f>
        <v/>
      </c>
      <c r="P23" s="4" t="str">
        <f t="shared" si="3"/>
        <v/>
      </c>
      <c r="Q23" s="4" t="str">
        <f>IF(FROTA!AG24="","",FROTA!AG24)</f>
        <v/>
      </c>
      <c r="R23" s="4" t="str">
        <f t="shared" si="4"/>
        <v/>
      </c>
      <c r="S23" s="164">
        <f t="shared" si="5"/>
        <v>0</v>
      </c>
      <c r="T23" s="257">
        <v>42814</v>
      </c>
      <c r="U23" s="256" t="s">
        <v>62</v>
      </c>
    </row>
    <row r="24" spans="2:21" ht="13.5" customHeight="1" x14ac:dyDescent="0.2">
      <c r="B24" s="23" t="str">
        <f>IF(FROTA!B25="","",FROTA!B25)</f>
        <v/>
      </c>
      <c r="C24" s="139" t="str">
        <f>IF(B24="","",VLOOKUP(B24,FROTA!$B$5:$C$306,2,0))</f>
        <v/>
      </c>
      <c r="D24" s="22" t="str">
        <f t="shared" si="0"/>
        <v/>
      </c>
      <c r="E24" s="4" t="str">
        <f>IF(B24="","",SUM(VLOOKUP(C24,ESCALA!$B$3:$N$19,8,0))*(VLOOKUP(SEM!C25,SEM!$C$5:$AC$305,27,0)))</f>
        <v/>
      </c>
      <c r="F24" s="120" t="str">
        <f>IF(D24="","",ROUNDUP(SEM!$AD25*VLOOKUP(RECEITAS!$C24,ESCALA!$B$3:$N$19,8,0),0))</f>
        <v/>
      </c>
      <c r="G24" s="4" t="str">
        <f>IF(B24="","",(SUM((VLOOKUP(C24,ESCALA!$B$3:$N$19,10,0))*(VLOOKUP(SAB!C25,SAB!$C$5:$AC$305,27,0))/VLOOKUP(C24,PERFIL!$B$4:$M$20,8,0))*VLOOKUP(C24,PERFIL!$B$4:$M$20,11,0)))</f>
        <v/>
      </c>
      <c r="H24" s="120" t="str">
        <f>IF(F24="","",ROUNDUP(SAB!$AD25*VLOOKUP(RECEITAS!$C24,ESCALA!$B$3:$N$19,10,0),0))</f>
        <v/>
      </c>
      <c r="I24" s="4" t="str">
        <f>IF(B24="","",SUM(VLOOKUP(C24,ESCALA!$B$3:$N$19,12,0))*(VLOOKUP(DF!C25,DF!$C$5:$AC$305,27,0))/VLOOKUP(C24,PERFIL!$B$4:$M$20,8,0)*VLOOKUP(C24,PERFIL!$B$4:$M$20,12,0))</f>
        <v/>
      </c>
      <c r="J24" s="120" t="str">
        <f>IF(H24="","",ROUNDUP(DF!$AD25*VLOOKUP(RECEITAS!$C24,ESCALA!$B$3:$N$19,12,0),0))</f>
        <v/>
      </c>
      <c r="K24" s="4" t="str">
        <f>IF(FROTA!AA25="","",FROTA!AA25)</f>
        <v/>
      </c>
      <c r="L24" s="4" t="str">
        <f t="shared" si="1"/>
        <v/>
      </c>
      <c r="M24" s="4" t="str">
        <f>IF(FROTA!AC25="","",FROTA!AC25)</f>
        <v/>
      </c>
      <c r="N24" s="4" t="str">
        <f t="shared" si="2"/>
        <v/>
      </c>
      <c r="O24" s="4" t="str">
        <f>IF(FROTA!AE25="","",FROTA!AE25)</f>
        <v/>
      </c>
      <c r="P24" s="4" t="str">
        <f t="shared" si="3"/>
        <v/>
      </c>
      <c r="Q24" s="4" t="str">
        <f>IF(FROTA!AG25="","",FROTA!AG25)</f>
        <v/>
      </c>
      <c r="R24" s="4" t="str">
        <f t="shared" si="4"/>
        <v/>
      </c>
      <c r="S24" s="164">
        <f t="shared" si="5"/>
        <v>0</v>
      </c>
      <c r="T24" s="257">
        <v>42815</v>
      </c>
      <c r="U24" s="256" t="s">
        <v>63</v>
      </c>
    </row>
    <row r="25" spans="2:21" ht="13.5" customHeight="1" x14ac:dyDescent="0.2">
      <c r="B25" s="23" t="str">
        <f>IF(FROTA!B26="","",FROTA!B26)</f>
        <v/>
      </c>
      <c r="C25" s="139" t="str">
        <f>IF(B25="","",VLOOKUP(B25,FROTA!$B$5:$C$306,2,0))</f>
        <v/>
      </c>
      <c r="D25" s="22" t="str">
        <f t="shared" si="0"/>
        <v/>
      </c>
      <c r="E25" s="4" t="str">
        <f>IF(B25="","",SUM(VLOOKUP(C25,ESCALA!$B$3:$N$19,8,0))*(VLOOKUP(SEM!C26,SEM!$C$5:$AC$305,27,0)))</f>
        <v/>
      </c>
      <c r="F25" s="120" t="str">
        <f>IF(D25="","",ROUNDUP(SEM!$AD26*VLOOKUP(RECEITAS!$C25,ESCALA!$B$3:$N$19,8,0),0))</f>
        <v/>
      </c>
      <c r="G25" s="4" t="str">
        <f>IF(B25="","",(SUM((VLOOKUP(C25,ESCALA!$B$3:$N$19,10,0))*(VLOOKUP(SAB!C26,SAB!$C$5:$AC$305,27,0))/VLOOKUP(C25,PERFIL!$B$4:$M$20,8,0))*VLOOKUP(C25,PERFIL!$B$4:$M$20,11,0)))</f>
        <v/>
      </c>
      <c r="H25" s="120" t="str">
        <f>IF(F25="","",ROUNDUP(SAB!$AD26*VLOOKUP(RECEITAS!$C25,ESCALA!$B$3:$N$19,10,0),0))</f>
        <v/>
      </c>
      <c r="I25" s="4" t="str">
        <f>IF(B25="","",SUM(VLOOKUP(C25,ESCALA!$B$3:$N$19,12,0))*(VLOOKUP(DF!C26,DF!$C$5:$AC$305,27,0))/VLOOKUP(C25,PERFIL!$B$4:$M$20,8,0)*VLOOKUP(C25,PERFIL!$B$4:$M$20,12,0))</f>
        <v/>
      </c>
      <c r="J25" s="120" t="str">
        <f>IF(H25="","",ROUNDUP(DF!$AD26*VLOOKUP(RECEITAS!$C25,ESCALA!$B$3:$N$19,12,0),0))</f>
        <v/>
      </c>
      <c r="K25" s="4" t="str">
        <f>IF(FROTA!AA26="","",FROTA!AA26)</f>
        <v/>
      </c>
      <c r="L25" s="4" t="str">
        <f t="shared" si="1"/>
        <v/>
      </c>
      <c r="M25" s="4" t="str">
        <f>IF(FROTA!AC26="","",FROTA!AC26)</f>
        <v/>
      </c>
      <c r="N25" s="4" t="str">
        <f t="shared" si="2"/>
        <v/>
      </c>
      <c r="O25" s="4" t="str">
        <f>IF(FROTA!AE26="","",FROTA!AE26)</f>
        <v/>
      </c>
      <c r="P25" s="4" t="str">
        <f t="shared" si="3"/>
        <v/>
      </c>
      <c r="Q25" s="4" t="str">
        <f>IF(FROTA!AG26="","",FROTA!AG26)</f>
        <v/>
      </c>
      <c r="R25" s="4" t="str">
        <f t="shared" si="4"/>
        <v/>
      </c>
      <c r="S25" s="164">
        <f t="shared" si="5"/>
        <v>0</v>
      </c>
      <c r="T25" s="257">
        <v>42816</v>
      </c>
      <c r="U25" s="256" t="s">
        <v>64</v>
      </c>
    </row>
    <row r="26" spans="2:21" ht="13.5" customHeight="1" x14ac:dyDescent="0.2">
      <c r="B26" s="23" t="str">
        <f>IF(FROTA!B27="","",FROTA!B27)</f>
        <v/>
      </c>
      <c r="C26" s="139" t="str">
        <f>IF(B26="","",VLOOKUP(B26,FROTA!$B$5:$C$306,2,0))</f>
        <v/>
      </c>
      <c r="D26" s="22" t="str">
        <f t="shared" si="0"/>
        <v/>
      </c>
      <c r="E26" s="4" t="str">
        <f>IF(B26="","",SUM(VLOOKUP(C26,ESCALA!$B$3:$N$19,8,0))*(VLOOKUP(SEM!C27,SEM!$C$5:$AC$305,27,0)))</f>
        <v/>
      </c>
      <c r="F26" s="120" t="str">
        <f>IF(D26="","",ROUNDUP(SEM!$AD27*VLOOKUP(RECEITAS!$C26,ESCALA!$B$3:$N$19,8,0),0))</f>
        <v/>
      </c>
      <c r="G26" s="4" t="str">
        <f>IF(B26="","",(SUM((VLOOKUP(C26,ESCALA!$B$3:$N$19,10,0))*(VLOOKUP(SAB!C27,SAB!$C$5:$AC$305,27,0))/VLOOKUP(C26,PERFIL!$B$4:$M$20,8,0))*VLOOKUP(C26,PERFIL!$B$4:$M$20,11,0)))</f>
        <v/>
      </c>
      <c r="H26" s="120" t="str">
        <f>IF(F26="","",ROUNDUP(SAB!$AD27*VLOOKUP(RECEITAS!$C26,ESCALA!$B$3:$N$19,10,0),0))</f>
        <v/>
      </c>
      <c r="I26" s="4" t="str">
        <f>IF(B26="","",SUM(VLOOKUP(C26,ESCALA!$B$3:$N$19,12,0))*(VLOOKUP(DF!C27,DF!$C$5:$AC$305,27,0))/VLOOKUP(C26,PERFIL!$B$4:$M$20,8,0)*VLOOKUP(C26,PERFIL!$B$4:$M$20,12,0))</f>
        <v/>
      </c>
      <c r="J26" s="120" t="str">
        <f>IF(H26="","",ROUNDUP(DF!$AD27*VLOOKUP(RECEITAS!$C26,ESCALA!$B$3:$N$19,12,0),0))</f>
        <v/>
      </c>
      <c r="K26" s="4" t="str">
        <f>IF(FROTA!AA27="","",FROTA!AA27)</f>
        <v/>
      </c>
      <c r="L26" s="4" t="str">
        <f t="shared" si="1"/>
        <v/>
      </c>
      <c r="M26" s="4" t="str">
        <f>IF(FROTA!AC27="","",FROTA!AC27)</f>
        <v/>
      </c>
      <c r="N26" s="4" t="str">
        <f t="shared" si="2"/>
        <v/>
      </c>
      <c r="O26" s="4" t="str">
        <f>IF(FROTA!AE27="","",FROTA!AE27)</f>
        <v/>
      </c>
      <c r="P26" s="4" t="str">
        <f t="shared" si="3"/>
        <v/>
      </c>
      <c r="Q26" s="4" t="str">
        <f>IF(FROTA!AG27="","",FROTA!AG27)</f>
        <v/>
      </c>
      <c r="R26" s="4" t="str">
        <f t="shared" si="4"/>
        <v/>
      </c>
      <c r="S26" s="164">
        <f t="shared" si="5"/>
        <v>0</v>
      </c>
      <c r="T26" s="257">
        <v>42817</v>
      </c>
      <c r="U26" s="256" t="s">
        <v>59</v>
      </c>
    </row>
    <row r="27" spans="2:21" ht="13.5" customHeight="1" x14ac:dyDescent="0.2">
      <c r="B27" s="23" t="str">
        <f>IF(FROTA!B28="","",FROTA!B28)</f>
        <v/>
      </c>
      <c r="C27" s="139" t="str">
        <f>IF(B27="","",VLOOKUP(B27,FROTA!$B$5:$C$306,2,0))</f>
        <v/>
      </c>
      <c r="D27" s="22" t="str">
        <f t="shared" si="0"/>
        <v/>
      </c>
      <c r="E27" s="4" t="str">
        <f>IF(B27="","",SUM(VLOOKUP(C27,ESCALA!$B$3:$N$19,8,0))*(VLOOKUP(SEM!C28,SEM!$C$5:$AC$305,27,0)))</f>
        <v/>
      </c>
      <c r="F27" s="120" t="str">
        <f>IF(D27="","",ROUNDUP(SEM!$AD28*VLOOKUP(RECEITAS!$C27,ESCALA!$B$3:$N$19,8,0),0))</f>
        <v/>
      </c>
      <c r="G27" s="4" t="str">
        <f>IF(B27="","",(SUM((VLOOKUP(C27,ESCALA!$B$3:$N$19,10,0))*(VLOOKUP(SAB!C28,SAB!$C$5:$AC$305,27,0))/VLOOKUP(C27,PERFIL!$B$4:$M$20,8,0))*VLOOKUP(C27,PERFIL!$B$4:$M$20,11,0)))</f>
        <v/>
      </c>
      <c r="H27" s="120" t="str">
        <f>IF(F27="","",ROUNDUP(SAB!$AD28*VLOOKUP(RECEITAS!$C27,ESCALA!$B$3:$N$19,10,0),0))</f>
        <v/>
      </c>
      <c r="I27" s="4" t="str">
        <f>IF(B27="","",SUM(VLOOKUP(C27,ESCALA!$B$3:$N$19,12,0))*(VLOOKUP(DF!C28,DF!$C$5:$AC$305,27,0))/VLOOKUP(C27,PERFIL!$B$4:$M$20,8,0)*VLOOKUP(C27,PERFIL!$B$4:$M$20,12,0))</f>
        <v/>
      </c>
      <c r="J27" s="120" t="str">
        <f>IF(H27="","",ROUNDUP(DF!$AD28*VLOOKUP(RECEITAS!$C27,ESCALA!$B$3:$N$19,12,0),0))</f>
        <v/>
      </c>
      <c r="K27" s="4" t="str">
        <f>IF(FROTA!AA28="","",FROTA!AA28)</f>
        <v/>
      </c>
      <c r="L27" s="4" t="str">
        <f t="shared" si="1"/>
        <v/>
      </c>
      <c r="M27" s="4" t="str">
        <f>IF(FROTA!AC28="","",FROTA!AC28)</f>
        <v/>
      </c>
      <c r="N27" s="4" t="str">
        <f t="shared" si="2"/>
        <v/>
      </c>
      <c r="O27" s="4" t="str">
        <f>IF(FROTA!AE28="","",FROTA!AE28)</f>
        <v/>
      </c>
      <c r="P27" s="4" t="str">
        <f t="shared" si="3"/>
        <v/>
      </c>
      <c r="Q27" s="4" t="str">
        <f>IF(FROTA!AG28="","",FROTA!AG28)</f>
        <v/>
      </c>
      <c r="R27" s="4" t="str">
        <f t="shared" si="4"/>
        <v/>
      </c>
      <c r="S27" s="164">
        <f t="shared" si="5"/>
        <v>0</v>
      </c>
      <c r="T27" s="257">
        <v>42818</v>
      </c>
      <c r="U27" s="256" t="s">
        <v>60</v>
      </c>
    </row>
    <row r="28" spans="2:21" ht="13.5" customHeight="1" x14ac:dyDescent="0.2">
      <c r="B28" s="23" t="str">
        <f>IF(FROTA!B29="","",FROTA!B29)</f>
        <v/>
      </c>
      <c r="C28" s="139" t="str">
        <f>IF(B28="","",VLOOKUP(B28,FROTA!$B$5:$C$306,2,0))</f>
        <v/>
      </c>
      <c r="D28" s="22" t="str">
        <f t="shared" si="0"/>
        <v/>
      </c>
      <c r="E28" s="4" t="str">
        <f>IF(B28="","",SUM(VLOOKUP(C28,ESCALA!$B$3:$N$19,8,0))*(VLOOKUP(SEM!C29,SEM!$C$5:$AC$305,27,0)))</f>
        <v/>
      </c>
      <c r="F28" s="120" t="str">
        <f>IF(D28="","",ROUNDUP(SEM!$AD29*VLOOKUP(RECEITAS!$C28,ESCALA!$B$3:$N$19,8,0),0))</f>
        <v/>
      </c>
      <c r="G28" s="4" t="str">
        <f>IF(B28="","",(SUM((VLOOKUP(C28,ESCALA!$B$3:$N$19,10,0))*(VLOOKUP(SAB!C29,SAB!$C$5:$AC$305,27,0))/VLOOKUP(C28,PERFIL!$B$4:$M$20,8,0))*VLOOKUP(C28,PERFIL!$B$4:$M$20,11,0)))</f>
        <v/>
      </c>
      <c r="H28" s="120" t="str">
        <f>IF(F28="","",ROUNDUP(SAB!$AD29*VLOOKUP(RECEITAS!$C28,ESCALA!$B$3:$N$19,10,0),0))</f>
        <v/>
      </c>
      <c r="I28" s="4" t="str">
        <f>IF(B28="","",SUM(VLOOKUP(C28,ESCALA!$B$3:$N$19,12,0))*(VLOOKUP(DF!C29,DF!$C$5:$AC$305,27,0))/VLOOKUP(C28,PERFIL!$B$4:$M$20,8,0)*VLOOKUP(C28,PERFIL!$B$4:$M$20,12,0))</f>
        <v/>
      </c>
      <c r="J28" s="120" t="str">
        <f>IF(H28="","",ROUNDUP(DF!$AD29*VLOOKUP(RECEITAS!$C28,ESCALA!$B$3:$N$19,12,0),0))</f>
        <v/>
      </c>
      <c r="K28" s="4" t="str">
        <f>IF(FROTA!AA29="","",FROTA!AA29)</f>
        <v/>
      </c>
      <c r="L28" s="4" t="str">
        <f t="shared" si="1"/>
        <v/>
      </c>
      <c r="M28" s="4" t="str">
        <f>IF(FROTA!AC29="","",FROTA!AC29)</f>
        <v/>
      </c>
      <c r="N28" s="4" t="str">
        <f t="shared" si="2"/>
        <v/>
      </c>
      <c r="O28" s="4" t="str">
        <f>IF(FROTA!AE29="","",FROTA!AE29)</f>
        <v/>
      </c>
      <c r="P28" s="4" t="str">
        <f t="shared" si="3"/>
        <v/>
      </c>
      <c r="Q28" s="4" t="str">
        <f>IF(FROTA!AG29="","",FROTA!AG29)</f>
        <v/>
      </c>
      <c r="R28" s="4" t="str">
        <f t="shared" si="4"/>
        <v/>
      </c>
      <c r="S28" s="164">
        <f t="shared" si="5"/>
        <v>0</v>
      </c>
      <c r="T28" s="257">
        <v>42819</v>
      </c>
      <c r="U28" s="256" t="s">
        <v>61</v>
      </c>
    </row>
    <row r="29" spans="2:21" ht="13.5" customHeight="1" x14ac:dyDescent="0.2">
      <c r="B29" s="23" t="str">
        <f>IF(FROTA!B30="","",FROTA!B30)</f>
        <v/>
      </c>
      <c r="C29" s="139" t="str">
        <f>IF(B29="","",VLOOKUP(B29,FROTA!$B$5:$C$306,2,0))</f>
        <v/>
      </c>
      <c r="D29" s="22" t="str">
        <f t="shared" si="0"/>
        <v/>
      </c>
      <c r="E29" s="4" t="str">
        <f>IF(B29="","",SUM(VLOOKUP(C29,ESCALA!$B$3:$N$19,8,0))*(VLOOKUP(SEM!C30,SEM!$C$5:$AC$305,27,0)))</f>
        <v/>
      </c>
      <c r="F29" s="120" t="str">
        <f>IF(D29="","",ROUNDUP(SEM!$AD30*VLOOKUP(RECEITAS!$C29,ESCALA!$B$3:$N$19,8,0),0))</f>
        <v/>
      </c>
      <c r="G29" s="4" t="str">
        <f>IF(B29="","",(SUM((VLOOKUP(C29,ESCALA!$B$3:$N$19,10,0))*(VLOOKUP(SAB!C30,SAB!$C$5:$AC$305,27,0))/VLOOKUP(C29,PERFIL!$B$4:$M$20,8,0))*VLOOKUP(C29,PERFIL!$B$4:$M$20,11,0)))</f>
        <v/>
      </c>
      <c r="H29" s="120" t="str">
        <f>IF(F29="","",ROUNDUP(SAB!$AD30*VLOOKUP(RECEITAS!$C29,ESCALA!$B$3:$N$19,10,0),0))</f>
        <v/>
      </c>
      <c r="I29" s="4" t="str">
        <f>IF(B29="","",SUM(VLOOKUP(C29,ESCALA!$B$3:$N$19,12,0))*(VLOOKUP(DF!C30,DF!$C$5:$AC$305,27,0))/VLOOKUP(C29,PERFIL!$B$4:$M$20,8,0)*VLOOKUP(C29,PERFIL!$B$4:$M$20,12,0))</f>
        <v/>
      </c>
      <c r="J29" s="120" t="str">
        <f>IF(H29="","",ROUNDUP(DF!$AD30*VLOOKUP(RECEITAS!$C29,ESCALA!$B$3:$N$19,12,0),0))</f>
        <v/>
      </c>
      <c r="K29" s="4" t="str">
        <f>IF(FROTA!AA30="","",FROTA!AA30)</f>
        <v/>
      </c>
      <c r="L29" s="4" t="str">
        <f t="shared" si="1"/>
        <v/>
      </c>
      <c r="M29" s="4" t="str">
        <f>IF(FROTA!AC30="","",FROTA!AC30)</f>
        <v/>
      </c>
      <c r="N29" s="4" t="str">
        <f t="shared" si="2"/>
        <v/>
      </c>
      <c r="O29" s="4" t="str">
        <f>IF(FROTA!AE30="","",FROTA!AE30)</f>
        <v/>
      </c>
      <c r="P29" s="4" t="str">
        <f t="shared" si="3"/>
        <v/>
      </c>
      <c r="Q29" s="4" t="str">
        <f>IF(FROTA!AG30="","",FROTA!AG30)</f>
        <v/>
      </c>
      <c r="R29" s="4" t="str">
        <f t="shared" si="4"/>
        <v/>
      </c>
      <c r="S29" s="164">
        <f t="shared" si="5"/>
        <v>0</v>
      </c>
      <c r="T29" s="257">
        <v>42820</v>
      </c>
      <c r="U29" s="256" t="s">
        <v>58</v>
      </c>
    </row>
    <row r="30" spans="2:21" ht="13.5" customHeight="1" x14ac:dyDescent="0.2">
      <c r="B30" s="23" t="str">
        <f>IF(FROTA!B31="","",FROTA!B31)</f>
        <v/>
      </c>
      <c r="C30" s="139" t="str">
        <f>IF(B30="","",VLOOKUP(B30,FROTA!$B$5:$C$306,2,0))</f>
        <v/>
      </c>
      <c r="D30" s="22" t="str">
        <f t="shared" si="0"/>
        <v/>
      </c>
      <c r="E30" s="4" t="str">
        <f>IF(B30="","",SUM(VLOOKUP(C30,ESCALA!$B$3:$N$19,8,0))*(VLOOKUP(SEM!C31,SEM!$C$5:$AC$305,27,0)))</f>
        <v/>
      </c>
      <c r="F30" s="120" t="str">
        <f>IF(D30="","",ROUNDUP(SEM!$AD31*VLOOKUP(RECEITAS!$C30,ESCALA!$B$3:$N$19,8,0),0))</f>
        <v/>
      </c>
      <c r="G30" s="4" t="str">
        <f>IF(B30="","",(SUM((VLOOKUP(C30,ESCALA!$B$3:$N$19,10,0))*(VLOOKUP(SAB!C31,SAB!$C$5:$AC$305,27,0))/VLOOKUP(C30,PERFIL!$B$4:$M$20,8,0))*VLOOKUP(C30,PERFIL!$B$4:$M$20,11,0)))</f>
        <v/>
      </c>
      <c r="H30" s="120" t="str">
        <f>IF(F30="","",ROUNDUP(SAB!$AD31*VLOOKUP(RECEITAS!$C30,ESCALA!$B$3:$N$19,10,0),0))</f>
        <v/>
      </c>
      <c r="I30" s="4" t="str">
        <f>IF(B30="","",SUM(VLOOKUP(C30,ESCALA!$B$3:$N$19,12,0))*(VLOOKUP(DF!C31,DF!$C$5:$AC$305,27,0))/VLOOKUP(C30,PERFIL!$B$4:$M$20,8,0)*VLOOKUP(C30,PERFIL!$B$4:$M$20,12,0))</f>
        <v/>
      </c>
      <c r="J30" s="120" t="str">
        <f>IF(H30="","",ROUNDUP(DF!$AD31*VLOOKUP(RECEITAS!$C30,ESCALA!$B$3:$N$19,12,0),0))</f>
        <v/>
      </c>
      <c r="K30" s="4" t="str">
        <f>IF(FROTA!AA31="","",FROTA!AA31)</f>
        <v/>
      </c>
      <c r="L30" s="4" t="str">
        <f t="shared" si="1"/>
        <v/>
      </c>
      <c r="M30" s="4" t="str">
        <f>IF(FROTA!AC31="","",FROTA!AC31)</f>
        <v/>
      </c>
      <c r="N30" s="4" t="str">
        <f t="shared" si="2"/>
        <v/>
      </c>
      <c r="O30" s="4" t="str">
        <f>IF(FROTA!AE31="","",FROTA!AE31)</f>
        <v/>
      </c>
      <c r="P30" s="4" t="str">
        <f t="shared" si="3"/>
        <v/>
      </c>
      <c r="Q30" s="4" t="str">
        <f>IF(FROTA!AG31="","",FROTA!AG31)</f>
        <v/>
      </c>
      <c r="R30" s="4" t="str">
        <f t="shared" si="4"/>
        <v/>
      </c>
      <c r="S30" s="164">
        <f t="shared" si="5"/>
        <v>0</v>
      </c>
      <c r="T30" s="257">
        <v>42821</v>
      </c>
      <c r="U30" s="256" t="s">
        <v>62</v>
      </c>
    </row>
    <row r="31" spans="2:21" ht="13.5" customHeight="1" x14ac:dyDescent="0.2">
      <c r="B31" s="23" t="str">
        <f>IF(FROTA!B32="","",FROTA!B32)</f>
        <v/>
      </c>
      <c r="C31" s="139" t="str">
        <f>IF(B31="","",VLOOKUP(B31,FROTA!$B$5:$C$306,2,0))</f>
        <v/>
      </c>
      <c r="D31" s="22" t="str">
        <f t="shared" si="0"/>
        <v/>
      </c>
      <c r="E31" s="4" t="str">
        <f>IF(B31="","",SUM(VLOOKUP(C31,ESCALA!$B$3:$N$19,8,0))*(VLOOKUP(SEM!C32,SEM!$C$5:$AC$305,27,0)))</f>
        <v/>
      </c>
      <c r="F31" s="120" t="str">
        <f>IF(D31="","",ROUNDUP(SEM!$AD32*VLOOKUP(RECEITAS!$C31,ESCALA!$B$3:$N$19,8,0),0))</f>
        <v/>
      </c>
      <c r="G31" s="4" t="str">
        <f>IF(B31="","",(SUM((VLOOKUP(C31,ESCALA!$B$3:$N$19,10,0))*(VLOOKUP(SAB!C32,SAB!$C$5:$AC$305,27,0))/VLOOKUP(C31,PERFIL!$B$4:$M$20,8,0))*VLOOKUP(C31,PERFIL!$B$4:$M$20,11,0)))</f>
        <v/>
      </c>
      <c r="H31" s="120" t="str">
        <f>IF(F31="","",ROUNDUP(SAB!$AD32*VLOOKUP(RECEITAS!$C31,ESCALA!$B$3:$N$19,10,0),0))</f>
        <v/>
      </c>
      <c r="I31" s="4" t="str">
        <f>IF(B31="","",SUM(VLOOKUP(C31,ESCALA!$B$3:$N$19,12,0))*(VLOOKUP(DF!C32,DF!$C$5:$AC$305,27,0))/VLOOKUP(C31,PERFIL!$B$4:$M$20,8,0)*VLOOKUP(C31,PERFIL!$B$4:$M$20,12,0))</f>
        <v/>
      </c>
      <c r="J31" s="120" t="str">
        <f>IF(H31="","",ROUNDUP(DF!$AD32*VLOOKUP(RECEITAS!$C31,ESCALA!$B$3:$N$19,12,0),0))</f>
        <v/>
      </c>
      <c r="K31" s="4" t="str">
        <f>IF(FROTA!AA32="","",FROTA!AA32)</f>
        <v/>
      </c>
      <c r="L31" s="4" t="str">
        <f t="shared" si="1"/>
        <v/>
      </c>
      <c r="M31" s="4" t="str">
        <f>IF(FROTA!AC32="","",FROTA!AC32)</f>
        <v/>
      </c>
      <c r="N31" s="4" t="str">
        <f t="shared" si="2"/>
        <v/>
      </c>
      <c r="O31" s="4" t="str">
        <f>IF(FROTA!AE32="","",FROTA!AE32)</f>
        <v/>
      </c>
      <c r="P31" s="4" t="str">
        <f t="shared" si="3"/>
        <v/>
      </c>
      <c r="Q31" s="4" t="str">
        <f>IF(FROTA!AG32="","",FROTA!AG32)</f>
        <v/>
      </c>
      <c r="R31" s="4" t="str">
        <f t="shared" si="4"/>
        <v/>
      </c>
      <c r="S31" s="164">
        <f t="shared" si="5"/>
        <v>0</v>
      </c>
      <c r="T31" s="257">
        <v>42822</v>
      </c>
      <c r="U31" s="256" t="s">
        <v>63</v>
      </c>
    </row>
    <row r="32" spans="2:21" ht="13.5" customHeight="1" x14ac:dyDescent="0.2">
      <c r="B32" s="23" t="str">
        <f>IF(FROTA!B33="","",FROTA!B33)</f>
        <v/>
      </c>
      <c r="C32" s="139" t="str">
        <f>IF(B32="","",VLOOKUP(B32,FROTA!$B$5:$C$306,2,0))</f>
        <v/>
      </c>
      <c r="D32" s="22" t="str">
        <f t="shared" si="0"/>
        <v/>
      </c>
      <c r="E32" s="4" t="str">
        <f>IF(B32="","",SUM(VLOOKUP(C32,ESCALA!$B$3:$N$19,8,0))*(VLOOKUP(SEM!C33,SEM!$C$5:$AC$305,27,0)))</f>
        <v/>
      </c>
      <c r="F32" s="120" t="str">
        <f>IF(D32="","",ROUNDUP(SEM!$AD33*VLOOKUP(RECEITAS!$C32,ESCALA!$B$3:$N$19,8,0),0))</f>
        <v/>
      </c>
      <c r="G32" s="4" t="str">
        <f>IF(B32="","",(SUM((VLOOKUP(C32,ESCALA!$B$3:$N$19,10,0))*(VLOOKUP(SAB!C33,SAB!$C$5:$AC$305,27,0))/VLOOKUP(C32,PERFIL!$B$4:$M$20,8,0))*VLOOKUP(C32,PERFIL!$B$4:$M$20,11,0)))</f>
        <v/>
      </c>
      <c r="H32" s="120" t="str">
        <f>IF(F32="","",ROUNDUP(SAB!$AD33*VLOOKUP(RECEITAS!$C32,ESCALA!$B$3:$N$19,10,0),0))</f>
        <v/>
      </c>
      <c r="I32" s="4" t="str">
        <f>IF(B32="","",SUM(VLOOKUP(C32,ESCALA!$B$3:$N$19,12,0))*(VLOOKUP(DF!C33,DF!$C$5:$AC$305,27,0))/VLOOKUP(C32,PERFIL!$B$4:$M$20,8,0)*VLOOKUP(C32,PERFIL!$B$4:$M$20,12,0))</f>
        <v/>
      </c>
      <c r="J32" s="120" t="str">
        <f>IF(H32="","",ROUNDUP(DF!$AD33*VLOOKUP(RECEITAS!$C32,ESCALA!$B$3:$N$19,12,0),0))</f>
        <v/>
      </c>
      <c r="K32" s="4" t="str">
        <f>IF(FROTA!AA33="","",FROTA!AA33)</f>
        <v/>
      </c>
      <c r="L32" s="4" t="str">
        <f t="shared" si="1"/>
        <v/>
      </c>
      <c r="M32" s="4" t="str">
        <f>IF(FROTA!AC33="","",FROTA!AC33)</f>
        <v/>
      </c>
      <c r="N32" s="4" t="str">
        <f t="shared" si="2"/>
        <v/>
      </c>
      <c r="O32" s="4" t="str">
        <f>IF(FROTA!AE33="","",FROTA!AE33)</f>
        <v/>
      </c>
      <c r="P32" s="4" t="str">
        <f t="shared" si="3"/>
        <v/>
      </c>
      <c r="Q32" s="4" t="str">
        <f>IF(FROTA!AG33="","",FROTA!AG33)</f>
        <v/>
      </c>
      <c r="R32" s="4" t="str">
        <f t="shared" si="4"/>
        <v/>
      </c>
      <c r="S32" s="164">
        <f t="shared" si="5"/>
        <v>0</v>
      </c>
      <c r="T32" s="257">
        <v>42823</v>
      </c>
      <c r="U32" s="256" t="s">
        <v>64</v>
      </c>
    </row>
    <row r="33" spans="2:21" ht="13.5" customHeight="1" x14ac:dyDescent="0.2">
      <c r="B33" s="23" t="str">
        <f>IF(FROTA!B34="","",FROTA!B34)</f>
        <v/>
      </c>
      <c r="C33" s="139" t="str">
        <f>IF(B33="","",VLOOKUP(B33,FROTA!$B$5:$C$306,2,0))</f>
        <v/>
      </c>
      <c r="D33" s="22" t="str">
        <f t="shared" si="0"/>
        <v/>
      </c>
      <c r="E33" s="4" t="str">
        <f>IF(B33="","",SUM(VLOOKUP(C33,ESCALA!$B$3:$N$19,8,0))*(VLOOKUP(SEM!C34,SEM!$C$5:$AC$305,27,0)))</f>
        <v/>
      </c>
      <c r="F33" s="120" t="str">
        <f>IF(D33="","",ROUNDUP(SEM!$AD34*VLOOKUP(RECEITAS!$C33,ESCALA!$B$3:$N$19,8,0),0))</f>
        <v/>
      </c>
      <c r="G33" s="4" t="str">
        <f>IF(B33="","",(SUM((VLOOKUP(C33,ESCALA!$B$3:$N$19,10,0))*(VLOOKUP(SAB!C34,SAB!$C$5:$AC$305,27,0))/VLOOKUP(C33,PERFIL!$B$4:$M$20,8,0))*VLOOKUP(C33,PERFIL!$B$4:$M$20,11,0)))</f>
        <v/>
      </c>
      <c r="H33" s="120" t="str">
        <f>IF(F33="","",ROUNDUP(SAB!$AD34*VLOOKUP(RECEITAS!$C33,ESCALA!$B$3:$N$19,10,0),0))</f>
        <v/>
      </c>
      <c r="I33" s="4" t="str">
        <f>IF(B33="","",SUM(VLOOKUP(C33,ESCALA!$B$3:$N$19,12,0))*(VLOOKUP(DF!C34,DF!$C$5:$AC$305,27,0))/VLOOKUP(C33,PERFIL!$B$4:$M$20,8,0)*VLOOKUP(C33,PERFIL!$B$4:$M$20,12,0))</f>
        <v/>
      </c>
      <c r="J33" s="120" t="str">
        <f>IF(H33="","",ROUNDUP(DF!$AD34*VLOOKUP(RECEITAS!$C33,ESCALA!$B$3:$N$19,12,0),0))</f>
        <v/>
      </c>
      <c r="K33" s="4" t="str">
        <f>IF(FROTA!AA34="","",FROTA!AA34)</f>
        <v/>
      </c>
      <c r="L33" s="4" t="str">
        <f t="shared" si="1"/>
        <v/>
      </c>
      <c r="M33" s="4" t="str">
        <f>IF(FROTA!AC34="","",FROTA!AC34)</f>
        <v/>
      </c>
      <c r="N33" s="4" t="str">
        <f t="shared" si="2"/>
        <v/>
      </c>
      <c r="O33" s="4" t="str">
        <f>IF(FROTA!AE34="","",FROTA!AE34)</f>
        <v/>
      </c>
      <c r="P33" s="4" t="str">
        <f t="shared" si="3"/>
        <v/>
      </c>
      <c r="Q33" s="4" t="str">
        <f>IF(FROTA!AG34="","",FROTA!AG34)</f>
        <v/>
      </c>
      <c r="R33" s="4" t="str">
        <f t="shared" si="4"/>
        <v/>
      </c>
      <c r="S33" s="164">
        <f t="shared" si="5"/>
        <v>0</v>
      </c>
      <c r="T33" s="257">
        <v>42824</v>
      </c>
      <c r="U33" s="256" t="s">
        <v>59</v>
      </c>
    </row>
    <row r="34" spans="2:21" ht="13.5" customHeight="1" x14ac:dyDescent="0.2">
      <c r="B34" s="23" t="str">
        <f>IF(FROTA!B35="","",FROTA!B35)</f>
        <v/>
      </c>
      <c r="C34" s="139" t="str">
        <f>IF(B34="","",VLOOKUP(B34,FROTA!$B$5:$C$306,2,0))</f>
        <v/>
      </c>
      <c r="D34" s="22" t="str">
        <f t="shared" si="0"/>
        <v/>
      </c>
      <c r="E34" s="4" t="str">
        <f>IF(B34="","",SUM(VLOOKUP(C34,ESCALA!$B$3:$N$19,8,0))*(VLOOKUP(SEM!C35,SEM!$C$5:$AC$305,27,0)))</f>
        <v/>
      </c>
      <c r="F34" s="120" t="str">
        <f>IF(D34="","",ROUNDUP(SEM!$AD35*VLOOKUP(RECEITAS!$C34,ESCALA!$B$3:$N$19,8,0),0))</f>
        <v/>
      </c>
      <c r="G34" s="4" t="str">
        <f>IF(B34="","",(SUM((VLOOKUP(C34,ESCALA!$B$3:$N$19,10,0))*(VLOOKUP(SAB!C35,SAB!$C$5:$AC$305,27,0))/VLOOKUP(C34,PERFIL!$B$4:$M$20,8,0))*VLOOKUP(C34,PERFIL!$B$4:$M$20,11,0)))</f>
        <v/>
      </c>
      <c r="H34" s="120" t="str">
        <f>IF(F34="","",ROUNDUP(SAB!$AD35*VLOOKUP(RECEITAS!$C34,ESCALA!$B$3:$N$19,10,0),0))</f>
        <v/>
      </c>
      <c r="I34" s="4" t="str">
        <f>IF(B34="","",SUM(VLOOKUP(C34,ESCALA!$B$3:$N$19,12,0))*(VLOOKUP(DF!C35,DF!$C$5:$AC$305,27,0))/VLOOKUP(C34,PERFIL!$B$4:$M$20,8,0)*VLOOKUP(C34,PERFIL!$B$4:$M$20,12,0))</f>
        <v/>
      </c>
      <c r="J34" s="120" t="str">
        <f>IF(H34="","",ROUNDUP(DF!$AD35*VLOOKUP(RECEITAS!$C34,ESCALA!$B$3:$N$19,12,0),0))</f>
        <v/>
      </c>
      <c r="K34" s="4" t="str">
        <f>IF(FROTA!AA35="","",FROTA!AA35)</f>
        <v/>
      </c>
      <c r="L34" s="4" t="str">
        <f t="shared" si="1"/>
        <v/>
      </c>
      <c r="M34" s="4" t="str">
        <f>IF(FROTA!AC35="","",FROTA!AC35)</f>
        <v/>
      </c>
      <c r="N34" s="4" t="str">
        <f t="shared" si="2"/>
        <v/>
      </c>
      <c r="O34" s="4" t="str">
        <f>IF(FROTA!AE35="","",FROTA!AE35)</f>
        <v/>
      </c>
      <c r="P34" s="4" t="str">
        <f t="shared" si="3"/>
        <v/>
      </c>
      <c r="Q34" s="4" t="str">
        <f>IF(FROTA!AG35="","",FROTA!AG35)</f>
        <v/>
      </c>
      <c r="R34" s="4" t="str">
        <f t="shared" si="4"/>
        <v/>
      </c>
      <c r="S34" s="164">
        <f t="shared" si="5"/>
        <v>0</v>
      </c>
      <c r="T34" s="257">
        <v>42825</v>
      </c>
      <c r="U34" s="256" t="s">
        <v>60</v>
      </c>
    </row>
    <row r="35" spans="2:21" ht="13.5" customHeight="1" x14ac:dyDescent="0.2">
      <c r="B35" s="23" t="str">
        <f>IF(FROTA!B36="","",FROTA!B36)</f>
        <v/>
      </c>
      <c r="C35" s="139" t="str">
        <f>IF(B35="","",VLOOKUP(B35,FROTA!$B$5:$C$306,2,0))</f>
        <v/>
      </c>
      <c r="D35" s="22" t="str">
        <f t="shared" si="0"/>
        <v/>
      </c>
      <c r="E35" s="4" t="str">
        <f>IF(B35="","",SUM(VLOOKUP(C35,ESCALA!$B$3:$N$19,8,0))*(VLOOKUP(SEM!C36,SEM!$C$5:$AC$305,27,0)))</f>
        <v/>
      </c>
      <c r="F35" s="120" t="str">
        <f>IF(D35="","",ROUNDUP(SEM!$AD36*VLOOKUP(RECEITAS!$C35,ESCALA!$B$3:$N$19,8,0),0))</f>
        <v/>
      </c>
      <c r="G35" s="4" t="str">
        <f>IF(B35="","",(SUM((VLOOKUP(C35,ESCALA!$B$3:$N$19,10,0))*(VLOOKUP(SAB!C36,SAB!$C$5:$AC$305,27,0))/VLOOKUP(C35,PERFIL!$B$4:$M$20,8,0))*VLOOKUP(C35,PERFIL!$B$4:$M$20,11,0)))</f>
        <v/>
      </c>
      <c r="H35" s="120" t="str">
        <f>IF(F35="","",ROUNDUP(SAB!$AD36*VLOOKUP(RECEITAS!$C35,ESCALA!$B$3:$N$19,10,0),0))</f>
        <v/>
      </c>
      <c r="I35" s="4" t="str">
        <f>IF(B35="","",SUM(VLOOKUP(C35,ESCALA!$B$3:$N$19,12,0))*(VLOOKUP(DF!C36,DF!$C$5:$AC$305,27,0))/VLOOKUP(C35,PERFIL!$B$4:$M$20,8,0)*VLOOKUP(C35,PERFIL!$B$4:$M$20,12,0))</f>
        <v/>
      </c>
      <c r="J35" s="120" t="str">
        <f>IF(H35="","",ROUNDUP(DF!$AD36*VLOOKUP(RECEITAS!$C35,ESCALA!$B$3:$N$19,12,0),0))</f>
        <v/>
      </c>
      <c r="K35" s="4" t="str">
        <f>IF(FROTA!AA36="","",FROTA!AA36)</f>
        <v/>
      </c>
      <c r="L35" s="4" t="str">
        <f t="shared" si="1"/>
        <v/>
      </c>
      <c r="M35" s="4" t="str">
        <f>IF(FROTA!AC36="","",FROTA!AC36)</f>
        <v/>
      </c>
      <c r="N35" s="4" t="str">
        <f t="shared" si="2"/>
        <v/>
      </c>
      <c r="O35" s="4" t="str">
        <f>IF(FROTA!AE36="","",FROTA!AE36)</f>
        <v/>
      </c>
      <c r="P35" s="4" t="str">
        <f t="shared" si="3"/>
        <v/>
      </c>
      <c r="Q35" s="4" t="str">
        <f>IF(FROTA!AG36="","",FROTA!AG36)</f>
        <v/>
      </c>
      <c r="R35" s="4" t="str">
        <f t="shared" si="4"/>
        <v/>
      </c>
      <c r="S35" s="164">
        <f t="shared" si="5"/>
        <v>0</v>
      </c>
      <c r="T35" s="257">
        <v>42826</v>
      </c>
      <c r="U35" s="256" t="s">
        <v>61</v>
      </c>
    </row>
    <row r="36" spans="2:21" ht="13.5" customHeight="1" x14ac:dyDescent="0.2">
      <c r="B36" s="23" t="str">
        <f>IF(FROTA!B37="","",FROTA!B37)</f>
        <v/>
      </c>
      <c r="C36" s="139" t="str">
        <f>IF(B36="","",VLOOKUP(B36,FROTA!$B$5:$C$306,2,0))</f>
        <v/>
      </c>
      <c r="D36" s="22" t="str">
        <f t="shared" si="0"/>
        <v/>
      </c>
      <c r="E36" s="4" t="str">
        <f>IF(B36="","",SUM(VLOOKUP(C36,ESCALA!$B$3:$N$19,8,0))*(VLOOKUP(SEM!C37,SEM!$C$5:$AC$305,27,0)))</f>
        <v/>
      </c>
      <c r="F36" s="120" t="str">
        <f>IF(D36="","",ROUNDUP(SEM!$AD37*VLOOKUP(RECEITAS!$C36,ESCALA!$B$3:$N$19,8,0),0))</f>
        <v/>
      </c>
      <c r="G36" s="4" t="str">
        <f>IF(B36="","",(SUM((VLOOKUP(C36,ESCALA!$B$3:$N$19,10,0))*(VLOOKUP(SAB!C37,SAB!$C$5:$AC$305,27,0))/VLOOKUP(C36,PERFIL!$B$4:$M$20,8,0))*VLOOKUP(C36,PERFIL!$B$4:$M$20,11,0)))</f>
        <v/>
      </c>
      <c r="H36" s="120" t="str">
        <f>IF(F36="","",ROUNDUP(SAB!$AD37*VLOOKUP(RECEITAS!$C36,ESCALA!$B$3:$N$19,10,0),0))</f>
        <v/>
      </c>
      <c r="I36" s="4" t="str">
        <f>IF(B36="","",SUM(VLOOKUP(C36,ESCALA!$B$3:$N$19,12,0))*(VLOOKUP(DF!C37,DF!$C$5:$AC$305,27,0))/VLOOKUP(C36,PERFIL!$B$4:$M$20,8,0)*VLOOKUP(C36,PERFIL!$B$4:$M$20,12,0))</f>
        <v/>
      </c>
      <c r="J36" s="120" t="str">
        <f>IF(H36="","",ROUNDUP(DF!$AD37*VLOOKUP(RECEITAS!$C36,ESCALA!$B$3:$N$19,12,0),0))</f>
        <v/>
      </c>
      <c r="K36" s="4" t="str">
        <f>IF(FROTA!AA37="","",FROTA!AA37)</f>
        <v/>
      </c>
      <c r="L36" s="4" t="str">
        <f t="shared" si="1"/>
        <v/>
      </c>
      <c r="M36" s="4" t="str">
        <f>IF(FROTA!AC37="","",FROTA!AC37)</f>
        <v/>
      </c>
      <c r="N36" s="4" t="str">
        <f t="shared" si="2"/>
        <v/>
      </c>
      <c r="O36" s="4" t="str">
        <f>IF(FROTA!AE37="","",FROTA!AE37)</f>
        <v/>
      </c>
      <c r="P36" s="4" t="str">
        <f t="shared" si="3"/>
        <v/>
      </c>
      <c r="Q36" s="4" t="str">
        <f>IF(FROTA!AG37="","",FROTA!AG37)</f>
        <v/>
      </c>
      <c r="R36" s="4" t="str">
        <f t="shared" si="4"/>
        <v/>
      </c>
      <c r="S36" s="164">
        <f t="shared" si="5"/>
        <v>0</v>
      </c>
      <c r="T36" s="257">
        <v>42827</v>
      </c>
      <c r="U36" s="256" t="s">
        <v>58</v>
      </c>
    </row>
    <row r="37" spans="2:21" ht="13.5" customHeight="1" x14ac:dyDescent="0.2">
      <c r="B37" s="23" t="str">
        <f>IF(FROTA!B38="","",FROTA!B38)</f>
        <v/>
      </c>
      <c r="C37" s="139" t="str">
        <f>IF(B37="","",VLOOKUP(B37,FROTA!$B$5:$C$306,2,0))</f>
        <v/>
      </c>
      <c r="D37" s="22" t="str">
        <f t="shared" si="0"/>
        <v/>
      </c>
      <c r="E37" s="4" t="str">
        <f>IF(B37="","",SUM(VLOOKUP(C37,ESCALA!$B$3:$N$19,8,0))*(VLOOKUP(SEM!C38,SEM!$C$5:$AC$305,27,0)))</f>
        <v/>
      </c>
      <c r="F37" s="120" t="str">
        <f>IF(D37="","",ROUNDUP(SEM!$AD38*VLOOKUP(RECEITAS!$C37,ESCALA!$B$3:$N$19,8,0),0))</f>
        <v/>
      </c>
      <c r="G37" s="4" t="str">
        <f>IF(B37="","",(SUM((VLOOKUP(C37,ESCALA!$B$3:$N$19,10,0))*(VLOOKUP(SAB!C38,SAB!$C$5:$AC$305,27,0))/VLOOKUP(C37,PERFIL!$B$4:$M$20,8,0))*VLOOKUP(C37,PERFIL!$B$4:$M$20,11,0)))</f>
        <v/>
      </c>
      <c r="H37" s="120" t="str">
        <f>IF(F37="","",ROUNDUP(SAB!$AD38*VLOOKUP(RECEITAS!$C37,ESCALA!$B$3:$N$19,10,0),0))</f>
        <v/>
      </c>
      <c r="I37" s="4" t="str">
        <f>IF(B37="","",SUM(VLOOKUP(C37,ESCALA!$B$3:$N$19,12,0))*(VLOOKUP(DF!C38,DF!$C$5:$AC$305,27,0))/VLOOKUP(C37,PERFIL!$B$4:$M$20,8,0)*VLOOKUP(C37,PERFIL!$B$4:$M$20,12,0))</f>
        <v/>
      </c>
      <c r="J37" s="120" t="str">
        <f>IF(H37="","",ROUNDUP(DF!$AD38*VLOOKUP(RECEITAS!$C37,ESCALA!$B$3:$N$19,12,0),0))</f>
        <v/>
      </c>
      <c r="K37" s="4" t="str">
        <f>IF(FROTA!AA38="","",FROTA!AA38)</f>
        <v/>
      </c>
      <c r="L37" s="4" t="str">
        <f t="shared" si="1"/>
        <v/>
      </c>
      <c r="M37" s="4" t="str">
        <f>IF(FROTA!AC38="","",FROTA!AC38)</f>
        <v/>
      </c>
      <c r="N37" s="4" t="str">
        <f t="shared" si="2"/>
        <v/>
      </c>
      <c r="O37" s="4" t="str">
        <f>IF(FROTA!AE38="","",FROTA!AE38)</f>
        <v/>
      </c>
      <c r="P37" s="4" t="str">
        <f t="shared" si="3"/>
        <v/>
      </c>
      <c r="Q37" s="4" t="str">
        <f>IF(FROTA!AG38="","",FROTA!AG38)</f>
        <v/>
      </c>
      <c r="R37" s="4" t="str">
        <f t="shared" si="4"/>
        <v/>
      </c>
      <c r="S37" s="164">
        <f t="shared" si="5"/>
        <v>0</v>
      </c>
      <c r="T37" s="257">
        <v>42828</v>
      </c>
      <c r="U37" s="256" t="s">
        <v>62</v>
      </c>
    </row>
    <row r="38" spans="2:21" ht="13.5" customHeight="1" x14ac:dyDescent="0.2">
      <c r="B38" s="23" t="str">
        <f>IF(FROTA!B39="","",FROTA!B39)</f>
        <v/>
      </c>
      <c r="C38" s="139" t="str">
        <f>IF(B38="","",VLOOKUP(B38,FROTA!$B$5:$C$306,2,0))</f>
        <v/>
      </c>
      <c r="D38" s="22" t="str">
        <f t="shared" si="0"/>
        <v/>
      </c>
      <c r="E38" s="4" t="str">
        <f>IF(B38="","",SUM(VLOOKUP(C38,ESCALA!$B$3:$N$19,8,0))*(VLOOKUP(SEM!C39,SEM!$C$5:$AC$305,27,0)))</f>
        <v/>
      </c>
      <c r="F38" s="120" t="str">
        <f>IF(D38="","",ROUNDUP(SEM!$AD39*VLOOKUP(RECEITAS!$C38,ESCALA!$B$3:$N$19,8,0),0))</f>
        <v/>
      </c>
      <c r="G38" s="4" t="str">
        <f>IF(B38="","",(SUM((VLOOKUP(C38,ESCALA!$B$3:$N$19,10,0))*(VLOOKUP(SAB!C39,SAB!$C$5:$AC$305,27,0))/VLOOKUP(C38,PERFIL!$B$4:$M$20,8,0))*VLOOKUP(C38,PERFIL!$B$4:$M$20,11,0)))</f>
        <v/>
      </c>
      <c r="H38" s="120" t="str">
        <f>IF(F38="","",ROUNDUP(SAB!$AD39*VLOOKUP(RECEITAS!$C38,ESCALA!$B$3:$N$19,10,0),0))</f>
        <v/>
      </c>
      <c r="I38" s="4" t="str">
        <f>IF(B38="","",SUM(VLOOKUP(C38,ESCALA!$B$3:$N$19,12,0))*(VLOOKUP(DF!C39,DF!$C$5:$AC$305,27,0))/VLOOKUP(C38,PERFIL!$B$4:$M$20,8,0)*VLOOKUP(C38,PERFIL!$B$4:$M$20,12,0))</f>
        <v/>
      </c>
      <c r="J38" s="120" t="str">
        <f>IF(H38="","",ROUNDUP(DF!$AD39*VLOOKUP(RECEITAS!$C38,ESCALA!$B$3:$N$19,12,0),0))</f>
        <v/>
      </c>
      <c r="K38" s="4" t="str">
        <f>IF(FROTA!AA39="","",FROTA!AA39)</f>
        <v/>
      </c>
      <c r="L38" s="4" t="str">
        <f t="shared" si="1"/>
        <v/>
      </c>
      <c r="M38" s="4" t="str">
        <f>IF(FROTA!AC39="","",FROTA!AC39)</f>
        <v/>
      </c>
      <c r="N38" s="4" t="str">
        <f t="shared" si="2"/>
        <v/>
      </c>
      <c r="O38" s="4" t="str">
        <f>IF(FROTA!AE39="","",FROTA!AE39)</f>
        <v/>
      </c>
      <c r="P38" s="4" t="str">
        <f t="shared" si="3"/>
        <v/>
      </c>
      <c r="Q38" s="4" t="str">
        <f>IF(FROTA!AG39="","",FROTA!AG39)</f>
        <v/>
      </c>
      <c r="R38" s="4" t="str">
        <f t="shared" si="4"/>
        <v/>
      </c>
      <c r="S38" s="164">
        <f t="shared" si="5"/>
        <v>0</v>
      </c>
      <c r="T38" s="257">
        <v>42829</v>
      </c>
      <c r="U38" s="256" t="s">
        <v>63</v>
      </c>
    </row>
    <row r="39" spans="2:21" ht="13.5" customHeight="1" x14ac:dyDescent="0.2">
      <c r="B39" s="23" t="str">
        <f>IF(FROTA!B40="","",FROTA!B40)</f>
        <v/>
      </c>
      <c r="C39" s="139" t="str">
        <f>IF(B39="","",VLOOKUP(B39,FROTA!$B$5:$C$306,2,0))</f>
        <v/>
      </c>
      <c r="D39" s="22" t="str">
        <f t="shared" si="0"/>
        <v/>
      </c>
      <c r="E39" s="4" t="str">
        <f>IF(B39="","",SUM(VLOOKUP(C39,ESCALA!$B$3:$N$19,8,0))*(VLOOKUP(SEM!C40,SEM!$C$5:$AC$305,27,0)))</f>
        <v/>
      </c>
      <c r="F39" s="120" t="str">
        <f>IF(D39="","",ROUNDUP(SEM!$AD40*VLOOKUP(RECEITAS!$C39,ESCALA!$B$3:$N$19,8,0),0))</f>
        <v/>
      </c>
      <c r="G39" s="4" t="str">
        <f>IF(B39="","",(SUM((VLOOKUP(C39,ESCALA!$B$3:$N$19,10,0))*(VLOOKUP(SAB!C40,SAB!$C$5:$AC$305,27,0))/VLOOKUP(C39,PERFIL!$B$4:$M$20,8,0))*VLOOKUP(C39,PERFIL!$B$4:$M$20,11,0)))</f>
        <v/>
      </c>
      <c r="H39" s="120" t="str">
        <f>IF(F39="","",ROUNDUP(SAB!$AD40*VLOOKUP(RECEITAS!$C39,ESCALA!$B$3:$N$19,10,0),0))</f>
        <v/>
      </c>
      <c r="I39" s="4" t="str">
        <f>IF(B39="","",SUM(VLOOKUP(C39,ESCALA!$B$3:$N$19,12,0))*(VLOOKUP(DF!C40,DF!$C$5:$AC$305,27,0))/VLOOKUP(C39,PERFIL!$B$4:$M$20,8,0)*VLOOKUP(C39,PERFIL!$B$4:$M$20,12,0))</f>
        <v/>
      </c>
      <c r="J39" s="120" t="str">
        <f>IF(H39="","",ROUNDUP(DF!$AD40*VLOOKUP(RECEITAS!$C39,ESCALA!$B$3:$N$19,12,0),0))</f>
        <v/>
      </c>
      <c r="K39" s="4" t="str">
        <f>IF(FROTA!AA40="","",FROTA!AA40)</f>
        <v/>
      </c>
      <c r="L39" s="4" t="str">
        <f t="shared" si="1"/>
        <v/>
      </c>
      <c r="M39" s="4" t="str">
        <f>IF(FROTA!AC40="","",FROTA!AC40)</f>
        <v/>
      </c>
      <c r="N39" s="4" t="str">
        <f t="shared" si="2"/>
        <v/>
      </c>
      <c r="O39" s="4" t="str">
        <f>IF(FROTA!AE40="","",FROTA!AE40)</f>
        <v/>
      </c>
      <c r="P39" s="4" t="str">
        <f t="shared" si="3"/>
        <v/>
      </c>
      <c r="Q39" s="4" t="str">
        <f>IF(FROTA!AG40="","",FROTA!AG40)</f>
        <v/>
      </c>
      <c r="R39" s="4" t="str">
        <f t="shared" si="4"/>
        <v/>
      </c>
      <c r="S39" s="164">
        <f t="shared" si="5"/>
        <v>0</v>
      </c>
      <c r="T39" s="257">
        <v>42830</v>
      </c>
      <c r="U39" s="256" t="s">
        <v>64</v>
      </c>
    </row>
    <row r="40" spans="2:21" ht="13.5" customHeight="1" x14ac:dyDescent="0.2">
      <c r="B40" s="23" t="str">
        <f>IF(FROTA!B41="","",FROTA!B41)</f>
        <v/>
      </c>
      <c r="C40" s="139" t="str">
        <f>IF(B40="","",VLOOKUP(B40,FROTA!$B$5:$C$306,2,0))</f>
        <v/>
      </c>
      <c r="D40" s="22" t="str">
        <f t="shared" si="0"/>
        <v/>
      </c>
      <c r="E40" s="4" t="str">
        <f>IF(B40="","",SUM(VLOOKUP(C40,ESCALA!$B$3:$N$19,8,0))*(VLOOKUP(SEM!C41,SEM!$C$5:$AC$305,27,0)))</f>
        <v/>
      </c>
      <c r="F40" s="120" t="str">
        <f>IF(D40="","",ROUNDUP(SEM!$AD41*VLOOKUP(RECEITAS!$C40,ESCALA!$B$3:$N$19,8,0),0))</f>
        <v/>
      </c>
      <c r="G40" s="4" t="str">
        <f>IF(B40="","",(SUM((VLOOKUP(C40,ESCALA!$B$3:$N$19,10,0))*(VLOOKUP(SAB!C41,SAB!$C$5:$AC$305,27,0))/VLOOKUP(C40,PERFIL!$B$4:$M$20,8,0))*VLOOKUP(C40,PERFIL!$B$4:$M$20,11,0)))</f>
        <v/>
      </c>
      <c r="H40" s="120" t="str">
        <f>IF(F40="","",ROUNDUP(SAB!$AD41*VLOOKUP(RECEITAS!$C40,ESCALA!$B$3:$N$19,10,0),0))</f>
        <v/>
      </c>
      <c r="I40" s="4" t="str">
        <f>IF(B40="","",SUM(VLOOKUP(C40,ESCALA!$B$3:$N$19,12,0))*(VLOOKUP(DF!C41,DF!$C$5:$AC$305,27,0))/VLOOKUP(C40,PERFIL!$B$4:$M$20,8,0)*VLOOKUP(C40,PERFIL!$B$4:$M$20,12,0))</f>
        <v/>
      </c>
      <c r="J40" s="120" t="str">
        <f>IF(H40="","",ROUNDUP(DF!$AD41*VLOOKUP(RECEITAS!$C40,ESCALA!$B$3:$N$19,12,0),0))</f>
        <v/>
      </c>
      <c r="K40" s="4" t="str">
        <f>IF(FROTA!AA41="","",FROTA!AA41)</f>
        <v/>
      </c>
      <c r="L40" s="4" t="str">
        <f t="shared" si="1"/>
        <v/>
      </c>
      <c r="M40" s="4" t="str">
        <f>IF(FROTA!AC41="","",FROTA!AC41)</f>
        <v/>
      </c>
      <c r="N40" s="4" t="str">
        <f t="shared" si="2"/>
        <v/>
      </c>
      <c r="O40" s="4" t="str">
        <f>IF(FROTA!AE41="","",FROTA!AE41)</f>
        <v/>
      </c>
      <c r="P40" s="4" t="str">
        <f t="shared" si="3"/>
        <v/>
      </c>
      <c r="Q40" s="4" t="str">
        <f>IF(FROTA!AG41="","",FROTA!AG41)</f>
        <v/>
      </c>
      <c r="R40" s="4" t="str">
        <f t="shared" si="4"/>
        <v/>
      </c>
      <c r="S40" s="164">
        <f t="shared" si="5"/>
        <v>0</v>
      </c>
      <c r="T40" s="257">
        <v>42831</v>
      </c>
      <c r="U40" s="256" t="s">
        <v>59</v>
      </c>
    </row>
    <row r="41" spans="2:21" ht="13.5" customHeight="1" x14ac:dyDescent="0.2">
      <c r="B41" s="23" t="str">
        <f>IF(FROTA!B42="","",FROTA!B42)</f>
        <v/>
      </c>
      <c r="C41" s="139" t="str">
        <f>IF(B41="","",VLOOKUP(B41,FROTA!$B$5:$C$306,2,0))</f>
        <v/>
      </c>
      <c r="D41" s="22" t="str">
        <f t="shared" si="0"/>
        <v/>
      </c>
      <c r="E41" s="4" t="str">
        <f>IF(B41="","",SUM(VLOOKUP(C41,ESCALA!$B$3:$N$19,8,0))*(VLOOKUP(SEM!C42,SEM!$C$5:$AC$305,27,0)))</f>
        <v/>
      </c>
      <c r="F41" s="120" t="str">
        <f>IF(D41="","",ROUNDUP(SEM!$AD42*VLOOKUP(RECEITAS!$C41,ESCALA!$B$3:$N$19,8,0),0))</f>
        <v/>
      </c>
      <c r="G41" s="4" t="str">
        <f>IF(B41="","",(SUM((VLOOKUP(C41,ESCALA!$B$3:$N$19,10,0))*(VLOOKUP(SAB!C42,SAB!$C$5:$AC$305,27,0))/VLOOKUP(C41,PERFIL!$B$4:$M$20,8,0))*VLOOKUP(C41,PERFIL!$B$4:$M$20,11,0)))</f>
        <v/>
      </c>
      <c r="H41" s="120" t="str">
        <f>IF(F41="","",ROUNDUP(SAB!$AD42*VLOOKUP(RECEITAS!$C41,ESCALA!$B$3:$N$19,10,0),0))</f>
        <v/>
      </c>
      <c r="I41" s="4" t="str">
        <f>IF(B41="","",SUM(VLOOKUP(C41,ESCALA!$B$3:$N$19,12,0))*(VLOOKUP(DF!C42,DF!$C$5:$AC$305,27,0))/VLOOKUP(C41,PERFIL!$B$4:$M$20,8,0)*VLOOKUP(C41,PERFIL!$B$4:$M$20,12,0))</f>
        <v/>
      </c>
      <c r="J41" s="120" t="str">
        <f>IF(H41="","",ROUNDUP(DF!$AD42*VLOOKUP(RECEITAS!$C41,ESCALA!$B$3:$N$19,12,0),0))</f>
        <v/>
      </c>
      <c r="K41" s="4" t="str">
        <f>IF(FROTA!AA42="","",FROTA!AA42)</f>
        <v/>
      </c>
      <c r="L41" s="4" t="str">
        <f t="shared" si="1"/>
        <v/>
      </c>
      <c r="M41" s="4" t="str">
        <f>IF(FROTA!AC42="","",FROTA!AC42)</f>
        <v/>
      </c>
      <c r="N41" s="4" t="str">
        <f t="shared" si="2"/>
        <v/>
      </c>
      <c r="O41" s="4" t="str">
        <f>IF(FROTA!AE42="","",FROTA!AE42)</f>
        <v/>
      </c>
      <c r="P41" s="4" t="str">
        <f t="shared" si="3"/>
        <v/>
      </c>
      <c r="Q41" s="4" t="str">
        <f>IF(FROTA!AG42="","",FROTA!AG42)</f>
        <v/>
      </c>
      <c r="R41" s="4" t="str">
        <f t="shared" si="4"/>
        <v/>
      </c>
      <c r="S41" s="164">
        <f t="shared" si="5"/>
        <v>0</v>
      </c>
      <c r="T41" s="257">
        <v>42832</v>
      </c>
      <c r="U41" s="256" t="s">
        <v>60</v>
      </c>
    </row>
    <row r="42" spans="2:21" ht="13.5" customHeight="1" x14ac:dyDescent="0.2">
      <c r="B42" s="23" t="str">
        <f>IF(FROTA!B43="","",FROTA!B43)</f>
        <v/>
      </c>
      <c r="C42" s="139" t="str">
        <f>IF(B42="","",VLOOKUP(B42,FROTA!$B$5:$C$306,2,0))</f>
        <v/>
      </c>
      <c r="D42" s="22" t="str">
        <f t="shared" si="0"/>
        <v/>
      </c>
      <c r="E42" s="4" t="str">
        <f>IF(B42="","",SUM(VLOOKUP(C42,ESCALA!$B$3:$N$19,8,0))*(VLOOKUP(SEM!C43,SEM!$C$5:$AC$305,27,0)))</f>
        <v/>
      </c>
      <c r="F42" s="120" t="str">
        <f>IF(D42="","",ROUNDUP(SEM!$AD43*VLOOKUP(RECEITAS!$C42,ESCALA!$B$3:$N$19,8,0),0))</f>
        <v/>
      </c>
      <c r="G42" s="4" t="str">
        <f>IF(B42="","",(SUM((VLOOKUP(C42,ESCALA!$B$3:$N$19,10,0))*(VLOOKUP(SAB!C43,SAB!$C$5:$AC$305,27,0))/VLOOKUP(C42,PERFIL!$B$4:$M$20,8,0))*VLOOKUP(C42,PERFIL!$B$4:$M$20,11,0)))</f>
        <v/>
      </c>
      <c r="H42" s="120" t="str">
        <f>IF(F42="","",ROUNDUP(SAB!$AD43*VLOOKUP(RECEITAS!$C42,ESCALA!$B$3:$N$19,10,0),0))</f>
        <v/>
      </c>
      <c r="I42" s="4" t="str">
        <f>IF(B42="","",SUM(VLOOKUP(C42,ESCALA!$B$3:$N$19,12,0))*(VLOOKUP(DF!C43,DF!$C$5:$AC$305,27,0))/VLOOKUP(C42,PERFIL!$B$4:$M$20,8,0)*VLOOKUP(C42,PERFIL!$B$4:$M$20,12,0))</f>
        <v/>
      </c>
      <c r="J42" s="120" t="str">
        <f>IF(H42="","",ROUNDUP(DF!$AD43*VLOOKUP(RECEITAS!$C42,ESCALA!$B$3:$N$19,12,0),0))</f>
        <v/>
      </c>
      <c r="K42" s="4" t="str">
        <f>IF(FROTA!AA43="","",FROTA!AA43)</f>
        <v/>
      </c>
      <c r="L42" s="4" t="str">
        <f t="shared" si="1"/>
        <v/>
      </c>
      <c r="M42" s="4" t="str">
        <f>IF(FROTA!AC43="","",FROTA!AC43)</f>
        <v/>
      </c>
      <c r="N42" s="4" t="str">
        <f t="shared" si="2"/>
        <v/>
      </c>
      <c r="O42" s="4" t="str">
        <f>IF(FROTA!AE43="","",FROTA!AE43)</f>
        <v/>
      </c>
      <c r="P42" s="4" t="str">
        <f t="shared" si="3"/>
        <v/>
      </c>
      <c r="Q42" s="4" t="str">
        <f>IF(FROTA!AG43="","",FROTA!AG43)</f>
        <v/>
      </c>
      <c r="R42" s="4" t="str">
        <f t="shared" si="4"/>
        <v/>
      </c>
      <c r="S42" s="164">
        <f t="shared" si="5"/>
        <v>0</v>
      </c>
      <c r="T42" s="257">
        <v>42833</v>
      </c>
      <c r="U42" s="256" t="s">
        <v>61</v>
      </c>
    </row>
    <row r="43" spans="2:21" ht="13.5" customHeight="1" x14ac:dyDescent="0.2">
      <c r="B43" s="23" t="str">
        <f>IF(FROTA!B44="","",FROTA!B44)</f>
        <v/>
      </c>
      <c r="C43" s="139" t="str">
        <f>IF(B43="","",VLOOKUP(B43,FROTA!$B$5:$C$306,2,0))</f>
        <v/>
      </c>
      <c r="D43" s="22" t="str">
        <f t="shared" si="0"/>
        <v/>
      </c>
      <c r="E43" s="4" t="str">
        <f>IF(B43="","",SUM(VLOOKUP(C43,ESCALA!$B$3:$N$19,8,0))*(VLOOKUP(SEM!C44,SEM!$C$5:$AC$305,27,0)))</f>
        <v/>
      </c>
      <c r="F43" s="120" t="str">
        <f>IF(D43="","",ROUNDUP(SEM!$AD44*VLOOKUP(RECEITAS!$C43,ESCALA!$B$3:$N$19,8,0),0))</f>
        <v/>
      </c>
      <c r="G43" s="4" t="str">
        <f>IF(B43="","",(SUM((VLOOKUP(C43,ESCALA!$B$3:$N$19,10,0))*(VLOOKUP(SAB!C44,SAB!$C$5:$AC$305,27,0))/VLOOKUP(C43,PERFIL!$B$4:$M$20,8,0))*VLOOKUP(C43,PERFIL!$B$4:$M$20,11,0)))</f>
        <v/>
      </c>
      <c r="H43" s="120" t="str">
        <f>IF(F43="","",ROUNDUP(SAB!$AD44*VLOOKUP(RECEITAS!$C43,ESCALA!$B$3:$N$19,10,0),0))</f>
        <v/>
      </c>
      <c r="I43" s="4" t="str">
        <f>IF(B43="","",SUM(VLOOKUP(C43,ESCALA!$B$3:$N$19,12,0))*(VLOOKUP(DF!C44,DF!$C$5:$AC$305,27,0))/VLOOKUP(C43,PERFIL!$B$4:$M$20,8,0)*VLOOKUP(C43,PERFIL!$B$4:$M$20,12,0))</f>
        <v/>
      </c>
      <c r="J43" s="120" t="str">
        <f>IF(H43="","",ROUNDUP(DF!$AD44*VLOOKUP(RECEITAS!$C43,ESCALA!$B$3:$N$19,12,0),0))</f>
        <v/>
      </c>
      <c r="K43" s="4" t="str">
        <f>IF(FROTA!AA44="","",FROTA!AA44)</f>
        <v/>
      </c>
      <c r="L43" s="4" t="str">
        <f t="shared" si="1"/>
        <v/>
      </c>
      <c r="M43" s="4" t="str">
        <f>IF(FROTA!AC44="","",FROTA!AC44)</f>
        <v/>
      </c>
      <c r="N43" s="4" t="str">
        <f t="shared" si="2"/>
        <v/>
      </c>
      <c r="O43" s="4" t="str">
        <f>IF(FROTA!AE44="","",FROTA!AE44)</f>
        <v/>
      </c>
      <c r="P43" s="4" t="str">
        <f t="shared" si="3"/>
        <v/>
      </c>
      <c r="Q43" s="4" t="str">
        <f>IF(FROTA!AG44="","",FROTA!AG44)</f>
        <v/>
      </c>
      <c r="R43" s="4" t="str">
        <f t="shared" si="4"/>
        <v/>
      </c>
      <c r="S43" s="164">
        <f t="shared" si="5"/>
        <v>0</v>
      </c>
      <c r="T43" s="257">
        <v>42834</v>
      </c>
      <c r="U43" s="256" t="s">
        <v>58</v>
      </c>
    </row>
    <row r="44" spans="2:21" ht="13.5" customHeight="1" x14ac:dyDescent="0.2">
      <c r="B44" s="23" t="str">
        <f>IF(FROTA!B45="","",FROTA!B45)</f>
        <v/>
      </c>
      <c r="C44" s="139" t="str">
        <f>IF(B44="","",VLOOKUP(B44,FROTA!$B$5:$C$306,2,0))</f>
        <v/>
      </c>
      <c r="D44" s="22" t="str">
        <f t="shared" si="0"/>
        <v/>
      </c>
      <c r="E44" s="4" t="str">
        <f>IF(B44="","",SUM(VLOOKUP(C44,ESCALA!$B$3:$N$19,8,0))*(VLOOKUP(SEM!C45,SEM!$C$5:$AC$305,27,0)))</f>
        <v/>
      </c>
      <c r="F44" s="120" t="str">
        <f>IF(D44="","",ROUNDUP(SEM!$AD45*VLOOKUP(RECEITAS!$C44,ESCALA!$B$3:$N$19,8,0),0))</f>
        <v/>
      </c>
      <c r="G44" s="4" t="str">
        <f>IF(B44="","",(SUM((VLOOKUP(C44,ESCALA!$B$3:$N$19,10,0))*(VLOOKUP(SAB!C45,SAB!$C$5:$AC$305,27,0))/VLOOKUP(C44,PERFIL!$B$4:$M$20,8,0))*VLOOKUP(C44,PERFIL!$B$4:$M$20,11,0)))</f>
        <v/>
      </c>
      <c r="H44" s="120" t="str">
        <f>IF(F44="","",ROUNDUP(SAB!$AD45*VLOOKUP(RECEITAS!$C44,ESCALA!$B$3:$N$19,10,0),0))</f>
        <v/>
      </c>
      <c r="I44" s="4" t="str">
        <f>IF(B44="","",SUM(VLOOKUP(C44,ESCALA!$B$3:$N$19,12,0))*(VLOOKUP(DF!C45,DF!$C$5:$AC$305,27,0))/VLOOKUP(C44,PERFIL!$B$4:$M$20,8,0)*VLOOKUP(C44,PERFIL!$B$4:$M$20,12,0))</f>
        <v/>
      </c>
      <c r="J44" s="120" t="str">
        <f>IF(H44="","",ROUNDUP(DF!$AD45*VLOOKUP(RECEITAS!$C44,ESCALA!$B$3:$N$19,12,0),0))</f>
        <v/>
      </c>
      <c r="K44" s="4" t="str">
        <f>IF(FROTA!AA45="","",FROTA!AA45)</f>
        <v/>
      </c>
      <c r="L44" s="4" t="str">
        <f t="shared" si="1"/>
        <v/>
      </c>
      <c r="M44" s="4" t="str">
        <f>IF(FROTA!AC45="","",FROTA!AC45)</f>
        <v/>
      </c>
      <c r="N44" s="4" t="str">
        <f t="shared" si="2"/>
        <v/>
      </c>
      <c r="O44" s="4" t="str">
        <f>IF(FROTA!AE45="","",FROTA!AE45)</f>
        <v/>
      </c>
      <c r="P44" s="4" t="str">
        <f t="shared" si="3"/>
        <v/>
      </c>
      <c r="Q44" s="4" t="str">
        <f>IF(FROTA!AG45="","",FROTA!AG45)</f>
        <v/>
      </c>
      <c r="R44" s="4" t="str">
        <f t="shared" si="4"/>
        <v/>
      </c>
      <c r="S44" s="164">
        <f t="shared" si="5"/>
        <v>0</v>
      </c>
      <c r="T44" s="257">
        <v>42835</v>
      </c>
      <c r="U44" s="256" t="s">
        <v>62</v>
      </c>
    </row>
    <row r="45" spans="2:21" ht="13.5" customHeight="1" x14ac:dyDescent="0.2">
      <c r="B45" s="23" t="str">
        <f>IF(FROTA!B46="","",FROTA!B46)</f>
        <v/>
      </c>
      <c r="C45" s="139" t="str">
        <f>IF(B45="","",VLOOKUP(B45,FROTA!$B$5:$C$306,2,0))</f>
        <v/>
      </c>
      <c r="D45" s="22" t="str">
        <f t="shared" si="0"/>
        <v/>
      </c>
      <c r="E45" s="4" t="str">
        <f>IF(B45="","",SUM(VLOOKUP(C45,ESCALA!$B$3:$N$19,8,0))*(VLOOKUP(SEM!C46,SEM!$C$5:$AC$305,27,0)))</f>
        <v/>
      </c>
      <c r="F45" s="120" t="str">
        <f>IF(D45="","",ROUNDUP(SEM!$AD46*VLOOKUP(RECEITAS!$C45,ESCALA!$B$3:$N$19,8,0),0))</f>
        <v/>
      </c>
      <c r="G45" s="4" t="str">
        <f>IF(B45="","",(SUM((VLOOKUP(C45,ESCALA!$B$3:$N$19,10,0))*(VLOOKUP(SAB!C46,SAB!$C$5:$AC$305,27,0))/VLOOKUP(C45,PERFIL!$B$4:$M$20,8,0))*VLOOKUP(C45,PERFIL!$B$4:$M$20,11,0)))</f>
        <v/>
      </c>
      <c r="H45" s="120" t="str">
        <f>IF(F45="","",ROUNDUP(SAB!$AD46*VLOOKUP(RECEITAS!$C45,ESCALA!$B$3:$N$19,10,0),0))</f>
        <v/>
      </c>
      <c r="I45" s="4" t="str">
        <f>IF(B45="","",SUM(VLOOKUP(C45,ESCALA!$B$3:$N$19,12,0))*(VLOOKUP(DF!C46,DF!$C$5:$AC$305,27,0))/VLOOKUP(C45,PERFIL!$B$4:$M$20,8,0)*VLOOKUP(C45,PERFIL!$B$4:$M$20,12,0))</f>
        <v/>
      </c>
      <c r="J45" s="120" t="str">
        <f>IF(H45="","",ROUNDUP(DF!$AD46*VLOOKUP(RECEITAS!$C45,ESCALA!$B$3:$N$19,12,0),0))</f>
        <v/>
      </c>
      <c r="K45" s="4" t="str">
        <f>IF(FROTA!AA46="","",FROTA!AA46)</f>
        <v/>
      </c>
      <c r="L45" s="4" t="str">
        <f t="shared" si="1"/>
        <v/>
      </c>
      <c r="M45" s="4" t="str">
        <f>IF(FROTA!AC46="","",FROTA!AC46)</f>
        <v/>
      </c>
      <c r="N45" s="4" t="str">
        <f t="shared" si="2"/>
        <v/>
      </c>
      <c r="O45" s="4" t="str">
        <f>IF(FROTA!AE46="","",FROTA!AE46)</f>
        <v/>
      </c>
      <c r="P45" s="4" t="str">
        <f t="shared" si="3"/>
        <v/>
      </c>
      <c r="Q45" s="4" t="str">
        <f>IF(FROTA!AG46="","",FROTA!AG46)</f>
        <v/>
      </c>
      <c r="R45" s="4" t="str">
        <f t="shared" si="4"/>
        <v/>
      </c>
      <c r="S45" s="164">
        <f t="shared" si="5"/>
        <v>0</v>
      </c>
      <c r="T45" s="257">
        <v>42836</v>
      </c>
      <c r="U45" s="256" t="s">
        <v>63</v>
      </c>
    </row>
    <row r="46" spans="2:21" ht="13.5" customHeight="1" x14ac:dyDescent="0.2">
      <c r="B46" s="23" t="str">
        <f>IF(FROTA!B47="","",FROTA!B47)</f>
        <v/>
      </c>
      <c r="C46" s="139" t="str">
        <f>IF(B46="","",VLOOKUP(B46,FROTA!$B$5:$C$306,2,0))</f>
        <v/>
      </c>
      <c r="D46" s="22" t="str">
        <f t="shared" si="0"/>
        <v/>
      </c>
      <c r="E46" s="4" t="str">
        <f>IF(B46="","",SUM(VLOOKUP(C46,ESCALA!$B$3:$N$19,8,0))*(VLOOKUP(SEM!C47,SEM!$C$5:$AC$305,27,0)))</f>
        <v/>
      </c>
      <c r="F46" s="120" t="str">
        <f>IF(D46="","",ROUNDUP(SEM!$AD47*VLOOKUP(RECEITAS!$C46,ESCALA!$B$3:$N$19,8,0),0))</f>
        <v/>
      </c>
      <c r="G46" s="4" t="str">
        <f>IF(B46="","",(SUM((VLOOKUP(C46,ESCALA!$B$3:$N$19,10,0))*(VLOOKUP(SAB!C47,SAB!$C$5:$AC$305,27,0))/VLOOKUP(C46,PERFIL!$B$4:$M$20,8,0))*VLOOKUP(C46,PERFIL!$B$4:$M$20,11,0)))</f>
        <v/>
      </c>
      <c r="H46" s="120" t="str">
        <f>IF(F46="","",ROUNDUP(SAB!$AD47*VLOOKUP(RECEITAS!$C46,ESCALA!$B$3:$N$19,10,0),0))</f>
        <v/>
      </c>
      <c r="I46" s="4" t="str">
        <f>IF(B46="","",SUM(VLOOKUP(C46,ESCALA!$B$3:$N$19,12,0))*(VLOOKUP(DF!C47,DF!$C$5:$AC$305,27,0))/VLOOKUP(C46,PERFIL!$B$4:$M$20,8,0)*VLOOKUP(C46,PERFIL!$B$4:$M$20,12,0))</f>
        <v/>
      </c>
      <c r="J46" s="120" t="str">
        <f>IF(H46="","",ROUNDUP(DF!$AD47*VLOOKUP(RECEITAS!$C46,ESCALA!$B$3:$N$19,12,0),0))</f>
        <v/>
      </c>
      <c r="K46" s="4" t="str">
        <f>IF(FROTA!AA47="","",FROTA!AA47)</f>
        <v/>
      </c>
      <c r="L46" s="4" t="str">
        <f t="shared" si="1"/>
        <v/>
      </c>
      <c r="M46" s="4" t="str">
        <f>IF(FROTA!AC47="","",FROTA!AC47)</f>
        <v/>
      </c>
      <c r="N46" s="4" t="str">
        <f t="shared" si="2"/>
        <v/>
      </c>
      <c r="O46" s="4" t="str">
        <f>IF(FROTA!AE47="","",FROTA!AE47)</f>
        <v/>
      </c>
      <c r="P46" s="4" t="str">
        <f t="shared" si="3"/>
        <v/>
      </c>
      <c r="Q46" s="4" t="str">
        <f>IF(FROTA!AG47="","",FROTA!AG47)</f>
        <v/>
      </c>
      <c r="R46" s="4" t="str">
        <f t="shared" si="4"/>
        <v/>
      </c>
      <c r="S46" s="164">
        <f t="shared" si="5"/>
        <v>0</v>
      </c>
      <c r="T46" s="257">
        <v>42837</v>
      </c>
      <c r="U46" s="256" t="s">
        <v>64</v>
      </c>
    </row>
    <row r="47" spans="2:21" ht="13.5" customHeight="1" x14ac:dyDescent="0.2">
      <c r="B47" s="23" t="str">
        <f>IF(FROTA!B48="","",FROTA!B48)</f>
        <v/>
      </c>
      <c r="C47" s="139" t="str">
        <f>IF(B47="","",VLOOKUP(B47,FROTA!$B$5:$C$306,2,0))</f>
        <v/>
      </c>
      <c r="D47" s="22" t="str">
        <f t="shared" si="0"/>
        <v/>
      </c>
      <c r="E47" s="4" t="str">
        <f>IF(B47="","",SUM(VLOOKUP(C47,ESCALA!$B$3:$N$19,8,0))*(VLOOKUP(SEM!C48,SEM!$C$5:$AC$305,27,0)))</f>
        <v/>
      </c>
      <c r="F47" s="120" t="str">
        <f>IF(D47="","",ROUNDUP(SEM!$AD48*VLOOKUP(RECEITAS!$C47,ESCALA!$B$3:$N$19,8,0),0))</f>
        <v/>
      </c>
      <c r="G47" s="4" t="str">
        <f>IF(B47="","",(SUM((VLOOKUP(C47,ESCALA!$B$3:$N$19,10,0))*(VLOOKUP(SAB!C48,SAB!$C$5:$AC$305,27,0))/VLOOKUP(C47,PERFIL!$B$4:$M$20,8,0))*VLOOKUP(C47,PERFIL!$B$4:$M$20,11,0)))</f>
        <v/>
      </c>
      <c r="H47" s="120" t="str">
        <f>IF(F47="","",ROUNDUP(SAB!$AD48*VLOOKUP(RECEITAS!$C47,ESCALA!$B$3:$N$19,10,0),0))</f>
        <v/>
      </c>
      <c r="I47" s="4" t="str">
        <f>IF(B47="","",SUM(VLOOKUP(C47,ESCALA!$B$3:$N$19,12,0))*(VLOOKUP(DF!C48,DF!$C$5:$AC$305,27,0))/VLOOKUP(C47,PERFIL!$B$4:$M$20,8,0)*VLOOKUP(C47,PERFIL!$B$4:$M$20,12,0))</f>
        <v/>
      </c>
      <c r="J47" s="120" t="str">
        <f>IF(H47="","",ROUNDUP(DF!$AD48*VLOOKUP(RECEITAS!$C47,ESCALA!$B$3:$N$19,12,0),0))</f>
        <v/>
      </c>
      <c r="K47" s="4" t="str">
        <f>IF(FROTA!AA48="","",FROTA!AA48)</f>
        <v/>
      </c>
      <c r="L47" s="4" t="str">
        <f t="shared" si="1"/>
        <v/>
      </c>
      <c r="M47" s="4" t="str">
        <f>IF(FROTA!AC48="","",FROTA!AC48)</f>
        <v/>
      </c>
      <c r="N47" s="4" t="str">
        <f t="shared" si="2"/>
        <v/>
      </c>
      <c r="O47" s="4" t="str">
        <f>IF(FROTA!AE48="","",FROTA!AE48)</f>
        <v/>
      </c>
      <c r="P47" s="4" t="str">
        <f t="shared" si="3"/>
        <v/>
      </c>
      <c r="Q47" s="4" t="str">
        <f>IF(FROTA!AG48="","",FROTA!AG48)</f>
        <v/>
      </c>
      <c r="R47" s="4" t="str">
        <f t="shared" si="4"/>
        <v/>
      </c>
      <c r="S47" s="164">
        <f t="shared" si="5"/>
        <v>0</v>
      </c>
      <c r="T47" s="257">
        <v>42838</v>
      </c>
      <c r="U47" s="256" t="s">
        <v>59</v>
      </c>
    </row>
    <row r="48" spans="2:21" ht="13.5" customHeight="1" x14ac:dyDescent="0.2">
      <c r="B48" s="23" t="str">
        <f>IF(FROTA!B49="","",FROTA!B49)</f>
        <v/>
      </c>
      <c r="C48" s="139" t="str">
        <f>IF(B48="","",VLOOKUP(B48,FROTA!$B$5:$C$306,2,0))</f>
        <v/>
      </c>
      <c r="D48" s="22" t="str">
        <f t="shared" si="0"/>
        <v/>
      </c>
      <c r="E48" s="4" t="str">
        <f>IF(B48="","",SUM(VLOOKUP(C48,ESCALA!$B$3:$N$19,8,0))*(VLOOKUP(SEM!C49,SEM!$C$5:$AC$305,27,0)))</f>
        <v/>
      </c>
      <c r="F48" s="120" t="str">
        <f>IF(D48="","",ROUNDUP(SEM!$AD49*VLOOKUP(RECEITAS!$C48,ESCALA!$B$3:$N$19,8,0),0))</f>
        <v/>
      </c>
      <c r="G48" s="4" t="str">
        <f>IF(B48="","",(SUM((VLOOKUP(C48,ESCALA!$B$3:$N$19,10,0))*(VLOOKUP(SAB!C49,SAB!$C$5:$AC$305,27,0))/VLOOKUP(C48,PERFIL!$B$4:$M$20,8,0))*VLOOKUP(C48,PERFIL!$B$4:$M$20,11,0)))</f>
        <v/>
      </c>
      <c r="H48" s="120" t="str">
        <f>IF(F48="","",ROUNDUP(SAB!$AD49*VLOOKUP(RECEITAS!$C48,ESCALA!$B$3:$N$19,10,0),0))</f>
        <v/>
      </c>
      <c r="I48" s="4" t="str">
        <f>IF(B48="","",SUM(VLOOKUP(C48,ESCALA!$B$3:$N$19,12,0))*(VLOOKUP(DF!C49,DF!$C$5:$AC$305,27,0))/VLOOKUP(C48,PERFIL!$B$4:$M$20,8,0)*VLOOKUP(C48,PERFIL!$B$4:$M$20,12,0))</f>
        <v/>
      </c>
      <c r="J48" s="120" t="str">
        <f>IF(H48="","",ROUNDUP(DF!$AD49*VLOOKUP(RECEITAS!$C48,ESCALA!$B$3:$N$19,12,0),0))</f>
        <v/>
      </c>
      <c r="K48" s="4" t="str">
        <f>IF(FROTA!AA49="","",FROTA!AA49)</f>
        <v/>
      </c>
      <c r="L48" s="4" t="str">
        <f t="shared" si="1"/>
        <v/>
      </c>
      <c r="M48" s="4" t="str">
        <f>IF(FROTA!AC49="","",FROTA!AC49)</f>
        <v/>
      </c>
      <c r="N48" s="4" t="str">
        <f t="shared" si="2"/>
        <v/>
      </c>
      <c r="O48" s="4" t="str">
        <f>IF(FROTA!AE49="","",FROTA!AE49)</f>
        <v/>
      </c>
      <c r="P48" s="4" t="str">
        <f t="shared" si="3"/>
        <v/>
      </c>
      <c r="Q48" s="4" t="str">
        <f>IF(FROTA!AG49="","",FROTA!AG49)</f>
        <v/>
      </c>
      <c r="R48" s="4" t="str">
        <f t="shared" si="4"/>
        <v/>
      </c>
      <c r="S48" s="164">
        <f t="shared" si="5"/>
        <v>0</v>
      </c>
      <c r="T48" s="257">
        <v>42839</v>
      </c>
      <c r="U48" s="256" t="s">
        <v>65</v>
      </c>
    </row>
    <row r="49" spans="2:21" ht="13.5" customHeight="1" x14ac:dyDescent="0.2">
      <c r="B49" s="23" t="str">
        <f>IF(FROTA!B50="","",FROTA!B50)</f>
        <v/>
      </c>
      <c r="C49" s="139" t="str">
        <f>IF(B49="","",VLOOKUP(B49,FROTA!$B$5:$C$306,2,0))</f>
        <v/>
      </c>
      <c r="D49" s="22" t="str">
        <f t="shared" si="0"/>
        <v/>
      </c>
      <c r="E49" s="4" t="str">
        <f>IF(B49="","",SUM(VLOOKUP(C49,ESCALA!$B$3:$N$19,8,0))*(VLOOKUP(SEM!C50,SEM!$C$5:$AC$305,27,0)))</f>
        <v/>
      </c>
      <c r="F49" s="120" t="str">
        <f>IF(D49="","",ROUNDUP(SEM!$AD50*VLOOKUP(RECEITAS!$C49,ESCALA!$B$3:$N$19,8,0),0))</f>
        <v/>
      </c>
      <c r="G49" s="4" t="str">
        <f>IF(B49="","",(SUM((VLOOKUP(C49,ESCALA!$B$3:$N$19,10,0))*(VLOOKUP(SAB!C50,SAB!$C$5:$AC$305,27,0))/VLOOKUP(C49,PERFIL!$B$4:$M$20,8,0))*VLOOKUP(C49,PERFIL!$B$4:$M$20,11,0)))</f>
        <v/>
      </c>
      <c r="H49" s="120" t="str">
        <f>IF(F49="","",ROUNDUP(SAB!$AD50*VLOOKUP(RECEITAS!$C49,ESCALA!$B$3:$N$19,10,0),0))</f>
        <v/>
      </c>
      <c r="I49" s="4" t="str">
        <f>IF(B49="","",SUM(VLOOKUP(C49,ESCALA!$B$3:$N$19,12,0))*(VLOOKUP(DF!C50,DF!$C$5:$AC$305,27,0))/VLOOKUP(C49,PERFIL!$B$4:$M$20,8,0)*VLOOKUP(C49,PERFIL!$B$4:$M$20,12,0))</f>
        <v/>
      </c>
      <c r="J49" s="120" t="str">
        <f>IF(H49="","",ROUNDUP(DF!$AD50*VLOOKUP(RECEITAS!$C49,ESCALA!$B$3:$N$19,12,0),0))</f>
        <v/>
      </c>
      <c r="K49" s="4" t="str">
        <f>IF(FROTA!AA50="","",FROTA!AA50)</f>
        <v/>
      </c>
      <c r="L49" s="4" t="str">
        <f t="shared" si="1"/>
        <v/>
      </c>
      <c r="M49" s="4" t="str">
        <f>IF(FROTA!AC50="","",FROTA!AC50)</f>
        <v/>
      </c>
      <c r="N49" s="4" t="str">
        <f t="shared" si="2"/>
        <v/>
      </c>
      <c r="O49" s="4" t="str">
        <f>IF(FROTA!AE50="","",FROTA!AE50)</f>
        <v/>
      </c>
      <c r="P49" s="4" t="str">
        <f t="shared" si="3"/>
        <v/>
      </c>
      <c r="Q49" s="4" t="str">
        <f>IF(FROTA!AG50="","",FROTA!AG50)</f>
        <v/>
      </c>
      <c r="R49" s="4" t="str">
        <f t="shared" si="4"/>
        <v/>
      </c>
      <c r="S49" s="164">
        <f t="shared" si="5"/>
        <v>0</v>
      </c>
      <c r="T49" s="257">
        <v>42840</v>
      </c>
      <c r="U49" s="256" t="s">
        <v>61</v>
      </c>
    </row>
    <row r="50" spans="2:21" ht="13.5" customHeight="1" x14ac:dyDescent="0.2">
      <c r="B50" s="23" t="str">
        <f>IF(FROTA!B51="","",FROTA!B51)</f>
        <v/>
      </c>
      <c r="C50" s="139" t="str">
        <f>IF(B50="","",VLOOKUP(B50,FROTA!$B$5:$C$306,2,0))</f>
        <v/>
      </c>
      <c r="D50" s="22" t="str">
        <f t="shared" si="0"/>
        <v/>
      </c>
      <c r="E50" s="4" t="str">
        <f>IF(B50="","",SUM(VLOOKUP(C50,ESCALA!$B$3:$N$19,8,0))*(VLOOKUP(SEM!C51,SEM!$C$5:$AC$305,27,0)))</f>
        <v/>
      </c>
      <c r="F50" s="120" t="str">
        <f>IF(D50="","",ROUNDUP(SEM!$AD51*VLOOKUP(RECEITAS!$C50,ESCALA!$B$3:$N$19,8,0),0))</f>
        <v/>
      </c>
      <c r="G50" s="4" t="str">
        <f>IF(B50="","",(SUM((VLOOKUP(C50,ESCALA!$B$3:$N$19,10,0))*(VLOOKUP(SAB!C51,SAB!$C$5:$AC$305,27,0))/VLOOKUP(C50,PERFIL!$B$4:$M$20,8,0))*VLOOKUP(C50,PERFIL!$B$4:$M$20,11,0)))</f>
        <v/>
      </c>
      <c r="H50" s="120" t="str">
        <f>IF(F50="","",ROUNDUP(SAB!$AD51*VLOOKUP(RECEITAS!$C50,ESCALA!$B$3:$N$19,10,0),0))</f>
        <v/>
      </c>
      <c r="I50" s="4" t="str">
        <f>IF(B50="","",SUM(VLOOKUP(C50,ESCALA!$B$3:$N$19,12,0))*(VLOOKUP(DF!C51,DF!$C$5:$AC$305,27,0))/VLOOKUP(C50,PERFIL!$B$4:$M$20,8,0)*VLOOKUP(C50,PERFIL!$B$4:$M$20,12,0))</f>
        <v/>
      </c>
      <c r="J50" s="120" t="str">
        <f>IF(H50="","",ROUNDUP(DF!$AD51*VLOOKUP(RECEITAS!$C50,ESCALA!$B$3:$N$19,12,0),0))</f>
        <v/>
      </c>
      <c r="K50" s="4" t="str">
        <f>IF(FROTA!AA51="","",FROTA!AA51)</f>
        <v/>
      </c>
      <c r="L50" s="4" t="str">
        <f t="shared" si="1"/>
        <v/>
      </c>
      <c r="M50" s="4" t="str">
        <f>IF(FROTA!AC51="","",FROTA!AC51)</f>
        <v/>
      </c>
      <c r="N50" s="4" t="str">
        <f t="shared" si="2"/>
        <v/>
      </c>
      <c r="O50" s="4" t="str">
        <f>IF(FROTA!AE51="","",FROTA!AE51)</f>
        <v/>
      </c>
      <c r="P50" s="4" t="str">
        <f t="shared" si="3"/>
        <v/>
      </c>
      <c r="Q50" s="4" t="str">
        <f>IF(FROTA!AG51="","",FROTA!AG51)</f>
        <v/>
      </c>
      <c r="R50" s="4" t="str">
        <f t="shared" si="4"/>
        <v/>
      </c>
      <c r="S50" s="164">
        <f t="shared" si="5"/>
        <v>0</v>
      </c>
      <c r="T50" s="257">
        <v>42841</v>
      </c>
      <c r="U50" s="256" t="s">
        <v>58</v>
      </c>
    </row>
    <row r="51" spans="2:21" ht="13.5" customHeight="1" x14ac:dyDescent="0.2">
      <c r="B51" s="23" t="str">
        <f>IF(FROTA!B52="","",FROTA!B52)</f>
        <v/>
      </c>
      <c r="C51" s="139" t="str">
        <f>IF(B51="","",VLOOKUP(B51,FROTA!$B$5:$C$306,2,0))</f>
        <v/>
      </c>
      <c r="D51" s="22" t="str">
        <f t="shared" si="0"/>
        <v/>
      </c>
      <c r="E51" s="4" t="str">
        <f>IF(B51="","",SUM(VLOOKUP(C51,ESCALA!$B$3:$N$19,8,0))*(VLOOKUP(SEM!C52,SEM!$C$5:$AC$305,27,0)))</f>
        <v/>
      </c>
      <c r="F51" s="120" t="str">
        <f>IF(D51="","",ROUNDUP(SEM!$AD52*VLOOKUP(RECEITAS!$C51,ESCALA!$B$3:$N$19,8,0),0))</f>
        <v/>
      </c>
      <c r="G51" s="4" t="str">
        <f>IF(B51="","",(SUM((VLOOKUP(C51,ESCALA!$B$3:$N$19,10,0))*(VLOOKUP(SAB!C52,SAB!$C$5:$AC$305,27,0))/VLOOKUP(C51,PERFIL!$B$4:$M$20,8,0))*VLOOKUP(C51,PERFIL!$B$4:$M$20,11,0)))</f>
        <v/>
      </c>
      <c r="H51" s="120" t="str">
        <f>IF(F51="","",ROUNDUP(SAB!$AD52*VLOOKUP(RECEITAS!$C51,ESCALA!$B$3:$N$19,10,0),0))</f>
        <v/>
      </c>
      <c r="I51" s="4" t="str">
        <f>IF(B51="","",SUM(VLOOKUP(C51,ESCALA!$B$3:$N$19,12,0))*(VLOOKUP(DF!C52,DF!$C$5:$AC$305,27,0))/VLOOKUP(C51,PERFIL!$B$4:$M$20,8,0)*VLOOKUP(C51,PERFIL!$B$4:$M$20,12,0))</f>
        <v/>
      </c>
      <c r="J51" s="120" t="str">
        <f>IF(H51="","",ROUNDUP(DF!$AD52*VLOOKUP(RECEITAS!$C51,ESCALA!$B$3:$N$19,12,0),0))</f>
        <v/>
      </c>
      <c r="K51" s="4" t="str">
        <f>IF(FROTA!AA52="","",FROTA!AA52)</f>
        <v/>
      </c>
      <c r="L51" s="4" t="str">
        <f t="shared" si="1"/>
        <v/>
      </c>
      <c r="M51" s="4" t="str">
        <f>IF(FROTA!AC52="","",FROTA!AC52)</f>
        <v/>
      </c>
      <c r="N51" s="4" t="str">
        <f t="shared" si="2"/>
        <v/>
      </c>
      <c r="O51" s="4" t="str">
        <f>IF(FROTA!AE52="","",FROTA!AE52)</f>
        <v/>
      </c>
      <c r="P51" s="4" t="str">
        <f t="shared" si="3"/>
        <v/>
      </c>
      <c r="Q51" s="4" t="str">
        <f>IF(FROTA!AG52="","",FROTA!AG52)</f>
        <v/>
      </c>
      <c r="R51" s="4" t="str">
        <f t="shared" si="4"/>
        <v/>
      </c>
      <c r="S51" s="164">
        <f t="shared" si="5"/>
        <v>0</v>
      </c>
      <c r="T51" s="257">
        <v>42842</v>
      </c>
      <c r="U51" s="256" t="s">
        <v>62</v>
      </c>
    </row>
    <row r="52" spans="2:21" ht="13.5" customHeight="1" x14ac:dyDescent="0.2">
      <c r="B52" s="23" t="str">
        <f>IF(FROTA!B53="","",FROTA!B53)</f>
        <v/>
      </c>
      <c r="C52" s="139" t="str">
        <f>IF(B52="","",VLOOKUP(B52,FROTA!$B$5:$C$306,2,0))</f>
        <v/>
      </c>
      <c r="D52" s="22" t="str">
        <f t="shared" si="0"/>
        <v/>
      </c>
      <c r="E52" s="4" t="str">
        <f>IF(B52="","",SUM(VLOOKUP(C52,ESCALA!$B$3:$N$19,8,0))*(VLOOKUP(SEM!C53,SEM!$C$5:$AC$305,27,0)))</f>
        <v/>
      </c>
      <c r="F52" s="120" t="str">
        <f>IF(D52="","",ROUNDUP(SEM!$AD53*VLOOKUP(RECEITAS!$C52,ESCALA!$B$3:$N$19,8,0),0))</f>
        <v/>
      </c>
      <c r="G52" s="4" t="str">
        <f>IF(B52="","",(SUM((VLOOKUP(C52,ESCALA!$B$3:$N$19,10,0))*(VLOOKUP(SAB!C53,SAB!$C$5:$AC$305,27,0))/VLOOKUP(C52,PERFIL!$B$4:$M$20,8,0))*VLOOKUP(C52,PERFIL!$B$4:$M$20,11,0)))</f>
        <v/>
      </c>
      <c r="H52" s="120" t="str">
        <f>IF(F52="","",ROUNDUP(SAB!$AD53*VLOOKUP(RECEITAS!$C52,ESCALA!$B$3:$N$19,10,0),0))</f>
        <v/>
      </c>
      <c r="I52" s="4" t="str">
        <f>IF(B52="","",SUM(VLOOKUP(C52,ESCALA!$B$3:$N$19,12,0))*(VLOOKUP(DF!C53,DF!$C$5:$AC$305,27,0))/VLOOKUP(C52,PERFIL!$B$4:$M$20,8,0)*VLOOKUP(C52,PERFIL!$B$4:$M$20,12,0))</f>
        <v/>
      </c>
      <c r="J52" s="120" t="str">
        <f>IF(H52="","",ROUNDUP(DF!$AD53*VLOOKUP(RECEITAS!$C52,ESCALA!$B$3:$N$19,12,0),0))</f>
        <v/>
      </c>
      <c r="K52" s="4" t="str">
        <f>IF(FROTA!AA53="","",FROTA!AA53)</f>
        <v/>
      </c>
      <c r="L52" s="4" t="str">
        <f t="shared" si="1"/>
        <v/>
      </c>
      <c r="M52" s="4" t="str">
        <f>IF(FROTA!AC53="","",FROTA!AC53)</f>
        <v/>
      </c>
      <c r="N52" s="4" t="str">
        <f t="shared" si="2"/>
        <v/>
      </c>
      <c r="O52" s="4" t="str">
        <f>IF(FROTA!AE53="","",FROTA!AE53)</f>
        <v/>
      </c>
      <c r="P52" s="4" t="str">
        <f t="shared" si="3"/>
        <v/>
      </c>
      <c r="Q52" s="4" t="str">
        <f>IF(FROTA!AG53="","",FROTA!AG53)</f>
        <v/>
      </c>
      <c r="R52" s="4" t="str">
        <f t="shared" si="4"/>
        <v/>
      </c>
      <c r="S52" s="164">
        <f t="shared" si="5"/>
        <v>0</v>
      </c>
      <c r="T52" s="257">
        <v>42843</v>
      </c>
      <c r="U52" s="256" t="s">
        <v>63</v>
      </c>
    </row>
    <row r="53" spans="2:21" ht="13.5" customHeight="1" x14ac:dyDescent="0.2">
      <c r="B53" s="23" t="str">
        <f>IF(FROTA!B54="","",FROTA!B54)</f>
        <v/>
      </c>
      <c r="C53" s="139" t="str">
        <f>IF(B53="","",VLOOKUP(B53,FROTA!$B$5:$C$306,2,0))</f>
        <v/>
      </c>
      <c r="D53" s="22" t="str">
        <f t="shared" si="0"/>
        <v/>
      </c>
      <c r="E53" s="4" t="str">
        <f>IF(B53="","",SUM(VLOOKUP(C53,ESCALA!$B$3:$N$19,8,0))*(VLOOKUP(SEM!C54,SEM!$C$5:$AC$305,27,0)))</f>
        <v/>
      </c>
      <c r="F53" s="120" t="str">
        <f>IF(D53="","",ROUNDUP(SEM!$AD54*VLOOKUP(RECEITAS!$C53,ESCALA!$B$3:$N$19,8,0),0))</f>
        <v/>
      </c>
      <c r="G53" s="4" t="str">
        <f>IF(B53="","",(SUM((VLOOKUP(C53,ESCALA!$B$3:$N$19,10,0))*(VLOOKUP(SAB!C54,SAB!$C$5:$AC$305,27,0))/VLOOKUP(C53,PERFIL!$B$4:$M$20,8,0))*VLOOKUP(C53,PERFIL!$B$4:$M$20,11,0)))</f>
        <v/>
      </c>
      <c r="H53" s="120" t="str">
        <f>IF(F53="","",ROUNDUP(SAB!$AD54*VLOOKUP(RECEITAS!$C53,ESCALA!$B$3:$N$19,10,0),0))</f>
        <v/>
      </c>
      <c r="I53" s="4" t="str">
        <f>IF(B53="","",SUM(VLOOKUP(C53,ESCALA!$B$3:$N$19,12,0))*(VLOOKUP(DF!C54,DF!$C$5:$AC$305,27,0))/VLOOKUP(C53,PERFIL!$B$4:$M$20,8,0)*VLOOKUP(C53,PERFIL!$B$4:$M$20,12,0))</f>
        <v/>
      </c>
      <c r="J53" s="120" t="str">
        <f>IF(H53="","",ROUNDUP(DF!$AD54*VLOOKUP(RECEITAS!$C53,ESCALA!$B$3:$N$19,12,0),0))</f>
        <v/>
      </c>
      <c r="K53" s="4" t="str">
        <f>IF(FROTA!AA54="","",FROTA!AA54)</f>
        <v/>
      </c>
      <c r="L53" s="4" t="str">
        <f t="shared" si="1"/>
        <v/>
      </c>
      <c r="M53" s="4" t="str">
        <f>IF(FROTA!AC54="","",FROTA!AC54)</f>
        <v/>
      </c>
      <c r="N53" s="4" t="str">
        <f t="shared" si="2"/>
        <v/>
      </c>
      <c r="O53" s="4" t="str">
        <f>IF(FROTA!AE54="","",FROTA!AE54)</f>
        <v/>
      </c>
      <c r="P53" s="4" t="str">
        <f t="shared" si="3"/>
        <v/>
      </c>
      <c r="Q53" s="4" t="str">
        <f>IF(FROTA!AG54="","",FROTA!AG54)</f>
        <v/>
      </c>
      <c r="R53" s="4" t="str">
        <f t="shared" si="4"/>
        <v/>
      </c>
      <c r="S53" s="164">
        <f t="shared" si="5"/>
        <v>0</v>
      </c>
      <c r="T53" s="257">
        <v>42844</v>
      </c>
      <c r="U53" s="256" t="s">
        <v>64</v>
      </c>
    </row>
    <row r="54" spans="2:21" ht="13.5" customHeight="1" x14ac:dyDescent="0.2">
      <c r="B54" s="23" t="str">
        <f>IF(FROTA!B55="","",FROTA!B55)</f>
        <v/>
      </c>
      <c r="C54" s="139" t="str">
        <f>IF(B54="","",VLOOKUP(B54,FROTA!$B$5:$C$306,2,0))</f>
        <v/>
      </c>
      <c r="D54" s="22" t="str">
        <f t="shared" si="0"/>
        <v/>
      </c>
      <c r="E54" s="4" t="str">
        <f>IF(B54="","",SUM(VLOOKUP(C54,ESCALA!$B$3:$N$19,8,0))*(VLOOKUP(SEM!C55,SEM!$C$5:$AC$305,27,0)))</f>
        <v/>
      </c>
      <c r="F54" s="120" t="str">
        <f>IF(D54="","",ROUNDUP(SEM!$AD55*VLOOKUP(RECEITAS!$C54,ESCALA!$B$3:$N$19,8,0),0))</f>
        <v/>
      </c>
      <c r="G54" s="4" t="str">
        <f>IF(B54="","",(SUM((VLOOKUP(C54,ESCALA!$B$3:$N$19,10,0))*(VLOOKUP(SAB!C55,SAB!$C$5:$AC$305,27,0))/VLOOKUP(C54,PERFIL!$B$4:$M$20,8,0))*VLOOKUP(C54,PERFIL!$B$4:$M$20,11,0)))</f>
        <v/>
      </c>
      <c r="H54" s="120" t="str">
        <f>IF(F54="","",ROUNDUP(SAB!$AD55*VLOOKUP(RECEITAS!$C54,ESCALA!$B$3:$N$19,10,0),0))</f>
        <v/>
      </c>
      <c r="I54" s="4" t="str">
        <f>IF(B54="","",SUM(VLOOKUP(C54,ESCALA!$B$3:$N$19,12,0))*(VLOOKUP(DF!C55,DF!$C$5:$AC$305,27,0))/VLOOKUP(C54,PERFIL!$B$4:$M$20,8,0)*VLOOKUP(C54,PERFIL!$B$4:$M$20,12,0))</f>
        <v/>
      </c>
      <c r="J54" s="120" t="str">
        <f>IF(H54="","",ROUNDUP(DF!$AD55*VLOOKUP(RECEITAS!$C54,ESCALA!$B$3:$N$19,12,0),0))</f>
        <v/>
      </c>
      <c r="K54" s="4" t="str">
        <f>IF(FROTA!AA55="","",FROTA!AA55)</f>
        <v/>
      </c>
      <c r="L54" s="4" t="str">
        <f t="shared" si="1"/>
        <v/>
      </c>
      <c r="M54" s="4" t="str">
        <f>IF(FROTA!AC55="","",FROTA!AC55)</f>
        <v/>
      </c>
      <c r="N54" s="4" t="str">
        <f t="shared" si="2"/>
        <v/>
      </c>
      <c r="O54" s="4" t="str">
        <f>IF(FROTA!AE55="","",FROTA!AE55)</f>
        <v/>
      </c>
      <c r="P54" s="4" t="str">
        <f t="shared" si="3"/>
        <v/>
      </c>
      <c r="Q54" s="4" t="str">
        <f>IF(FROTA!AG55="","",FROTA!AG55)</f>
        <v/>
      </c>
      <c r="R54" s="4" t="str">
        <f t="shared" si="4"/>
        <v/>
      </c>
      <c r="S54" s="164">
        <f t="shared" si="5"/>
        <v>0</v>
      </c>
      <c r="T54" s="257">
        <v>42845</v>
      </c>
      <c r="U54" s="256" t="s">
        <v>59</v>
      </c>
    </row>
    <row r="55" spans="2:21" ht="13.5" customHeight="1" x14ac:dyDescent="0.2">
      <c r="B55" s="23" t="str">
        <f>IF(FROTA!B56="","",FROTA!B56)</f>
        <v/>
      </c>
      <c r="C55" s="139" t="str">
        <f>IF(B55="","",VLOOKUP(B55,FROTA!$B$5:$C$306,2,0))</f>
        <v/>
      </c>
      <c r="D55" s="22" t="str">
        <f t="shared" si="0"/>
        <v/>
      </c>
      <c r="E55" s="4" t="str">
        <f>IF(B55="","",SUM(VLOOKUP(C55,ESCALA!$B$3:$N$19,8,0))*(VLOOKUP(SEM!C56,SEM!$C$5:$AC$305,27,0)))</f>
        <v/>
      </c>
      <c r="F55" s="120" t="str">
        <f>IF(D55="","",ROUNDUP(SEM!$AD56*VLOOKUP(RECEITAS!$C55,ESCALA!$B$3:$N$19,8,0),0))</f>
        <v/>
      </c>
      <c r="G55" s="4" t="str">
        <f>IF(B55="","",(SUM((VLOOKUP(C55,ESCALA!$B$3:$N$19,10,0))*(VLOOKUP(SAB!C56,SAB!$C$5:$AC$305,27,0))/VLOOKUP(C55,PERFIL!$B$4:$M$20,8,0))*VLOOKUP(C55,PERFIL!$B$4:$M$20,11,0)))</f>
        <v/>
      </c>
      <c r="H55" s="120" t="str">
        <f>IF(F55="","",ROUNDUP(SAB!$AD56*VLOOKUP(RECEITAS!$C55,ESCALA!$B$3:$N$19,10,0),0))</f>
        <v/>
      </c>
      <c r="I55" s="4" t="str">
        <f>IF(B55="","",SUM(VLOOKUP(C55,ESCALA!$B$3:$N$19,12,0))*(VLOOKUP(DF!C56,DF!$C$5:$AC$305,27,0))/VLOOKUP(C55,PERFIL!$B$4:$M$20,8,0)*VLOOKUP(C55,PERFIL!$B$4:$M$20,12,0))</f>
        <v/>
      </c>
      <c r="J55" s="120" t="str">
        <f>IF(H55="","",ROUNDUP(DF!$AD56*VLOOKUP(RECEITAS!$C55,ESCALA!$B$3:$N$19,12,0),0))</f>
        <v/>
      </c>
      <c r="K55" s="4" t="str">
        <f>IF(FROTA!AA56="","",FROTA!AA56)</f>
        <v/>
      </c>
      <c r="L55" s="4" t="str">
        <f t="shared" si="1"/>
        <v/>
      </c>
      <c r="M55" s="4" t="str">
        <f>IF(FROTA!AC56="","",FROTA!AC56)</f>
        <v/>
      </c>
      <c r="N55" s="4" t="str">
        <f t="shared" si="2"/>
        <v/>
      </c>
      <c r="O55" s="4" t="str">
        <f>IF(FROTA!AE56="","",FROTA!AE56)</f>
        <v/>
      </c>
      <c r="P55" s="4" t="str">
        <f t="shared" si="3"/>
        <v/>
      </c>
      <c r="Q55" s="4" t="str">
        <f>IF(FROTA!AG56="","",FROTA!AG56)</f>
        <v/>
      </c>
      <c r="R55" s="4" t="str">
        <f t="shared" si="4"/>
        <v/>
      </c>
      <c r="S55" s="164">
        <f t="shared" si="5"/>
        <v>0</v>
      </c>
      <c r="T55" s="257">
        <v>42846</v>
      </c>
      <c r="U55" s="256" t="s">
        <v>65</v>
      </c>
    </row>
    <row r="56" spans="2:21" ht="13.5" customHeight="1" x14ac:dyDescent="0.2">
      <c r="B56" s="23" t="str">
        <f>IF(FROTA!B57="","",FROTA!B57)</f>
        <v/>
      </c>
      <c r="C56" s="139" t="str">
        <f>IF(B56="","",VLOOKUP(B56,FROTA!$B$5:$C$306,2,0))</f>
        <v/>
      </c>
      <c r="D56" s="22" t="str">
        <f t="shared" si="0"/>
        <v/>
      </c>
      <c r="E56" s="4" t="str">
        <f>IF(B56="","",SUM(VLOOKUP(C56,ESCALA!$B$3:$N$19,8,0))*(VLOOKUP(SEM!C57,SEM!$C$5:$AC$305,27,0)))</f>
        <v/>
      </c>
      <c r="F56" s="120" t="str">
        <f>IF(D56="","",ROUNDUP(SEM!$AD57*VLOOKUP(RECEITAS!$C56,ESCALA!$B$3:$N$19,8,0),0))</f>
        <v/>
      </c>
      <c r="G56" s="4" t="str">
        <f>IF(B56="","",(SUM((VLOOKUP(C56,ESCALA!$B$3:$N$19,10,0))*(VLOOKUP(SAB!C57,SAB!$C$5:$AC$305,27,0))/VLOOKUP(C56,PERFIL!$B$4:$M$20,8,0))*VLOOKUP(C56,PERFIL!$B$4:$M$20,11,0)))</f>
        <v/>
      </c>
      <c r="H56" s="120" t="str">
        <f>IF(F56="","",ROUNDUP(SAB!$AD57*VLOOKUP(RECEITAS!$C56,ESCALA!$B$3:$N$19,10,0),0))</f>
        <v/>
      </c>
      <c r="I56" s="4" t="str">
        <f>IF(B56="","",SUM(VLOOKUP(C56,ESCALA!$B$3:$N$19,12,0))*(VLOOKUP(DF!C57,DF!$C$5:$AC$305,27,0))/VLOOKUP(C56,PERFIL!$B$4:$M$20,8,0)*VLOOKUP(C56,PERFIL!$B$4:$M$20,12,0))</f>
        <v/>
      </c>
      <c r="J56" s="120" t="str">
        <f>IF(H56="","",ROUNDUP(DF!$AD57*VLOOKUP(RECEITAS!$C56,ESCALA!$B$3:$N$19,12,0),0))</f>
        <v/>
      </c>
      <c r="K56" s="4" t="str">
        <f>IF(FROTA!AA57="","",FROTA!AA57)</f>
        <v/>
      </c>
      <c r="L56" s="4" t="str">
        <f t="shared" si="1"/>
        <v/>
      </c>
      <c r="M56" s="4" t="str">
        <f>IF(FROTA!AC57="","",FROTA!AC57)</f>
        <v/>
      </c>
      <c r="N56" s="4" t="str">
        <f t="shared" si="2"/>
        <v/>
      </c>
      <c r="O56" s="4" t="str">
        <f>IF(FROTA!AE57="","",FROTA!AE57)</f>
        <v/>
      </c>
      <c r="P56" s="4" t="str">
        <f t="shared" si="3"/>
        <v/>
      </c>
      <c r="Q56" s="4" t="str">
        <f>IF(FROTA!AG57="","",FROTA!AG57)</f>
        <v/>
      </c>
      <c r="R56" s="4" t="str">
        <f t="shared" si="4"/>
        <v/>
      </c>
      <c r="S56" s="164">
        <f t="shared" si="5"/>
        <v>0</v>
      </c>
      <c r="T56" s="257">
        <v>42847</v>
      </c>
      <c r="U56" s="256" t="s">
        <v>61</v>
      </c>
    </row>
    <row r="57" spans="2:21" ht="13.5" customHeight="1" x14ac:dyDescent="0.2">
      <c r="B57" s="23" t="str">
        <f>IF(FROTA!B58="","",FROTA!B58)</f>
        <v/>
      </c>
      <c r="C57" s="139" t="str">
        <f>IF(B57="","",VLOOKUP(B57,FROTA!$B$5:$C$306,2,0))</f>
        <v/>
      </c>
      <c r="D57" s="22" t="str">
        <f t="shared" si="0"/>
        <v/>
      </c>
      <c r="E57" s="4" t="str">
        <f>IF(B57="","",SUM(VLOOKUP(C57,ESCALA!$B$3:$N$19,8,0))*(VLOOKUP(SEM!C58,SEM!$C$5:$AC$305,27,0)))</f>
        <v/>
      </c>
      <c r="F57" s="120" t="str">
        <f>IF(D57="","",ROUNDUP(SEM!$AD58*VLOOKUP(RECEITAS!$C57,ESCALA!$B$3:$N$19,8,0),0))</f>
        <v/>
      </c>
      <c r="G57" s="4" t="str">
        <f>IF(B57="","",(SUM((VLOOKUP(C57,ESCALA!$B$3:$N$19,10,0))*(VLOOKUP(SAB!C58,SAB!$C$5:$AC$305,27,0))/VLOOKUP(C57,PERFIL!$B$4:$M$20,8,0))*VLOOKUP(C57,PERFIL!$B$4:$M$20,11,0)))</f>
        <v/>
      </c>
      <c r="H57" s="120" t="str">
        <f>IF(F57="","",ROUNDUP(SAB!$AD58*VLOOKUP(RECEITAS!$C57,ESCALA!$B$3:$N$19,10,0),0))</f>
        <v/>
      </c>
      <c r="I57" s="4" t="str">
        <f>IF(B57="","",SUM(VLOOKUP(C57,ESCALA!$B$3:$N$19,12,0))*(VLOOKUP(DF!C58,DF!$C$5:$AC$305,27,0))/VLOOKUP(C57,PERFIL!$B$4:$M$20,8,0)*VLOOKUP(C57,PERFIL!$B$4:$M$20,12,0))</f>
        <v/>
      </c>
      <c r="J57" s="120" t="str">
        <f>IF(H57="","",ROUNDUP(DF!$AD58*VLOOKUP(RECEITAS!$C57,ESCALA!$B$3:$N$19,12,0),0))</f>
        <v/>
      </c>
      <c r="K57" s="4" t="str">
        <f>IF(FROTA!AA58="","",FROTA!AA58)</f>
        <v/>
      </c>
      <c r="L57" s="4" t="str">
        <f t="shared" si="1"/>
        <v/>
      </c>
      <c r="M57" s="4" t="str">
        <f>IF(FROTA!AC58="","",FROTA!AC58)</f>
        <v/>
      </c>
      <c r="N57" s="4" t="str">
        <f t="shared" si="2"/>
        <v/>
      </c>
      <c r="O57" s="4" t="str">
        <f>IF(FROTA!AE58="","",FROTA!AE58)</f>
        <v/>
      </c>
      <c r="P57" s="4" t="str">
        <f t="shared" si="3"/>
        <v/>
      </c>
      <c r="Q57" s="4" t="str">
        <f>IF(FROTA!AG58="","",FROTA!AG58)</f>
        <v/>
      </c>
      <c r="R57" s="4" t="str">
        <f t="shared" si="4"/>
        <v/>
      </c>
      <c r="S57" s="164">
        <f t="shared" si="5"/>
        <v>0</v>
      </c>
      <c r="T57" s="257">
        <v>42848</v>
      </c>
      <c r="U57" s="256" t="s">
        <v>58</v>
      </c>
    </row>
    <row r="58" spans="2:21" ht="13.5" customHeight="1" x14ac:dyDescent="0.2">
      <c r="B58" s="23" t="str">
        <f>IF(FROTA!B59="","",FROTA!B59)</f>
        <v/>
      </c>
      <c r="C58" s="139" t="str">
        <f>IF(B58="","",VLOOKUP(B58,FROTA!$B$5:$C$306,2,0))</f>
        <v/>
      </c>
      <c r="D58" s="22" t="str">
        <f t="shared" si="0"/>
        <v/>
      </c>
      <c r="E58" s="4" t="str">
        <f>IF(B58="","",SUM(VLOOKUP(C58,ESCALA!$B$3:$N$19,8,0))*(VLOOKUP(SEM!C59,SEM!$C$5:$AC$305,27,0)))</f>
        <v/>
      </c>
      <c r="F58" s="120" t="str">
        <f>IF(D58="","",ROUNDUP(SEM!$AD59*VLOOKUP(RECEITAS!$C58,ESCALA!$B$3:$N$19,8,0),0))</f>
        <v/>
      </c>
      <c r="G58" s="4" t="str">
        <f>IF(B58="","",(SUM((VLOOKUP(C58,ESCALA!$B$3:$N$19,10,0))*(VLOOKUP(SAB!C59,SAB!$C$5:$AC$305,27,0))/VLOOKUP(C58,PERFIL!$B$4:$M$20,8,0))*VLOOKUP(C58,PERFIL!$B$4:$M$20,11,0)))</f>
        <v/>
      </c>
      <c r="H58" s="120" t="str">
        <f>IF(F58="","",ROUNDUP(SAB!$AD59*VLOOKUP(RECEITAS!$C58,ESCALA!$B$3:$N$19,10,0),0))</f>
        <v/>
      </c>
      <c r="I58" s="4" t="str">
        <f>IF(B58="","",SUM(VLOOKUP(C58,ESCALA!$B$3:$N$19,12,0))*(VLOOKUP(DF!C59,DF!$C$5:$AC$305,27,0))/VLOOKUP(C58,PERFIL!$B$4:$M$20,8,0)*VLOOKUP(C58,PERFIL!$B$4:$M$20,12,0))</f>
        <v/>
      </c>
      <c r="J58" s="120" t="str">
        <f>IF(H58="","",ROUNDUP(DF!$AD59*VLOOKUP(RECEITAS!$C58,ESCALA!$B$3:$N$19,12,0),0))</f>
        <v/>
      </c>
      <c r="K58" s="4" t="str">
        <f>IF(FROTA!AA59="","",FROTA!AA59)</f>
        <v/>
      </c>
      <c r="L58" s="4" t="str">
        <f t="shared" si="1"/>
        <v/>
      </c>
      <c r="M58" s="4" t="str">
        <f>IF(FROTA!AC59="","",FROTA!AC59)</f>
        <v/>
      </c>
      <c r="N58" s="4" t="str">
        <f t="shared" si="2"/>
        <v/>
      </c>
      <c r="O58" s="4" t="str">
        <f>IF(FROTA!AE59="","",FROTA!AE59)</f>
        <v/>
      </c>
      <c r="P58" s="4" t="str">
        <f t="shared" si="3"/>
        <v/>
      </c>
      <c r="Q58" s="4" t="str">
        <f>IF(FROTA!AG59="","",FROTA!AG59)</f>
        <v/>
      </c>
      <c r="R58" s="4" t="str">
        <f t="shared" si="4"/>
        <v/>
      </c>
      <c r="S58" s="164">
        <f t="shared" si="5"/>
        <v>0</v>
      </c>
      <c r="T58" s="257">
        <v>42849</v>
      </c>
      <c r="U58" s="256" t="s">
        <v>62</v>
      </c>
    </row>
    <row r="59" spans="2:21" ht="13.5" customHeight="1" x14ac:dyDescent="0.2">
      <c r="B59" s="23" t="str">
        <f>IF(FROTA!B60="","",FROTA!B60)</f>
        <v/>
      </c>
      <c r="C59" s="139" t="str">
        <f>IF(B59="","",VLOOKUP(B59,FROTA!$B$5:$C$306,2,0))</f>
        <v/>
      </c>
      <c r="D59" s="22" t="str">
        <f t="shared" si="0"/>
        <v/>
      </c>
      <c r="E59" s="4" t="str">
        <f>IF(B59="","",SUM(VLOOKUP(C59,ESCALA!$B$3:$N$19,8,0))*(VLOOKUP(SEM!C60,SEM!$C$5:$AC$305,27,0)))</f>
        <v/>
      </c>
      <c r="F59" s="120" t="str">
        <f>IF(D59="","",ROUNDUP(SEM!$AD60*VLOOKUP(RECEITAS!$C59,ESCALA!$B$3:$N$19,8,0),0))</f>
        <v/>
      </c>
      <c r="G59" s="4" t="str">
        <f>IF(B59="","",(SUM((VLOOKUP(C59,ESCALA!$B$3:$N$19,10,0))*(VLOOKUP(SAB!C60,SAB!$C$5:$AC$305,27,0))/VLOOKUP(C59,PERFIL!$B$4:$M$20,8,0))*VLOOKUP(C59,PERFIL!$B$4:$M$20,11,0)))</f>
        <v/>
      </c>
      <c r="H59" s="120" t="str">
        <f>IF(F59="","",ROUNDUP(SAB!$AD60*VLOOKUP(RECEITAS!$C59,ESCALA!$B$3:$N$19,10,0),0))</f>
        <v/>
      </c>
      <c r="I59" s="4" t="str">
        <f>IF(B59="","",SUM(VLOOKUP(C59,ESCALA!$B$3:$N$19,12,0))*(VLOOKUP(DF!C60,DF!$C$5:$AC$305,27,0))/VLOOKUP(C59,PERFIL!$B$4:$M$20,8,0)*VLOOKUP(C59,PERFIL!$B$4:$M$20,12,0))</f>
        <v/>
      </c>
      <c r="J59" s="120" t="str">
        <f>IF(H59="","",ROUNDUP(DF!$AD60*VLOOKUP(RECEITAS!$C59,ESCALA!$B$3:$N$19,12,0),0))</f>
        <v/>
      </c>
      <c r="K59" s="4" t="str">
        <f>IF(FROTA!AA60="","",FROTA!AA60)</f>
        <v/>
      </c>
      <c r="L59" s="4" t="str">
        <f t="shared" si="1"/>
        <v/>
      </c>
      <c r="M59" s="4" t="str">
        <f>IF(FROTA!AC60="","",FROTA!AC60)</f>
        <v/>
      </c>
      <c r="N59" s="4" t="str">
        <f t="shared" si="2"/>
        <v/>
      </c>
      <c r="O59" s="4" t="str">
        <f>IF(FROTA!AE60="","",FROTA!AE60)</f>
        <v/>
      </c>
      <c r="P59" s="4" t="str">
        <f t="shared" si="3"/>
        <v/>
      </c>
      <c r="Q59" s="4" t="str">
        <f>IF(FROTA!AG60="","",FROTA!AG60)</f>
        <v/>
      </c>
      <c r="R59" s="4" t="str">
        <f t="shared" si="4"/>
        <v/>
      </c>
      <c r="S59" s="164">
        <f t="shared" si="5"/>
        <v>0</v>
      </c>
      <c r="T59" s="257">
        <v>42850</v>
      </c>
      <c r="U59" s="256" t="s">
        <v>63</v>
      </c>
    </row>
    <row r="60" spans="2:21" ht="13.5" customHeight="1" x14ac:dyDescent="0.2">
      <c r="B60" s="23" t="str">
        <f>IF(FROTA!B61="","",FROTA!B61)</f>
        <v/>
      </c>
      <c r="C60" s="139" t="str">
        <f>IF(B60="","",VLOOKUP(B60,FROTA!$B$5:$C$306,2,0))</f>
        <v/>
      </c>
      <c r="D60" s="22" t="str">
        <f t="shared" si="0"/>
        <v/>
      </c>
      <c r="E60" s="4" t="str">
        <f>IF(B60="","",SUM(VLOOKUP(C60,ESCALA!$B$3:$N$19,8,0))*(VLOOKUP(SEM!C61,SEM!$C$5:$AC$305,27,0)))</f>
        <v/>
      </c>
      <c r="F60" s="120" t="str">
        <f>IF(D60="","",ROUNDUP(SEM!$AD61*VLOOKUP(RECEITAS!$C60,ESCALA!$B$3:$N$19,8,0),0))</f>
        <v/>
      </c>
      <c r="G60" s="4" t="str">
        <f>IF(B60="","",(SUM((VLOOKUP(C60,ESCALA!$B$3:$N$19,10,0))*(VLOOKUP(SAB!C61,SAB!$C$5:$AC$305,27,0))/VLOOKUP(C60,PERFIL!$B$4:$M$20,8,0))*VLOOKUP(C60,PERFIL!$B$4:$M$20,11,0)))</f>
        <v/>
      </c>
      <c r="H60" s="120" t="str">
        <f>IF(F60="","",ROUNDUP(SAB!$AD61*VLOOKUP(RECEITAS!$C60,ESCALA!$B$3:$N$19,10,0),0))</f>
        <v/>
      </c>
      <c r="I60" s="4" t="str">
        <f>IF(B60="","",SUM(VLOOKUP(C60,ESCALA!$B$3:$N$19,12,0))*(VLOOKUP(DF!C61,DF!$C$5:$AC$305,27,0))/VLOOKUP(C60,PERFIL!$B$4:$M$20,8,0)*VLOOKUP(C60,PERFIL!$B$4:$M$20,12,0))</f>
        <v/>
      </c>
      <c r="J60" s="120" t="str">
        <f>IF(H60="","",ROUNDUP(DF!$AD61*VLOOKUP(RECEITAS!$C60,ESCALA!$B$3:$N$19,12,0),0))</f>
        <v/>
      </c>
      <c r="K60" s="4" t="str">
        <f>IF(FROTA!AA61="","",FROTA!AA61)</f>
        <v/>
      </c>
      <c r="L60" s="4" t="str">
        <f t="shared" si="1"/>
        <v/>
      </c>
      <c r="M60" s="4" t="str">
        <f>IF(FROTA!AC61="","",FROTA!AC61)</f>
        <v/>
      </c>
      <c r="N60" s="4" t="str">
        <f t="shared" si="2"/>
        <v/>
      </c>
      <c r="O60" s="4" t="str">
        <f>IF(FROTA!AE61="","",FROTA!AE61)</f>
        <v/>
      </c>
      <c r="P60" s="4" t="str">
        <f t="shared" si="3"/>
        <v/>
      </c>
      <c r="Q60" s="4" t="str">
        <f>IF(FROTA!AG61="","",FROTA!AG61)</f>
        <v/>
      </c>
      <c r="R60" s="4" t="str">
        <f t="shared" si="4"/>
        <v/>
      </c>
      <c r="S60" s="164">
        <f t="shared" si="5"/>
        <v>0</v>
      </c>
      <c r="T60" s="257">
        <v>42851</v>
      </c>
      <c r="U60" s="256" t="s">
        <v>64</v>
      </c>
    </row>
    <row r="61" spans="2:21" ht="13.5" customHeight="1" x14ac:dyDescent="0.2">
      <c r="B61" s="23" t="str">
        <f>IF(FROTA!B62="","",FROTA!B62)</f>
        <v/>
      </c>
      <c r="C61" s="139" t="str">
        <f>IF(B61="","",VLOOKUP(B61,FROTA!$B$5:$C$306,2,0))</f>
        <v/>
      </c>
      <c r="D61" s="22" t="str">
        <f t="shared" si="0"/>
        <v/>
      </c>
      <c r="E61" s="4" t="str">
        <f>IF(B61="","",SUM(VLOOKUP(C61,ESCALA!$B$3:$N$19,8,0))*(VLOOKUP(SEM!C62,SEM!$C$5:$AC$305,27,0)))</f>
        <v/>
      </c>
      <c r="F61" s="120" t="str">
        <f>IF(D61="","",ROUNDUP(SEM!$AD62*VLOOKUP(RECEITAS!$C61,ESCALA!$B$3:$N$19,8,0),0))</f>
        <v/>
      </c>
      <c r="G61" s="4" t="str">
        <f>IF(B61="","",(SUM((VLOOKUP(C61,ESCALA!$B$3:$N$19,10,0))*(VLOOKUP(SAB!C62,SAB!$C$5:$AC$305,27,0))/VLOOKUP(C61,PERFIL!$B$4:$M$20,8,0))*VLOOKUP(C61,PERFIL!$B$4:$M$20,11,0)))</f>
        <v/>
      </c>
      <c r="H61" s="120" t="str">
        <f>IF(F61="","",ROUNDUP(SAB!$AD62*VLOOKUP(RECEITAS!$C61,ESCALA!$B$3:$N$19,10,0),0))</f>
        <v/>
      </c>
      <c r="I61" s="4" t="str">
        <f>IF(B61="","",SUM(VLOOKUP(C61,ESCALA!$B$3:$N$19,12,0))*(VLOOKUP(DF!C62,DF!$C$5:$AC$305,27,0))/VLOOKUP(C61,PERFIL!$B$4:$M$20,8,0)*VLOOKUP(C61,PERFIL!$B$4:$M$20,12,0))</f>
        <v/>
      </c>
      <c r="J61" s="120" t="str">
        <f>IF(H61="","",ROUNDUP(DF!$AD62*VLOOKUP(RECEITAS!$C61,ESCALA!$B$3:$N$19,12,0),0))</f>
        <v/>
      </c>
      <c r="K61" s="4" t="str">
        <f>IF(FROTA!AA62="","",FROTA!AA62)</f>
        <v/>
      </c>
      <c r="L61" s="4" t="str">
        <f t="shared" si="1"/>
        <v/>
      </c>
      <c r="M61" s="4" t="str">
        <f>IF(FROTA!AC62="","",FROTA!AC62)</f>
        <v/>
      </c>
      <c r="N61" s="4" t="str">
        <f t="shared" si="2"/>
        <v/>
      </c>
      <c r="O61" s="4" t="str">
        <f>IF(FROTA!AE62="","",FROTA!AE62)</f>
        <v/>
      </c>
      <c r="P61" s="4" t="str">
        <f t="shared" si="3"/>
        <v/>
      </c>
      <c r="Q61" s="4" t="str">
        <f>IF(FROTA!AG62="","",FROTA!AG62)</f>
        <v/>
      </c>
      <c r="R61" s="4" t="str">
        <f t="shared" si="4"/>
        <v/>
      </c>
      <c r="S61" s="164">
        <f t="shared" si="5"/>
        <v>0</v>
      </c>
      <c r="T61" s="257">
        <v>42852</v>
      </c>
      <c r="U61" s="256" t="s">
        <v>59</v>
      </c>
    </row>
    <row r="62" spans="2:21" ht="13.5" customHeight="1" x14ac:dyDescent="0.2">
      <c r="B62" s="23" t="str">
        <f>IF(FROTA!B63="","",FROTA!B63)</f>
        <v/>
      </c>
      <c r="C62" s="139" t="str">
        <f>IF(B62="","",VLOOKUP(B62,FROTA!$B$5:$C$306,2,0))</f>
        <v/>
      </c>
      <c r="D62" s="22" t="str">
        <f t="shared" si="0"/>
        <v/>
      </c>
      <c r="E62" s="4" t="str">
        <f>IF(B62="","",SUM(VLOOKUP(C62,ESCALA!$B$3:$N$19,8,0))*(VLOOKUP(SEM!C63,SEM!$C$5:$AC$305,27,0)))</f>
        <v/>
      </c>
      <c r="F62" s="120" t="str">
        <f>IF(D62="","",ROUNDUP(SEM!$AD63*VLOOKUP(RECEITAS!$C62,ESCALA!$B$3:$N$19,8,0),0))</f>
        <v/>
      </c>
      <c r="G62" s="4" t="str">
        <f>IF(B62="","",(SUM((VLOOKUP(C62,ESCALA!$B$3:$N$19,10,0))*(VLOOKUP(SAB!C63,SAB!$C$5:$AC$305,27,0))/VLOOKUP(C62,PERFIL!$B$4:$M$20,8,0))*VLOOKUP(C62,PERFIL!$B$4:$M$20,11,0)))</f>
        <v/>
      </c>
      <c r="H62" s="120" t="str">
        <f>IF(F62="","",ROUNDUP(SAB!$AD63*VLOOKUP(RECEITAS!$C62,ESCALA!$B$3:$N$19,10,0),0))</f>
        <v/>
      </c>
      <c r="I62" s="4" t="str">
        <f>IF(B62="","",SUM(VLOOKUP(C62,ESCALA!$B$3:$N$19,12,0))*(VLOOKUP(DF!C63,DF!$C$5:$AC$305,27,0))/VLOOKUP(C62,PERFIL!$B$4:$M$20,8,0)*VLOOKUP(C62,PERFIL!$B$4:$M$20,12,0))</f>
        <v/>
      </c>
      <c r="J62" s="120" t="str">
        <f>IF(H62="","",ROUNDUP(DF!$AD63*VLOOKUP(RECEITAS!$C62,ESCALA!$B$3:$N$19,12,0),0))</f>
        <v/>
      </c>
      <c r="K62" s="4" t="str">
        <f>IF(FROTA!AA63="","",FROTA!AA63)</f>
        <v/>
      </c>
      <c r="L62" s="4" t="str">
        <f t="shared" si="1"/>
        <v/>
      </c>
      <c r="M62" s="4" t="str">
        <f>IF(FROTA!AC63="","",FROTA!AC63)</f>
        <v/>
      </c>
      <c r="N62" s="4" t="str">
        <f t="shared" si="2"/>
        <v/>
      </c>
      <c r="O62" s="4" t="str">
        <f>IF(FROTA!AE63="","",FROTA!AE63)</f>
        <v/>
      </c>
      <c r="P62" s="4" t="str">
        <f t="shared" si="3"/>
        <v/>
      </c>
      <c r="Q62" s="4" t="str">
        <f>IF(FROTA!AG63="","",FROTA!AG63)</f>
        <v/>
      </c>
      <c r="R62" s="4" t="str">
        <f t="shared" si="4"/>
        <v/>
      </c>
      <c r="S62" s="164">
        <f t="shared" si="5"/>
        <v>0</v>
      </c>
      <c r="T62" s="257">
        <v>42853</v>
      </c>
      <c r="U62" s="256" t="s">
        <v>60</v>
      </c>
    </row>
    <row r="63" spans="2:21" ht="13.5" customHeight="1" x14ac:dyDescent="0.2">
      <c r="B63" s="23" t="str">
        <f>IF(FROTA!B64="","",FROTA!B64)</f>
        <v/>
      </c>
      <c r="C63" s="139" t="str">
        <f>IF(B63="","",VLOOKUP(B63,FROTA!$B$5:$C$306,2,0))</f>
        <v/>
      </c>
      <c r="D63" s="22" t="str">
        <f t="shared" si="0"/>
        <v/>
      </c>
      <c r="E63" s="4" t="str">
        <f>IF(B63="","",SUM(VLOOKUP(C63,ESCALA!$B$3:$N$19,8,0))*(VLOOKUP(SEM!C64,SEM!$C$5:$AC$305,27,0)))</f>
        <v/>
      </c>
      <c r="F63" s="120" t="str">
        <f>IF(D63="","",ROUNDUP(SEM!$AD64*VLOOKUP(RECEITAS!$C63,ESCALA!$B$3:$N$19,8,0),0))</f>
        <v/>
      </c>
      <c r="G63" s="4" t="str">
        <f>IF(B63="","",(SUM((VLOOKUP(C63,ESCALA!$B$3:$N$19,10,0))*(VLOOKUP(SAB!C64,SAB!$C$5:$AC$305,27,0))/VLOOKUP(C63,PERFIL!$B$4:$M$20,8,0))*VLOOKUP(C63,PERFIL!$B$4:$M$20,11,0)))</f>
        <v/>
      </c>
      <c r="H63" s="120" t="str">
        <f>IF(F63="","",ROUNDUP(SAB!$AD64*VLOOKUP(RECEITAS!$C63,ESCALA!$B$3:$N$19,10,0),0))</f>
        <v/>
      </c>
      <c r="I63" s="4" t="str">
        <f>IF(B63="","",SUM(VLOOKUP(C63,ESCALA!$B$3:$N$19,12,0))*(VLOOKUP(DF!C64,DF!$C$5:$AC$305,27,0))/VLOOKUP(C63,PERFIL!$B$4:$M$20,8,0)*VLOOKUP(C63,PERFIL!$B$4:$M$20,12,0))</f>
        <v/>
      </c>
      <c r="J63" s="120" t="str">
        <f>IF(H63="","",ROUNDUP(DF!$AD64*VLOOKUP(RECEITAS!$C63,ESCALA!$B$3:$N$19,12,0),0))</f>
        <v/>
      </c>
      <c r="K63" s="4" t="str">
        <f>IF(FROTA!AA64="","",FROTA!AA64)</f>
        <v/>
      </c>
      <c r="L63" s="4" t="str">
        <f t="shared" si="1"/>
        <v/>
      </c>
      <c r="M63" s="4" t="str">
        <f>IF(FROTA!AC64="","",FROTA!AC64)</f>
        <v/>
      </c>
      <c r="N63" s="4" t="str">
        <f t="shared" si="2"/>
        <v/>
      </c>
      <c r="O63" s="4" t="str">
        <f>IF(FROTA!AE64="","",FROTA!AE64)</f>
        <v/>
      </c>
      <c r="P63" s="4" t="str">
        <f t="shared" si="3"/>
        <v/>
      </c>
      <c r="Q63" s="4" t="str">
        <f>IF(FROTA!AG64="","",FROTA!AG64)</f>
        <v/>
      </c>
      <c r="R63" s="4" t="str">
        <f t="shared" si="4"/>
        <v/>
      </c>
      <c r="S63" s="164">
        <f t="shared" si="5"/>
        <v>0</v>
      </c>
      <c r="T63" s="257">
        <v>42854</v>
      </c>
      <c r="U63" s="256" t="s">
        <v>61</v>
      </c>
    </row>
    <row r="64" spans="2:21" ht="13.5" customHeight="1" x14ac:dyDescent="0.2">
      <c r="B64" s="23" t="str">
        <f>IF(FROTA!B65="","",FROTA!B65)</f>
        <v/>
      </c>
      <c r="C64" s="139" t="str">
        <f>IF(B64="","",VLOOKUP(B64,FROTA!$B$5:$C$306,2,0))</f>
        <v/>
      </c>
      <c r="D64" s="22" t="str">
        <f t="shared" si="0"/>
        <v/>
      </c>
      <c r="E64" s="4" t="str">
        <f>IF(B64="","",SUM(VLOOKUP(C64,ESCALA!$B$3:$N$19,8,0))*(VLOOKUP(SEM!C65,SEM!$C$5:$AC$305,27,0)))</f>
        <v/>
      </c>
      <c r="F64" s="120" t="str">
        <f>IF(D64="","",ROUNDUP(SEM!$AD65*VLOOKUP(RECEITAS!$C64,ESCALA!$B$3:$N$19,8,0),0))</f>
        <v/>
      </c>
      <c r="G64" s="4" t="str">
        <f>IF(B64="","",(SUM((VLOOKUP(C64,ESCALA!$B$3:$N$19,10,0))*(VLOOKUP(SAB!C65,SAB!$C$5:$AC$305,27,0))/VLOOKUP(C64,PERFIL!$B$4:$M$20,8,0))*VLOOKUP(C64,PERFIL!$B$4:$M$20,11,0)))</f>
        <v/>
      </c>
      <c r="H64" s="120" t="str">
        <f>IF(F64="","",ROUNDUP(SAB!$AD65*VLOOKUP(RECEITAS!$C64,ESCALA!$B$3:$N$19,10,0),0))</f>
        <v/>
      </c>
      <c r="I64" s="4" t="str">
        <f>IF(B64="","",SUM(VLOOKUP(C64,ESCALA!$B$3:$N$19,12,0))*(VLOOKUP(DF!C65,DF!$C$5:$AC$305,27,0))/VLOOKUP(C64,PERFIL!$B$4:$M$20,8,0)*VLOOKUP(C64,PERFIL!$B$4:$M$20,12,0))</f>
        <v/>
      </c>
      <c r="J64" s="120" t="str">
        <f>IF(H64="","",ROUNDUP(DF!$AD65*VLOOKUP(RECEITAS!$C64,ESCALA!$B$3:$N$19,12,0),0))</f>
        <v/>
      </c>
      <c r="K64" s="4" t="str">
        <f>IF(FROTA!AA65="","",FROTA!AA65)</f>
        <v/>
      </c>
      <c r="L64" s="4" t="str">
        <f t="shared" si="1"/>
        <v/>
      </c>
      <c r="M64" s="4" t="str">
        <f>IF(FROTA!AC65="","",FROTA!AC65)</f>
        <v/>
      </c>
      <c r="N64" s="4" t="str">
        <f t="shared" si="2"/>
        <v/>
      </c>
      <c r="O64" s="4" t="str">
        <f>IF(FROTA!AE65="","",FROTA!AE65)</f>
        <v/>
      </c>
      <c r="P64" s="4" t="str">
        <f t="shared" si="3"/>
        <v/>
      </c>
      <c r="Q64" s="4" t="str">
        <f>IF(FROTA!AG65="","",FROTA!AG65)</f>
        <v/>
      </c>
      <c r="R64" s="4" t="str">
        <f t="shared" si="4"/>
        <v/>
      </c>
      <c r="S64" s="164">
        <f t="shared" si="5"/>
        <v>0</v>
      </c>
      <c r="T64" s="257">
        <v>42855</v>
      </c>
      <c r="U64" s="256" t="s">
        <v>58</v>
      </c>
    </row>
    <row r="65" spans="2:21" ht="13.5" customHeight="1" x14ac:dyDescent="0.2">
      <c r="B65" s="23" t="str">
        <f>IF(FROTA!B66="","",FROTA!B66)</f>
        <v/>
      </c>
      <c r="C65" s="139" t="str">
        <f>IF(B65="","",VLOOKUP(B65,FROTA!$B$5:$C$306,2,0))</f>
        <v/>
      </c>
      <c r="D65" s="22" t="str">
        <f t="shared" si="0"/>
        <v/>
      </c>
      <c r="E65" s="4" t="str">
        <f>IF(B65="","",SUM(VLOOKUP(C65,ESCALA!$B$3:$N$19,8,0))*(VLOOKUP(SEM!C66,SEM!$C$5:$AC$305,27,0)))</f>
        <v/>
      </c>
      <c r="F65" s="120" t="str">
        <f>IF(D65="","",ROUNDUP(SEM!$AD66*VLOOKUP(RECEITAS!$C65,ESCALA!$B$3:$N$19,8,0),0))</f>
        <v/>
      </c>
      <c r="G65" s="4" t="str">
        <f>IF(B65="","",(SUM((VLOOKUP(C65,ESCALA!$B$3:$N$19,10,0))*(VLOOKUP(SAB!C66,SAB!$C$5:$AC$305,27,0))/VLOOKUP(C65,PERFIL!$B$4:$M$20,8,0))*VLOOKUP(C65,PERFIL!$B$4:$M$20,11,0)))</f>
        <v/>
      </c>
      <c r="H65" s="120" t="str">
        <f>IF(F65="","",ROUNDUP(SAB!$AD66*VLOOKUP(RECEITAS!$C65,ESCALA!$B$3:$N$19,10,0),0))</f>
        <v/>
      </c>
      <c r="I65" s="4" t="str">
        <f>IF(B65="","",SUM(VLOOKUP(C65,ESCALA!$B$3:$N$19,12,0))*(VLOOKUP(DF!C66,DF!$C$5:$AC$305,27,0))/VLOOKUP(C65,PERFIL!$B$4:$M$20,8,0)*VLOOKUP(C65,PERFIL!$B$4:$M$20,12,0))</f>
        <v/>
      </c>
      <c r="J65" s="120" t="str">
        <f>IF(H65="","",ROUNDUP(DF!$AD66*VLOOKUP(RECEITAS!$C65,ESCALA!$B$3:$N$19,12,0),0))</f>
        <v/>
      </c>
      <c r="K65" s="4" t="str">
        <f>IF(FROTA!AA66="","",FROTA!AA66)</f>
        <v/>
      </c>
      <c r="L65" s="4" t="str">
        <f t="shared" si="1"/>
        <v/>
      </c>
      <c r="M65" s="4" t="str">
        <f>IF(FROTA!AC66="","",FROTA!AC66)</f>
        <v/>
      </c>
      <c r="N65" s="4" t="str">
        <f t="shared" si="2"/>
        <v/>
      </c>
      <c r="O65" s="4" t="str">
        <f>IF(FROTA!AE66="","",FROTA!AE66)</f>
        <v/>
      </c>
      <c r="P65" s="4" t="str">
        <f t="shared" si="3"/>
        <v/>
      </c>
      <c r="Q65" s="4" t="str">
        <f>IF(FROTA!AG66="","",FROTA!AG66)</f>
        <v/>
      </c>
      <c r="R65" s="4" t="str">
        <f t="shared" si="4"/>
        <v/>
      </c>
      <c r="S65" s="164">
        <f t="shared" si="5"/>
        <v>0</v>
      </c>
      <c r="T65" s="257">
        <v>42856</v>
      </c>
      <c r="U65" s="256" t="s">
        <v>65</v>
      </c>
    </row>
    <row r="66" spans="2:21" ht="13.5" customHeight="1" x14ac:dyDescent="0.2">
      <c r="B66" s="23" t="str">
        <f>IF(FROTA!B67="","",FROTA!B67)</f>
        <v/>
      </c>
      <c r="C66" s="139" t="str">
        <f>IF(B66="","",VLOOKUP(B66,FROTA!$B$5:$C$306,2,0))</f>
        <v/>
      </c>
      <c r="D66" s="22" t="str">
        <f t="shared" si="0"/>
        <v/>
      </c>
      <c r="E66" s="4" t="str">
        <f>IF(B66="","",SUM(VLOOKUP(C66,ESCALA!$B$3:$N$19,8,0))*(VLOOKUP(SEM!C67,SEM!$C$5:$AC$305,27,0)))</f>
        <v/>
      </c>
      <c r="F66" s="120" t="str">
        <f>IF(D66="","",ROUNDUP(SEM!$AD67*VLOOKUP(RECEITAS!$C66,ESCALA!$B$3:$N$19,8,0),0))</f>
        <v/>
      </c>
      <c r="G66" s="4" t="str">
        <f>IF(B66="","",(SUM((VLOOKUP(C66,ESCALA!$B$3:$N$19,10,0))*(VLOOKUP(SAB!C67,SAB!$C$5:$AC$305,27,0))/VLOOKUP(C66,PERFIL!$B$4:$M$20,8,0))*VLOOKUP(C66,PERFIL!$B$4:$M$20,11,0)))</f>
        <v/>
      </c>
      <c r="H66" s="120" t="str">
        <f>IF(F66="","",ROUNDUP(SAB!$AD67*VLOOKUP(RECEITAS!$C66,ESCALA!$B$3:$N$19,10,0),0))</f>
        <v/>
      </c>
      <c r="I66" s="4" t="str">
        <f>IF(B66="","",SUM(VLOOKUP(C66,ESCALA!$B$3:$N$19,12,0))*(VLOOKUP(DF!C67,DF!$C$5:$AC$305,27,0))/VLOOKUP(C66,PERFIL!$B$4:$M$20,8,0)*VLOOKUP(C66,PERFIL!$B$4:$M$20,12,0))</f>
        <v/>
      </c>
      <c r="J66" s="120" t="str">
        <f>IF(H66="","",ROUNDUP(DF!$AD67*VLOOKUP(RECEITAS!$C66,ESCALA!$B$3:$N$19,12,0),0))</f>
        <v/>
      </c>
      <c r="K66" s="4" t="str">
        <f>IF(FROTA!AA67="","",FROTA!AA67)</f>
        <v/>
      </c>
      <c r="L66" s="4" t="str">
        <f t="shared" si="1"/>
        <v/>
      </c>
      <c r="M66" s="4" t="str">
        <f>IF(FROTA!AC67="","",FROTA!AC67)</f>
        <v/>
      </c>
      <c r="N66" s="4" t="str">
        <f t="shared" si="2"/>
        <v/>
      </c>
      <c r="O66" s="4" t="str">
        <f>IF(FROTA!AE67="","",FROTA!AE67)</f>
        <v/>
      </c>
      <c r="P66" s="4" t="str">
        <f t="shared" si="3"/>
        <v/>
      </c>
      <c r="Q66" s="4" t="str">
        <f>IF(FROTA!AG67="","",FROTA!AG67)</f>
        <v/>
      </c>
      <c r="R66" s="4" t="str">
        <f t="shared" si="4"/>
        <v/>
      </c>
      <c r="S66" s="164">
        <f t="shared" si="5"/>
        <v>0</v>
      </c>
      <c r="T66" s="257">
        <v>42857</v>
      </c>
      <c r="U66" s="256" t="s">
        <v>63</v>
      </c>
    </row>
    <row r="67" spans="2:21" ht="13.5" customHeight="1" x14ac:dyDescent="0.2">
      <c r="B67" s="23" t="str">
        <f>IF(FROTA!B68="","",FROTA!B68)</f>
        <v/>
      </c>
      <c r="C67" s="139" t="str">
        <f>IF(B67="","",VLOOKUP(B67,FROTA!$B$5:$C$306,2,0))</f>
        <v/>
      </c>
      <c r="D67" s="22" t="str">
        <f t="shared" si="0"/>
        <v/>
      </c>
      <c r="E67" s="4" t="str">
        <f>IF(B67="","",SUM(VLOOKUP(C67,ESCALA!$B$3:$N$19,8,0))*(VLOOKUP(SEM!C68,SEM!$C$5:$AC$305,27,0)))</f>
        <v/>
      </c>
      <c r="F67" s="120" t="str">
        <f>IF(D67="","",ROUNDUP(SEM!$AD68*VLOOKUP(RECEITAS!$C67,ESCALA!$B$3:$N$19,8,0),0))</f>
        <v/>
      </c>
      <c r="G67" s="4" t="str">
        <f>IF(B67="","",(SUM((VLOOKUP(C67,ESCALA!$B$3:$N$19,10,0))*(VLOOKUP(SAB!C68,SAB!$C$5:$AC$305,27,0))/VLOOKUP(C67,PERFIL!$B$4:$M$20,8,0))*VLOOKUP(C67,PERFIL!$B$4:$M$20,11,0)))</f>
        <v/>
      </c>
      <c r="H67" s="120" t="str">
        <f>IF(F67="","",ROUNDUP(SAB!$AD68*VLOOKUP(RECEITAS!$C67,ESCALA!$B$3:$N$19,10,0),0))</f>
        <v/>
      </c>
      <c r="I67" s="4" t="str">
        <f>IF(B67="","",SUM(VLOOKUP(C67,ESCALA!$B$3:$N$19,12,0))*(VLOOKUP(DF!C68,DF!$C$5:$AC$305,27,0))/VLOOKUP(C67,PERFIL!$B$4:$M$20,8,0)*VLOOKUP(C67,PERFIL!$B$4:$M$20,12,0))</f>
        <v/>
      </c>
      <c r="J67" s="120" t="str">
        <f>IF(H67="","",ROUNDUP(DF!$AD68*VLOOKUP(RECEITAS!$C67,ESCALA!$B$3:$N$19,12,0),0))</f>
        <v/>
      </c>
      <c r="K67" s="4" t="str">
        <f>IF(FROTA!AA68="","",FROTA!AA68)</f>
        <v/>
      </c>
      <c r="L67" s="4" t="str">
        <f t="shared" si="1"/>
        <v/>
      </c>
      <c r="M67" s="4" t="str">
        <f>IF(FROTA!AC68="","",FROTA!AC68)</f>
        <v/>
      </c>
      <c r="N67" s="4" t="str">
        <f t="shared" si="2"/>
        <v/>
      </c>
      <c r="O67" s="4" t="str">
        <f>IF(FROTA!AE68="","",FROTA!AE68)</f>
        <v/>
      </c>
      <c r="P67" s="4" t="str">
        <f t="shared" si="3"/>
        <v/>
      </c>
      <c r="Q67" s="4" t="str">
        <f>IF(FROTA!AG68="","",FROTA!AG68)</f>
        <v/>
      </c>
      <c r="R67" s="4" t="str">
        <f t="shared" si="4"/>
        <v/>
      </c>
      <c r="S67" s="164">
        <f t="shared" si="5"/>
        <v>0</v>
      </c>
      <c r="T67" s="257">
        <v>42858</v>
      </c>
      <c r="U67" s="256" t="s">
        <v>64</v>
      </c>
    </row>
    <row r="68" spans="2:21" ht="13.5" customHeight="1" x14ac:dyDescent="0.2">
      <c r="B68" s="23" t="str">
        <f>IF(FROTA!B69="","",FROTA!B69)</f>
        <v/>
      </c>
      <c r="C68" s="139" t="str">
        <f>IF(B68="","",VLOOKUP(B68,FROTA!$B$5:$C$306,2,0))</f>
        <v/>
      </c>
      <c r="D68" s="22" t="str">
        <f t="shared" si="0"/>
        <v/>
      </c>
      <c r="E68" s="4" t="str">
        <f>IF(B68="","",SUM(VLOOKUP(C68,ESCALA!$B$3:$N$19,8,0))*(VLOOKUP(SEM!C69,SEM!$C$5:$AC$305,27,0)))</f>
        <v/>
      </c>
      <c r="F68" s="120" t="str">
        <f>IF(D68="","",ROUNDUP(SEM!$AD69*VLOOKUP(RECEITAS!$C68,ESCALA!$B$3:$N$19,8,0),0))</f>
        <v/>
      </c>
      <c r="G68" s="4" t="str">
        <f>IF(B68="","",(SUM((VLOOKUP(C68,ESCALA!$B$3:$N$19,10,0))*(VLOOKUP(SAB!C69,SAB!$C$5:$AC$305,27,0))/VLOOKUP(C68,PERFIL!$B$4:$M$20,8,0))*VLOOKUP(C68,PERFIL!$B$4:$M$20,11,0)))</f>
        <v/>
      </c>
      <c r="H68" s="120" t="str">
        <f>IF(F68="","",ROUNDUP(SAB!$AD69*VLOOKUP(RECEITAS!$C68,ESCALA!$B$3:$N$19,10,0),0))</f>
        <v/>
      </c>
      <c r="I68" s="4" t="str">
        <f>IF(B68="","",SUM(VLOOKUP(C68,ESCALA!$B$3:$N$19,12,0))*(VLOOKUP(DF!C69,DF!$C$5:$AC$305,27,0))/VLOOKUP(C68,PERFIL!$B$4:$M$20,8,0)*VLOOKUP(C68,PERFIL!$B$4:$M$20,12,0))</f>
        <v/>
      </c>
      <c r="J68" s="120" t="str">
        <f>IF(H68="","",ROUNDUP(DF!$AD69*VLOOKUP(RECEITAS!$C68,ESCALA!$B$3:$N$19,12,0),0))</f>
        <v/>
      </c>
      <c r="K68" s="4" t="str">
        <f>IF(FROTA!AA69="","",FROTA!AA69)</f>
        <v/>
      </c>
      <c r="L68" s="4" t="str">
        <f t="shared" si="1"/>
        <v/>
      </c>
      <c r="M68" s="4" t="str">
        <f>IF(FROTA!AC69="","",FROTA!AC69)</f>
        <v/>
      </c>
      <c r="N68" s="4" t="str">
        <f t="shared" si="2"/>
        <v/>
      </c>
      <c r="O68" s="4" t="str">
        <f>IF(FROTA!AE69="","",FROTA!AE69)</f>
        <v/>
      </c>
      <c r="P68" s="4" t="str">
        <f t="shared" si="3"/>
        <v/>
      </c>
      <c r="Q68" s="4" t="str">
        <f>IF(FROTA!AG69="","",FROTA!AG69)</f>
        <v/>
      </c>
      <c r="R68" s="4" t="str">
        <f t="shared" si="4"/>
        <v/>
      </c>
      <c r="S68" s="164">
        <f t="shared" si="5"/>
        <v>0</v>
      </c>
      <c r="T68" s="257">
        <v>42859</v>
      </c>
      <c r="U68" s="256" t="s">
        <v>59</v>
      </c>
    </row>
    <row r="69" spans="2:21" ht="13.5" customHeight="1" x14ac:dyDescent="0.2">
      <c r="B69" s="23" t="str">
        <f>IF(FROTA!B70="","",FROTA!B70)</f>
        <v/>
      </c>
      <c r="C69" s="139" t="str">
        <f>IF(B69="","",VLOOKUP(B69,FROTA!$B$5:$C$306,2,0))</f>
        <v/>
      </c>
      <c r="D69" s="22" t="str">
        <f t="shared" si="0"/>
        <v/>
      </c>
      <c r="E69" s="4" t="str">
        <f>IF(B69="","",SUM(VLOOKUP(C69,ESCALA!$B$3:$N$19,8,0))*(VLOOKUP(SEM!C70,SEM!$C$5:$AC$305,27,0)))</f>
        <v/>
      </c>
      <c r="F69" s="120" t="str">
        <f>IF(D69="","",ROUNDUP(SEM!$AD70*VLOOKUP(RECEITAS!$C69,ESCALA!$B$3:$N$19,8,0),0))</f>
        <v/>
      </c>
      <c r="G69" s="4" t="str">
        <f>IF(B69="","",(SUM((VLOOKUP(C69,ESCALA!$B$3:$N$19,10,0))*(VLOOKUP(SAB!C70,SAB!$C$5:$AC$305,27,0))/VLOOKUP(C69,PERFIL!$B$4:$M$20,8,0))*VLOOKUP(C69,PERFIL!$B$4:$M$20,11,0)))</f>
        <v/>
      </c>
      <c r="H69" s="120" t="str">
        <f>IF(F69="","",ROUNDUP(SAB!$AD70*VLOOKUP(RECEITAS!$C69,ESCALA!$B$3:$N$19,10,0),0))</f>
        <v/>
      </c>
      <c r="I69" s="4" t="str">
        <f>IF(B69="","",SUM(VLOOKUP(C69,ESCALA!$B$3:$N$19,12,0))*(VLOOKUP(DF!C70,DF!$C$5:$AC$305,27,0))/VLOOKUP(C69,PERFIL!$B$4:$M$20,8,0)*VLOOKUP(C69,PERFIL!$B$4:$M$20,12,0))</f>
        <v/>
      </c>
      <c r="J69" s="120" t="str">
        <f>IF(H69="","",ROUNDUP(DF!$AD70*VLOOKUP(RECEITAS!$C69,ESCALA!$B$3:$N$19,12,0),0))</f>
        <v/>
      </c>
      <c r="K69" s="4" t="str">
        <f>IF(FROTA!AA70="","",FROTA!AA70)</f>
        <v/>
      </c>
      <c r="L69" s="4" t="str">
        <f t="shared" si="1"/>
        <v/>
      </c>
      <c r="M69" s="4" t="str">
        <f>IF(FROTA!AC70="","",FROTA!AC70)</f>
        <v/>
      </c>
      <c r="N69" s="4" t="str">
        <f t="shared" si="2"/>
        <v/>
      </c>
      <c r="O69" s="4" t="str">
        <f>IF(FROTA!AE70="","",FROTA!AE70)</f>
        <v/>
      </c>
      <c r="P69" s="4" t="str">
        <f t="shared" si="3"/>
        <v/>
      </c>
      <c r="Q69" s="4" t="str">
        <f>IF(FROTA!AG70="","",FROTA!AG70)</f>
        <v/>
      </c>
      <c r="R69" s="4" t="str">
        <f t="shared" si="4"/>
        <v/>
      </c>
      <c r="S69" s="164">
        <f t="shared" si="5"/>
        <v>0</v>
      </c>
      <c r="T69" s="257">
        <v>42860</v>
      </c>
      <c r="U69" s="256" t="s">
        <v>60</v>
      </c>
    </row>
    <row r="70" spans="2:21" ht="13.5" customHeight="1" x14ac:dyDescent="0.2">
      <c r="B70" s="23" t="str">
        <f>IF(FROTA!B71="","",FROTA!B71)</f>
        <v/>
      </c>
      <c r="C70" s="139" t="str">
        <f>IF(B70="","",VLOOKUP(B70,FROTA!$B$5:$C$306,2,0))</f>
        <v/>
      </c>
      <c r="D70" s="22" t="str">
        <f t="shared" ref="D70:D133" si="6">IF(B70="","",SUM(E70,G70,I70,L70,N70,P70,R70))</f>
        <v/>
      </c>
      <c r="E70" s="4" t="str">
        <f>IF(B70="","",SUM(VLOOKUP(C70,ESCALA!$B$3:$N$19,8,0))*(VLOOKUP(SEM!C71,SEM!$C$5:$AC$305,27,0)))</f>
        <v/>
      </c>
      <c r="F70" s="120" t="str">
        <f>IF(D70="","",ROUNDUP(SEM!$AD71*VLOOKUP(RECEITAS!$C70,ESCALA!$B$3:$N$19,8,0),0))</f>
        <v/>
      </c>
      <c r="G70" s="4" t="str">
        <f>IF(B70="","",(SUM((VLOOKUP(C70,ESCALA!$B$3:$N$19,10,0))*(VLOOKUP(SAB!C71,SAB!$C$5:$AC$305,27,0))/VLOOKUP(C70,PERFIL!$B$4:$M$20,8,0))*VLOOKUP(C70,PERFIL!$B$4:$M$20,11,0)))</f>
        <v/>
      </c>
      <c r="H70" s="120" t="str">
        <f>IF(F70="","",ROUNDUP(SAB!$AD71*VLOOKUP(RECEITAS!$C70,ESCALA!$B$3:$N$19,10,0),0))</f>
        <v/>
      </c>
      <c r="I70" s="4" t="str">
        <f>IF(B70="","",SUM(VLOOKUP(C70,ESCALA!$B$3:$N$19,12,0))*(VLOOKUP(DF!C71,DF!$C$5:$AC$305,27,0))/VLOOKUP(C70,PERFIL!$B$4:$M$20,8,0)*VLOOKUP(C70,PERFIL!$B$4:$M$20,12,0))</f>
        <v/>
      </c>
      <c r="J70" s="120" t="str">
        <f>IF(H70="","",ROUNDUP(DF!$AD71*VLOOKUP(RECEITAS!$C70,ESCALA!$B$3:$N$19,12,0),0))</f>
        <v/>
      </c>
      <c r="K70" s="4" t="str">
        <f>IF(FROTA!AA71="","",FROTA!AA71)</f>
        <v/>
      </c>
      <c r="L70" s="4" t="str">
        <f t="shared" ref="L70:L133" si="7">IF(K70="sim",SUM($E70,$G70,$I70)*0,"")</f>
        <v/>
      </c>
      <c r="M70" s="4" t="str">
        <f>IF(FROTA!AC71="","",FROTA!AC71)</f>
        <v/>
      </c>
      <c r="N70" s="4" t="str">
        <f t="shared" ref="N70:N133" si="8">IF(M70="sim",SUM($E70,$G70,$I70)*0.0085,"")</f>
        <v/>
      </c>
      <c r="O70" s="4" t="str">
        <f>IF(FROTA!AE71="","",FROTA!AE71)</f>
        <v/>
      </c>
      <c r="P70" s="4" t="str">
        <f t="shared" ref="P70:P133" si="9">IF(O70="sim",SUM($E70,$G70,$I70)*0.0085,"")</f>
        <v/>
      </c>
      <c r="Q70" s="4" t="str">
        <f>IF(FROTA!AG71="","",FROTA!AG71)</f>
        <v/>
      </c>
      <c r="R70" s="4" t="str">
        <f t="shared" ref="R70:R133" si="10">IF(Q70="sim",SUM($E70,$G70,$I70)*0.0085,"")</f>
        <v/>
      </c>
      <c r="S70" s="164">
        <f t="shared" si="5"/>
        <v>0</v>
      </c>
      <c r="T70" s="257">
        <v>42861</v>
      </c>
      <c r="U70" s="256" t="s">
        <v>61</v>
      </c>
    </row>
    <row r="71" spans="2:21" ht="13.5" customHeight="1" x14ac:dyDescent="0.2">
      <c r="B71" s="23" t="str">
        <f>IF(FROTA!B72="","",FROTA!B72)</f>
        <v/>
      </c>
      <c r="C71" s="139" t="str">
        <f>IF(B71="","",VLOOKUP(B71,FROTA!$B$5:$C$306,2,0))</f>
        <v/>
      </c>
      <c r="D71" s="22" t="str">
        <f t="shared" si="6"/>
        <v/>
      </c>
      <c r="E71" s="4" t="str">
        <f>IF(B71="","",SUM(VLOOKUP(C71,ESCALA!$B$3:$N$19,8,0))*(VLOOKUP(SEM!C72,SEM!$C$5:$AC$305,27,0)))</f>
        <v/>
      </c>
      <c r="F71" s="120" t="str">
        <f>IF(D71="","",ROUNDUP(SEM!$AD72*VLOOKUP(RECEITAS!$C71,ESCALA!$B$3:$N$19,8,0),0))</f>
        <v/>
      </c>
      <c r="G71" s="4" t="str">
        <f>IF(B71="","",(SUM((VLOOKUP(C71,ESCALA!$B$3:$N$19,10,0))*(VLOOKUP(SAB!C72,SAB!$C$5:$AC$305,27,0))/VLOOKUP(C71,PERFIL!$B$4:$M$20,8,0))*VLOOKUP(C71,PERFIL!$B$4:$M$20,11,0)))</f>
        <v/>
      </c>
      <c r="H71" s="120" t="str">
        <f>IF(F71="","",ROUNDUP(SAB!$AD72*VLOOKUP(RECEITAS!$C71,ESCALA!$B$3:$N$19,10,0),0))</f>
        <v/>
      </c>
      <c r="I71" s="4" t="str">
        <f>IF(B71="","",SUM(VLOOKUP(C71,ESCALA!$B$3:$N$19,12,0))*(VLOOKUP(DF!C72,DF!$C$5:$AC$305,27,0))/VLOOKUP(C71,PERFIL!$B$4:$M$20,8,0)*VLOOKUP(C71,PERFIL!$B$4:$M$20,12,0))</f>
        <v/>
      </c>
      <c r="J71" s="120" t="str">
        <f>IF(H71="","",ROUNDUP(DF!$AD72*VLOOKUP(RECEITAS!$C71,ESCALA!$B$3:$N$19,12,0),0))</f>
        <v/>
      </c>
      <c r="K71" s="4" t="str">
        <f>IF(FROTA!AA72="","",FROTA!AA72)</f>
        <v/>
      </c>
      <c r="L71" s="4" t="str">
        <f t="shared" si="7"/>
        <v/>
      </c>
      <c r="M71" s="4" t="str">
        <f>IF(FROTA!AC72="","",FROTA!AC72)</f>
        <v/>
      </c>
      <c r="N71" s="4" t="str">
        <f t="shared" si="8"/>
        <v/>
      </c>
      <c r="O71" s="4" t="str">
        <f>IF(FROTA!AE72="","",FROTA!AE72)</f>
        <v/>
      </c>
      <c r="P71" s="4" t="str">
        <f t="shared" si="9"/>
        <v/>
      </c>
      <c r="Q71" s="4" t="str">
        <f>IF(FROTA!AG72="","",FROTA!AG72)</f>
        <v/>
      </c>
      <c r="R71" s="4" t="str">
        <f t="shared" si="10"/>
        <v/>
      </c>
      <c r="S71" s="164">
        <f t="shared" ref="S71:S134" si="11">SUM(E71,G71,I71,L71,N71,P71,R71)</f>
        <v>0</v>
      </c>
      <c r="T71" s="257">
        <v>42862</v>
      </c>
      <c r="U71" s="256" t="s">
        <v>58</v>
      </c>
    </row>
    <row r="72" spans="2:21" ht="13.5" customHeight="1" x14ac:dyDescent="0.2">
      <c r="B72" s="23" t="str">
        <f>IF(FROTA!B73="","",FROTA!B73)</f>
        <v/>
      </c>
      <c r="C72" s="139" t="str">
        <f>IF(B72="","",VLOOKUP(B72,FROTA!$B$5:$C$306,2,0))</f>
        <v/>
      </c>
      <c r="D72" s="22" t="str">
        <f t="shared" si="6"/>
        <v/>
      </c>
      <c r="E72" s="4" t="str">
        <f>IF(B72="","",SUM(VLOOKUP(C72,ESCALA!$B$3:$N$19,8,0))*(VLOOKUP(SEM!C73,SEM!$C$5:$AC$305,27,0)))</f>
        <v/>
      </c>
      <c r="F72" s="120" t="str">
        <f>IF(D72="","",ROUNDUP(SEM!$AD73*VLOOKUP(RECEITAS!$C72,ESCALA!$B$3:$N$19,8,0),0))</f>
        <v/>
      </c>
      <c r="G72" s="4" t="str">
        <f>IF(B72="","",(SUM((VLOOKUP(C72,ESCALA!$B$3:$N$19,10,0))*(VLOOKUP(SAB!C73,SAB!$C$5:$AC$305,27,0))/VLOOKUP(C72,PERFIL!$B$4:$M$20,8,0))*VLOOKUP(C72,PERFIL!$B$4:$M$20,11,0)))</f>
        <v/>
      </c>
      <c r="H72" s="120" t="str">
        <f>IF(F72="","",ROUNDUP(SAB!$AD73*VLOOKUP(RECEITAS!$C72,ESCALA!$B$3:$N$19,10,0),0))</f>
        <v/>
      </c>
      <c r="I72" s="4" t="str">
        <f>IF(B72="","",SUM(VLOOKUP(C72,ESCALA!$B$3:$N$19,12,0))*(VLOOKUP(DF!C73,DF!$C$5:$AC$305,27,0))/VLOOKUP(C72,PERFIL!$B$4:$M$20,8,0)*VLOOKUP(C72,PERFIL!$B$4:$M$20,12,0))</f>
        <v/>
      </c>
      <c r="J72" s="120" t="str">
        <f>IF(H72="","",ROUNDUP(DF!$AD73*VLOOKUP(RECEITAS!$C72,ESCALA!$B$3:$N$19,12,0),0))</f>
        <v/>
      </c>
      <c r="K72" s="4" t="str">
        <f>IF(FROTA!AA73="","",FROTA!AA73)</f>
        <v/>
      </c>
      <c r="L72" s="4" t="str">
        <f t="shared" si="7"/>
        <v/>
      </c>
      <c r="M72" s="4" t="str">
        <f>IF(FROTA!AC73="","",FROTA!AC73)</f>
        <v/>
      </c>
      <c r="N72" s="4" t="str">
        <f t="shared" si="8"/>
        <v/>
      </c>
      <c r="O72" s="4" t="str">
        <f>IF(FROTA!AE73="","",FROTA!AE73)</f>
        <v/>
      </c>
      <c r="P72" s="4" t="str">
        <f t="shared" si="9"/>
        <v/>
      </c>
      <c r="Q72" s="4" t="str">
        <f>IF(FROTA!AG73="","",FROTA!AG73)</f>
        <v/>
      </c>
      <c r="R72" s="4" t="str">
        <f t="shared" si="10"/>
        <v/>
      </c>
      <c r="S72" s="164">
        <f t="shared" si="11"/>
        <v>0</v>
      </c>
      <c r="T72" s="257">
        <v>42863</v>
      </c>
      <c r="U72" s="256" t="s">
        <v>62</v>
      </c>
    </row>
    <row r="73" spans="2:21" ht="13.5" customHeight="1" x14ac:dyDescent="0.2">
      <c r="B73" s="23" t="str">
        <f>IF(FROTA!B74="","",FROTA!B74)</f>
        <v/>
      </c>
      <c r="C73" s="139" t="str">
        <f>IF(B73="","",VLOOKUP(B73,FROTA!$B$5:$C$306,2,0))</f>
        <v/>
      </c>
      <c r="D73" s="22" t="str">
        <f t="shared" si="6"/>
        <v/>
      </c>
      <c r="E73" s="4" t="str">
        <f>IF(B73="","",SUM(VLOOKUP(C73,ESCALA!$B$3:$N$19,8,0))*(VLOOKUP(SEM!C74,SEM!$C$5:$AC$305,27,0)))</f>
        <v/>
      </c>
      <c r="F73" s="120" t="str">
        <f>IF(D73="","",ROUNDUP(SEM!$AD74*VLOOKUP(RECEITAS!$C73,ESCALA!$B$3:$N$19,8,0),0))</f>
        <v/>
      </c>
      <c r="G73" s="4" t="str">
        <f>IF(B73="","",(SUM((VLOOKUP(C73,ESCALA!$B$3:$N$19,10,0))*(VLOOKUP(SAB!C74,SAB!$C$5:$AC$305,27,0))/VLOOKUP(C73,PERFIL!$B$4:$M$20,8,0))*VLOOKUP(C73,PERFIL!$B$4:$M$20,11,0)))</f>
        <v/>
      </c>
      <c r="H73" s="120" t="str">
        <f>IF(F73="","",ROUNDUP(SAB!$AD74*VLOOKUP(RECEITAS!$C73,ESCALA!$B$3:$N$19,10,0),0))</f>
        <v/>
      </c>
      <c r="I73" s="4" t="str">
        <f>IF(B73="","",SUM(VLOOKUP(C73,ESCALA!$B$3:$N$19,12,0))*(VLOOKUP(DF!C74,DF!$C$5:$AC$305,27,0))/VLOOKUP(C73,PERFIL!$B$4:$M$20,8,0)*VLOOKUP(C73,PERFIL!$B$4:$M$20,12,0))</f>
        <v/>
      </c>
      <c r="J73" s="120" t="str">
        <f>IF(H73="","",ROUNDUP(DF!$AD74*VLOOKUP(RECEITAS!$C73,ESCALA!$B$3:$N$19,12,0),0))</f>
        <v/>
      </c>
      <c r="K73" s="4" t="str">
        <f>IF(FROTA!AA74="","",FROTA!AA74)</f>
        <v/>
      </c>
      <c r="L73" s="4" t="str">
        <f t="shared" si="7"/>
        <v/>
      </c>
      <c r="M73" s="4" t="str">
        <f>IF(FROTA!AC74="","",FROTA!AC74)</f>
        <v/>
      </c>
      <c r="N73" s="4" t="str">
        <f t="shared" si="8"/>
        <v/>
      </c>
      <c r="O73" s="4" t="str">
        <f>IF(FROTA!AE74="","",FROTA!AE74)</f>
        <v/>
      </c>
      <c r="P73" s="4" t="str">
        <f t="shared" si="9"/>
        <v/>
      </c>
      <c r="Q73" s="4" t="str">
        <f>IF(FROTA!AG74="","",FROTA!AG74)</f>
        <v/>
      </c>
      <c r="R73" s="4" t="str">
        <f t="shared" si="10"/>
        <v/>
      </c>
      <c r="S73" s="164">
        <f t="shared" si="11"/>
        <v>0</v>
      </c>
      <c r="T73" s="257">
        <v>42864</v>
      </c>
      <c r="U73" s="256" t="s">
        <v>63</v>
      </c>
    </row>
    <row r="74" spans="2:21" ht="13.5" customHeight="1" x14ac:dyDescent="0.2">
      <c r="B74" s="23" t="str">
        <f>IF(FROTA!B75="","",FROTA!B75)</f>
        <v/>
      </c>
      <c r="C74" s="139" t="str">
        <f>IF(B74="","",VLOOKUP(B74,FROTA!$B$5:$C$306,2,0))</f>
        <v/>
      </c>
      <c r="D74" s="22" t="str">
        <f t="shared" si="6"/>
        <v/>
      </c>
      <c r="E74" s="4" t="str">
        <f>IF(B74="","",SUM(VLOOKUP(C74,ESCALA!$B$3:$N$19,8,0))*(VLOOKUP(SEM!C75,SEM!$C$5:$AC$305,27,0)))</f>
        <v/>
      </c>
      <c r="F74" s="120" t="str">
        <f>IF(D74="","",ROUNDUP(SEM!$AD75*VLOOKUP(RECEITAS!$C74,ESCALA!$B$3:$N$19,8,0),0))</f>
        <v/>
      </c>
      <c r="G74" s="4" t="str">
        <f>IF(B74="","",(SUM((VLOOKUP(C74,ESCALA!$B$3:$N$19,10,0))*(VLOOKUP(SAB!C75,SAB!$C$5:$AC$305,27,0))/VLOOKUP(C74,PERFIL!$B$4:$M$20,8,0))*VLOOKUP(C74,PERFIL!$B$4:$M$20,11,0)))</f>
        <v/>
      </c>
      <c r="H74" s="120" t="str">
        <f>IF(F74="","",ROUNDUP(SAB!$AD75*VLOOKUP(RECEITAS!$C74,ESCALA!$B$3:$N$19,10,0),0))</f>
        <v/>
      </c>
      <c r="I74" s="4" t="str">
        <f>IF(B74="","",SUM(VLOOKUP(C74,ESCALA!$B$3:$N$19,12,0))*(VLOOKUP(DF!C75,DF!$C$5:$AC$305,27,0))/VLOOKUP(C74,PERFIL!$B$4:$M$20,8,0)*VLOOKUP(C74,PERFIL!$B$4:$M$20,12,0))</f>
        <v/>
      </c>
      <c r="J74" s="120" t="str">
        <f>IF(H74="","",ROUNDUP(DF!$AD75*VLOOKUP(RECEITAS!$C74,ESCALA!$B$3:$N$19,12,0),0))</f>
        <v/>
      </c>
      <c r="K74" s="4" t="str">
        <f>IF(FROTA!AA75="","",FROTA!AA75)</f>
        <v/>
      </c>
      <c r="L74" s="4" t="str">
        <f t="shared" si="7"/>
        <v/>
      </c>
      <c r="M74" s="4" t="str">
        <f>IF(FROTA!AC75="","",FROTA!AC75)</f>
        <v/>
      </c>
      <c r="N74" s="4" t="str">
        <f t="shared" si="8"/>
        <v/>
      </c>
      <c r="O74" s="4" t="str">
        <f>IF(FROTA!AE75="","",FROTA!AE75)</f>
        <v/>
      </c>
      <c r="P74" s="4" t="str">
        <f t="shared" si="9"/>
        <v/>
      </c>
      <c r="Q74" s="4" t="str">
        <f>IF(FROTA!AG75="","",FROTA!AG75)</f>
        <v/>
      </c>
      <c r="R74" s="4" t="str">
        <f t="shared" si="10"/>
        <v/>
      </c>
      <c r="S74" s="164">
        <f t="shared" si="11"/>
        <v>0</v>
      </c>
      <c r="T74" s="257">
        <v>42865</v>
      </c>
      <c r="U74" s="256" t="s">
        <v>64</v>
      </c>
    </row>
    <row r="75" spans="2:21" ht="13.5" customHeight="1" x14ac:dyDescent="0.2">
      <c r="B75" s="23" t="str">
        <f>IF(FROTA!B76="","",FROTA!B76)</f>
        <v/>
      </c>
      <c r="C75" s="139" t="str">
        <f>IF(B75="","",VLOOKUP(B75,FROTA!$B$5:$C$306,2,0))</f>
        <v/>
      </c>
      <c r="D75" s="22" t="str">
        <f t="shared" si="6"/>
        <v/>
      </c>
      <c r="E75" s="4" t="str">
        <f>IF(B75="","",SUM(VLOOKUP(C75,ESCALA!$B$3:$N$19,8,0))*(VLOOKUP(SEM!C76,SEM!$C$5:$AC$305,27,0)))</f>
        <v/>
      </c>
      <c r="F75" s="120" t="str">
        <f>IF(D75="","",ROUNDUP(SEM!$AD76*VLOOKUP(RECEITAS!$C75,ESCALA!$B$3:$N$19,8,0),0))</f>
        <v/>
      </c>
      <c r="G75" s="4" t="str">
        <f>IF(B75="","",(SUM((VLOOKUP(C75,ESCALA!$B$3:$N$19,10,0))*(VLOOKUP(SAB!C76,SAB!$C$5:$AC$305,27,0))/VLOOKUP(C75,PERFIL!$B$4:$M$20,8,0))*VLOOKUP(C75,PERFIL!$B$4:$M$20,11,0)))</f>
        <v/>
      </c>
      <c r="H75" s="120" t="str">
        <f>IF(F75="","",ROUNDUP(SAB!$AD76*VLOOKUP(RECEITAS!$C75,ESCALA!$B$3:$N$19,10,0),0))</f>
        <v/>
      </c>
      <c r="I75" s="4" t="str">
        <f>IF(B75="","",SUM(VLOOKUP(C75,ESCALA!$B$3:$N$19,12,0))*(VLOOKUP(DF!C76,DF!$C$5:$AC$305,27,0))/VLOOKUP(C75,PERFIL!$B$4:$M$20,8,0)*VLOOKUP(C75,PERFIL!$B$4:$M$20,12,0))</f>
        <v/>
      </c>
      <c r="J75" s="120" t="str">
        <f>IF(H75="","",ROUNDUP(DF!$AD76*VLOOKUP(RECEITAS!$C75,ESCALA!$B$3:$N$19,12,0),0))</f>
        <v/>
      </c>
      <c r="K75" s="4" t="str">
        <f>IF(FROTA!AA76="","",FROTA!AA76)</f>
        <v/>
      </c>
      <c r="L75" s="4" t="str">
        <f t="shared" si="7"/>
        <v/>
      </c>
      <c r="M75" s="4" t="str">
        <f>IF(FROTA!AC76="","",FROTA!AC76)</f>
        <v/>
      </c>
      <c r="N75" s="4" t="str">
        <f t="shared" si="8"/>
        <v/>
      </c>
      <c r="O75" s="4" t="str">
        <f>IF(FROTA!AE76="","",FROTA!AE76)</f>
        <v/>
      </c>
      <c r="P75" s="4" t="str">
        <f t="shared" si="9"/>
        <v/>
      </c>
      <c r="Q75" s="4" t="str">
        <f>IF(FROTA!AG76="","",FROTA!AG76)</f>
        <v/>
      </c>
      <c r="R75" s="4" t="str">
        <f t="shared" si="10"/>
        <v/>
      </c>
      <c r="S75" s="164">
        <f t="shared" si="11"/>
        <v>0</v>
      </c>
      <c r="T75" s="257">
        <v>42866</v>
      </c>
      <c r="U75" s="256" t="s">
        <v>59</v>
      </c>
    </row>
    <row r="76" spans="2:21" ht="13.5" customHeight="1" x14ac:dyDescent="0.2">
      <c r="B76" s="23" t="str">
        <f>IF(FROTA!B77="","",FROTA!B77)</f>
        <v/>
      </c>
      <c r="C76" s="139" t="str">
        <f>IF(B76="","",VLOOKUP(B76,FROTA!$B$5:$C$306,2,0))</f>
        <v/>
      </c>
      <c r="D76" s="22" t="str">
        <f t="shared" si="6"/>
        <v/>
      </c>
      <c r="E76" s="4" t="str">
        <f>IF(B76="","",SUM(VLOOKUP(C76,ESCALA!$B$3:$N$19,8,0))*(VLOOKUP(SEM!C77,SEM!$C$5:$AC$305,27,0)))</f>
        <v/>
      </c>
      <c r="F76" s="120" t="str">
        <f>IF(D76="","",ROUNDUP(SEM!$AD77*VLOOKUP(RECEITAS!$C76,ESCALA!$B$3:$N$19,8,0),0))</f>
        <v/>
      </c>
      <c r="G76" s="4" t="str">
        <f>IF(B76="","",(SUM((VLOOKUP(C76,ESCALA!$B$3:$N$19,10,0))*(VLOOKUP(SAB!C77,SAB!$C$5:$AC$305,27,0))/VLOOKUP(C76,PERFIL!$B$4:$M$20,8,0))*VLOOKUP(C76,PERFIL!$B$4:$M$20,11,0)))</f>
        <v/>
      </c>
      <c r="H76" s="120" t="str">
        <f>IF(F76="","",ROUNDUP(SAB!$AD77*VLOOKUP(RECEITAS!$C76,ESCALA!$B$3:$N$19,10,0),0))</f>
        <v/>
      </c>
      <c r="I76" s="4" t="str">
        <f>IF(B76="","",SUM(VLOOKUP(C76,ESCALA!$B$3:$N$19,12,0))*(VLOOKUP(DF!C77,DF!$C$5:$AC$305,27,0))/VLOOKUP(C76,PERFIL!$B$4:$M$20,8,0)*VLOOKUP(C76,PERFIL!$B$4:$M$20,12,0))</f>
        <v/>
      </c>
      <c r="J76" s="120" t="str">
        <f>IF(H76="","",ROUNDUP(DF!$AD77*VLOOKUP(RECEITAS!$C76,ESCALA!$B$3:$N$19,12,0),0))</f>
        <v/>
      </c>
      <c r="K76" s="4" t="str">
        <f>IF(FROTA!AA77="","",FROTA!AA77)</f>
        <v/>
      </c>
      <c r="L76" s="4" t="str">
        <f t="shared" si="7"/>
        <v/>
      </c>
      <c r="M76" s="4" t="str">
        <f>IF(FROTA!AC77="","",FROTA!AC77)</f>
        <v/>
      </c>
      <c r="N76" s="4" t="str">
        <f t="shared" si="8"/>
        <v/>
      </c>
      <c r="O76" s="4" t="str">
        <f>IF(FROTA!AE77="","",FROTA!AE77)</f>
        <v/>
      </c>
      <c r="P76" s="4" t="str">
        <f t="shared" si="9"/>
        <v/>
      </c>
      <c r="Q76" s="4" t="str">
        <f>IF(FROTA!AG77="","",FROTA!AG77)</f>
        <v/>
      </c>
      <c r="R76" s="4" t="str">
        <f t="shared" si="10"/>
        <v/>
      </c>
      <c r="S76" s="164">
        <f t="shared" si="11"/>
        <v>0</v>
      </c>
      <c r="T76" s="257">
        <v>42867</v>
      </c>
      <c r="U76" s="256" t="s">
        <v>60</v>
      </c>
    </row>
    <row r="77" spans="2:21" ht="13.5" customHeight="1" x14ac:dyDescent="0.2">
      <c r="B77" s="23" t="str">
        <f>IF(FROTA!B78="","",FROTA!B78)</f>
        <v/>
      </c>
      <c r="C77" s="139" t="str">
        <f>IF(B77="","",VLOOKUP(B77,FROTA!$B$5:$C$306,2,0))</f>
        <v/>
      </c>
      <c r="D77" s="22" t="str">
        <f t="shared" si="6"/>
        <v/>
      </c>
      <c r="E77" s="4" t="str">
        <f>IF(B77="","",SUM(VLOOKUP(C77,ESCALA!$B$3:$N$19,8,0))*(VLOOKUP(SEM!C78,SEM!$C$5:$AC$305,27,0)))</f>
        <v/>
      </c>
      <c r="F77" s="120" t="str">
        <f>IF(D77="","",ROUNDUP(SEM!$AD78*VLOOKUP(RECEITAS!$C77,ESCALA!$B$3:$N$19,8,0),0))</f>
        <v/>
      </c>
      <c r="G77" s="4" t="str">
        <f>IF(B77="","",(SUM((VLOOKUP(C77,ESCALA!$B$3:$N$19,10,0))*(VLOOKUP(SAB!C78,SAB!$C$5:$AC$305,27,0))/VLOOKUP(C77,PERFIL!$B$4:$M$20,8,0))*VLOOKUP(C77,PERFIL!$B$4:$M$20,11,0)))</f>
        <v/>
      </c>
      <c r="H77" s="120" t="str">
        <f>IF(F77="","",ROUNDUP(SAB!$AD78*VLOOKUP(RECEITAS!$C77,ESCALA!$B$3:$N$19,10,0),0))</f>
        <v/>
      </c>
      <c r="I77" s="4" t="str">
        <f>IF(B77="","",SUM(VLOOKUP(C77,ESCALA!$B$3:$N$19,12,0))*(VLOOKUP(DF!C78,DF!$C$5:$AC$305,27,0))/VLOOKUP(C77,PERFIL!$B$4:$M$20,8,0)*VLOOKUP(C77,PERFIL!$B$4:$M$20,12,0))</f>
        <v/>
      </c>
      <c r="J77" s="120" t="str">
        <f>IF(H77="","",ROUNDUP(DF!$AD78*VLOOKUP(RECEITAS!$C77,ESCALA!$B$3:$N$19,12,0),0))</f>
        <v/>
      </c>
      <c r="K77" s="4" t="str">
        <f>IF(FROTA!AA78="","",FROTA!AA78)</f>
        <v/>
      </c>
      <c r="L77" s="4" t="str">
        <f t="shared" si="7"/>
        <v/>
      </c>
      <c r="M77" s="4" t="str">
        <f>IF(FROTA!AC78="","",FROTA!AC78)</f>
        <v/>
      </c>
      <c r="N77" s="4" t="str">
        <f t="shared" si="8"/>
        <v/>
      </c>
      <c r="O77" s="4" t="str">
        <f>IF(FROTA!AE78="","",FROTA!AE78)</f>
        <v/>
      </c>
      <c r="P77" s="4" t="str">
        <f t="shared" si="9"/>
        <v/>
      </c>
      <c r="Q77" s="4" t="str">
        <f>IF(FROTA!AG78="","",FROTA!AG78)</f>
        <v/>
      </c>
      <c r="R77" s="4" t="str">
        <f t="shared" si="10"/>
        <v/>
      </c>
      <c r="S77" s="164">
        <f t="shared" si="11"/>
        <v>0</v>
      </c>
      <c r="T77" s="257">
        <v>42868</v>
      </c>
      <c r="U77" s="256" t="s">
        <v>61</v>
      </c>
    </row>
    <row r="78" spans="2:21" ht="13.5" customHeight="1" x14ac:dyDescent="0.2">
      <c r="B78" s="23" t="str">
        <f>IF(FROTA!B79="","",FROTA!B79)</f>
        <v/>
      </c>
      <c r="C78" s="139" t="str">
        <f>IF(B78="","",VLOOKUP(B78,FROTA!$B$5:$C$306,2,0))</f>
        <v/>
      </c>
      <c r="D78" s="22" t="str">
        <f t="shared" si="6"/>
        <v/>
      </c>
      <c r="E78" s="4" t="str">
        <f>IF(B78="","",SUM(VLOOKUP(C78,ESCALA!$B$3:$N$19,8,0))*(VLOOKUP(SEM!C79,SEM!$C$5:$AC$305,27,0)))</f>
        <v/>
      </c>
      <c r="F78" s="120" t="str">
        <f>IF(D78="","",ROUNDUP(SEM!$AD79*VLOOKUP(RECEITAS!$C78,ESCALA!$B$3:$N$19,8,0),0))</f>
        <v/>
      </c>
      <c r="G78" s="4" t="str">
        <f>IF(B78="","",(SUM((VLOOKUP(C78,ESCALA!$B$3:$N$19,10,0))*(VLOOKUP(SAB!C79,SAB!$C$5:$AC$305,27,0))/VLOOKUP(C78,PERFIL!$B$4:$M$20,8,0))*VLOOKUP(C78,PERFIL!$B$4:$M$20,11,0)))</f>
        <v/>
      </c>
      <c r="H78" s="120" t="str">
        <f>IF(F78="","",ROUNDUP(SAB!$AD79*VLOOKUP(RECEITAS!$C78,ESCALA!$B$3:$N$19,10,0),0))</f>
        <v/>
      </c>
      <c r="I78" s="4" t="str">
        <f>IF(B78="","",SUM(VLOOKUP(C78,ESCALA!$B$3:$N$19,12,0))*(VLOOKUP(DF!C79,DF!$C$5:$AC$305,27,0))/VLOOKUP(C78,PERFIL!$B$4:$M$20,8,0)*VLOOKUP(C78,PERFIL!$B$4:$M$20,12,0))</f>
        <v/>
      </c>
      <c r="J78" s="120" t="str">
        <f>IF(H78="","",ROUNDUP(DF!$AD79*VLOOKUP(RECEITAS!$C78,ESCALA!$B$3:$N$19,12,0),0))</f>
        <v/>
      </c>
      <c r="K78" s="4" t="str">
        <f>IF(FROTA!AA79="","",FROTA!AA79)</f>
        <v/>
      </c>
      <c r="L78" s="4" t="str">
        <f t="shared" si="7"/>
        <v/>
      </c>
      <c r="M78" s="4" t="str">
        <f>IF(FROTA!AC79="","",FROTA!AC79)</f>
        <v/>
      </c>
      <c r="N78" s="4" t="str">
        <f t="shared" si="8"/>
        <v/>
      </c>
      <c r="O78" s="4" t="str">
        <f>IF(FROTA!AE79="","",FROTA!AE79)</f>
        <v/>
      </c>
      <c r="P78" s="4" t="str">
        <f t="shared" si="9"/>
        <v/>
      </c>
      <c r="Q78" s="4" t="str">
        <f>IF(FROTA!AG79="","",FROTA!AG79)</f>
        <v/>
      </c>
      <c r="R78" s="4" t="str">
        <f t="shared" si="10"/>
        <v/>
      </c>
      <c r="S78" s="164">
        <f t="shared" si="11"/>
        <v>0</v>
      </c>
      <c r="T78" s="257">
        <v>42869</v>
      </c>
      <c r="U78" s="256" t="s">
        <v>58</v>
      </c>
    </row>
    <row r="79" spans="2:21" ht="13.5" customHeight="1" x14ac:dyDescent="0.2">
      <c r="B79" s="23" t="str">
        <f>IF(FROTA!B80="","",FROTA!B80)</f>
        <v/>
      </c>
      <c r="C79" s="139" t="str">
        <f>IF(B79="","",VLOOKUP(B79,FROTA!$B$5:$C$306,2,0))</f>
        <v/>
      </c>
      <c r="D79" s="22" t="str">
        <f t="shared" si="6"/>
        <v/>
      </c>
      <c r="E79" s="4" t="str">
        <f>IF(B79="","",SUM(VLOOKUP(C79,ESCALA!$B$3:$N$19,8,0))*(VLOOKUP(SEM!C80,SEM!$C$5:$AC$305,27,0)))</f>
        <v/>
      </c>
      <c r="F79" s="120" t="str">
        <f>IF(D79="","",ROUNDUP(SEM!$AD80*VLOOKUP(RECEITAS!$C79,ESCALA!$B$3:$N$19,8,0),0))</f>
        <v/>
      </c>
      <c r="G79" s="4" t="str">
        <f>IF(B79="","",(SUM((VLOOKUP(C79,ESCALA!$B$3:$N$19,10,0))*(VLOOKUP(SAB!C80,SAB!$C$5:$AC$305,27,0))/VLOOKUP(C79,PERFIL!$B$4:$M$20,8,0))*VLOOKUP(C79,PERFIL!$B$4:$M$20,11,0)))</f>
        <v/>
      </c>
      <c r="H79" s="120" t="str">
        <f>IF(F79="","",ROUNDUP(SAB!$AD80*VLOOKUP(RECEITAS!$C79,ESCALA!$B$3:$N$19,10,0),0))</f>
        <v/>
      </c>
      <c r="I79" s="4" t="str">
        <f>IF(B79="","",SUM(VLOOKUP(C79,ESCALA!$B$3:$N$19,12,0))*(VLOOKUP(DF!C80,DF!$C$5:$AC$305,27,0))/VLOOKUP(C79,PERFIL!$B$4:$M$20,8,0)*VLOOKUP(C79,PERFIL!$B$4:$M$20,12,0))</f>
        <v/>
      </c>
      <c r="J79" s="120" t="str">
        <f>IF(H79="","",ROUNDUP(DF!$AD80*VLOOKUP(RECEITAS!$C79,ESCALA!$B$3:$N$19,12,0),0))</f>
        <v/>
      </c>
      <c r="K79" s="4" t="str">
        <f>IF(FROTA!AA80="","",FROTA!AA80)</f>
        <v/>
      </c>
      <c r="L79" s="4" t="str">
        <f t="shared" si="7"/>
        <v/>
      </c>
      <c r="M79" s="4" t="str">
        <f>IF(FROTA!AC80="","",FROTA!AC80)</f>
        <v/>
      </c>
      <c r="N79" s="4" t="str">
        <f t="shared" si="8"/>
        <v/>
      </c>
      <c r="O79" s="4" t="str">
        <f>IF(FROTA!AE80="","",FROTA!AE80)</f>
        <v/>
      </c>
      <c r="P79" s="4" t="str">
        <f t="shared" si="9"/>
        <v/>
      </c>
      <c r="Q79" s="4" t="str">
        <f>IF(FROTA!AG80="","",FROTA!AG80)</f>
        <v/>
      </c>
      <c r="R79" s="4" t="str">
        <f t="shared" si="10"/>
        <v/>
      </c>
      <c r="S79" s="164">
        <f t="shared" si="11"/>
        <v>0</v>
      </c>
      <c r="T79" s="257">
        <v>42870</v>
      </c>
      <c r="U79" s="256" t="s">
        <v>62</v>
      </c>
    </row>
    <row r="80" spans="2:21" ht="13.5" customHeight="1" x14ac:dyDescent="0.2">
      <c r="B80" s="23" t="str">
        <f>IF(FROTA!B81="","",FROTA!B81)</f>
        <v/>
      </c>
      <c r="C80" s="139" t="str">
        <f>IF(B80="","",VLOOKUP(B80,FROTA!$B$5:$C$306,2,0))</f>
        <v/>
      </c>
      <c r="D80" s="22" t="str">
        <f t="shared" si="6"/>
        <v/>
      </c>
      <c r="E80" s="4" t="str">
        <f>IF(B80="","",SUM(VLOOKUP(C80,ESCALA!$B$3:$N$19,8,0))*(VLOOKUP(SEM!C81,SEM!$C$5:$AC$305,27,0)))</f>
        <v/>
      </c>
      <c r="F80" s="120" t="str">
        <f>IF(D80="","",ROUNDUP(SEM!$AD81*VLOOKUP(RECEITAS!$C80,ESCALA!$B$3:$N$19,8,0),0))</f>
        <v/>
      </c>
      <c r="G80" s="4" t="str">
        <f>IF(B80="","",(SUM((VLOOKUP(C80,ESCALA!$B$3:$N$19,10,0))*(VLOOKUP(SAB!C81,SAB!$C$5:$AC$305,27,0))/VLOOKUP(C80,PERFIL!$B$4:$M$20,8,0))*VLOOKUP(C80,PERFIL!$B$4:$M$20,11,0)))</f>
        <v/>
      </c>
      <c r="H80" s="120" t="str">
        <f>IF(F80="","",ROUNDUP(SAB!$AD81*VLOOKUP(RECEITAS!$C80,ESCALA!$B$3:$N$19,10,0),0))</f>
        <v/>
      </c>
      <c r="I80" s="4" t="str">
        <f>IF(B80="","",SUM(VLOOKUP(C80,ESCALA!$B$3:$N$19,12,0))*(VLOOKUP(DF!C81,DF!$C$5:$AC$305,27,0))/VLOOKUP(C80,PERFIL!$B$4:$M$20,8,0)*VLOOKUP(C80,PERFIL!$B$4:$M$20,12,0))</f>
        <v/>
      </c>
      <c r="J80" s="120" t="str">
        <f>IF(H80="","",ROUNDUP(DF!$AD81*VLOOKUP(RECEITAS!$C80,ESCALA!$B$3:$N$19,12,0),0))</f>
        <v/>
      </c>
      <c r="K80" s="4" t="str">
        <f>IF(FROTA!AA81="","",FROTA!AA81)</f>
        <v/>
      </c>
      <c r="L80" s="4" t="str">
        <f t="shared" si="7"/>
        <v/>
      </c>
      <c r="M80" s="4" t="str">
        <f>IF(FROTA!AC81="","",FROTA!AC81)</f>
        <v/>
      </c>
      <c r="N80" s="4" t="str">
        <f t="shared" si="8"/>
        <v/>
      </c>
      <c r="O80" s="4" t="str">
        <f>IF(FROTA!AE81="","",FROTA!AE81)</f>
        <v/>
      </c>
      <c r="P80" s="4" t="str">
        <f t="shared" si="9"/>
        <v/>
      </c>
      <c r="Q80" s="4" t="str">
        <f>IF(FROTA!AG81="","",FROTA!AG81)</f>
        <v/>
      </c>
      <c r="R80" s="4" t="str">
        <f t="shared" si="10"/>
        <v/>
      </c>
      <c r="S80" s="164">
        <f t="shared" si="11"/>
        <v>0</v>
      </c>
      <c r="T80" s="257">
        <v>42871</v>
      </c>
      <c r="U80" s="256" t="s">
        <v>63</v>
      </c>
    </row>
    <row r="81" spans="2:21" ht="13.5" customHeight="1" x14ac:dyDescent="0.2">
      <c r="B81" s="23" t="str">
        <f>IF(FROTA!B82="","",FROTA!B82)</f>
        <v/>
      </c>
      <c r="C81" s="139" t="str">
        <f>IF(B81="","",VLOOKUP(B81,FROTA!$B$5:$C$306,2,0))</f>
        <v/>
      </c>
      <c r="D81" s="22" t="str">
        <f t="shared" si="6"/>
        <v/>
      </c>
      <c r="E81" s="4" t="str">
        <f>IF(B81="","",SUM(VLOOKUP(C81,ESCALA!$B$3:$N$19,8,0))*(VLOOKUP(SEM!C82,SEM!$C$5:$AC$305,27,0)))</f>
        <v/>
      </c>
      <c r="F81" s="120" t="str">
        <f>IF(D81="","",ROUNDUP(SEM!$AD82*VLOOKUP(RECEITAS!$C81,ESCALA!$B$3:$N$19,8,0),0))</f>
        <v/>
      </c>
      <c r="G81" s="4" t="str">
        <f>IF(B81="","",(SUM((VLOOKUP(C81,ESCALA!$B$3:$N$19,10,0))*(VLOOKUP(SAB!C82,SAB!$C$5:$AC$305,27,0))/VLOOKUP(C81,PERFIL!$B$4:$M$20,8,0))*VLOOKUP(C81,PERFIL!$B$4:$M$20,11,0)))</f>
        <v/>
      </c>
      <c r="H81" s="120" t="str">
        <f>IF(F81="","",ROUNDUP(SAB!$AD82*VLOOKUP(RECEITAS!$C81,ESCALA!$B$3:$N$19,10,0),0))</f>
        <v/>
      </c>
      <c r="I81" s="4" t="str">
        <f>IF(B81="","",SUM(VLOOKUP(C81,ESCALA!$B$3:$N$19,12,0))*(VLOOKUP(DF!C82,DF!$C$5:$AC$305,27,0))/VLOOKUP(C81,PERFIL!$B$4:$M$20,8,0)*VLOOKUP(C81,PERFIL!$B$4:$M$20,12,0))</f>
        <v/>
      </c>
      <c r="J81" s="120" t="str">
        <f>IF(H81="","",ROUNDUP(DF!$AD82*VLOOKUP(RECEITAS!$C81,ESCALA!$B$3:$N$19,12,0),0))</f>
        <v/>
      </c>
      <c r="K81" s="4" t="str">
        <f>IF(FROTA!AA82="","",FROTA!AA82)</f>
        <v/>
      </c>
      <c r="L81" s="4" t="str">
        <f t="shared" si="7"/>
        <v/>
      </c>
      <c r="M81" s="4" t="str">
        <f>IF(FROTA!AC82="","",FROTA!AC82)</f>
        <v/>
      </c>
      <c r="N81" s="4" t="str">
        <f t="shared" si="8"/>
        <v/>
      </c>
      <c r="O81" s="4" t="str">
        <f>IF(FROTA!AE82="","",FROTA!AE82)</f>
        <v/>
      </c>
      <c r="P81" s="4" t="str">
        <f t="shared" si="9"/>
        <v/>
      </c>
      <c r="Q81" s="4" t="str">
        <f>IF(FROTA!AG82="","",FROTA!AG82)</f>
        <v/>
      </c>
      <c r="R81" s="4" t="str">
        <f t="shared" si="10"/>
        <v/>
      </c>
      <c r="S81" s="164">
        <f t="shared" si="11"/>
        <v>0</v>
      </c>
      <c r="T81" s="257">
        <v>42872</v>
      </c>
      <c r="U81" s="256" t="s">
        <v>64</v>
      </c>
    </row>
    <row r="82" spans="2:21" ht="13.5" customHeight="1" x14ac:dyDescent="0.2">
      <c r="B82" s="23" t="str">
        <f>IF(FROTA!B83="","",FROTA!B83)</f>
        <v/>
      </c>
      <c r="C82" s="139" t="str">
        <f>IF(B82="","",VLOOKUP(B82,FROTA!$B$5:$C$306,2,0))</f>
        <v/>
      </c>
      <c r="D82" s="22" t="str">
        <f t="shared" si="6"/>
        <v/>
      </c>
      <c r="E82" s="4" t="str">
        <f>IF(B82="","",SUM(VLOOKUP(C82,ESCALA!$B$3:$N$19,8,0))*(VLOOKUP(SEM!C83,SEM!$C$5:$AC$305,27,0)))</f>
        <v/>
      </c>
      <c r="F82" s="120" t="str">
        <f>IF(D82="","",ROUNDUP(SEM!$AD83*VLOOKUP(RECEITAS!$C82,ESCALA!$B$3:$N$19,8,0),0))</f>
        <v/>
      </c>
      <c r="G82" s="4" t="str">
        <f>IF(B82="","",(SUM((VLOOKUP(C82,ESCALA!$B$3:$N$19,10,0))*(VLOOKUP(SAB!C83,SAB!$C$5:$AC$305,27,0))/VLOOKUP(C82,PERFIL!$B$4:$M$20,8,0))*VLOOKUP(C82,PERFIL!$B$4:$M$20,11,0)))</f>
        <v/>
      </c>
      <c r="H82" s="120" t="str">
        <f>IF(F82="","",ROUNDUP(SAB!$AD83*VLOOKUP(RECEITAS!$C82,ESCALA!$B$3:$N$19,10,0),0))</f>
        <v/>
      </c>
      <c r="I82" s="4" t="str">
        <f>IF(B82="","",SUM(VLOOKUP(C82,ESCALA!$B$3:$N$19,12,0))*(VLOOKUP(DF!C83,DF!$C$5:$AC$305,27,0))/VLOOKUP(C82,PERFIL!$B$4:$M$20,8,0)*VLOOKUP(C82,PERFIL!$B$4:$M$20,12,0))</f>
        <v/>
      </c>
      <c r="J82" s="120" t="str">
        <f>IF(H82="","",ROUNDUP(DF!$AD83*VLOOKUP(RECEITAS!$C82,ESCALA!$B$3:$N$19,12,0),0))</f>
        <v/>
      </c>
      <c r="K82" s="4" t="str">
        <f>IF(FROTA!AA83="","",FROTA!AA83)</f>
        <v/>
      </c>
      <c r="L82" s="4" t="str">
        <f t="shared" si="7"/>
        <v/>
      </c>
      <c r="M82" s="4" t="str">
        <f>IF(FROTA!AC83="","",FROTA!AC83)</f>
        <v/>
      </c>
      <c r="N82" s="4" t="str">
        <f t="shared" si="8"/>
        <v/>
      </c>
      <c r="O82" s="4" t="str">
        <f>IF(FROTA!AE83="","",FROTA!AE83)</f>
        <v/>
      </c>
      <c r="P82" s="4" t="str">
        <f t="shared" si="9"/>
        <v/>
      </c>
      <c r="Q82" s="4" t="str">
        <f>IF(FROTA!AG83="","",FROTA!AG83)</f>
        <v/>
      </c>
      <c r="R82" s="4" t="str">
        <f t="shared" si="10"/>
        <v/>
      </c>
      <c r="S82" s="164">
        <f t="shared" si="11"/>
        <v>0</v>
      </c>
      <c r="T82" s="257">
        <v>42873</v>
      </c>
      <c r="U82" s="256" t="s">
        <v>59</v>
      </c>
    </row>
    <row r="83" spans="2:21" ht="13.5" customHeight="1" x14ac:dyDescent="0.2">
      <c r="B83" s="23" t="str">
        <f>IF(FROTA!B84="","",FROTA!B84)</f>
        <v/>
      </c>
      <c r="C83" s="139" t="str">
        <f>IF(B83="","",VLOOKUP(B83,FROTA!$B$5:$C$306,2,0))</f>
        <v/>
      </c>
      <c r="D83" s="22" t="str">
        <f t="shared" si="6"/>
        <v/>
      </c>
      <c r="E83" s="4" t="str">
        <f>IF(B83="","",SUM(VLOOKUP(C83,ESCALA!$B$3:$N$19,8,0))*(VLOOKUP(SEM!C84,SEM!$C$5:$AC$305,27,0)))</f>
        <v/>
      </c>
      <c r="F83" s="120" t="str">
        <f>IF(D83="","",ROUNDUP(SEM!$AD84*VLOOKUP(RECEITAS!$C83,ESCALA!$B$3:$N$19,8,0),0))</f>
        <v/>
      </c>
      <c r="G83" s="4" t="str">
        <f>IF(B83="","",(SUM((VLOOKUP(C83,ESCALA!$B$3:$N$19,10,0))*(VLOOKUP(SAB!C84,SAB!$C$5:$AC$305,27,0))/VLOOKUP(C83,PERFIL!$B$4:$M$20,8,0))*VLOOKUP(C83,PERFIL!$B$4:$M$20,11,0)))</f>
        <v/>
      </c>
      <c r="H83" s="120" t="str">
        <f>IF(F83="","",ROUNDUP(SAB!$AD84*VLOOKUP(RECEITAS!$C83,ESCALA!$B$3:$N$19,10,0),0))</f>
        <v/>
      </c>
      <c r="I83" s="4" t="str">
        <f>IF(B83="","",SUM(VLOOKUP(C83,ESCALA!$B$3:$N$19,12,0))*(VLOOKUP(DF!C84,DF!$C$5:$AC$305,27,0))/VLOOKUP(C83,PERFIL!$B$4:$M$20,8,0)*VLOOKUP(C83,PERFIL!$B$4:$M$20,12,0))</f>
        <v/>
      </c>
      <c r="J83" s="120" t="str">
        <f>IF(H83="","",ROUNDUP(DF!$AD84*VLOOKUP(RECEITAS!$C83,ESCALA!$B$3:$N$19,12,0),0))</f>
        <v/>
      </c>
      <c r="K83" s="4" t="str">
        <f>IF(FROTA!AA84="","",FROTA!AA84)</f>
        <v/>
      </c>
      <c r="L83" s="4" t="str">
        <f t="shared" si="7"/>
        <v/>
      </c>
      <c r="M83" s="4" t="str">
        <f>IF(FROTA!AC84="","",FROTA!AC84)</f>
        <v/>
      </c>
      <c r="N83" s="4" t="str">
        <f t="shared" si="8"/>
        <v/>
      </c>
      <c r="O83" s="4" t="str">
        <f>IF(FROTA!AE84="","",FROTA!AE84)</f>
        <v/>
      </c>
      <c r="P83" s="4" t="str">
        <f t="shared" si="9"/>
        <v/>
      </c>
      <c r="Q83" s="4" t="str">
        <f>IF(FROTA!AG84="","",FROTA!AG84)</f>
        <v/>
      </c>
      <c r="R83" s="4" t="str">
        <f t="shared" si="10"/>
        <v/>
      </c>
      <c r="S83" s="164">
        <f t="shared" si="11"/>
        <v>0</v>
      </c>
      <c r="T83" s="257">
        <v>42874</v>
      </c>
      <c r="U83" s="256" t="s">
        <v>60</v>
      </c>
    </row>
    <row r="84" spans="2:21" ht="13.5" customHeight="1" x14ac:dyDescent="0.2">
      <c r="B84" s="23" t="str">
        <f>IF(FROTA!B85="","",FROTA!B85)</f>
        <v/>
      </c>
      <c r="C84" s="139" t="str">
        <f>IF(B84="","",VLOOKUP(B84,FROTA!$B$5:$C$306,2,0))</f>
        <v/>
      </c>
      <c r="D84" s="22" t="str">
        <f t="shared" si="6"/>
        <v/>
      </c>
      <c r="E84" s="4" t="str">
        <f>IF(B84="","",SUM(VLOOKUP(C84,ESCALA!$B$3:$N$19,8,0))*(VLOOKUP(SEM!C85,SEM!$C$5:$AC$305,27,0)))</f>
        <v/>
      </c>
      <c r="F84" s="120" t="str">
        <f>IF(D84="","",ROUNDUP(SEM!$AD85*VLOOKUP(RECEITAS!$C84,ESCALA!$B$3:$N$19,8,0),0))</f>
        <v/>
      </c>
      <c r="G84" s="4" t="str">
        <f>IF(B84="","",(SUM((VLOOKUP(C84,ESCALA!$B$3:$N$19,10,0))*(VLOOKUP(SAB!C85,SAB!$C$5:$AC$305,27,0))/VLOOKUP(C84,PERFIL!$B$4:$M$20,8,0))*VLOOKUP(C84,PERFIL!$B$4:$M$20,11,0)))</f>
        <v/>
      </c>
      <c r="H84" s="120" t="str">
        <f>IF(F84="","",ROUNDUP(SAB!$AD85*VLOOKUP(RECEITAS!$C84,ESCALA!$B$3:$N$19,10,0),0))</f>
        <v/>
      </c>
      <c r="I84" s="4" t="str">
        <f>IF(B84="","",SUM(VLOOKUP(C84,ESCALA!$B$3:$N$19,12,0))*(VLOOKUP(DF!C85,DF!$C$5:$AC$305,27,0))/VLOOKUP(C84,PERFIL!$B$4:$M$20,8,0)*VLOOKUP(C84,PERFIL!$B$4:$M$20,12,0))</f>
        <v/>
      </c>
      <c r="J84" s="120" t="str">
        <f>IF(H84="","",ROUNDUP(DF!$AD85*VLOOKUP(RECEITAS!$C84,ESCALA!$B$3:$N$19,12,0),0))</f>
        <v/>
      </c>
      <c r="K84" s="4" t="str">
        <f>IF(FROTA!AA85="","",FROTA!AA85)</f>
        <v/>
      </c>
      <c r="L84" s="4" t="str">
        <f t="shared" si="7"/>
        <v/>
      </c>
      <c r="M84" s="4" t="str">
        <f>IF(FROTA!AC85="","",FROTA!AC85)</f>
        <v/>
      </c>
      <c r="N84" s="4" t="str">
        <f t="shared" si="8"/>
        <v/>
      </c>
      <c r="O84" s="4" t="str">
        <f>IF(FROTA!AE85="","",FROTA!AE85)</f>
        <v/>
      </c>
      <c r="P84" s="4" t="str">
        <f t="shared" si="9"/>
        <v/>
      </c>
      <c r="Q84" s="4" t="str">
        <f>IF(FROTA!AG85="","",FROTA!AG85)</f>
        <v/>
      </c>
      <c r="R84" s="4" t="str">
        <f t="shared" si="10"/>
        <v/>
      </c>
      <c r="S84" s="164">
        <f t="shared" si="11"/>
        <v>0</v>
      </c>
      <c r="T84" s="257">
        <v>42875</v>
      </c>
      <c r="U84" s="256" t="s">
        <v>61</v>
      </c>
    </row>
    <row r="85" spans="2:21" ht="13.5" customHeight="1" x14ac:dyDescent="0.2">
      <c r="B85" s="23" t="str">
        <f>IF(FROTA!B86="","",FROTA!B86)</f>
        <v/>
      </c>
      <c r="C85" s="139" t="str">
        <f>IF(B85="","",VLOOKUP(B85,FROTA!$B$5:$C$306,2,0))</f>
        <v/>
      </c>
      <c r="D85" s="22" t="str">
        <f t="shared" si="6"/>
        <v/>
      </c>
      <c r="E85" s="4" t="str">
        <f>IF(B85="","",SUM(VLOOKUP(C85,ESCALA!$B$3:$N$19,8,0))*(VLOOKUP(SEM!C86,SEM!$C$5:$AC$305,27,0)))</f>
        <v/>
      </c>
      <c r="F85" s="120" t="str">
        <f>IF(D85="","",ROUNDUP(SEM!$AD86*VLOOKUP(RECEITAS!$C85,ESCALA!$B$3:$N$19,8,0),0))</f>
        <v/>
      </c>
      <c r="G85" s="4" t="str">
        <f>IF(B85="","",(SUM((VLOOKUP(C85,ESCALA!$B$3:$N$19,10,0))*(VLOOKUP(SAB!C86,SAB!$C$5:$AC$305,27,0))/VLOOKUP(C85,PERFIL!$B$4:$M$20,8,0))*VLOOKUP(C85,PERFIL!$B$4:$M$20,11,0)))</f>
        <v/>
      </c>
      <c r="H85" s="120" t="str">
        <f>IF(F85="","",ROUNDUP(SAB!$AD86*VLOOKUP(RECEITAS!$C85,ESCALA!$B$3:$N$19,10,0),0))</f>
        <v/>
      </c>
      <c r="I85" s="4" t="str">
        <f>IF(B85="","",SUM(VLOOKUP(C85,ESCALA!$B$3:$N$19,12,0))*(VLOOKUP(DF!C86,DF!$C$5:$AC$305,27,0))/VLOOKUP(C85,PERFIL!$B$4:$M$20,8,0)*VLOOKUP(C85,PERFIL!$B$4:$M$20,12,0))</f>
        <v/>
      </c>
      <c r="J85" s="120" t="str">
        <f>IF(H85="","",ROUNDUP(DF!$AD86*VLOOKUP(RECEITAS!$C85,ESCALA!$B$3:$N$19,12,0),0))</f>
        <v/>
      </c>
      <c r="K85" s="4" t="str">
        <f>IF(FROTA!AA86="","",FROTA!AA86)</f>
        <v/>
      </c>
      <c r="L85" s="4" t="str">
        <f t="shared" si="7"/>
        <v/>
      </c>
      <c r="M85" s="4" t="str">
        <f>IF(FROTA!AC86="","",FROTA!AC86)</f>
        <v/>
      </c>
      <c r="N85" s="4" t="str">
        <f t="shared" si="8"/>
        <v/>
      </c>
      <c r="O85" s="4" t="str">
        <f>IF(FROTA!AE86="","",FROTA!AE86)</f>
        <v/>
      </c>
      <c r="P85" s="4" t="str">
        <f t="shared" si="9"/>
        <v/>
      </c>
      <c r="Q85" s="4" t="str">
        <f>IF(FROTA!AG86="","",FROTA!AG86)</f>
        <v/>
      </c>
      <c r="R85" s="4" t="str">
        <f t="shared" si="10"/>
        <v/>
      </c>
      <c r="S85" s="164">
        <f t="shared" si="11"/>
        <v>0</v>
      </c>
      <c r="T85" s="257">
        <v>42876</v>
      </c>
      <c r="U85" s="256" t="s">
        <v>58</v>
      </c>
    </row>
    <row r="86" spans="2:21" ht="13.5" customHeight="1" x14ac:dyDescent="0.2">
      <c r="B86" s="23" t="str">
        <f>IF(FROTA!B87="","",FROTA!B87)</f>
        <v/>
      </c>
      <c r="C86" s="139" t="str">
        <f>IF(B86="","",VLOOKUP(B86,FROTA!$B$5:$C$306,2,0))</f>
        <v/>
      </c>
      <c r="D86" s="22" t="str">
        <f t="shared" si="6"/>
        <v/>
      </c>
      <c r="E86" s="4" t="str">
        <f>IF(B86="","",SUM(VLOOKUP(C86,ESCALA!$B$3:$N$19,8,0))*(VLOOKUP(SEM!C87,SEM!$C$5:$AC$305,27,0)))</f>
        <v/>
      </c>
      <c r="F86" s="120" t="str">
        <f>IF(D86="","",ROUNDUP(SEM!$AD87*VLOOKUP(RECEITAS!$C86,ESCALA!$B$3:$N$19,8,0),0))</f>
        <v/>
      </c>
      <c r="G86" s="4" t="str">
        <f>IF(B86="","",(SUM((VLOOKUP(C86,ESCALA!$B$3:$N$19,10,0))*(VLOOKUP(SAB!C87,SAB!$C$5:$AC$305,27,0))/VLOOKUP(C86,PERFIL!$B$4:$M$20,8,0))*VLOOKUP(C86,PERFIL!$B$4:$M$20,11,0)))</f>
        <v/>
      </c>
      <c r="H86" s="120" t="str">
        <f>IF(F86="","",ROUNDUP(SAB!$AD87*VLOOKUP(RECEITAS!$C86,ESCALA!$B$3:$N$19,10,0),0))</f>
        <v/>
      </c>
      <c r="I86" s="4" t="str">
        <f>IF(B86="","",SUM(VLOOKUP(C86,ESCALA!$B$3:$N$19,12,0))*(VLOOKUP(DF!C87,DF!$C$5:$AC$305,27,0))/VLOOKUP(C86,PERFIL!$B$4:$M$20,8,0)*VLOOKUP(C86,PERFIL!$B$4:$M$20,12,0))</f>
        <v/>
      </c>
      <c r="J86" s="120" t="str">
        <f>IF(H86="","",ROUNDUP(DF!$AD87*VLOOKUP(RECEITAS!$C86,ESCALA!$B$3:$N$19,12,0),0))</f>
        <v/>
      </c>
      <c r="K86" s="4" t="str">
        <f>IF(FROTA!AA87="","",FROTA!AA87)</f>
        <v/>
      </c>
      <c r="L86" s="4" t="str">
        <f t="shared" si="7"/>
        <v/>
      </c>
      <c r="M86" s="4" t="str">
        <f>IF(FROTA!AC87="","",FROTA!AC87)</f>
        <v/>
      </c>
      <c r="N86" s="4" t="str">
        <f t="shared" si="8"/>
        <v/>
      </c>
      <c r="O86" s="4" t="str">
        <f>IF(FROTA!AE87="","",FROTA!AE87)</f>
        <v/>
      </c>
      <c r="P86" s="4" t="str">
        <f t="shared" si="9"/>
        <v/>
      </c>
      <c r="Q86" s="4" t="str">
        <f>IF(FROTA!AG87="","",FROTA!AG87)</f>
        <v/>
      </c>
      <c r="R86" s="4" t="str">
        <f t="shared" si="10"/>
        <v/>
      </c>
      <c r="S86" s="164">
        <f t="shared" si="11"/>
        <v>0</v>
      </c>
      <c r="T86" s="257">
        <v>42877</v>
      </c>
      <c r="U86" s="256" t="s">
        <v>62</v>
      </c>
    </row>
    <row r="87" spans="2:21" ht="13.5" customHeight="1" x14ac:dyDescent="0.2">
      <c r="B87" s="23" t="str">
        <f>IF(FROTA!B88="","",FROTA!B88)</f>
        <v/>
      </c>
      <c r="C87" s="139" t="str">
        <f>IF(B87="","",VLOOKUP(B87,FROTA!$B$5:$C$306,2,0))</f>
        <v/>
      </c>
      <c r="D87" s="22" t="str">
        <f t="shared" si="6"/>
        <v/>
      </c>
      <c r="E87" s="4" t="str">
        <f>IF(B87="","",SUM(VLOOKUP(C87,ESCALA!$B$3:$N$19,8,0))*(VLOOKUP(SEM!C88,SEM!$C$5:$AC$305,27,0)))</f>
        <v/>
      </c>
      <c r="F87" s="120" t="str">
        <f>IF(D87="","",ROUNDUP(SEM!$AD88*VLOOKUP(RECEITAS!$C87,ESCALA!$B$3:$N$19,8,0),0))</f>
        <v/>
      </c>
      <c r="G87" s="4" t="str">
        <f>IF(B87="","",(SUM((VLOOKUP(C87,ESCALA!$B$3:$N$19,10,0))*(VLOOKUP(SAB!C88,SAB!$C$5:$AC$305,27,0))/VLOOKUP(C87,PERFIL!$B$4:$M$20,8,0))*VLOOKUP(C87,PERFIL!$B$4:$M$20,11,0)))</f>
        <v/>
      </c>
      <c r="H87" s="120" t="str">
        <f>IF(F87="","",ROUNDUP(SAB!$AD88*VLOOKUP(RECEITAS!$C87,ESCALA!$B$3:$N$19,10,0),0))</f>
        <v/>
      </c>
      <c r="I87" s="4" t="str">
        <f>IF(B87="","",SUM(VLOOKUP(C87,ESCALA!$B$3:$N$19,12,0))*(VLOOKUP(DF!C88,DF!$C$5:$AC$305,27,0))/VLOOKUP(C87,PERFIL!$B$4:$M$20,8,0)*VLOOKUP(C87,PERFIL!$B$4:$M$20,12,0))</f>
        <v/>
      </c>
      <c r="J87" s="120" t="str">
        <f>IF(H87="","",ROUNDUP(DF!$AD88*VLOOKUP(RECEITAS!$C87,ESCALA!$B$3:$N$19,12,0),0))</f>
        <v/>
      </c>
      <c r="K87" s="4" t="str">
        <f>IF(FROTA!AA88="","",FROTA!AA88)</f>
        <v/>
      </c>
      <c r="L87" s="4" t="str">
        <f t="shared" si="7"/>
        <v/>
      </c>
      <c r="M87" s="4" t="str">
        <f>IF(FROTA!AC88="","",FROTA!AC88)</f>
        <v/>
      </c>
      <c r="N87" s="4" t="str">
        <f t="shared" si="8"/>
        <v/>
      </c>
      <c r="O87" s="4" t="str">
        <f>IF(FROTA!AE88="","",FROTA!AE88)</f>
        <v/>
      </c>
      <c r="P87" s="4" t="str">
        <f t="shared" si="9"/>
        <v/>
      </c>
      <c r="Q87" s="4" t="str">
        <f>IF(FROTA!AG88="","",FROTA!AG88)</f>
        <v/>
      </c>
      <c r="R87" s="4" t="str">
        <f t="shared" si="10"/>
        <v/>
      </c>
      <c r="S87" s="164">
        <f t="shared" si="11"/>
        <v>0</v>
      </c>
      <c r="T87" s="257">
        <v>42878</v>
      </c>
      <c r="U87" s="256" t="s">
        <v>63</v>
      </c>
    </row>
    <row r="88" spans="2:21" ht="13.5" customHeight="1" x14ac:dyDescent="0.2">
      <c r="B88" s="23" t="str">
        <f>IF(FROTA!B89="","",FROTA!B89)</f>
        <v/>
      </c>
      <c r="C88" s="139" t="str">
        <f>IF(B88="","",VLOOKUP(B88,FROTA!$B$5:$C$306,2,0))</f>
        <v/>
      </c>
      <c r="D88" s="22" t="str">
        <f t="shared" si="6"/>
        <v/>
      </c>
      <c r="E88" s="4" t="str">
        <f>IF(B88="","",SUM(VLOOKUP(C88,ESCALA!$B$3:$N$19,8,0))*(VLOOKUP(SEM!C89,SEM!$C$5:$AC$305,27,0)))</f>
        <v/>
      </c>
      <c r="F88" s="120" t="str">
        <f>IF(D88="","",ROUNDUP(SEM!$AD89*VLOOKUP(RECEITAS!$C88,ESCALA!$B$3:$N$19,8,0),0))</f>
        <v/>
      </c>
      <c r="G88" s="4" t="str">
        <f>IF(B88="","",(SUM((VLOOKUP(C88,ESCALA!$B$3:$N$19,10,0))*(VLOOKUP(SAB!C89,SAB!$C$5:$AC$305,27,0))/VLOOKUP(C88,PERFIL!$B$4:$M$20,8,0))*VLOOKUP(C88,PERFIL!$B$4:$M$20,11,0)))</f>
        <v/>
      </c>
      <c r="H88" s="120" t="str">
        <f>IF(F88="","",ROUNDUP(SAB!$AD89*VLOOKUP(RECEITAS!$C88,ESCALA!$B$3:$N$19,10,0),0))</f>
        <v/>
      </c>
      <c r="I88" s="4" t="str">
        <f>IF(B88="","",SUM(VLOOKUP(C88,ESCALA!$B$3:$N$19,12,0))*(VLOOKUP(DF!C89,DF!$C$5:$AC$305,27,0))/VLOOKUP(C88,PERFIL!$B$4:$M$20,8,0)*VLOOKUP(C88,PERFIL!$B$4:$M$20,12,0))</f>
        <v/>
      </c>
      <c r="J88" s="120" t="str">
        <f>IF(H88="","",ROUNDUP(DF!$AD89*VLOOKUP(RECEITAS!$C88,ESCALA!$B$3:$N$19,12,0),0))</f>
        <v/>
      </c>
      <c r="K88" s="4" t="str">
        <f>IF(FROTA!AA89="","",FROTA!AA89)</f>
        <v/>
      </c>
      <c r="L88" s="4" t="str">
        <f t="shared" si="7"/>
        <v/>
      </c>
      <c r="M88" s="4" t="str">
        <f>IF(FROTA!AC89="","",FROTA!AC89)</f>
        <v/>
      </c>
      <c r="N88" s="4" t="str">
        <f t="shared" si="8"/>
        <v/>
      </c>
      <c r="O88" s="4" t="str">
        <f>IF(FROTA!AE89="","",FROTA!AE89)</f>
        <v/>
      </c>
      <c r="P88" s="4" t="str">
        <f t="shared" si="9"/>
        <v/>
      </c>
      <c r="Q88" s="4" t="str">
        <f>IF(FROTA!AG89="","",FROTA!AG89)</f>
        <v/>
      </c>
      <c r="R88" s="4" t="str">
        <f t="shared" si="10"/>
        <v/>
      </c>
      <c r="S88" s="164">
        <f t="shared" si="11"/>
        <v>0</v>
      </c>
      <c r="T88" s="257">
        <v>42879</v>
      </c>
      <c r="U88" s="256" t="s">
        <v>64</v>
      </c>
    </row>
    <row r="89" spans="2:21" ht="13.5" customHeight="1" x14ac:dyDescent="0.2">
      <c r="B89" s="23" t="str">
        <f>IF(FROTA!B90="","",FROTA!B90)</f>
        <v/>
      </c>
      <c r="C89" s="139" t="str">
        <f>IF(B89="","",VLOOKUP(B89,FROTA!$B$5:$C$306,2,0))</f>
        <v/>
      </c>
      <c r="D89" s="22" t="str">
        <f t="shared" si="6"/>
        <v/>
      </c>
      <c r="E89" s="4" t="str">
        <f>IF(B89="","",SUM(VLOOKUP(C89,ESCALA!$B$3:$N$19,8,0))*(VLOOKUP(SEM!C90,SEM!$C$5:$AC$305,27,0)))</f>
        <v/>
      </c>
      <c r="F89" s="120" t="str">
        <f>IF(D89="","",ROUNDUP(SEM!$AD90*VLOOKUP(RECEITAS!$C89,ESCALA!$B$3:$N$19,8,0),0))</f>
        <v/>
      </c>
      <c r="G89" s="4" t="str">
        <f>IF(B89="","",(SUM((VLOOKUP(C89,ESCALA!$B$3:$N$19,10,0))*(VLOOKUP(SAB!C90,SAB!$C$5:$AC$305,27,0))/VLOOKUP(C89,PERFIL!$B$4:$M$20,8,0))*VLOOKUP(C89,PERFIL!$B$4:$M$20,11,0)))</f>
        <v/>
      </c>
      <c r="H89" s="120" t="str">
        <f>IF(F89="","",ROUNDUP(SAB!$AD90*VLOOKUP(RECEITAS!$C89,ESCALA!$B$3:$N$19,10,0),0))</f>
        <v/>
      </c>
      <c r="I89" s="4" t="str">
        <f>IF(B89="","",SUM(VLOOKUP(C89,ESCALA!$B$3:$N$19,12,0))*(VLOOKUP(DF!C90,DF!$C$5:$AC$305,27,0))/VLOOKUP(C89,PERFIL!$B$4:$M$20,8,0)*VLOOKUP(C89,PERFIL!$B$4:$M$20,12,0))</f>
        <v/>
      </c>
      <c r="J89" s="120" t="str">
        <f>IF(H89="","",ROUNDUP(DF!$AD90*VLOOKUP(RECEITAS!$C89,ESCALA!$B$3:$N$19,12,0),0))</f>
        <v/>
      </c>
      <c r="K89" s="4" t="str">
        <f>IF(FROTA!AA90="","",FROTA!AA90)</f>
        <v/>
      </c>
      <c r="L89" s="4" t="str">
        <f t="shared" si="7"/>
        <v/>
      </c>
      <c r="M89" s="4" t="str">
        <f>IF(FROTA!AC90="","",FROTA!AC90)</f>
        <v/>
      </c>
      <c r="N89" s="4" t="str">
        <f t="shared" si="8"/>
        <v/>
      </c>
      <c r="O89" s="4" t="str">
        <f>IF(FROTA!AE90="","",FROTA!AE90)</f>
        <v/>
      </c>
      <c r="P89" s="4" t="str">
        <f t="shared" si="9"/>
        <v/>
      </c>
      <c r="Q89" s="4" t="str">
        <f>IF(FROTA!AG90="","",FROTA!AG90)</f>
        <v/>
      </c>
      <c r="R89" s="4" t="str">
        <f t="shared" si="10"/>
        <v/>
      </c>
      <c r="S89" s="164">
        <f t="shared" si="11"/>
        <v>0</v>
      </c>
      <c r="T89" s="257">
        <v>42880</v>
      </c>
      <c r="U89" s="256" t="s">
        <v>59</v>
      </c>
    </row>
    <row r="90" spans="2:21" ht="13.5" customHeight="1" x14ac:dyDescent="0.2">
      <c r="B90" s="23" t="str">
        <f>IF(FROTA!B91="","",FROTA!B91)</f>
        <v/>
      </c>
      <c r="C90" s="139" t="str">
        <f>IF(B90="","",VLOOKUP(B90,FROTA!$B$5:$C$306,2,0))</f>
        <v/>
      </c>
      <c r="D90" s="22" t="str">
        <f t="shared" si="6"/>
        <v/>
      </c>
      <c r="E90" s="4" t="str">
        <f>IF(B90="","",SUM(VLOOKUP(C90,ESCALA!$B$3:$N$19,8,0))*(VLOOKUP(SEM!C91,SEM!$C$5:$AC$305,27,0)))</f>
        <v/>
      </c>
      <c r="F90" s="120" t="str">
        <f>IF(D90="","",ROUNDUP(SEM!$AD91*VLOOKUP(RECEITAS!$C90,ESCALA!$B$3:$N$19,8,0),0))</f>
        <v/>
      </c>
      <c r="G90" s="4" t="str">
        <f>IF(B90="","",(SUM((VLOOKUP(C90,ESCALA!$B$3:$N$19,10,0))*(VLOOKUP(SAB!C91,SAB!$C$5:$AC$305,27,0))/VLOOKUP(C90,PERFIL!$B$4:$M$20,8,0))*VLOOKUP(C90,PERFIL!$B$4:$M$20,11,0)))</f>
        <v/>
      </c>
      <c r="H90" s="120" t="str">
        <f>IF(F90="","",ROUNDUP(SAB!$AD91*VLOOKUP(RECEITAS!$C90,ESCALA!$B$3:$N$19,10,0),0))</f>
        <v/>
      </c>
      <c r="I90" s="4" t="str">
        <f>IF(B90="","",SUM(VLOOKUP(C90,ESCALA!$B$3:$N$19,12,0))*(VLOOKUP(DF!C91,DF!$C$5:$AC$305,27,0))/VLOOKUP(C90,PERFIL!$B$4:$M$20,8,0)*VLOOKUP(C90,PERFIL!$B$4:$M$20,12,0))</f>
        <v/>
      </c>
      <c r="J90" s="120" t="str">
        <f>IF(H90="","",ROUNDUP(DF!$AD91*VLOOKUP(RECEITAS!$C90,ESCALA!$B$3:$N$19,12,0),0))</f>
        <v/>
      </c>
      <c r="K90" s="4" t="str">
        <f>IF(FROTA!AA91="","",FROTA!AA91)</f>
        <v/>
      </c>
      <c r="L90" s="4" t="str">
        <f t="shared" si="7"/>
        <v/>
      </c>
      <c r="M90" s="4" t="str">
        <f>IF(FROTA!AC91="","",FROTA!AC91)</f>
        <v/>
      </c>
      <c r="N90" s="4" t="str">
        <f t="shared" si="8"/>
        <v/>
      </c>
      <c r="O90" s="4" t="str">
        <f>IF(FROTA!AE91="","",FROTA!AE91)</f>
        <v/>
      </c>
      <c r="P90" s="4" t="str">
        <f t="shared" si="9"/>
        <v/>
      </c>
      <c r="Q90" s="4" t="str">
        <f>IF(FROTA!AG91="","",FROTA!AG91)</f>
        <v/>
      </c>
      <c r="R90" s="4" t="str">
        <f t="shared" si="10"/>
        <v/>
      </c>
      <c r="S90" s="164">
        <f t="shared" si="11"/>
        <v>0</v>
      </c>
      <c r="T90" s="257">
        <v>42881</v>
      </c>
      <c r="U90" s="256" t="s">
        <v>60</v>
      </c>
    </row>
    <row r="91" spans="2:21" ht="13.5" customHeight="1" x14ac:dyDescent="0.2">
      <c r="B91" s="23" t="str">
        <f>IF(FROTA!B92="","",FROTA!B92)</f>
        <v/>
      </c>
      <c r="C91" s="139" t="str">
        <f>IF(B91="","",VLOOKUP(B91,FROTA!$B$5:$C$306,2,0))</f>
        <v/>
      </c>
      <c r="D91" s="22" t="str">
        <f t="shared" si="6"/>
        <v/>
      </c>
      <c r="E91" s="4" t="str">
        <f>IF(B91="","",SUM(VLOOKUP(C91,ESCALA!$B$3:$N$19,8,0))*(VLOOKUP(SEM!C92,SEM!$C$5:$AC$305,27,0)))</f>
        <v/>
      </c>
      <c r="F91" s="120" t="str">
        <f>IF(D91="","",ROUNDUP(SEM!$AD92*VLOOKUP(RECEITAS!$C91,ESCALA!$B$3:$N$19,8,0),0))</f>
        <v/>
      </c>
      <c r="G91" s="4" t="str">
        <f>IF(B91="","",(SUM((VLOOKUP(C91,ESCALA!$B$3:$N$19,10,0))*(VLOOKUP(SAB!C92,SAB!$C$5:$AC$305,27,0))/VLOOKUP(C91,PERFIL!$B$4:$M$20,8,0))*VLOOKUP(C91,PERFIL!$B$4:$M$20,11,0)))</f>
        <v/>
      </c>
      <c r="H91" s="120" t="str">
        <f>IF(F91="","",ROUNDUP(SAB!$AD92*VLOOKUP(RECEITAS!$C91,ESCALA!$B$3:$N$19,10,0),0))</f>
        <v/>
      </c>
      <c r="I91" s="4" t="str">
        <f>IF(B91="","",SUM(VLOOKUP(C91,ESCALA!$B$3:$N$19,12,0))*(VLOOKUP(DF!C92,DF!$C$5:$AC$305,27,0))/VLOOKUP(C91,PERFIL!$B$4:$M$20,8,0)*VLOOKUP(C91,PERFIL!$B$4:$M$20,12,0))</f>
        <v/>
      </c>
      <c r="J91" s="120" t="str">
        <f>IF(H91="","",ROUNDUP(DF!$AD92*VLOOKUP(RECEITAS!$C91,ESCALA!$B$3:$N$19,12,0),0))</f>
        <v/>
      </c>
      <c r="K91" s="4" t="str">
        <f>IF(FROTA!AA92="","",FROTA!AA92)</f>
        <v/>
      </c>
      <c r="L91" s="4" t="str">
        <f t="shared" si="7"/>
        <v/>
      </c>
      <c r="M91" s="4" t="str">
        <f>IF(FROTA!AC92="","",FROTA!AC92)</f>
        <v/>
      </c>
      <c r="N91" s="4" t="str">
        <f t="shared" si="8"/>
        <v/>
      </c>
      <c r="O91" s="4" t="str">
        <f>IF(FROTA!AE92="","",FROTA!AE92)</f>
        <v/>
      </c>
      <c r="P91" s="4" t="str">
        <f t="shared" si="9"/>
        <v/>
      </c>
      <c r="Q91" s="4" t="str">
        <f>IF(FROTA!AG92="","",FROTA!AG92)</f>
        <v/>
      </c>
      <c r="R91" s="4" t="str">
        <f t="shared" si="10"/>
        <v/>
      </c>
      <c r="S91" s="164">
        <f t="shared" si="11"/>
        <v>0</v>
      </c>
      <c r="T91" s="257">
        <v>42882</v>
      </c>
      <c r="U91" s="256" t="s">
        <v>61</v>
      </c>
    </row>
    <row r="92" spans="2:21" ht="13.5" customHeight="1" x14ac:dyDescent="0.2">
      <c r="B92" s="23" t="str">
        <f>IF(FROTA!B93="","",FROTA!B93)</f>
        <v/>
      </c>
      <c r="C92" s="139" t="str">
        <f>IF(B92="","",VLOOKUP(B92,FROTA!$B$5:$C$306,2,0))</f>
        <v/>
      </c>
      <c r="D92" s="22" t="str">
        <f t="shared" si="6"/>
        <v/>
      </c>
      <c r="E92" s="4" t="str">
        <f>IF(B92="","",SUM(VLOOKUP(C92,ESCALA!$B$3:$N$19,8,0))*(VLOOKUP(SEM!C93,SEM!$C$5:$AC$305,27,0)))</f>
        <v/>
      </c>
      <c r="F92" s="120" t="str">
        <f>IF(D92="","",ROUNDUP(SEM!$AD93*VLOOKUP(RECEITAS!$C92,ESCALA!$B$3:$N$19,8,0),0))</f>
        <v/>
      </c>
      <c r="G92" s="4" t="str">
        <f>IF(B92="","",(SUM((VLOOKUP(C92,ESCALA!$B$3:$N$19,10,0))*(VLOOKUP(SAB!C93,SAB!$C$5:$AC$305,27,0))/VLOOKUP(C92,PERFIL!$B$4:$M$20,8,0))*VLOOKUP(C92,PERFIL!$B$4:$M$20,11,0)))</f>
        <v/>
      </c>
      <c r="H92" s="120" t="str">
        <f>IF(F92="","",ROUNDUP(SAB!$AD93*VLOOKUP(RECEITAS!$C92,ESCALA!$B$3:$N$19,10,0),0))</f>
        <v/>
      </c>
      <c r="I92" s="4" t="str">
        <f>IF(B92="","",SUM(VLOOKUP(C92,ESCALA!$B$3:$N$19,12,0))*(VLOOKUP(DF!C93,DF!$C$5:$AC$305,27,0))/VLOOKUP(C92,PERFIL!$B$4:$M$20,8,0)*VLOOKUP(C92,PERFIL!$B$4:$M$20,12,0))</f>
        <v/>
      </c>
      <c r="J92" s="120" t="str">
        <f>IF(H92="","",ROUNDUP(DF!$AD93*VLOOKUP(RECEITAS!$C92,ESCALA!$B$3:$N$19,12,0),0))</f>
        <v/>
      </c>
      <c r="K92" s="4" t="str">
        <f>IF(FROTA!AA93="","",FROTA!AA93)</f>
        <v/>
      </c>
      <c r="L92" s="4" t="str">
        <f t="shared" si="7"/>
        <v/>
      </c>
      <c r="M92" s="4" t="str">
        <f>IF(FROTA!AC93="","",FROTA!AC93)</f>
        <v/>
      </c>
      <c r="N92" s="4" t="str">
        <f t="shared" si="8"/>
        <v/>
      </c>
      <c r="O92" s="4" t="str">
        <f>IF(FROTA!AE93="","",FROTA!AE93)</f>
        <v/>
      </c>
      <c r="P92" s="4" t="str">
        <f t="shared" si="9"/>
        <v/>
      </c>
      <c r="Q92" s="4" t="str">
        <f>IF(FROTA!AG93="","",FROTA!AG93)</f>
        <v/>
      </c>
      <c r="R92" s="4" t="str">
        <f t="shared" si="10"/>
        <v/>
      </c>
      <c r="S92" s="164">
        <f t="shared" si="11"/>
        <v>0</v>
      </c>
      <c r="T92" s="257">
        <v>42883</v>
      </c>
      <c r="U92" s="256" t="s">
        <v>58</v>
      </c>
    </row>
    <row r="93" spans="2:21" ht="13.5" customHeight="1" x14ac:dyDescent="0.2">
      <c r="B93" s="23" t="str">
        <f>IF(FROTA!B94="","",FROTA!B94)</f>
        <v/>
      </c>
      <c r="C93" s="139" t="str">
        <f>IF(B93="","",VLOOKUP(B93,FROTA!$B$5:$C$306,2,0))</f>
        <v/>
      </c>
      <c r="D93" s="22" t="str">
        <f t="shared" si="6"/>
        <v/>
      </c>
      <c r="E93" s="4" t="str">
        <f>IF(B93="","",SUM(VLOOKUP(C93,ESCALA!$B$3:$N$19,8,0))*(VLOOKUP(SEM!C94,SEM!$C$5:$AC$305,27,0)))</f>
        <v/>
      </c>
      <c r="F93" s="120" t="str">
        <f>IF(D93="","",ROUNDUP(SEM!$AD94*VLOOKUP(RECEITAS!$C93,ESCALA!$B$3:$N$19,8,0),0))</f>
        <v/>
      </c>
      <c r="G93" s="4" t="str">
        <f>IF(B93="","",(SUM((VLOOKUP(C93,ESCALA!$B$3:$N$19,10,0))*(VLOOKUP(SAB!C94,SAB!$C$5:$AC$305,27,0))/VLOOKUP(C93,PERFIL!$B$4:$M$20,8,0))*VLOOKUP(C93,PERFIL!$B$4:$M$20,11,0)))</f>
        <v/>
      </c>
      <c r="H93" s="120" t="str">
        <f>IF(F93="","",ROUNDUP(SAB!$AD94*VLOOKUP(RECEITAS!$C93,ESCALA!$B$3:$N$19,10,0),0))</f>
        <v/>
      </c>
      <c r="I93" s="4" t="str">
        <f>IF(B93="","",SUM(VLOOKUP(C93,ESCALA!$B$3:$N$19,12,0))*(VLOOKUP(DF!C94,DF!$C$5:$AC$305,27,0))/VLOOKUP(C93,PERFIL!$B$4:$M$20,8,0)*VLOOKUP(C93,PERFIL!$B$4:$M$20,12,0))</f>
        <v/>
      </c>
      <c r="J93" s="120" t="str">
        <f>IF(H93="","",ROUNDUP(DF!$AD94*VLOOKUP(RECEITAS!$C93,ESCALA!$B$3:$N$19,12,0),0))</f>
        <v/>
      </c>
      <c r="K93" s="4" t="str">
        <f>IF(FROTA!AA94="","",FROTA!AA94)</f>
        <v/>
      </c>
      <c r="L93" s="4" t="str">
        <f t="shared" si="7"/>
        <v/>
      </c>
      <c r="M93" s="4" t="str">
        <f>IF(FROTA!AC94="","",FROTA!AC94)</f>
        <v/>
      </c>
      <c r="N93" s="4" t="str">
        <f t="shared" si="8"/>
        <v/>
      </c>
      <c r="O93" s="4" t="str">
        <f>IF(FROTA!AE94="","",FROTA!AE94)</f>
        <v/>
      </c>
      <c r="P93" s="4" t="str">
        <f t="shared" si="9"/>
        <v/>
      </c>
      <c r="Q93" s="4" t="str">
        <f>IF(FROTA!AG94="","",FROTA!AG94)</f>
        <v/>
      </c>
      <c r="R93" s="4" t="str">
        <f t="shared" si="10"/>
        <v/>
      </c>
      <c r="S93" s="164">
        <f t="shared" si="11"/>
        <v>0</v>
      </c>
      <c r="T93" s="257">
        <v>42884</v>
      </c>
      <c r="U93" s="256" t="s">
        <v>62</v>
      </c>
    </row>
    <row r="94" spans="2:21" ht="13.5" customHeight="1" x14ac:dyDescent="0.2">
      <c r="B94" s="23" t="str">
        <f>IF(FROTA!B95="","",FROTA!B95)</f>
        <v/>
      </c>
      <c r="C94" s="139" t="str">
        <f>IF(B94="","",VLOOKUP(B94,FROTA!$B$5:$C$306,2,0))</f>
        <v/>
      </c>
      <c r="D94" s="22" t="str">
        <f t="shared" si="6"/>
        <v/>
      </c>
      <c r="E94" s="4" t="str">
        <f>IF(B94="","",SUM(VLOOKUP(C94,ESCALA!$B$3:$N$19,8,0))*(VLOOKUP(SEM!C95,SEM!$C$5:$AC$305,27,0)))</f>
        <v/>
      </c>
      <c r="F94" s="120" t="str">
        <f>IF(D94="","",ROUNDUP(SEM!$AD95*VLOOKUP(RECEITAS!$C94,ESCALA!$B$3:$N$19,8,0),0))</f>
        <v/>
      </c>
      <c r="G94" s="4" t="str">
        <f>IF(B94="","",(SUM((VLOOKUP(C94,ESCALA!$B$3:$N$19,10,0))*(VLOOKUP(SAB!C95,SAB!$C$5:$AC$305,27,0))/VLOOKUP(C94,PERFIL!$B$4:$M$20,8,0))*VLOOKUP(C94,PERFIL!$B$4:$M$20,11,0)))</f>
        <v/>
      </c>
      <c r="H94" s="120" t="str">
        <f>IF(F94="","",ROUNDUP(SAB!$AD95*VLOOKUP(RECEITAS!$C94,ESCALA!$B$3:$N$19,10,0),0))</f>
        <v/>
      </c>
      <c r="I94" s="4" t="str">
        <f>IF(B94="","",SUM(VLOOKUP(C94,ESCALA!$B$3:$N$19,12,0))*(VLOOKUP(DF!C95,DF!$C$5:$AC$305,27,0))/VLOOKUP(C94,PERFIL!$B$4:$M$20,8,0)*VLOOKUP(C94,PERFIL!$B$4:$M$20,12,0))</f>
        <v/>
      </c>
      <c r="J94" s="120" t="str">
        <f>IF(H94="","",ROUNDUP(DF!$AD95*VLOOKUP(RECEITAS!$C94,ESCALA!$B$3:$N$19,12,0),0))</f>
        <v/>
      </c>
      <c r="K94" s="4" t="str">
        <f>IF(FROTA!AA95="","",FROTA!AA95)</f>
        <v/>
      </c>
      <c r="L94" s="4" t="str">
        <f t="shared" si="7"/>
        <v/>
      </c>
      <c r="M94" s="4" t="str">
        <f>IF(FROTA!AC95="","",FROTA!AC95)</f>
        <v/>
      </c>
      <c r="N94" s="4" t="str">
        <f t="shared" si="8"/>
        <v/>
      </c>
      <c r="O94" s="4" t="str">
        <f>IF(FROTA!AE95="","",FROTA!AE95)</f>
        <v/>
      </c>
      <c r="P94" s="4" t="str">
        <f t="shared" si="9"/>
        <v/>
      </c>
      <c r="Q94" s="4" t="str">
        <f>IF(FROTA!AG95="","",FROTA!AG95)</f>
        <v/>
      </c>
      <c r="R94" s="4" t="str">
        <f t="shared" si="10"/>
        <v/>
      </c>
      <c r="S94" s="164">
        <f t="shared" si="11"/>
        <v>0</v>
      </c>
      <c r="T94" s="257">
        <v>42885</v>
      </c>
      <c r="U94" s="256" t="s">
        <v>63</v>
      </c>
    </row>
    <row r="95" spans="2:21" ht="13.5" customHeight="1" x14ac:dyDescent="0.2">
      <c r="B95" s="23" t="str">
        <f>IF(FROTA!B96="","",FROTA!B96)</f>
        <v/>
      </c>
      <c r="C95" s="139" t="str">
        <f>IF(B95="","",VLOOKUP(B95,FROTA!$B$5:$C$306,2,0))</f>
        <v/>
      </c>
      <c r="D95" s="22" t="str">
        <f t="shared" si="6"/>
        <v/>
      </c>
      <c r="E95" s="4" t="str">
        <f>IF(B95="","",SUM(VLOOKUP(C95,ESCALA!$B$3:$N$19,8,0))*(VLOOKUP(SEM!C96,SEM!$C$5:$AC$305,27,0)))</f>
        <v/>
      </c>
      <c r="F95" s="120" t="str">
        <f>IF(D95="","",ROUNDUP(SEM!$AD96*VLOOKUP(RECEITAS!$C95,ESCALA!$B$3:$N$19,8,0),0))</f>
        <v/>
      </c>
      <c r="G95" s="4" t="str">
        <f>IF(B95="","",(SUM((VLOOKUP(C95,ESCALA!$B$3:$N$19,10,0))*(VLOOKUP(SAB!C96,SAB!$C$5:$AC$305,27,0))/VLOOKUP(C95,PERFIL!$B$4:$M$20,8,0))*VLOOKUP(C95,PERFIL!$B$4:$M$20,11,0)))</f>
        <v/>
      </c>
      <c r="H95" s="120" t="str">
        <f>IF(F95="","",ROUNDUP(SAB!$AD96*VLOOKUP(RECEITAS!$C95,ESCALA!$B$3:$N$19,10,0),0))</f>
        <v/>
      </c>
      <c r="I95" s="4" t="str">
        <f>IF(B95="","",SUM(VLOOKUP(C95,ESCALA!$B$3:$N$19,12,0))*(VLOOKUP(DF!C96,DF!$C$5:$AC$305,27,0))/VLOOKUP(C95,PERFIL!$B$4:$M$20,8,0)*VLOOKUP(C95,PERFIL!$B$4:$M$20,12,0))</f>
        <v/>
      </c>
      <c r="J95" s="120" t="str">
        <f>IF(H95="","",ROUNDUP(DF!$AD96*VLOOKUP(RECEITAS!$C95,ESCALA!$B$3:$N$19,12,0),0))</f>
        <v/>
      </c>
      <c r="K95" s="4" t="str">
        <f>IF(FROTA!AA96="","",FROTA!AA96)</f>
        <v/>
      </c>
      <c r="L95" s="4" t="str">
        <f t="shared" si="7"/>
        <v/>
      </c>
      <c r="M95" s="4" t="str">
        <f>IF(FROTA!AC96="","",FROTA!AC96)</f>
        <v/>
      </c>
      <c r="N95" s="4" t="str">
        <f t="shared" si="8"/>
        <v/>
      </c>
      <c r="O95" s="4" t="str">
        <f>IF(FROTA!AE96="","",FROTA!AE96)</f>
        <v/>
      </c>
      <c r="P95" s="4" t="str">
        <f t="shared" si="9"/>
        <v/>
      </c>
      <c r="Q95" s="4" t="str">
        <f>IF(FROTA!AG96="","",FROTA!AG96)</f>
        <v/>
      </c>
      <c r="R95" s="4" t="str">
        <f t="shared" si="10"/>
        <v/>
      </c>
      <c r="S95" s="164">
        <f t="shared" si="11"/>
        <v>0</v>
      </c>
      <c r="T95" s="257">
        <v>42886</v>
      </c>
      <c r="U95" s="256" t="s">
        <v>64</v>
      </c>
    </row>
    <row r="96" spans="2:21" ht="13.5" customHeight="1" x14ac:dyDescent="0.2">
      <c r="B96" s="23" t="str">
        <f>IF(FROTA!B97="","",FROTA!B97)</f>
        <v/>
      </c>
      <c r="C96" s="139" t="str">
        <f>IF(B96="","",VLOOKUP(B96,FROTA!$B$5:$C$306,2,0))</f>
        <v/>
      </c>
      <c r="D96" s="22" t="str">
        <f t="shared" si="6"/>
        <v/>
      </c>
      <c r="E96" s="4" t="str">
        <f>IF(B96="","",SUM(VLOOKUP(C96,ESCALA!$B$3:$N$19,8,0))*(VLOOKUP(SEM!C97,SEM!$C$5:$AC$305,27,0)))</f>
        <v/>
      </c>
      <c r="F96" s="120" t="str">
        <f>IF(D96="","",ROUNDUP(SEM!$AD97*VLOOKUP(RECEITAS!$C96,ESCALA!$B$3:$N$19,8,0),0))</f>
        <v/>
      </c>
      <c r="G96" s="4" t="str">
        <f>IF(B96="","",(SUM((VLOOKUP(C96,ESCALA!$B$3:$N$19,10,0))*(VLOOKUP(SAB!C97,SAB!$C$5:$AC$305,27,0))/VLOOKUP(C96,PERFIL!$B$4:$M$20,8,0))*VLOOKUP(C96,PERFIL!$B$4:$M$20,11,0)))</f>
        <v/>
      </c>
      <c r="H96" s="120" t="str">
        <f>IF(F96="","",ROUNDUP(SAB!$AD97*VLOOKUP(RECEITAS!$C96,ESCALA!$B$3:$N$19,10,0),0))</f>
        <v/>
      </c>
      <c r="I96" s="4" t="str">
        <f>IF(B96="","",SUM(VLOOKUP(C96,ESCALA!$B$3:$N$19,12,0))*(VLOOKUP(DF!C97,DF!$C$5:$AC$305,27,0))/VLOOKUP(C96,PERFIL!$B$4:$M$20,8,0)*VLOOKUP(C96,PERFIL!$B$4:$M$20,12,0))</f>
        <v/>
      </c>
      <c r="J96" s="120" t="str">
        <f>IF(H96="","",ROUNDUP(DF!$AD97*VLOOKUP(RECEITAS!$C96,ESCALA!$B$3:$N$19,12,0),0))</f>
        <v/>
      </c>
      <c r="K96" s="4" t="str">
        <f>IF(FROTA!AA97="","",FROTA!AA97)</f>
        <v/>
      </c>
      <c r="L96" s="4" t="str">
        <f t="shared" si="7"/>
        <v/>
      </c>
      <c r="M96" s="4" t="str">
        <f>IF(FROTA!AC97="","",FROTA!AC97)</f>
        <v/>
      </c>
      <c r="N96" s="4" t="str">
        <f t="shared" si="8"/>
        <v/>
      </c>
      <c r="O96" s="4" t="str">
        <f>IF(FROTA!AE97="","",FROTA!AE97)</f>
        <v/>
      </c>
      <c r="P96" s="4" t="str">
        <f t="shared" si="9"/>
        <v/>
      </c>
      <c r="Q96" s="4" t="str">
        <f>IF(FROTA!AG97="","",FROTA!AG97)</f>
        <v/>
      </c>
      <c r="R96" s="4" t="str">
        <f t="shared" si="10"/>
        <v/>
      </c>
      <c r="S96" s="164">
        <f t="shared" si="11"/>
        <v>0</v>
      </c>
      <c r="T96" s="257">
        <v>42887</v>
      </c>
      <c r="U96" s="256" t="s">
        <v>59</v>
      </c>
    </row>
    <row r="97" spans="2:21" ht="13.5" customHeight="1" x14ac:dyDescent="0.2">
      <c r="B97" s="23" t="str">
        <f>IF(FROTA!B98="","",FROTA!B98)</f>
        <v/>
      </c>
      <c r="C97" s="139" t="str">
        <f>IF(B97="","",VLOOKUP(B97,FROTA!$B$5:$C$306,2,0))</f>
        <v/>
      </c>
      <c r="D97" s="22" t="str">
        <f t="shared" si="6"/>
        <v/>
      </c>
      <c r="E97" s="4" t="str">
        <f>IF(B97="","",SUM(VLOOKUP(C97,ESCALA!$B$3:$N$19,8,0))*(VLOOKUP(SEM!C98,SEM!$C$5:$AC$305,27,0)))</f>
        <v/>
      </c>
      <c r="F97" s="120" t="str">
        <f>IF(D97="","",ROUNDUP(SEM!$AD98*VLOOKUP(RECEITAS!$C97,ESCALA!$B$3:$N$19,8,0),0))</f>
        <v/>
      </c>
      <c r="G97" s="4" t="str">
        <f>IF(B97="","",(SUM((VLOOKUP(C97,ESCALA!$B$3:$N$19,10,0))*(VLOOKUP(SAB!C98,SAB!$C$5:$AC$305,27,0))/VLOOKUP(C97,PERFIL!$B$4:$M$20,8,0))*VLOOKUP(C97,PERFIL!$B$4:$M$20,11,0)))</f>
        <v/>
      </c>
      <c r="H97" s="120" t="str">
        <f>IF(F97="","",ROUNDUP(SAB!$AD98*VLOOKUP(RECEITAS!$C97,ESCALA!$B$3:$N$19,10,0),0))</f>
        <v/>
      </c>
      <c r="I97" s="4" t="str">
        <f>IF(B97="","",SUM(VLOOKUP(C97,ESCALA!$B$3:$N$19,12,0))*(VLOOKUP(DF!C98,DF!$C$5:$AC$305,27,0))/VLOOKUP(C97,PERFIL!$B$4:$M$20,8,0)*VLOOKUP(C97,PERFIL!$B$4:$M$20,12,0))</f>
        <v/>
      </c>
      <c r="J97" s="120" t="str">
        <f>IF(H97="","",ROUNDUP(DF!$AD98*VLOOKUP(RECEITAS!$C97,ESCALA!$B$3:$N$19,12,0),0))</f>
        <v/>
      </c>
      <c r="K97" s="4" t="str">
        <f>IF(FROTA!AA98="","",FROTA!AA98)</f>
        <v/>
      </c>
      <c r="L97" s="4" t="str">
        <f t="shared" si="7"/>
        <v/>
      </c>
      <c r="M97" s="4" t="str">
        <f>IF(FROTA!AC98="","",FROTA!AC98)</f>
        <v/>
      </c>
      <c r="N97" s="4" t="str">
        <f t="shared" si="8"/>
        <v/>
      </c>
      <c r="O97" s="4" t="str">
        <f>IF(FROTA!AE98="","",FROTA!AE98)</f>
        <v/>
      </c>
      <c r="P97" s="4" t="str">
        <f t="shared" si="9"/>
        <v/>
      </c>
      <c r="Q97" s="4" t="str">
        <f>IF(FROTA!AG98="","",FROTA!AG98)</f>
        <v/>
      </c>
      <c r="R97" s="4" t="str">
        <f t="shared" si="10"/>
        <v/>
      </c>
      <c r="S97" s="164">
        <f t="shared" si="11"/>
        <v>0</v>
      </c>
      <c r="T97" s="257">
        <v>42888</v>
      </c>
      <c r="U97" s="256" t="s">
        <v>60</v>
      </c>
    </row>
    <row r="98" spans="2:21" ht="13.5" customHeight="1" x14ac:dyDescent="0.2">
      <c r="B98" s="23" t="str">
        <f>IF(FROTA!B99="","",FROTA!B99)</f>
        <v/>
      </c>
      <c r="C98" s="139" t="str">
        <f>IF(B98="","",VLOOKUP(B98,FROTA!$B$5:$C$306,2,0))</f>
        <v/>
      </c>
      <c r="D98" s="22" t="str">
        <f t="shared" si="6"/>
        <v/>
      </c>
      <c r="E98" s="4" t="str">
        <f>IF(B98="","",SUM(VLOOKUP(C98,ESCALA!$B$3:$N$19,8,0))*(VLOOKUP(SEM!C99,SEM!$C$5:$AC$305,27,0)))</f>
        <v/>
      </c>
      <c r="F98" s="120" t="str">
        <f>IF(D98="","",ROUNDUP(SEM!$AD99*VLOOKUP(RECEITAS!$C98,ESCALA!$B$3:$N$19,8,0),0))</f>
        <v/>
      </c>
      <c r="G98" s="4" t="str">
        <f>IF(B98="","",(SUM((VLOOKUP(C98,ESCALA!$B$3:$N$19,10,0))*(VLOOKUP(SAB!C99,SAB!$C$5:$AC$305,27,0))/VLOOKUP(C98,PERFIL!$B$4:$M$20,8,0))*VLOOKUP(C98,PERFIL!$B$4:$M$20,11,0)))</f>
        <v/>
      </c>
      <c r="H98" s="120" t="str">
        <f>IF(F98="","",ROUNDUP(SAB!$AD99*VLOOKUP(RECEITAS!$C98,ESCALA!$B$3:$N$19,10,0),0))</f>
        <v/>
      </c>
      <c r="I98" s="4" t="str">
        <f>IF(B98="","",SUM(VLOOKUP(C98,ESCALA!$B$3:$N$19,12,0))*(VLOOKUP(DF!C99,DF!$C$5:$AC$305,27,0))/VLOOKUP(C98,PERFIL!$B$4:$M$20,8,0)*VLOOKUP(C98,PERFIL!$B$4:$M$20,12,0))</f>
        <v/>
      </c>
      <c r="J98" s="120" t="str">
        <f>IF(H98="","",ROUNDUP(DF!$AD99*VLOOKUP(RECEITAS!$C98,ESCALA!$B$3:$N$19,12,0),0))</f>
        <v/>
      </c>
      <c r="K98" s="4" t="str">
        <f>IF(FROTA!AA99="","",FROTA!AA99)</f>
        <v/>
      </c>
      <c r="L98" s="4" t="str">
        <f t="shared" si="7"/>
        <v/>
      </c>
      <c r="M98" s="4" t="str">
        <f>IF(FROTA!AC99="","",FROTA!AC99)</f>
        <v/>
      </c>
      <c r="N98" s="4" t="str">
        <f t="shared" si="8"/>
        <v/>
      </c>
      <c r="O98" s="4" t="str">
        <f>IF(FROTA!AE99="","",FROTA!AE99)</f>
        <v/>
      </c>
      <c r="P98" s="4" t="str">
        <f t="shared" si="9"/>
        <v/>
      </c>
      <c r="Q98" s="4" t="str">
        <f>IF(FROTA!AG99="","",FROTA!AG99)</f>
        <v/>
      </c>
      <c r="R98" s="4" t="str">
        <f t="shared" si="10"/>
        <v/>
      </c>
      <c r="S98" s="164">
        <f t="shared" si="11"/>
        <v>0</v>
      </c>
      <c r="T98" s="257">
        <v>42889</v>
      </c>
      <c r="U98" s="256" t="s">
        <v>61</v>
      </c>
    </row>
    <row r="99" spans="2:21" ht="13.5" customHeight="1" x14ac:dyDescent="0.2">
      <c r="B99" s="23" t="str">
        <f>IF(FROTA!B100="","",FROTA!B100)</f>
        <v/>
      </c>
      <c r="C99" s="139" t="str">
        <f>IF(B99="","",VLOOKUP(B99,FROTA!$B$5:$C$306,2,0))</f>
        <v/>
      </c>
      <c r="D99" s="22" t="str">
        <f t="shared" si="6"/>
        <v/>
      </c>
      <c r="E99" s="4" t="str">
        <f>IF(B99="","",SUM(VLOOKUP(C99,ESCALA!$B$3:$N$19,8,0))*(VLOOKUP(SEM!C100,SEM!$C$5:$AC$305,27,0)))</f>
        <v/>
      </c>
      <c r="F99" s="120" t="str">
        <f>IF(D99="","",ROUNDUP(SEM!$AD100*VLOOKUP(RECEITAS!$C99,ESCALA!$B$3:$N$19,8,0),0))</f>
        <v/>
      </c>
      <c r="G99" s="4" t="str">
        <f>IF(B99="","",(SUM((VLOOKUP(C99,ESCALA!$B$3:$N$19,10,0))*(VLOOKUP(SAB!C100,SAB!$C$5:$AC$305,27,0))/VLOOKUP(C99,PERFIL!$B$4:$M$20,8,0))*VLOOKUP(C99,PERFIL!$B$4:$M$20,11,0)))</f>
        <v/>
      </c>
      <c r="H99" s="120" t="str">
        <f>IF(F99="","",ROUNDUP(SAB!$AD100*VLOOKUP(RECEITAS!$C99,ESCALA!$B$3:$N$19,10,0),0))</f>
        <v/>
      </c>
      <c r="I99" s="4" t="str">
        <f>IF(B99="","",SUM(VLOOKUP(C99,ESCALA!$B$3:$N$19,12,0))*(VLOOKUP(DF!C100,DF!$C$5:$AC$305,27,0))/VLOOKUP(C99,PERFIL!$B$4:$M$20,8,0)*VLOOKUP(C99,PERFIL!$B$4:$M$20,12,0))</f>
        <v/>
      </c>
      <c r="J99" s="120" t="str">
        <f>IF(H99="","",ROUNDUP(DF!$AD100*VLOOKUP(RECEITAS!$C99,ESCALA!$B$3:$N$19,12,0),0))</f>
        <v/>
      </c>
      <c r="K99" s="4" t="str">
        <f>IF(FROTA!AA100="","",FROTA!AA100)</f>
        <v/>
      </c>
      <c r="L99" s="4" t="str">
        <f t="shared" si="7"/>
        <v/>
      </c>
      <c r="M99" s="4" t="str">
        <f>IF(FROTA!AC100="","",FROTA!AC100)</f>
        <v/>
      </c>
      <c r="N99" s="4" t="str">
        <f t="shared" si="8"/>
        <v/>
      </c>
      <c r="O99" s="4" t="str">
        <f>IF(FROTA!AE100="","",FROTA!AE100)</f>
        <v/>
      </c>
      <c r="P99" s="4" t="str">
        <f t="shared" si="9"/>
        <v/>
      </c>
      <c r="Q99" s="4" t="str">
        <f>IF(FROTA!AG100="","",FROTA!AG100)</f>
        <v/>
      </c>
      <c r="R99" s="4" t="str">
        <f t="shared" si="10"/>
        <v/>
      </c>
      <c r="S99" s="164">
        <f t="shared" si="11"/>
        <v>0</v>
      </c>
      <c r="T99" s="257">
        <v>42890</v>
      </c>
      <c r="U99" s="256" t="s">
        <v>58</v>
      </c>
    </row>
    <row r="100" spans="2:21" ht="13.5" customHeight="1" x14ac:dyDescent="0.2">
      <c r="B100" s="23" t="str">
        <f>IF(FROTA!B101="","",FROTA!B101)</f>
        <v/>
      </c>
      <c r="C100" s="139" t="str">
        <f>IF(B100="","",VLOOKUP(B100,FROTA!$B$5:$C$306,2,0))</f>
        <v/>
      </c>
      <c r="D100" s="22" t="str">
        <f t="shared" si="6"/>
        <v/>
      </c>
      <c r="E100" s="4" t="str">
        <f>IF(B100="","",SUM(VLOOKUP(C100,ESCALA!$B$3:$N$19,8,0))*(VLOOKUP(SEM!C101,SEM!$C$5:$AC$305,27,0)))</f>
        <v/>
      </c>
      <c r="F100" s="120" t="str">
        <f>IF(D100="","",ROUNDUP(SEM!$AD101*VLOOKUP(RECEITAS!$C100,ESCALA!$B$3:$N$19,8,0),0))</f>
        <v/>
      </c>
      <c r="G100" s="4" t="str">
        <f>IF(B100="","",(SUM((VLOOKUP(C100,ESCALA!$B$3:$N$19,10,0))*(VLOOKUP(SAB!C101,SAB!$C$5:$AC$305,27,0))/VLOOKUP(C100,PERFIL!$B$4:$M$20,8,0))*VLOOKUP(C100,PERFIL!$B$4:$M$20,11,0)))</f>
        <v/>
      </c>
      <c r="H100" s="120" t="str">
        <f>IF(F100="","",ROUNDUP(SAB!$AD101*VLOOKUP(RECEITAS!$C100,ESCALA!$B$3:$N$19,10,0),0))</f>
        <v/>
      </c>
      <c r="I100" s="4" t="str">
        <f>IF(B100="","",SUM(VLOOKUP(C100,ESCALA!$B$3:$N$19,12,0))*(VLOOKUP(DF!C101,DF!$C$5:$AC$305,27,0))/VLOOKUP(C100,PERFIL!$B$4:$M$20,8,0)*VLOOKUP(C100,PERFIL!$B$4:$M$20,12,0))</f>
        <v/>
      </c>
      <c r="J100" s="120" t="str">
        <f>IF(H100="","",ROUNDUP(DF!$AD101*VLOOKUP(RECEITAS!$C100,ESCALA!$B$3:$N$19,12,0),0))</f>
        <v/>
      </c>
      <c r="K100" s="4" t="str">
        <f>IF(FROTA!AA101="","",FROTA!AA101)</f>
        <v/>
      </c>
      <c r="L100" s="4" t="str">
        <f t="shared" si="7"/>
        <v/>
      </c>
      <c r="M100" s="4" t="str">
        <f>IF(FROTA!AC101="","",FROTA!AC101)</f>
        <v/>
      </c>
      <c r="N100" s="4" t="str">
        <f t="shared" si="8"/>
        <v/>
      </c>
      <c r="O100" s="4" t="str">
        <f>IF(FROTA!AE101="","",FROTA!AE101)</f>
        <v/>
      </c>
      <c r="P100" s="4" t="str">
        <f t="shared" si="9"/>
        <v/>
      </c>
      <c r="Q100" s="4" t="str">
        <f>IF(FROTA!AG101="","",FROTA!AG101)</f>
        <v/>
      </c>
      <c r="R100" s="4" t="str">
        <f t="shared" si="10"/>
        <v/>
      </c>
      <c r="S100" s="164">
        <f t="shared" si="11"/>
        <v>0</v>
      </c>
      <c r="T100" s="257">
        <v>42891</v>
      </c>
      <c r="U100" s="256" t="s">
        <v>62</v>
      </c>
    </row>
    <row r="101" spans="2:21" ht="13.5" customHeight="1" x14ac:dyDescent="0.2">
      <c r="B101" s="23" t="str">
        <f>IF(FROTA!B102="","",FROTA!B102)</f>
        <v/>
      </c>
      <c r="C101" s="139" t="str">
        <f>IF(B101="","",VLOOKUP(B101,FROTA!$B$5:$C$306,2,0))</f>
        <v/>
      </c>
      <c r="D101" s="22" t="str">
        <f t="shared" si="6"/>
        <v/>
      </c>
      <c r="E101" s="4" t="str">
        <f>IF(B101="","",SUM(VLOOKUP(C101,ESCALA!$B$3:$N$19,8,0))*(VLOOKUP(SEM!C102,SEM!$C$5:$AC$305,27,0)))</f>
        <v/>
      </c>
      <c r="F101" s="120" t="str">
        <f>IF(D101="","",ROUNDUP(SEM!$AD102*VLOOKUP(RECEITAS!$C101,ESCALA!$B$3:$N$19,8,0),0))</f>
        <v/>
      </c>
      <c r="G101" s="4" t="str">
        <f>IF(B101="","",(SUM((VLOOKUP(C101,ESCALA!$B$3:$N$19,10,0))*(VLOOKUP(SAB!C102,SAB!$C$5:$AC$305,27,0))/VLOOKUP(C101,PERFIL!$B$4:$M$20,8,0))*VLOOKUP(C101,PERFIL!$B$4:$M$20,11,0)))</f>
        <v/>
      </c>
      <c r="H101" s="120" t="str">
        <f>IF(F101="","",ROUNDUP(SAB!$AD102*VLOOKUP(RECEITAS!$C101,ESCALA!$B$3:$N$19,10,0),0))</f>
        <v/>
      </c>
      <c r="I101" s="4" t="str">
        <f>IF(B101="","",SUM(VLOOKUP(C101,ESCALA!$B$3:$N$19,12,0))*(VLOOKUP(DF!C102,DF!$C$5:$AC$305,27,0))/VLOOKUP(C101,PERFIL!$B$4:$M$20,8,0)*VLOOKUP(C101,PERFIL!$B$4:$M$20,12,0))</f>
        <v/>
      </c>
      <c r="J101" s="120" t="str">
        <f>IF(H101="","",ROUNDUP(DF!$AD102*VLOOKUP(RECEITAS!$C101,ESCALA!$B$3:$N$19,12,0),0))</f>
        <v/>
      </c>
      <c r="K101" s="4" t="str">
        <f>IF(FROTA!AA102="","",FROTA!AA102)</f>
        <v/>
      </c>
      <c r="L101" s="4" t="str">
        <f t="shared" si="7"/>
        <v/>
      </c>
      <c r="M101" s="4" t="str">
        <f>IF(FROTA!AC102="","",FROTA!AC102)</f>
        <v/>
      </c>
      <c r="N101" s="4" t="str">
        <f t="shared" si="8"/>
        <v/>
      </c>
      <c r="O101" s="4" t="str">
        <f>IF(FROTA!AE102="","",FROTA!AE102)</f>
        <v/>
      </c>
      <c r="P101" s="4" t="str">
        <f t="shared" si="9"/>
        <v/>
      </c>
      <c r="Q101" s="4" t="str">
        <f>IF(FROTA!AG102="","",FROTA!AG102)</f>
        <v/>
      </c>
      <c r="R101" s="4" t="str">
        <f t="shared" si="10"/>
        <v/>
      </c>
      <c r="S101" s="164">
        <f t="shared" si="11"/>
        <v>0</v>
      </c>
      <c r="T101" s="257">
        <v>42892</v>
      </c>
      <c r="U101" s="256" t="s">
        <v>63</v>
      </c>
    </row>
    <row r="102" spans="2:21" ht="13.5" customHeight="1" x14ac:dyDescent="0.2">
      <c r="B102" s="23" t="str">
        <f>IF(FROTA!B103="","",FROTA!B103)</f>
        <v/>
      </c>
      <c r="C102" s="139" t="str">
        <f>IF(B102="","",VLOOKUP(B102,FROTA!$B$5:$C$306,2,0))</f>
        <v/>
      </c>
      <c r="D102" s="22" t="str">
        <f t="shared" si="6"/>
        <v/>
      </c>
      <c r="E102" s="4" t="str">
        <f>IF(B102="","",SUM(VLOOKUP(C102,ESCALA!$B$3:$N$19,8,0))*(VLOOKUP(SEM!C103,SEM!$C$5:$AC$305,27,0)))</f>
        <v/>
      </c>
      <c r="F102" s="120" t="str">
        <f>IF(D102="","",ROUNDUP(SEM!$AD103*VLOOKUP(RECEITAS!$C102,ESCALA!$B$3:$N$19,8,0),0))</f>
        <v/>
      </c>
      <c r="G102" s="4" t="str">
        <f>IF(B102="","",(SUM((VLOOKUP(C102,ESCALA!$B$3:$N$19,10,0))*(VLOOKUP(SAB!C103,SAB!$C$5:$AC$305,27,0))/VLOOKUP(C102,PERFIL!$B$4:$M$20,8,0))*VLOOKUP(C102,PERFIL!$B$4:$M$20,11,0)))</f>
        <v/>
      </c>
      <c r="H102" s="120" t="str">
        <f>IF(F102="","",ROUNDUP(SAB!$AD103*VLOOKUP(RECEITAS!$C102,ESCALA!$B$3:$N$19,10,0),0))</f>
        <v/>
      </c>
      <c r="I102" s="4" t="str">
        <f>IF(B102="","",SUM(VLOOKUP(C102,ESCALA!$B$3:$N$19,12,0))*(VLOOKUP(DF!C103,DF!$C$5:$AC$305,27,0))/VLOOKUP(C102,PERFIL!$B$4:$M$20,8,0)*VLOOKUP(C102,PERFIL!$B$4:$M$20,12,0))</f>
        <v/>
      </c>
      <c r="J102" s="120" t="str">
        <f>IF(H102="","",ROUNDUP(DF!$AD103*VLOOKUP(RECEITAS!$C102,ESCALA!$B$3:$N$19,12,0),0))</f>
        <v/>
      </c>
      <c r="K102" s="4" t="str">
        <f>IF(FROTA!AA103="","",FROTA!AA103)</f>
        <v/>
      </c>
      <c r="L102" s="4" t="str">
        <f t="shared" si="7"/>
        <v/>
      </c>
      <c r="M102" s="4" t="str">
        <f>IF(FROTA!AC103="","",FROTA!AC103)</f>
        <v/>
      </c>
      <c r="N102" s="4" t="str">
        <f t="shared" si="8"/>
        <v/>
      </c>
      <c r="O102" s="4" t="str">
        <f>IF(FROTA!AE103="","",FROTA!AE103)</f>
        <v/>
      </c>
      <c r="P102" s="4" t="str">
        <f t="shared" si="9"/>
        <v/>
      </c>
      <c r="Q102" s="4" t="str">
        <f>IF(FROTA!AG103="","",FROTA!AG103)</f>
        <v/>
      </c>
      <c r="R102" s="4" t="str">
        <f t="shared" si="10"/>
        <v/>
      </c>
      <c r="S102" s="164">
        <f t="shared" si="11"/>
        <v>0</v>
      </c>
      <c r="T102" s="257">
        <v>42893</v>
      </c>
      <c r="U102" s="256" t="s">
        <v>64</v>
      </c>
    </row>
    <row r="103" spans="2:21" ht="13.5" customHeight="1" x14ac:dyDescent="0.2">
      <c r="B103" s="23" t="str">
        <f>IF(FROTA!B104="","",FROTA!B104)</f>
        <v/>
      </c>
      <c r="C103" s="139" t="str">
        <f>IF(B103="","",VLOOKUP(B103,FROTA!$B$5:$C$306,2,0))</f>
        <v/>
      </c>
      <c r="D103" s="22" t="str">
        <f t="shared" si="6"/>
        <v/>
      </c>
      <c r="E103" s="4" t="str">
        <f>IF(B103="","",SUM(VLOOKUP(C103,ESCALA!$B$3:$N$19,8,0))*(VLOOKUP(SEM!C104,SEM!$C$5:$AC$305,27,0)))</f>
        <v/>
      </c>
      <c r="F103" s="120" t="str">
        <f>IF(D103="","",ROUNDUP(SEM!$AD104*VLOOKUP(RECEITAS!$C103,ESCALA!$B$3:$N$19,8,0),0))</f>
        <v/>
      </c>
      <c r="G103" s="4" t="str">
        <f>IF(B103="","",(SUM((VLOOKUP(C103,ESCALA!$B$3:$N$19,10,0))*(VLOOKUP(SAB!C104,SAB!$C$5:$AC$305,27,0))/VLOOKUP(C103,PERFIL!$B$4:$M$20,8,0))*VLOOKUP(C103,PERFIL!$B$4:$M$20,11,0)))</f>
        <v/>
      </c>
      <c r="H103" s="120" t="str">
        <f>IF(F103="","",ROUNDUP(SAB!$AD104*VLOOKUP(RECEITAS!$C103,ESCALA!$B$3:$N$19,10,0),0))</f>
        <v/>
      </c>
      <c r="I103" s="4" t="str">
        <f>IF(B103="","",SUM(VLOOKUP(C103,ESCALA!$B$3:$N$19,12,0))*(VLOOKUP(DF!C104,DF!$C$5:$AC$305,27,0))/VLOOKUP(C103,PERFIL!$B$4:$M$20,8,0)*VLOOKUP(C103,PERFIL!$B$4:$M$20,12,0))</f>
        <v/>
      </c>
      <c r="J103" s="120" t="str">
        <f>IF(H103="","",ROUNDUP(DF!$AD104*VLOOKUP(RECEITAS!$C103,ESCALA!$B$3:$N$19,12,0),0))</f>
        <v/>
      </c>
      <c r="K103" s="4" t="str">
        <f>IF(FROTA!AA104="","",FROTA!AA104)</f>
        <v/>
      </c>
      <c r="L103" s="4" t="str">
        <f t="shared" si="7"/>
        <v/>
      </c>
      <c r="M103" s="4" t="str">
        <f>IF(FROTA!AC104="","",FROTA!AC104)</f>
        <v/>
      </c>
      <c r="N103" s="4" t="str">
        <f t="shared" si="8"/>
        <v/>
      </c>
      <c r="O103" s="4" t="str">
        <f>IF(FROTA!AE104="","",FROTA!AE104)</f>
        <v/>
      </c>
      <c r="P103" s="4" t="str">
        <f t="shared" si="9"/>
        <v/>
      </c>
      <c r="Q103" s="4" t="str">
        <f>IF(FROTA!AG104="","",FROTA!AG104)</f>
        <v/>
      </c>
      <c r="R103" s="4" t="str">
        <f t="shared" si="10"/>
        <v/>
      </c>
      <c r="S103" s="164">
        <f t="shared" si="11"/>
        <v>0</v>
      </c>
      <c r="T103" s="257">
        <v>42894</v>
      </c>
      <c r="U103" s="256" t="s">
        <v>59</v>
      </c>
    </row>
    <row r="104" spans="2:21" ht="13.5" customHeight="1" x14ac:dyDescent="0.2">
      <c r="B104" s="23" t="str">
        <f>IF(FROTA!B105="","",FROTA!B105)</f>
        <v/>
      </c>
      <c r="C104" s="139" t="str">
        <f>IF(B104="","",VLOOKUP(B104,FROTA!$B$5:$C$306,2,0))</f>
        <v/>
      </c>
      <c r="D104" s="22" t="str">
        <f t="shared" si="6"/>
        <v/>
      </c>
      <c r="E104" s="4" t="str">
        <f>IF(B104="","",SUM(VLOOKUP(C104,ESCALA!$B$3:$N$19,8,0))*(VLOOKUP(SEM!C105,SEM!$C$5:$AC$305,27,0)))</f>
        <v/>
      </c>
      <c r="F104" s="120" t="str">
        <f>IF(D104="","",ROUNDUP(SEM!$AD105*VLOOKUP(RECEITAS!$C104,ESCALA!$B$3:$N$19,8,0),0))</f>
        <v/>
      </c>
      <c r="G104" s="4" t="str">
        <f>IF(B104="","",(SUM((VLOOKUP(C104,ESCALA!$B$3:$N$19,10,0))*(VLOOKUP(SAB!C105,SAB!$C$5:$AC$305,27,0))/VLOOKUP(C104,PERFIL!$B$4:$M$20,8,0))*VLOOKUP(C104,PERFIL!$B$4:$M$20,11,0)))</f>
        <v/>
      </c>
      <c r="H104" s="120" t="str">
        <f>IF(F104="","",ROUNDUP(SAB!$AD105*VLOOKUP(RECEITAS!$C104,ESCALA!$B$3:$N$19,10,0),0))</f>
        <v/>
      </c>
      <c r="I104" s="4" t="str">
        <f>IF(B104="","",SUM(VLOOKUP(C104,ESCALA!$B$3:$N$19,12,0))*(VLOOKUP(DF!C105,DF!$C$5:$AC$305,27,0))/VLOOKUP(C104,PERFIL!$B$4:$M$20,8,0)*VLOOKUP(C104,PERFIL!$B$4:$M$20,12,0))</f>
        <v/>
      </c>
      <c r="J104" s="120" t="str">
        <f>IF(H104="","",ROUNDUP(DF!$AD105*VLOOKUP(RECEITAS!$C104,ESCALA!$B$3:$N$19,12,0),0))</f>
        <v/>
      </c>
      <c r="K104" s="4" t="str">
        <f>IF(FROTA!AA105="","",FROTA!AA105)</f>
        <v/>
      </c>
      <c r="L104" s="4" t="str">
        <f t="shared" si="7"/>
        <v/>
      </c>
      <c r="M104" s="4" t="str">
        <f>IF(FROTA!AC105="","",FROTA!AC105)</f>
        <v/>
      </c>
      <c r="N104" s="4" t="str">
        <f t="shared" si="8"/>
        <v/>
      </c>
      <c r="O104" s="4" t="str">
        <f>IF(FROTA!AE105="","",FROTA!AE105)</f>
        <v/>
      </c>
      <c r="P104" s="4" t="str">
        <f t="shared" si="9"/>
        <v/>
      </c>
      <c r="Q104" s="4" t="str">
        <f>IF(FROTA!AG105="","",FROTA!AG105)</f>
        <v/>
      </c>
      <c r="R104" s="4" t="str">
        <f t="shared" si="10"/>
        <v/>
      </c>
      <c r="S104" s="164">
        <f t="shared" si="11"/>
        <v>0</v>
      </c>
      <c r="T104" s="257">
        <v>42895</v>
      </c>
      <c r="U104" s="256" t="s">
        <v>60</v>
      </c>
    </row>
    <row r="105" spans="2:21" ht="13.5" customHeight="1" x14ac:dyDescent="0.2">
      <c r="B105" s="23" t="str">
        <f>IF(FROTA!B106="","",FROTA!B106)</f>
        <v/>
      </c>
      <c r="C105" s="139" t="str">
        <f>IF(B105="","",VLOOKUP(B105,FROTA!$B$5:$C$306,2,0))</f>
        <v/>
      </c>
      <c r="D105" s="22" t="str">
        <f t="shared" si="6"/>
        <v/>
      </c>
      <c r="E105" s="4" t="str">
        <f>IF(B105="","",SUM(VLOOKUP(C105,ESCALA!$B$3:$N$19,8,0))*(VLOOKUP(SEM!C106,SEM!$C$5:$AC$305,27,0)))</f>
        <v/>
      </c>
      <c r="F105" s="120" t="str">
        <f>IF(D105="","",ROUNDUP(SEM!$AD106*VLOOKUP(RECEITAS!$C105,ESCALA!$B$3:$N$19,8,0),0))</f>
        <v/>
      </c>
      <c r="G105" s="4" t="str">
        <f>IF(B105="","",(SUM((VLOOKUP(C105,ESCALA!$B$3:$N$19,10,0))*(VLOOKUP(SAB!C106,SAB!$C$5:$AC$305,27,0))/VLOOKUP(C105,PERFIL!$B$4:$M$20,8,0))*VLOOKUP(C105,PERFIL!$B$4:$M$20,11,0)))</f>
        <v/>
      </c>
      <c r="H105" s="120" t="str">
        <f>IF(F105="","",ROUNDUP(SAB!$AD106*VLOOKUP(RECEITAS!$C105,ESCALA!$B$3:$N$19,10,0),0))</f>
        <v/>
      </c>
      <c r="I105" s="4" t="str">
        <f>IF(B105="","",SUM(VLOOKUP(C105,ESCALA!$B$3:$N$19,12,0))*(VLOOKUP(DF!C106,DF!$C$5:$AC$305,27,0))/VLOOKUP(C105,PERFIL!$B$4:$M$20,8,0)*VLOOKUP(C105,PERFIL!$B$4:$M$20,12,0))</f>
        <v/>
      </c>
      <c r="J105" s="120" t="str">
        <f>IF(H105="","",ROUNDUP(DF!$AD106*VLOOKUP(RECEITAS!$C105,ESCALA!$B$3:$N$19,12,0),0))</f>
        <v/>
      </c>
      <c r="K105" s="4" t="str">
        <f>IF(FROTA!AA106="","",FROTA!AA106)</f>
        <v/>
      </c>
      <c r="L105" s="4" t="str">
        <f t="shared" si="7"/>
        <v/>
      </c>
      <c r="M105" s="4" t="str">
        <f>IF(FROTA!AC106="","",FROTA!AC106)</f>
        <v/>
      </c>
      <c r="N105" s="4" t="str">
        <f t="shared" si="8"/>
        <v/>
      </c>
      <c r="O105" s="4" t="str">
        <f>IF(FROTA!AE106="","",FROTA!AE106)</f>
        <v/>
      </c>
      <c r="P105" s="4" t="str">
        <f t="shared" si="9"/>
        <v/>
      </c>
      <c r="Q105" s="4" t="str">
        <f>IF(FROTA!AG106="","",FROTA!AG106)</f>
        <v/>
      </c>
      <c r="R105" s="4" t="str">
        <f t="shared" si="10"/>
        <v/>
      </c>
      <c r="S105" s="164">
        <f t="shared" si="11"/>
        <v>0</v>
      </c>
      <c r="T105" s="257">
        <v>42896</v>
      </c>
      <c r="U105" s="256" t="s">
        <v>61</v>
      </c>
    </row>
    <row r="106" spans="2:21" ht="13.5" customHeight="1" x14ac:dyDescent="0.2">
      <c r="B106" s="23" t="str">
        <f>IF(FROTA!B107="","",FROTA!B107)</f>
        <v/>
      </c>
      <c r="C106" s="139" t="str">
        <f>IF(B106="","",VLOOKUP(B106,FROTA!$B$5:$C$306,2,0))</f>
        <v/>
      </c>
      <c r="D106" s="22" t="str">
        <f t="shared" si="6"/>
        <v/>
      </c>
      <c r="E106" s="4" t="str">
        <f>IF(B106="","",SUM(VLOOKUP(C106,ESCALA!$B$3:$N$19,8,0))*(VLOOKUP(SEM!C107,SEM!$C$5:$AC$305,27,0)))</f>
        <v/>
      </c>
      <c r="F106" s="120" t="str">
        <f>IF(D106="","",ROUNDUP(SEM!$AD107*VLOOKUP(RECEITAS!$C106,ESCALA!$B$3:$N$19,8,0),0))</f>
        <v/>
      </c>
      <c r="G106" s="4" t="str">
        <f>IF(B106="","",(SUM((VLOOKUP(C106,ESCALA!$B$3:$N$19,10,0))*(VLOOKUP(SAB!C107,SAB!$C$5:$AC$305,27,0))/VLOOKUP(C106,PERFIL!$B$4:$M$20,8,0))*VLOOKUP(C106,PERFIL!$B$4:$M$20,11,0)))</f>
        <v/>
      </c>
      <c r="H106" s="120" t="str">
        <f>IF(F106="","",ROUNDUP(SAB!$AD107*VLOOKUP(RECEITAS!$C106,ESCALA!$B$3:$N$19,10,0),0))</f>
        <v/>
      </c>
      <c r="I106" s="4" t="str">
        <f>IF(B106="","",SUM(VLOOKUP(C106,ESCALA!$B$3:$N$19,12,0))*(VLOOKUP(DF!C107,DF!$C$5:$AC$305,27,0))/VLOOKUP(C106,PERFIL!$B$4:$M$20,8,0)*VLOOKUP(C106,PERFIL!$B$4:$M$20,12,0))</f>
        <v/>
      </c>
      <c r="J106" s="120" t="str">
        <f>IF(H106="","",ROUNDUP(DF!$AD107*VLOOKUP(RECEITAS!$C106,ESCALA!$B$3:$N$19,12,0),0))</f>
        <v/>
      </c>
      <c r="K106" s="4" t="str">
        <f>IF(FROTA!AA107="","",FROTA!AA107)</f>
        <v/>
      </c>
      <c r="L106" s="4" t="str">
        <f t="shared" si="7"/>
        <v/>
      </c>
      <c r="M106" s="4" t="str">
        <f>IF(FROTA!AC107="","",FROTA!AC107)</f>
        <v/>
      </c>
      <c r="N106" s="4" t="str">
        <f t="shared" si="8"/>
        <v/>
      </c>
      <c r="O106" s="4" t="str">
        <f>IF(FROTA!AE107="","",FROTA!AE107)</f>
        <v/>
      </c>
      <c r="P106" s="4" t="str">
        <f t="shared" si="9"/>
        <v/>
      </c>
      <c r="Q106" s="4" t="str">
        <f>IF(FROTA!AG107="","",FROTA!AG107)</f>
        <v/>
      </c>
      <c r="R106" s="4" t="str">
        <f t="shared" si="10"/>
        <v/>
      </c>
      <c r="S106" s="164">
        <f t="shared" si="11"/>
        <v>0</v>
      </c>
      <c r="T106" s="257">
        <v>42897</v>
      </c>
      <c r="U106" s="256" t="s">
        <v>58</v>
      </c>
    </row>
    <row r="107" spans="2:21" ht="13.5" customHeight="1" x14ac:dyDescent="0.2">
      <c r="B107" s="23" t="str">
        <f>IF(FROTA!B108="","",FROTA!B108)</f>
        <v/>
      </c>
      <c r="C107" s="139" t="str">
        <f>IF(B107="","",VLOOKUP(B107,FROTA!$B$5:$C$306,2,0))</f>
        <v/>
      </c>
      <c r="D107" s="22" t="str">
        <f t="shared" si="6"/>
        <v/>
      </c>
      <c r="E107" s="4" t="str">
        <f>IF(B107="","",SUM(VLOOKUP(C107,ESCALA!$B$3:$N$19,8,0))*(VLOOKUP(SEM!C108,SEM!$C$5:$AC$305,27,0)))</f>
        <v/>
      </c>
      <c r="F107" s="120" t="str">
        <f>IF(D107="","",ROUNDUP(SEM!$AD108*VLOOKUP(RECEITAS!$C107,ESCALA!$B$3:$N$19,8,0),0))</f>
        <v/>
      </c>
      <c r="G107" s="4" t="str">
        <f>IF(B107="","",(SUM((VLOOKUP(C107,ESCALA!$B$3:$N$19,10,0))*(VLOOKUP(SAB!C108,SAB!$C$5:$AC$305,27,0))/VLOOKUP(C107,PERFIL!$B$4:$M$20,8,0))*VLOOKUP(C107,PERFIL!$B$4:$M$20,11,0)))</f>
        <v/>
      </c>
      <c r="H107" s="120" t="str">
        <f>IF(F107="","",ROUNDUP(SAB!$AD108*VLOOKUP(RECEITAS!$C107,ESCALA!$B$3:$N$19,10,0),0))</f>
        <v/>
      </c>
      <c r="I107" s="4" t="str">
        <f>IF(B107="","",SUM(VLOOKUP(C107,ESCALA!$B$3:$N$19,12,0))*(VLOOKUP(DF!C108,DF!$C$5:$AC$305,27,0))/VLOOKUP(C107,PERFIL!$B$4:$M$20,8,0)*VLOOKUP(C107,PERFIL!$B$4:$M$20,12,0))</f>
        <v/>
      </c>
      <c r="J107" s="120" t="str">
        <f>IF(H107="","",ROUNDUP(DF!$AD108*VLOOKUP(RECEITAS!$C107,ESCALA!$B$3:$N$19,12,0),0))</f>
        <v/>
      </c>
      <c r="K107" s="4" t="str">
        <f>IF(FROTA!AA108="","",FROTA!AA108)</f>
        <v/>
      </c>
      <c r="L107" s="4" t="str">
        <f t="shared" si="7"/>
        <v/>
      </c>
      <c r="M107" s="4" t="str">
        <f>IF(FROTA!AC108="","",FROTA!AC108)</f>
        <v/>
      </c>
      <c r="N107" s="4" t="str">
        <f t="shared" si="8"/>
        <v/>
      </c>
      <c r="O107" s="4" t="str">
        <f>IF(FROTA!AE108="","",FROTA!AE108)</f>
        <v/>
      </c>
      <c r="P107" s="4" t="str">
        <f t="shared" si="9"/>
        <v/>
      </c>
      <c r="Q107" s="4" t="str">
        <f>IF(FROTA!AG108="","",FROTA!AG108)</f>
        <v/>
      </c>
      <c r="R107" s="4" t="str">
        <f t="shared" si="10"/>
        <v/>
      </c>
      <c r="S107" s="164">
        <f t="shared" si="11"/>
        <v>0</v>
      </c>
      <c r="T107" s="257">
        <v>42898</v>
      </c>
      <c r="U107" s="256" t="s">
        <v>62</v>
      </c>
    </row>
    <row r="108" spans="2:21" ht="13.5" customHeight="1" x14ac:dyDescent="0.2">
      <c r="B108" s="23" t="str">
        <f>IF(FROTA!B109="","",FROTA!B109)</f>
        <v/>
      </c>
      <c r="C108" s="139" t="str">
        <f>IF(B108="","",VLOOKUP(B108,FROTA!$B$5:$C$306,2,0))</f>
        <v/>
      </c>
      <c r="D108" s="22" t="str">
        <f t="shared" si="6"/>
        <v/>
      </c>
      <c r="E108" s="4" t="str">
        <f>IF(B108="","",SUM(VLOOKUP(C108,ESCALA!$B$3:$N$19,8,0))*(VLOOKUP(SEM!C109,SEM!$C$5:$AC$305,27,0)))</f>
        <v/>
      </c>
      <c r="F108" s="120" t="str">
        <f>IF(D108="","",ROUNDUP(SEM!$AD109*VLOOKUP(RECEITAS!$C108,ESCALA!$B$3:$N$19,8,0),0))</f>
        <v/>
      </c>
      <c r="G108" s="4" t="str">
        <f>IF(B108="","",(SUM((VLOOKUP(C108,ESCALA!$B$3:$N$19,10,0))*(VLOOKUP(SAB!C109,SAB!$C$5:$AC$305,27,0))/VLOOKUP(C108,PERFIL!$B$4:$M$20,8,0))*VLOOKUP(C108,PERFIL!$B$4:$M$20,11,0)))</f>
        <v/>
      </c>
      <c r="H108" s="120" t="str">
        <f>IF(F108="","",ROUNDUP(SAB!$AD109*VLOOKUP(RECEITAS!$C108,ESCALA!$B$3:$N$19,10,0),0))</f>
        <v/>
      </c>
      <c r="I108" s="4" t="str">
        <f>IF(B108="","",SUM(VLOOKUP(C108,ESCALA!$B$3:$N$19,12,0))*(VLOOKUP(DF!C109,DF!$C$5:$AC$305,27,0))/VLOOKUP(C108,PERFIL!$B$4:$M$20,8,0)*VLOOKUP(C108,PERFIL!$B$4:$M$20,12,0))</f>
        <v/>
      </c>
      <c r="J108" s="120" t="str">
        <f>IF(H108="","",ROUNDUP(DF!$AD109*VLOOKUP(RECEITAS!$C108,ESCALA!$B$3:$N$19,12,0),0))</f>
        <v/>
      </c>
      <c r="K108" s="4" t="str">
        <f>IF(FROTA!AA109="","",FROTA!AA109)</f>
        <v/>
      </c>
      <c r="L108" s="4" t="str">
        <f t="shared" si="7"/>
        <v/>
      </c>
      <c r="M108" s="4" t="str">
        <f>IF(FROTA!AC109="","",FROTA!AC109)</f>
        <v/>
      </c>
      <c r="N108" s="4" t="str">
        <f t="shared" si="8"/>
        <v/>
      </c>
      <c r="O108" s="4" t="str">
        <f>IF(FROTA!AE109="","",FROTA!AE109)</f>
        <v/>
      </c>
      <c r="P108" s="4" t="str">
        <f t="shared" si="9"/>
        <v/>
      </c>
      <c r="Q108" s="4" t="str">
        <f>IF(FROTA!AG109="","",FROTA!AG109)</f>
        <v/>
      </c>
      <c r="R108" s="4" t="str">
        <f t="shared" si="10"/>
        <v/>
      </c>
      <c r="S108" s="164">
        <f t="shared" si="11"/>
        <v>0</v>
      </c>
      <c r="T108" s="257">
        <v>42899</v>
      </c>
      <c r="U108" s="256" t="s">
        <v>63</v>
      </c>
    </row>
    <row r="109" spans="2:21" ht="13.5" customHeight="1" x14ac:dyDescent="0.2">
      <c r="B109" s="23" t="str">
        <f>IF(FROTA!B110="","",FROTA!B110)</f>
        <v/>
      </c>
      <c r="C109" s="139" t="str">
        <f>IF(B109="","",VLOOKUP(B109,FROTA!$B$5:$C$306,2,0))</f>
        <v/>
      </c>
      <c r="D109" s="22" t="str">
        <f t="shared" si="6"/>
        <v/>
      </c>
      <c r="E109" s="4" t="str">
        <f>IF(B109="","",SUM(VLOOKUP(C109,ESCALA!$B$3:$N$19,8,0))*(VLOOKUP(SEM!C110,SEM!$C$5:$AC$305,27,0)))</f>
        <v/>
      </c>
      <c r="F109" s="120" t="str">
        <f>IF(D109="","",ROUNDUP(SEM!$AD110*VLOOKUP(RECEITAS!$C109,ESCALA!$B$3:$N$19,8,0),0))</f>
        <v/>
      </c>
      <c r="G109" s="4" t="str">
        <f>IF(B109="","",(SUM((VLOOKUP(C109,ESCALA!$B$3:$N$19,10,0))*(VLOOKUP(SAB!C110,SAB!$C$5:$AC$305,27,0))/VLOOKUP(C109,PERFIL!$B$4:$M$20,8,0))*VLOOKUP(C109,PERFIL!$B$4:$M$20,11,0)))</f>
        <v/>
      </c>
      <c r="H109" s="120" t="str">
        <f>IF(F109="","",ROUNDUP(SAB!$AD110*VLOOKUP(RECEITAS!$C109,ESCALA!$B$3:$N$19,10,0),0))</f>
        <v/>
      </c>
      <c r="I109" s="4" t="str">
        <f>IF(B109="","",SUM(VLOOKUP(C109,ESCALA!$B$3:$N$19,12,0))*(VLOOKUP(DF!C110,DF!$C$5:$AC$305,27,0))/VLOOKUP(C109,PERFIL!$B$4:$M$20,8,0)*VLOOKUP(C109,PERFIL!$B$4:$M$20,12,0))</f>
        <v/>
      </c>
      <c r="J109" s="120" t="str">
        <f>IF(H109="","",ROUNDUP(DF!$AD110*VLOOKUP(RECEITAS!$C109,ESCALA!$B$3:$N$19,12,0),0))</f>
        <v/>
      </c>
      <c r="K109" s="4" t="str">
        <f>IF(FROTA!AA110="","",FROTA!AA110)</f>
        <v/>
      </c>
      <c r="L109" s="4" t="str">
        <f t="shared" si="7"/>
        <v/>
      </c>
      <c r="M109" s="4" t="str">
        <f>IF(FROTA!AC110="","",FROTA!AC110)</f>
        <v/>
      </c>
      <c r="N109" s="4" t="str">
        <f t="shared" si="8"/>
        <v/>
      </c>
      <c r="O109" s="4" t="str">
        <f>IF(FROTA!AE110="","",FROTA!AE110)</f>
        <v/>
      </c>
      <c r="P109" s="4" t="str">
        <f t="shared" si="9"/>
        <v/>
      </c>
      <c r="Q109" s="4" t="str">
        <f>IF(FROTA!AG110="","",FROTA!AG110)</f>
        <v/>
      </c>
      <c r="R109" s="4" t="str">
        <f t="shared" si="10"/>
        <v/>
      </c>
      <c r="S109" s="164">
        <f t="shared" si="11"/>
        <v>0</v>
      </c>
      <c r="T109" s="257">
        <v>42900</v>
      </c>
      <c r="U109" s="256" t="s">
        <v>64</v>
      </c>
    </row>
    <row r="110" spans="2:21" ht="13.5" customHeight="1" x14ac:dyDescent="0.2">
      <c r="B110" s="23" t="str">
        <f>IF(FROTA!B111="","",FROTA!B111)</f>
        <v/>
      </c>
      <c r="C110" s="139" t="str">
        <f>IF(B110="","",VLOOKUP(B110,FROTA!$B$5:$C$306,2,0))</f>
        <v/>
      </c>
      <c r="D110" s="22" t="str">
        <f t="shared" si="6"/>
        <v/>
      </c>
      <c r="E110" s="4" t="str">
        <f>IF(B110="","",SUM(VLOOKUP(C110,ESCALA!$B$3:$N$19,8,0))*(VLOOKUP(SEM!C111,SEM!$C$5:$AC$305,27,0)))</f>
        <v/>
      </c>
      <c r="F110" s="120" t="str">
        <f>IF(D110="","",ROUNDUP(SEM!$AD111*VLOOKUP(RECEITAS!$C110,ESCALA!$B$3:$N$19,8,0),0))</f>
        <v/>
      </c>
      <c r="G110" s="4" t="str">
        <f>IF(B110="","",(SUM((VLOOKUP(C110,ESCALA!$B$3:$N$19,10,0))*(VLOOKUP(SAB!C111,SAB!$C$5:$AC$305,27,0))/VLOOKUP(C110,PERFIL!$B$4:$M$20,8,0))*VLOOKUP(C110,PERFIL!$B$4:$M$20,11,0)))</f>
        <v/>
      </c>
      <c r="H110" s="120" t="str">
        <f>IF(F110="","",ROUNDUP(SAB!$AD111*VLOOKUP(RECEITAS!$C110,ESCALA!$B$3:$N$19,10,0),0))</f>
        <v/>
      </c>
      <c r="I110" s="4" t="str">
        <f>IF(B110="","",SUM(VLOOKUP(C110,ESCALA!$B$3:$N$19,12,0))*(VLOOKUP(DF!C111,DF!$C$5:$AC$305,27,0))/VLOOKUP(C110,PERFIL!$B$4:$M$20,8,0)*VLOOKUP(C110,PERFIL!$B$4:$M$20,12,0))</f>
        <v/>
      </c>
      <c r="J110" s="120" t="str">
        <f>IF(H110="","",ROUNDUP(DF!$AD111*VLOOKUP(RECEITAS!$C110,ESCALA!$B$3:$N$19,12,0),0))</f>
        <v/>
      </c>
      <c r="K110" s="4" t="str">
        <f>IF(FROTA!AA111="","",FROTA!AA111)</f>
        <v/>
      </c>
      <c r="L110" s="4" t="str">
        <f t="shared" si="7"/>
        <v/>
      </c>
      <c r="M110" s="4" t="str">
        <f>IF(FROTA!AC111="","",FROTA!AC111)</f>
        <v/>
      </c>
      <c r="N110" s="4" t="str">
        <f t="shared" si="8"/>
        <v/>
      </c>
      <c r="O110" s="4" t="str">
        <f>IF(FROTA!AE111="","",FROTA!AE111)</f>
        <v/>
      </c>
      <c r="P110" s="4" t="str">
        <f t="shared" si="9"/>
        <v/>
      </c>
      <c r="Q110" s="4" t="str">
        <f>IF(FROTA!AG111="","",FROTA!AG111)</f>
        <v/>
      </c>
      <c r="R110" s="4" t="str">
        <f t="shared" si="10"/>
        <v/>
      </c>
      <c r="S110" s="164">
        <f t="shared" si="11"/>
        <v>0</v>
      </c>
      <c r="T110" s="257">
        <v>42901</v>
      </c>
      <c r="U110" s="256" t="s">
        <v>65</v>
      </c>
    </row>
    <row r="111" spans="2:21" ht="13.5" customHeight="1" x14ac:dyDescent="0.2">
      <c r="B111" s="23" t="str">
        <f>IF(FROTA!B112="","",FROTA!B112)</f>
        <v/>
      </c>
      <c r="C111" s="139" t="str">
        <f>IF(B111="","",VLOOKUP(B111,FROTA!$B$5:$C$306,2,0))</f>
        <v/>
      </c>
      <c r="D111" s="22" t="str">
        <f t="shared" si="6"/>
        <v/>
      </c>
      <c r="E111" s="4" t="str">
        <f>IF(B111="","",SUM(VLOOKUP(C111,ESCALA!$B$3:$N$19,8,0))*(VLOOKUP(SEM!C112,SEM!$C$5:$AC$305,27,0)))</f>
        <v/>
      </c>
      <c r="F111" s="120" t="str">
        <f>IF(D111="","",ROUNDUP(SEM!$AD112*VLOOKUP(RECEITAS!$C111,ESCALA!$B$3:$N$19,8,0),0))</f>
        <v/>
      </c>
      <c r="G111" s="4" t="str">
        <f>IF(B111="","",(SUM((VLOOKUP(C111,ESCALA!$B$3:$N$19,10,0))*(VLOOKUP(SAB!C112,SAB!$C$5:$AC$305,27,0))/VLOOKUP(C111,PERFIL!$B$4:$M$20,8,0))*VLOOKUP(C111,PERFIL!$B$4:$M$20,11,0)))</f>
        <v/>
      </c>
      <c r="H111" s="120" t="str">
        <f>IF(F111="","",ROUNDUP(SAB!$AD112*VLOOKUP(RECEITAS!$C111,ESCALA!$B$3:$N$19,10,0),0))</f>
        <v/>
      </c>
      <c r="I111" s="4" t="str">
        <f>IF(B111="","",SUM(VLOOKUP(C111,ESCALA!$B$3:$N$19,12,0))*(VLOOKUP(DF!C112,DF!$C$5:$AC$305,27,0))/VLOOKUP(C111,PERFIL!$B$4:$M$20,8,0)*VLOOKUP(C111,PERFIL!$B$4:$M$20,12,0))</f>
        <v/>
      </c>
      <c r="J111" s="120" t="str">
        <f>IF(H111="","",ROUNDUP(DF!$AD112*VLOOKUP(RECEITAS!$C111,ESCALA!$B$3:$N$19,12,0),0))</f>
        <v/>
      </c>
      <c r="K111" s="4" t="str">
        <f>IF(FROTA!AA112="","",FROTA!AA112)</f>
        <v/>
      </c>
      <c r="L111" s="4" t="str">
        <f t="shared" si="7"/>
        <v/>
      </c>
      <c r="M111" s="4" t="str">
        <f>IF(FROTA!AC112="","",FROTA!AC112)</f>
        <v/>
      </c>
      <c r="N111" s="4" t="str">
        <f t="shared" si="8"/>
        <v/>
      </c>
      <c r="O111" s="4" t="str">
        <f>IF(FROTA!AE112="","",FROTA!AE112)</f>
        <v/>
      </c>
      <c r="P111" s="4" t="str">
        <f t="shared" si="9"/>
        <v/>
      </c>
      <c r="Q111" s="4" t="str">
        <f>IF(FROTA!AG112="","",FROTA!AG112)</f>
        <v/>
      </c>
      <c r="R111" s="4" t="str">
        <f t="shared" si="10"/>
        <v/>
      </c>
      <c r="S111" s="164">
        <f t="shared" si="11"/>
        <v>0</v>
      </c>
      <c r="T111" s="257">
        <v>42902</v>
      </c>
      <c r="U111" s="256" t="s">
        <v>60</v>
      </c>
    </row>
    <row r="112" spans="2:21" ht="13.5" customHeight="1" x14ac:dyDescent="0.2">
      <c r="B112" s="23" t="str">
        <f>IF(FROTA!B113="","",FROTA!B113)</f>
        <v/>
      </c>
      <c r="C112" s="139" t="str">
        <f>IF(B112="","",VLOOKUP(B112,FROTA!$B$5:$C$306,2,0))</f>
        <v/>
      </c>
      <c r="D112" s="22" t="str">
        <f t="shared" si="6"/>
        <v/>
      </c>
      <c r="E112" s="4" t="str">
        <f>IF(B112="","",SUM(VLOOKUP(C112,ESCALA!$B$3:$N$19,8,0))*(VLOOKUP(SEM!C113,SEM!$C$5:$AC$305,27,0)))</f>
        <v/>
      </c>
      <c r="F112" s="120" t="str">
        <f>IF(D112="","",ROUNDUP(SEM!$AD113*VLOOKUP(RECEITAS!$C112,ESCALA!$B$3:$N$19,8,0),0))</f>
        <v/>
      </c>
      <c r="G112" s="4" t="str">
        <f>IF(B112="","",(SUM((VLOOKUP(C112,ESCALA!$B$3:$N$19,10,0))*(VLOOKUP(SAB!C113,SAB!$C$5:$AC$305,27,0))/VLOOKUP(C112,PERFIL!$B$4:$M$20,8,0))*VLOOKUP(C112,PERFIL!$B$4:$M$20,11,0)))</f>
        <v/>
      </c>
      <c r="H112" s="120" t="str">
        <f>IF(F112="","",ROUNDUP(SAB!$AD113*VLOOKUP(RECEITAS!$C112,ESCALA!$B$3:$N$19,10,0),0))</f>
        <v/>
      </c>
      <c r="I112" s="4" t="str">
        <f>IF(B112="","",SUM(VLOOKUP(C112,ESCALA!$B$3:$N$19,12,0))*(VLOOKUP(DF!C113,DF!$C$5:$AC$305,27,0))/VLOOKUP(C112,PERFIL!$B$4:$M$20,8,0)*VLOOKUP(C112,PERFIL!$B$4:$M$20,12,0))</f>
        <v/>
      </c>
      <c r="J112" s="120" t="str">
        <f>IF(H112="","",ROUNDUP(DF!$AD113*VLOOKUP(RECEITAS!$C112,ESCALA!$B$3:$N$19,12,0),0))</f>
        <v/>
      </c>
      <c r="K112" s="4" t="str">
        <f>IF(FROTA!AA113="","",FROTA!AA113)</f>
        <v/>
      </c>
      <c r="L112" s="4" t="str">
        <f t="shared" si="7"/>
        <v/>
      </c>
      <c r="M112" s="4" t="str">
        <f>IF(FROTA!AC113="","",FROTA!AC113)</f>
        <v/>
      </c>
      <c r="N112" s="4" t="str">
        <f t="shared" si="8"/>
        <v/>
      </c>
      <c r="O112" s="4" t="str">
        <f>IF(FROTA!AE113="","",FROTA!AE113)</f>
        <v/>
      </c>
      <c r="P112" s="4" t="str">
        <f t="shared" si="9"/>
        <v/>
      </c>
      <c r="Q112" s="4" t="str">
        <f>IF(FROTA!AG113="","",FROTA!AG113)</f>
        <v/>
      </c>
      <c r="R112" s="4" t="str">
        <f t="shared" si="10"/>
        <v/>
      </c>
      <c r="S112" s="164">
        <f t="shared" si="11"/>
        <v>0</v>
      </c>
      <c r="T112" s="257">
        <v>42903</v>
      </c>
      <c r="U112" s="256" t="s">
        <v>61</v>
      </c>
    </row>
    <row r="113" spans="2:21" ht="13.5" customHeight="1" x14ac:dyDescent="0.2">
      <c r="B113" s="23" t="str">
        <f>IF(FROTA!B114="","",FROTA!B114)</f>
        <v/>
      </c>
      <c r="C113" s="139" t="str">
        <f>IF(B113="","",VLOOKUP(B113,FROTA!$B$5:$C$306,2,0))</f>
        <v/>
      </c>
      <c r="D113" s="22" t="str">
        <f t="shared" si="6"/>
        <v/>
      </c>
      <c r="E113" s="4" t="str">
        <f>IF(B113="","",SUM(VLOOKUP(C113,ESCALA!$B$3:$N$19,8,0))*(VLOOKUP(SEM!C114,SEM!$C$5:$AC$305,27,0)))</f>
        <v/>
      </c>
      <c r="F113" s="120" t="str">
        <f>IF(D113="","",ROUNDUP(SEM!$AD114*VLOOKUP(RECEITAS!$C113,ESCALA!$B$3:$N$19,8,0),0))</f>
        <v/>
      </c>
      <c r="G113" s="4" t="str">
        <f>IF(B113="","",(SUM((VLOOKUP(C113,ESCALA!$B$3:$N$19,10,0))*(VLOOKUP(SAB!C114,SAB!$C$5:$AC$305,27,0))/VLOOKUP(C113,PERFIL!$B$4:$M$20,8,0))*VLOOKUP(C113,PERFIL!$B$4:$M$20,11,0)))</f>
        <v/>
      </c>
      <c r="H113" s="120" t="str">
        <f>IF(F113="","",ROUNDUP(SAB!$AD114*VLOOKUP(RECEITAS!$C113,ESCALA!$B$3:$N$19,10,0),0))</f>
        <v/>
      </c>
      <c r="I113" s="4" t="str">
        <f>IF(B113="","",SUM(VLOOKUP(C113,ESCALA!$B$3:$N$19,12,0))*(VLOOKUP(DF!C114,DF!$C$5:$AC$305,27,0))/VLOOKUP(C113,PERFIL!$B$4:$M$20,8,0)*VLOOKUP(C113,PERFIL!$B$4:$M$20,12,0))</f>
        <v/>
      </c>
      <c r="J113" s="120" t="str">
        <f>IF(H113="","",ROUNDUP(DF!$AD114*VLOOKUP(RECEITAS!$C113,ESCALA!$B$3:$N$19,12,0),0))</f>
        <v/>
      </c>
      <c r="K113" s="4" t="str">
        <f>IF(FROTA!AA114="","",FROTA!AA114)</f>
        <v/>
      </c>
      <c r="L113" s="4" t="str">
        <f t="shared" si="7"/>
        <v/>
      </c>
      <c r="M113" s="4" t="str">
        <f>IF(FROTA!AC114="","",FROTA!AC114)</f>
        <v/>
      </c>
      <c r="N113" s="4" t="str">
        <f t="shared" si="8"/>
        <v/>
      </c>
      <c r="O113" s="4" t="str">
        <f>IF(FROTA!AE114="","",FROTA!AE114)</f>
        <v/>
      </c>
      <c r="P113" s="4" t="str">
        <f t="shared" si="9"/>
        <v/>
      </c>
      <c r="Q113" s="4" t="str">
        <f>IF(FROTA!AG114="","",FROTA!AG114)</f>
        <v/>
      </c>
      <c r="R113" s="4" t="str">
        <f t="shared" si="10"/>
        <v/>
      </c>
      <c r="S113" s="164">
        <f t="shared" si="11"/>
        <v>0</v>
      </c>
      <c r="T113" s="257">
        <v>42904</v>
      </c>
      <c r="U113" s="256" t="s">
        <v>58</v>
      </c>
    </row>
    <row r="114" spans="2:21" ht="13.5" customHeight="1" x14ac:dyDescent="0.2">
      <c r="B114" s="23" t="str">
        <f>IF(FROTA!B115="","",FROTA!B115)</f>
        <v/>
      </c>
      <c r="C114" s="139" t="str">
        <f>IF(B114="","",VLOOKUP(B114,FROTA!$B$5:$C$306,2,0))</f>
        <v/>
      </c>
      <c r="D114" s="22" t="str">
        <f t="shared" si="6"/>
        <v/>
      </c>
      <c r="E114" s="4" t="str">
        <f>IF(B114="","",SUM(VLOOKUP(C114,ESCALA!$B$3:$N$19,8,0))*(VLOOKUP(SEM!C115,SEM!$C$5:$AC$305,27,0)))</f>
        <v/>
      </c>
      <c r="F114" s="120" t="str">
        <f>IF(D114="","",ROUNDUP(SEM!$AD115*VLOOKUP(RECEITAS!$C114,ESCALA!$B$3:$N$19,8,0),0))</f>
        <v/>
      </c>
      <c r="G114" s="4" t="str">
        <f>IF(B114="","",(SUM((VLOOKUP(C114,ESCALA!$B$3:$N$19,10,0))*(VLOOKUP(SAB!C115,SAB!$C$5:$AC$305,27,0))/VLOOKUP(C114,PERFIL!$B$4:$M$20,8,0))*VLOOKUP(C114,PERFIL!$B$4:$M$20,11,0)))</f>
        <v/>
      </c>
      <c r="H114" s="120" t="str">
        <f>IF(F114="","",ROUNDUP(SAB!$AD115*VLOOKUP(RECEITAS!$C114,ESCALA!$B$3:$N$19,10,0),0))</f>
        <v/>
      </c>
      <c r="I114" s="4" t="str">
        <f>IF(B114="","",SUM(VLOOKUP(C114,ESCALA!$B$3:$N$19,12,0))*(VLOOKUP(DF!C115,DF!$C$5:$AC$305,27,0))/VLOOKUP(C114,PERFIL!$B$4:$M$20,8,0)*VLOOKUP(C114,PERFIL!$B$4:$M$20,12,0))</f>
        <v/>
      </c>
      <c r="J114" s="120" t="str">
        <f>IF(H114="","",ROUNDUP(DF!$AD115*VLOOKUP(RECEITAS!$C114,ESCALA!$B$3:$N$19,12,0),0))</f>
        <v/>
      </c>
      <c r="K114" s="4" t="str">
        <f>IF(FROTA!AA115="","",FROTA!AA115)</f>
        <v/>
      </c>
      <c r="L114" s="4" t="str">
        <f t="shared" si="7"/>
        <v/>
      </c>
      <c r="M114" s="4" t="str">
        <f>IF(FROTA!AC115="","",FROTA!AC115)</f>
        <v/>
      </c>
      <c r="N114" s="4" t="str">
        <f t="shared" si="8"/>
        <v/>
      </c>
      <c r="O114" s="4" t="str">
        <f>IF(FROTA!AE115="","",FROTA!AE115)</f>
        <v/>
      </c>
      <c r="P114" s="4" t="str">
        <f t="shared" si="9"/>
        <v/>
      </c>
      <c r="Q114" s="4" t="str">
        <f>IF(FROTA!AG115="","",FROTA!AG115)</f>
        <v/>
      </c>
      <c r="R114" s="4" t="str">
        <f t="shared" si="10"/>
        <v/>
      </c>
      <c r="S114" s="164">
        <f t="shared" si="11"/>
        <v>0</v>
      </c>
      <c r="T114" s="257">
        <v>42905</v>
      </c>
      <c r="U114" s="256" t="s">
        <v>62</v>
      </c>
    </row>
    <row r="115" spans="2:21" ht="13.5" customHeight="1" x14ac:dyDescent="0.2">
      <c r="B115" s="23" t="str">
        <f>IF(FROTA!B116="","",FROTA!B116)</f>
        <v/>
      </c>
      <c r="C115" s="139" t="str">
        <f>IF(B115="","",VLOOKUP(B115,FROTA!$B$5:$C$306,2,0))</f>
        <v/>
      </c>
      <c r="D115" s="22" t="str">
        <f t="shared" si="6"/>
        <v/>
      </c>
      <c r="E115" s="4" t="str">
        <f>IF(B115="","",SUM(VLOOKUP(C115,ESCALA!$B$3:$N$19,8,0))*(VLOOKUP(SEM!C116,SEM!$C$5:$AC$305,27,0)))</f>
        <v/>
      </c>
      <c r="F115" s="120" t="str">
        <f>IF(D115="","",ROUNDUP(SEM!$AD116*VLOOKUP(RECEITAS!$C115,ESCALA!$B$3:$N$19,8,0),0))</f>
        <v/>
      </c>
      <c r="G115" s="4" t="str">
        <f>IF(B115="","",(SUM((VLOOKUP(C115,ESCALA!$B$3:$N$19,10,0))*(VLOOKUP(SAB!C116,SAB!$C$5:$AC$305,27,0))/VLOOKUP(C115,PERFIL!$B$4:$M$20,8,0))*VLOOKUP(C115,PERFIL!$B$4:$M$20,11,0)))</f>
        <v/>
      </c>
      <c r="H115" s="120" t="str">
        <f>IF(F115="","",ROUNDUP(SAB!$AD116*VLOOKUP(RECEITAS!$C115,ESCALA!$B$3:$N$19,10,0),0))</f>
        <v/>
      </c>
      <c r="I115" s="4" t="str">
        <f>IF(B115="","",SUM(VLOOKUP(C115,ESCALA!$B$3:$N$19,12,0))*(VLOOKUP(DF!C116,DF!$C$5:$AC$305,27,0))/VLOOKUP(C115,PERFIL!$B$4:$M$20,8,0)*VLOOKUP(C115,PERFIL!$B$4:$M$20,12,0))</f>
        <v/>
      </c>
      <c r="J115" s="120" t="str">
        <f>IF(H115="","",ROUNDUP(DF!$AD116*VLOOKUP(RECEITAS!$C115,ESCALA!$B$3:$N$19,12,0),0))</f>
        <v/>
      </c>
      <c r="K115" s="4" t="str">
        <f>IF(FROTA!AA116="","",FROTA!AA116)</f>
        <v/>
      </c>
      <c r="L115" s="4" t="str">
        <f t="shared" si="7"/>
        <v/>
      </c>
      <c r="M115" s="4" t="str">
        <f>IF(FROTA!AC116="","",FROTA!AC116)</f>
        <v/>
      </c>
      <c r="N115" s="4" t="str">
        <f t="shared" si="8"/>
        <v/>
      </c>
      <c r="O115" s="4" t="str">
        <f>IF(FROTA!AE116="","",FROTA!AE116)</f>
        <v/>
      </c>
      <c r="P115" s="4" t="str">
        <f t="shared" si="9"/>
        <v/>
      </c>
      <c r="Q115" s="4" t="str">
        <f>IF(FROTA!AG116="","",FROTA!AG116)</f>
        <v/>
      </c>
      <c r="R115" s="4" t="str">
        <f t="shared" si="10"/>
        <v/>
      </c>
      <c r="S115" s="164">
        <f t="shared" si="11"/>
        <v>0</v>
      </c>
      <c r="T115" s="257">
        <v>42906</v>
      </c>
      <c r="U115" s="256" t="s">
        <v>63</v>
      </c>
    </row>
    <row r="116" spans="2:21" ht="13.5" customHeight="1" x14ac:dyDescent="0.2">
      <c r="B116" s="23" t="str">
        <f>IF(FROTA!B117="","",FROTA!B117)</f>
        <v/>
      </c>
      <c r="C116" s="139" t="str">
        <f>IF(B116="","",VLOOKUP(B116,FROTA!$B$5:$C$306,2,0))</f>
        <v/>
      </c>
      <c r="D116" s="22" t="str">
        <f t="shared" si="6"/>
        <v/>
      </c>
      <c r="E116" s="4" t="str">
        <f>IF(B116="","",SUM(VLOOKUP(C116,ESCALA!$B$3:$N$19,8,0))*(VLOOKUP(SEM!C117,SEM!$C$5:$AC$305,27,0)))</f>
        <v/>
      </c>
      <c r="F116" s="120" t="str">
        <f>IF(D116="","",ROUNDUP(SEM!$AD117*VLOOKUP(RECEITAS!$C116,ESCALA!$B$3:$N$19,8,0),0))</f>
        <v/>
      </c>
      <c r="G116" s="4" t="str">
        <f>IF(B116="","",(SUM((VLOOKUP(C116,ESCALA!$B$3:$N$19,10,0))*(VLOOKUP(SAB!C117,SAB!$C$5:$AC$305,27,0))/VLOOKUP(C116,PERFIL!$B$4:$M$20,8,0))*VLOOKUP(C116,PERFIL!$B$4:$M$20,11,0)))</f>
        <v/>
      </c>
      <c r="H116" s="120" t="str">
        <f>IF(F116="","",ROUNDUP(SAB!$AD117*VLOOKUP(RECEITAS!$C116,ESCALA!$B$3:$N$19,10,0),0))</f>
        <v/>
      </c>
      <c r="I116" s="4" t="str">
        <f>IF(B116="","",SUM(VLOOKUP(C116,ESCALA!$B$3:$N$19,12,0))*(VLOOKUP(DF!C117,DF!$C$5:$AC$305,27,0))/VLOOKUP(C116,PERFIL!$B$4:$M$20,8,0)*VLOOKUP(C116,PERFIL!$B$4:$M$20,12,0))</f>
        <v/>
      </c>
      <c r="J116" s="120" t="str">
        <f>IF(H116="","",ROUNDUP(DF!$AD117*VLOOKUP(RECEITAS!$C116,ESCALA!$B$3:$N$19,12,0),0))</f>
        <v/>
      </c>
      <c r="K116" s="4" t="str">
        <f>IF(FROTA!AA117="","",FROTA!AA117)</f>
        <v/>
      </c>
      <c r="L116" s="4" t="str">
        <f t="shared" si="7"/>
        <v/>
      </c>
      <c r="M116" s="4" t="str">
        <f>IF(FROTA!AC117="","",FROTA!AC117)</f>
        <v/>
      </c>
      <c r="N116" s="4" t="str">
        <f t="shared" si="8"/>
        <v/>
      </c>
      <c r="O116" s="4" t="str">
        <f>IF(FROTA!AE117="","",FROTA!AE117)</f>
        <v/>
      </c>
      <c r="P116" s="4" t="str">
        <f t="shared" si="9"/>
        <v/>
      </c>
      <c r="Q116" s="4" t="str">
        <f>IF(FROTA!AG117="","",FROTA!AG117)</f>
        <v/>
      </c>
      <c r="R116" s="4" t="str">
        <f t="shared" si="10"/>
        <v/>
      </c>
      <c r="S116" s="164">
        <f t="shared" si="11"/>
        <v>0</v>
      </c>
      <c r="T116" s="257">
        <v>42907</v>
      </c>
      <c r="U116" s="256" t="s">
        <v>64</v>
      </c>
    </row>
    <row r="117" spans="2:21" ht="13.5" customHeight="1" x14ac:dyDescent="0.2">
      <c r="B117" s="23" t="str">
        <f>IF(FROTA!B118="","",FROTA!B118)</f>
        <v/>
      </c>
      <c r="C117" s="139" t="str">
        <f>IF(B117="","",VLOOKUP(B117,FROTA!$B$5:$C$306,2,0))</f>
        <v/>
      </c>
      <c r="D117" s="22" t="str">
        <f t="shared" si="6"/>
        <v/>
      </c>
      <c r="E117" s="4" t="str">
        <f>IF(B117="","",SUM(VLOOKUP(C117,ESCALA!$B$3:$N$19,8,0))*(VLOOKUP(SEM!C118,SEM!$C$5:$AC$305,27,0)))</f>
        <v/>
      </c>
      <c r="F117" s="120" t="str">
        <f>IF(D117="","",ROUNDUP(SEM!$AD118*VLOOKUP(RECEITAS!$C117,ESCALA!$B$3:$N$19,8,0),0))</f>
        <v/>
      </c>
      <c r="G117" s="4" t="str">
        <f>IF(B117="","",(SUM((VLOOKUP(C117,ESCALA!$B$3:$N$19,10,0))*(VLOOKUP(SAB!C118,SAB!$C$5:$AC$305,27,0))/VLOOKUP(C117,PERFIL!$B$4:$M$20,8,0))*VLOOKUP(C117,PERFIL!$B$4:$M$20,11,0)))</f>
        <v/>
      </c>
      <c r="H117" s="120" t="str">
        <f>IF(F117="","",ROUNDUP(SAB!$AD118*VLOOKUP(RECEITAS!$C117,ESCALA!$B$3:$N$19,10,0),0))</f>
        <v/>
      </c>
      <c r="I117" s="4" t="str">
        <f>IF(B117="","",SUM(VLOOKUP(C117,ESCALA!$B$3:$N$19,12,0))*(VLOOKUP(DF!C118,DF!$C$5:$AC$305,27,0))/VLOOKUP(C117,PERFIL!$B$4:$M$20,8,0)*VLOOKUP(C117,PERFIL!$B$4:$M$20,12,0))</f>
        <v/>
      </c>
      <c r="J117" s="120" t="str">
        <f>IF(H117="","",ROUNDUP(DF!$AD118*VLOOKUP(RECEITAS!$C117,ESCALA!$B$3:$N$19,12,0),0))</f>
        <v/>
      </c>
      <c r="K117" s="4" t="str">
        <f>IF(FROTA!AA118="","",FROTA!AA118)</f>
        <v/>
      </c>
      <c r="L117" s="4" t="str">
        <f t="shared" si="7"/>
        <v/>
      </c>
      <c r="M117" s="4" t="str">
        <f>IF(FROTA!AC118="","",FROTA!AC118)</f>
        <v/>
      </c>
      <c r="N117" s="4" t="str">
        <f t="shared" si="8"/>
        <v/>
      </c>
      <c r="O117" s="4" t="str">
        <f>IF(FROTA!AE118="","",FROTA!AE118)</f>
        <v/>
      </c>
      <c r="P117" s="4" t="str">
        <f t="shared" si="9"/>
        <v/>
      </c>
      <c r="Q117" s="4" t="str">
        <f>IF(FROTA!AG118="","",FROTA!AG118)</f>
        <v/>
      </c>
      <c r="R117" s="4" t="str">
        <f t="shared" si="10"/>
        <v/>
      </c>
      <c r="S117" s="164">
        <f t="shared" si="11"/>
        <v>0</v>
      </c>
      <c r="T117" s="257">
        <v>42908</v>
      </c>
      <c r="U117" s="256" t="s">
        <v>59</v>
      </c>
    </row>
    <row r="118" spans="2:21" ht="13.5" customHeight="1" x14ac:dyDescent="0.2">
      <c r="B118" s="23" t="str">
        <f>IF(FROTA!B119="","",FROTA!B119)</f>
        <v/>
      </c>
      <c r="C118" s="139" t="str">
        <f>IF(B118="","",VLOOKUP(B118,FROTA!$B$5:$C$306,2,0))</f>
        <v/>
      </c>
      <c r="D118" s="22" t="str">
        <f t="shared" si="6"/>
        <v/>
      </c>
      <c r="E118" s="4" t="str">
        <f>IF(B118="","",SUM(VLOOKUP(C118,ESCALA!$B$3:$N$19,8,0))*(VLOOKUP(SEM!C119,SEM!$C$5:$AC$305,27,0)))</f>
        <v/>
      </c>
      <c r="F118" s="120" t="str">
        <f>IF(D118="","",ROUNDUP(SEM!$AD119*VLOOKUP(RECEITAS!$C118,ESCALA!$B$3:$N$19,8,0),0))</f>
        <v/>
      </c>
      <c r="G118" s="4" t="str">
        <f>IF(B118="","",(SUM((VLOOKUP(C118,ESCALA!$B$3:$N$19,10,0))*(VLOOKUP(SAB!C119,SAB!$C$5:$AC$305,27,0))/VLOOKUP(C118,PERFIL!$B$4:$M$20,8,0))*VLOOKUP(C118,PERFIL!$B$4:$M$20,11,0)))</f>
        <v/>
      </c>
      <c r="H118" s="120" t="str">
        <f>IF(F118="","",ROUNDUP(SAB!$AD119*VLOOKUP(RECEITAS!$C118,ESCALA!$B$3:$N$19,10,0),0))</f>
        <v/>
      </c>
      <c r="I118" s="4" t="str">
        <f>IF(B118="","",SUM(VLOOKUP(C118,ESCALA!$B$3:$N$19,12,0))*(VLOOKUP(DF!C119,DF!$C$5:$AC$305,27,0))/VLOOKUP(C118,PERFIL!$B$4:$M$20,8,0)*VLOOKUP(C118,PERFIL!$B$4:$M$20,12,0))</f>
        <v/>
      </c>
      <c r="J118" s="120" t="str">
        <f>IF(H118="","",ROUNDUP(DF!$AD119*VLOOKUP(RECEITAS!$C118,ESCALA!$B$3:$N$19,12,0),0))</f>
        <v/>
      </c>
      <c r="K118" s="4" t="str">
        <f>IF(FROTA!AA119="","",FROTA!AA119)</f>
        <v/>
      </c>
      <c r="L118" s="4" t="str">
        <f t="shared" si="7"/>
        <v/>
      </c>
      <c r="M118" s="4" t="str">
        <f>IF(FROTA!AC119="","",FROTA!AC119)</f>
        <v/>
      </c>
      <c r="N118" s="4" t="str">
        <f t="shared" si="8"/>
        <v/>
      </c>
      <c r="O118" s="4" t="str">
        <f>IF(FROTA!AE119="","",FROTA!AE119)</f>
        <v/>
      </c>
      <c r="P118" s="4" t="str">
        <f t="shared" si="9"/>
        <v/>
      </c>
      <c r="Q118" s="4" t="str">
        <f>IF(FROTA!AG119="","",FROTA!AG119)</f>
        <v/>
      </c>
      <c r="R118" s="4" t="str">
        <f t="shared" si="10"/>
        <v/>
      </c>
      <c r="S118" s="164">
        <f t="shared" si="11"/>
        <v>0</v>
      </c>
      <c r="T118" s="257">
        <v>42909</v>
      </c>
      <c r="U118" s="256" t="s">
        <v>60</v>
      </c>
    </row>
    <row r="119" spans="2:21" ht="13.5" customHeight="1" x14ac:dyDescent="0.2">
      <c r="B119" s="23" t="str">
        <f>IF(FROTA!B120="","",FROTA!B120)</f>
        <v/>
      </c>
      <c r="C119" s="139" t="str">
        <f>IF(B119="","",VLOOKUP(B119,FROTA!$B$5:$C$306,2,0))</f>
        <v/>
      </c>
      <c r="D119" s="22" t="str">
        <f t="shared" si="6"/>
        <v/>
      </c>
      <c r="E119" s="4" t="str">
        <f>IF(B119="","",SUM(VLOOKUP(C119,ESCALA!$B$3:$N$19,8,0))*(VLOOKUP(SEM!C120,SEM!$C$5:$AC$305,27,0)))</f>
        <v/>
      </c>
      <c r="F119" s="120" t="str">
        <f>IF(D119="","",ROUNDUP(SEM!$AD120*VLOOKUP(RECEITAS!$C119,ESCALA!$B$3:$N$19,8,0),0))</f>
        <v/>
      </c>
      <c r="G119" s="4" t="str">
        <f>IF(B119="","",(SUM((VLOOKUP(C119,ESCALA!$B$3:$N$19,10,0))*(VLOOKUP(SAB!C120,SAB!$C$5:$AC$305,27,0))/VLOOKUP(C119,PERFIL!$B$4:$M$20,8,0))*VLOOKUP(C119,PERFIL!$B$4:$M$20,11,0)))</f>
        <v/>
      </c>
      <c r="H119" s="120" t="str">
        <f>IF(F119="","",ROUNDUP(SAB!$AD120*VLOOKUP(RECEITAS!$C119,ESCALA!$B$3:$N$19,10,0),0))</f>
        <v/>
      </c>
      <c r="I119" s="4" t="str">
        <f>IF(B119="","",SUM(VLOOKUP(C119,ESCALA!$B$3:$N$19,12,0))*(VLOOKUP(DF!C120,DF!$C$5:$AC$305,27,0))/VLOOKUP(C119,PERFIL!$B$4:$M$20,8,0)*VLOOKUP(C119,PERFIL!$B$4:$M$20,12,0))</f>
        <v/>
      </c>
      <c r="J119" s="120" t="str">
        <f>IF(H119="","",ROUNDUP(DF!$AD120*VLOOKUP(RECEITAS!$C119,ESCALA!$B$3:$N$19,12,0),0))</f>
        <v/>
      </c>
      <c r="K119" s="4" t="str">
        <f>IF(FROTA!AA120="","",FROTA!AA120)</f>
        <v/>
      </c>
      <c r="L119" s="4" t="str">
        <f t="shared" si="7"/>
        <v/>
      </c>
      <c r="M119" s="4" t="str">
        <f>IF(FROTA!AC120="","",FROTA!AC120)</f>
        <v/>
      </c>
      <c r="N119" s="4" t="str">
        <f t="shared" si="8"/>
        <v/>
      </c>
      <c r="O119" s="4" t="str">
        <f>IF(FROTA!AE120="","",FROTA!AE120)</f>
        <v/>
      </c>
      <c r="P119" s="4" t="str">
        <f t="shared" si="9"/>
        <v/>
      </c>
      <c r="Q119" s="4" t="str">
        <f>IF(FROTA!AG120="","",FROTA!AG120)</f>
        <v/>
      </c>
      <c r="R119" s="4" t="str">
        <f t="shared" si="10"/>
        <v/>
      </c>
      <c r="S119" s="164">
        <f t="shared" si="11"/>
        <v>0</v>
      </c>
      <c r="T119" s="257">
        <v>42910</v>
      </c>
      <c r="U119" s="256" t="s">
        <v>61</v>
      </c>
    </row>
    <row r="120" spans="2:21" ht="13.5" customHeight="1" x14ac:dyDescent="0.2">
      <c r="B120" s="23" t="str">
        <f>IF(FROTA!B121="","",FROTA!B121)</f>
        <v/>
      </c>
      <c r="C120" s="139" t="str">
        <f>IF(B120="","",VLOOKUP(B120,FROTA!$B$5:$C$306,2,0))</f>
        <v/>
      </c>
      <c r="D120" s="22" t="str">
        <f t="shared" si="6"/>
        <v/>
      </c>
      <c r="E120" s="4" t="str">
        <f>IF(B120="","",SUM(VLOOKUP(C120,ESCALA!$B$3:$N$19,8,0))*(VLOOKUP(SEM!C121,SEM!$C$5:$AC$305,27,0)))</f>
        <v/>
      </c>
      <c r="F120" s="120" t="str">
        <f>IF(D120="","",ROUNDUP(SEM!$AD121*VLOOKUP(RECEITAS!$C120,ESCALA!$B$3:$N$19,8,0),0))</f>
        <v/>
      </c>
      <c r="G120" s="4" t="str">
        <f>IF(B120="","",(SUM((VLOOKUP(C120,ESCALA!$B$3:$N$19,10,0))*(VLOOKUP(SAB!C121,SAB!$C$5:$AC$305,27,0))/VLOOKUP(C120,PERFIL!$B$4:$M$20,8,0))*VLOOKUP(C120,PERFIL!$B$4:$M$20,11,0)))</f>
        <v/>
      </c>
      <c r="H120" s="120" t="str">
        <f>IF(F120="","",ROUNDUP(SAB!$AD121*VLOOKUP(RECEITAS!$C120,ESCALA!$B$3:$N$19,10,0),0))</f>
        <v/>
      </c>
      <c r="I120" s="4" t="str">
        <f>IF(B120="","",SUM(VLOOKUP(C120,ESCALA!$B$3:$N$19,12,0))*(VLOOKUP(DF!C121,DF!$C$5:$AC$305,27,0))/VLOOKUP(C120,PERFIL!$B$4:$M$20,8,0)*VLOOKUP(C120,PERFIL!$B$4:$M$20,12,0))</f>
        <v/>
      </c>
      <c r="J120" s="120" t="str">
        <f>IF(H120="","",ROUNDUP(DF!$AD121*VLOOKUP(RECEITAS!$C120,ESCALA!$B$3:$N$19,12,0),0))</f>
        <v/>
      </c>
      <c r="K120" s="4" t="str">
        <f>IF(FROTA!AA121="","",FROTA!AA121)</f>
        <v/>
      </c>
      <c r="L120" s="4" t="str">
        <f t="shared" si="7"/>
        <v/>
      </c>
      <c r="M120" s="4" t="str">
        <f>IF(FROTA!AC121="","",FROTA!AC121)</f>
        <v/>
      </c>
      <c r="N120" s="4" t="str">
        <f t="shared" si="8"/>
        <v/>
      </c>
      <c r="O120" s="4" t="str">
        <f>IF(FROTA!AE121="","",FROTA!AE121)</f>
        <v/>
      </c>
      <c r="P120" s="4" t="str">
        <f t="shared" si="9"/>
        <v/>
      </c>
      <c r="Q120" s="4" t="str">
        <f>IF(FROTA!AG121="","",FROTA!AG121)</f>
        <v/>
      </c>
      <c r="R120" s="4" t="str">
        <f t="shared" si="10"/>
        <v/>
      </c>
      <c r="S120" s="164">
        <f t="shared" si="11"/>
        <v>0</v>
      </c>
      <c r="T120" s="257">
        <v>42911</v>
      </c>
      <c r="U120" s="256" t="s">
        <v>58</v>
      </c>
    </row>
    <row r="121" spans="2:21" ht="13.5" customHeight="1" x14ac:dyDescent="0.2">
      <c r="B121" s="23" t="str">
        <f>IF(FROTA!B122="","",FROTA!B122)</f>
        <v/>
      </c>
      <c r="C121" s="139" t="str">
        <f>IF(B121="","",VLOOKUP(B121,FROTA!$B$5:$C$306,2,0))</f>
        <v/>
      </c>
      <c r="D121" s="22" t="str">
        <f t="shared" si="6"/>
        <v/>
      </c>
      <c r="E121" s="4" t="str">
        <f>IF(B121="","",SUM(VLOOKUP(C121,ESCALA!$B$3:$N$19,8,0))*(VLOOKUP(SEM!C122,SEM!$C$5:$AC$305,27,0)))</f>
        <v/>
      </c>
      <c r="F121" s="120" t="str">
        <f>IF(D121="","",ROUNDUP(SEM!$AD122*VLOOKUP(RECEITAS!$C121,ESCALA!$B$3:$N$19,8,0),0))</f>
        <v/>
      </c>
      <c r="G121" s="4" t="str">
        <f>IF(B121="","",(SUM((VLOOKUP(C121,ESCALA!$B$3:$N$19,10,0))*(VLOOKUP(SAB!C122,SAB!$C$5:$AC$305,27,0))/VLOOKUP(C121,PERFIL!$B$4:$M$20,8,0))*VLOOKUP(C121,PERFIL!$B$4:$M$20,11,0)))</f>
        <v/>
      </c>
      <c r="H121" s="120" t="str">
        <f>IF(F121="","",ROUNDUP(SAB!$AD122*VLOOKUP(RECEITAS!$C121,ESCALA!$B$3:$N$19,10,0),0))</f>
        <v/>
      </c>
      <c r="I121" s="4" t="str">
        <f>IF(B121="","",SUM(VLOOKUP(C121,ESCALA!$B$3:$N$19,12,0))*(VLOOKUP(DF!C122,DF!$C$5:$AC$305,27,0))/VLOOKUP(C121,PERFIL!$B$4:$M$20,8,0)*VLOOKUP(C121,PERFIL!$B$4:$M$20,12,0))</f>
        <v/>
      </c>
      <c r="J121" s="120" t="str">
        <f>IF(H121="","",ROUNDUP(DF!$AD122*VLOOKUP(RECEITAS!$C121,ESCALA!$B$3:$N$19,12,0),0))</f>
        <v/>
      </c>
      <c r="K121" s="4" t="str">
        <f>IF(FROTA!AA122="","",FROTA!AA122)</f>
        <v/>
      </c>
      <c r="L121" s="4" t="str">
        <f t="shared" si="7"/>
        <v/>
      </c>
      <c r="M121" s="4" t="str">
        <f>IF(FROTA!AC122="","",FROTA!AC122)</f>
        <v/>
      </c>
      <c r="N121" s="4" t="str">
        <f t="shared" si="8"/>
        <v/>
      </c>
      <c r="O121" s="4" t="str">
        <f>IF(FROTA!AE122="","",FROTA!AE122)</f>
        <v/>
      </c>
      <c r="P121" s="4" t="str">
        <f t="shared" si="9"/>
        <v/>
      </c>
      <c r="Q121" s="4" t="str">
        <f>IF(FROTA!AG122="","",FROTA!AG122)</f>
        <v/>
      </c>
      <c r="R121" s="4" t="str">
        <f t="shared" si="10"/>
        <v/>
      </c>
      <c r="S121" s="164">
        <f t="shared" si="11"/>
        <v>0</v>
      </c>
      <c r="T121" s="257">
        <v>42912</v>
      </c>
      <c r="U121" s="256" t="s">
        <v>62</v>
      </c>
    </row>
    <row r="122" spans="2:21" ht="13.5" customHeight="1" x14ac:dyDescent="0.2">
      <c r="B122" s="23" t="str">
        <f>IF(FROTA!B123="","",FROTA!B123)</f>
        <v/>
      </c>
      <c r="C122" s="139" t="str">
        <f>IF(B122="","",VLOOKUP(B122,FROTA!$B$5:$C$306,2,0))</f>
        <v/>
      </c>
      <c r="D122" s="22" t="str">
        <f t="shared" si="6"/>
        <v/>
      </c>
      <c r="E122" s="4" t="str">
        <f>IF(B122="","",SUM(VLOOKUP(C122,ESCALA!$B$3:$N$19,8,0))*(VLOOKUP(SEM!C123,SEM!$C$5:$AC$305,27,0)))</f>
        <v/>
      </c>
      <c r="F122" s="120" t="str">
        <f>IF(D122="","",ROUNDUP(SEM!$AD123*VLOOKUP(RECEITAS!$C122,ESCALA!$B$3:$N$19,8,0),0))</f>
        <v/>
      </c>
      <c r="G122" s="4" t="str">
        <f>IF(B122="","",(SUM((VLOOKUP(C122,ESCALA!$B$3:$N$19,10,0))*(VLOOKUP(SAB!C123,SAB!$C$5:$AC$305,27,0))/VLOOKUP(C122,PERFIL!$B$4:$M$20,8,0))*VLOOKUP(C122,PERFIL!$B$4:$M$20,11,0)))</f>
        <v/>
      </c>
      <c r="H122" s="120" t="str">
        <f>IF(F122="","",ROUNDUP(SAB!$AD123*VLOOKUP(RECEITAS!$C122,ESCALA!$B$3:$N$19,10,0),0))</f>
        <v/>
      </c>
      <c r="I122" s="4" t="str">
        <f>IF(B122="","",SUM(VLOOKUP(C122,ESCALA!$B$3:$N$19,12,0))*(VLOOKUP(DF!C123,DF!$C$5:$AC$305,27,0))/VLOOKUP(C122,PERFIL!$B$4:$M$20,8,0)*VLOOKUP(C122,PERFIL!$B$4:$M$20,12,0))</f>
        <v/>
      </c>
      <c r="J122" s="120" t="str">
        <f>IF(H122="","",ROUNDUP(DF!$AD123*VLOOKUP(RECEITAS!$C122,ESCALA!$B$3:$N$19,12,0),0))</f>
        <v/>
      </c>
      <c r="K122" s="4" t="str">
        <f>IF(FROTA!AA123="","",FROTA!AA123)</f>
        <v/>
      </c>
      <c r="L122" s="4" t="str">
        <f t="shared" si="7"/>
        <v/>
      </c>
      <c r="M122" s="4" t="str">
        <f>IF(FROTA!AC123="","",FROTA!AC123)</f>
        <v/>
      </c>
      <c r="N122" s="4" t="str">
        <f t="shared" si="8"/>
        <v/>
      </c>
      <c r="O122" s="4" t="str">
        <f>IF(FROTA!AE123="","",FROTA!AE123)</f>
        <v/>
      </c>
      <c r="P122" s="4" t="str">
        <f t="shared" si="9"/>
        <v/>
      </c>
      <c r="Q122" s="4" t="str">
        <f>IF(FROTA!AG123="","",FROTA!AG123)</f>
        <v/>
      </c>
      <c r="R122" s="4" t="str">
        <f t="shared" si="10"/>
        <v/>
      </c>
      <c r="S122" s="164">
        <f t="shared" si="11"/>
        <v>0</v>
      </c>
      <c r="T122" s="257">
        <v>42913</v>
      </c>
      <c r="U122" s="256" t="s">
        <v>63</v>
      </c>
    </row>
    <row r="123" spans="2:21" ht="13.5" customHeight="1" x14ac:dyDescent="0.2">
      <c r="B123" s="23" t="str">
        <f>IF(FROTA!B124="","",FROTA!B124)</f>
        <v/>
      </c>
      <c r="C123" s="139" t="str">
        <f>IF(B123="","",VLOOKUP(B123,FROTA!$B$5:$C$306,2,0))</f>
        <v/>
      </c>
      <c r="D123" s="22" t="str">
        <f t="shared" si="6"/>
        <v/>
      </c>
      <c r="E123" s="4" t="str">
        <f>IF(B123="","",SUM(VLOOKUP(C123,ESCALA!$B$3:$N$19,8,0))*(VLOOKUP(SEM!C124,SEM!$C$5:$AC$305,27,0)))</f>
        <v/>
      </c>
      <c r="F123" s="120" t="str">
        <f>IF(D123="","",ROUNDUP(SEM!$AD124*VLOOKUP(RECEITAS!$C123,ESCALA!$B$3:$N$19,8,0),0))</f>
        <v/>
      </c>
      <c r="G123" s="4" t="str">
        <f>IF(B123="","",(SUM((VLOOKUP(C123,ESCALA!$B$3:$N$19,10,0))*(VLOOKUP(SAB!C124,SAB!$C$5:$AC$305,27,0))/VLOOKUP(C123,PERFIL!$B$4:$M$20,8,0))*VLOOKUP(C123,PERFIL!$B$4:$M$20,11,0)))</f>
        <v/>
      </c>
      <c r="H123" s="120" t="str">
        <f>IF(F123="","",ROUNDUP(SAB!$AD124*VLOOKUP(RECEITAS!$C123,ESCALA!$B$3:$N$19,10,0),0))</f>
        <v/>
      </c>
      <c r="I123" s="4" t="str">
        <f>IF(B123="","",SUM(VLOOKUP(C123,ESCALA!$B$3:$N$19,12,0))*(VLOOKUP(DF!C124,DF!$C$5:$AC$305,27,0))/VLOOKUP(C123,PERFIL!$B$4:$M$20,8,0)*VLOOKUP(C123,PERFIL!$B$4:$M$20,12,0))</f>
        <v/>
      </c>
      <c r="J123" s="120" t="str">
        <f>IF(H123="","",ROUNDUP(DF!$AD124*VLOOKUP(RECEITAS!$C123,ESCALA!$B$3:$N$19,12,0),0))</f>
        <v/>
      </c>
      <c r="K123" s="4" t="str">
        <f>IF(FROTA!AA124="","",FROTA!AA124)</f>
        <v/>
      </c>
      <c r="L123" s="4" t="str">
        <f t="shared" si="7"/>
        <v/>
      </c>
      <c r="M123" s="4" t="str">
        <f>IF(FROTA!AC124="","",FROTA!AC124)</f>
        <v/>
      </c>
      <c r="N123" s="4" t="str">
        <f t="shared" si="8"/>
        <v/>
      </c>
      <c r="O123" s="4" t="str">
        <f>IF(FROTA!AE124="","",FROTA!AE124)</f>
        <v/>
      </c>
      <c r="P123" s="4" t="str">
        <f t="shared" si="9"/>
        <v/>
      </c>
      <c r="Q123" s="4" t="str">
        <f>IF(FROTA!AG124="","",FROTA!AG124)</f>
        <v/>
      </c>
      <c r="R123" s="4" t="str">
        <f t="shared" si="10"/>
        <v/>
      </c>
      <c r="S123" s="164">
        <f t="shared" si="11"/>
        <v>0</v>
      </c>
      <c r="T123" s="257">
        <v>42914</v>
      </c>
      <c r="U123" s="256" t="s">
        <v>64</v>
      </c>
    </row>
    <row r="124" spans="2:21" ht="13.5" customHeight="1" x14ac:dyDescent="0.2">
      <c r="B124" s="23" t="str">
        <f>IF(FROTA!B125="","",FROTA!B125)</f>
        <v/>
      </c>
      <c r="C124" s="139" t="str">
        <f>IF(B124="","",VLOOKUP(B124,FROTA!$B$5:$C$306,2,0))</f>
        <v/>
      </c>
      <c r="D124" s="22" t="str">
        <f t="shared" si="6"/>
        <v/>
      </c>
      <c r="E124" s="4" t="str">
        <f>IF(B124="","",SUM(VLOOKUP(C124,ESCALA!$B$3:$N$19,8,0))*(VLOOKUP(SEM!C125,SEM!$C$5:$AC$305,27,0)))</f>
        <v/>
      </c>
      <c r="F124" s="120" t="str">
        <f>IF(D124="","",ROUNDUP(SEM!$AD125*VLOOKUP(RECEITAS!$C124,ESCALA!$B$3:$N$19,8,0),0))</f>
        <v/>
      </c>
      <c r="G124" s="4" t="str">
        <f>IF(B124="","",(SUM((VLOOKUP(C124,ESCALA!$B$3:$N$19,10,0))*(VLOOKUP(SAB!C125,SAB!$C$5:$AC$305,27,0))/VLOOKUP(C124,PERFIL!$B$4:$M$20,8,0))*VLOOKUP(C124,PERFIL!$B$4:$M$20,11,0)))</f>
        <v/>
      </c>
      <c r="H124" s="120" t="str">
        <f>IF(F124="","",ROUNDUP(SAB!$AD125*VLOOKUP(RECEITAS!$C124,ESCALA!$B$3:$N$19,10,0),0))</f>
        <v/>
      </c>
      <c r="I124" s="4" t="str">
        <f>IF(B124="","",SUM(VLOOKUP(C124,ESCALA!$B$3:$N$19,12,0))*(VLOOKUP(DF!C125,DF!$C$5:$AC$305,27,0))/VLOOKUP(C124,PERFIL!$B$4:$M$20,8,0)*VLOOKUP(C124,PERFIL!$B$4:$M$20,12,0))</f>
        <v/>
      </c>
      <c r="J124" s="120" t="str">
        <f>IF(H124="","",ROUNDUP(DF!$AD125*VLOOKUP(RECEITAS!$C124,ESCALA!$B$3:$N$19,12,0),0))</f>
        <v/>
      </c>
      <c r="K124" s="4" t="str">
        <f>IF(FROTA!AA125="","",FROTA!AA125)</f>
        <v/>
      </c>
      <c r="L124" s="4" t="str">
        <f t="shared" si="7"/>
        <v/>
      </c>
      <c r="M124" s="4" t="str">
        <f>IF(FROTA!AC125="","",FROTA!AC125)</f>
        <v/>
      </c>
      <c r="N124" s="4" t="str">
        <f t="shared" si="8"/>
        <v/>
      </c>
      <c r="O124" s="4" t="str">
        <f>IF(FROTA!AE125="","",FROTA!AE125)</f>
        <v/>
      </c>
      <c r="P124" s="4" t="str">
        <f t="shared" si="9"/>
        <v/>
      </c>
      <c r="Q124" s="4" t="str">
        <f>IF(FROTA!AG125="","",FROTA!AG125)</f>
        <v/>
      </c>
      <c r="R124" s="4" t="str">
        <f t="shared" si="10"/>
        <v/>
      </c>
      <c r="S124" s="164">
        <f t="shared" si="11"/>
        <v>0</v>
      </c>
      <c r="T124" s="257">
        <v>42915</v>
      </c>
      <c r="U124" s="256" t="s">
        <v>59</v>
      </c>
    </row>
    <row r="125" spans="2:21" ht="13.5" customHeight="1" x14ac:dyDescent="0.2">
      <c r="B125" s="23" t="str">
        <f>IF(FROTA!B126="","",FROTA!B126)</f>
        <v/>
      </c>
      <c r="C125" s="139" t="str">
        <f>IF(B125="","",VLOOKUP(B125,FROTA!$B$5:$C$306,2,0))</f>
        <v/>
      </c>
      <c r="D125" s="22" t="str">
        <f t="shared" si="6"/>
        <v/>
      </c>
      <c r="E125" s="4" t="str">
        <f>IF(B125="","",SUM(VLOOKUP(C125,ESCALA!$B$3:$N$19,8,0))*(VLOOKUP(SEM!C126,SEM!$C$5:$AC$305,27,0)))</f>
        <v/>
      </c>
      <c r="F125" s="120" t="str">
        <f>IF(D125="","",ROUNDUP(SEM!$AD126*VLOOKUP(RECEITAS!$C125,ESCALA!$B$3:$N$19,8,0),0))</f>
        <v/>
      </c>
      <c r="G125" s="4" t="str">
        <f>IF(B125="","",(SUM((VLOOKUP(C125,ESCALA!$B$3:$N$19,10,0))*(VLOOKUP(SAB!C126,SAB!$C$5:$AC$305,27,0))/VLOOKUP(C125,PERFIL!$B$4:$M$20,8,0))*VLOOKUP(C125,PERFIL!$B$4:$M$20,11,0)))</f>
        <v/>
      </c>
      <c r="H125" s="120" t="str">
        <f>IF(F125="","",ROUNDUP(SAB!$AD126*VLOOKUP(RECEITAS!$C125,ESCALA!$B$3:$N$19,10,0),0))</f>
        <v/>
      </c>
      <c r="I125" s="4" t="str">
        <f>IF(B125="","",SUM(VLOOKUP(C125,ESCALA!$B$3:$N$19,12,0))*(VLOOKUP(DF!C126,DF!$C$5:$AC$305,27,0))/VLOOKUP(C125,PERFIL!$B$4:$M$20,8,0)*VLOOKUP(C125,PERFIL!$B$4:$M$20,12,0))</f>
        <v/>
      </c>
      <c r="J125" s="120" t="str">
        <f>IF(H125="","",ROUNDUP(DF!$AD126*VLOOKUP(RECEITAS!$C125,ESCALA!$B$3:$N$19,12,0),0))</f>
        <v/>
      </c>
      <c r="K125" s="4" t="str">
        <f>IF(FROTA!AA126="","",FROTA!AA126)</f>
        <v/>
      </c>
      <c r="L125" s="4" t="str">
        <f t="shared" si="7"/>
        <v/>
      </c>
      <c r="M125" s="4" t="str">
        <f>IF(FROTA!AC126="","",FROTA!AC126)</f>
        <v/>
      </c>
      <c r="N125" s="4" t="str">
        <f t="shared" si="8"/>
        <v/>
      </c>
      <c r="O125" s="4" t="str">
        <f>IF(FROTA!AE126="","",FROTA!AE126)</f>
        <v/>
      </c>
      <c r="P125" s="4" t="str">
        <f t="shared" si="9"/>
        <v/>
      </c>
      <c r="Q125" s="4" t="str">
        <f>IF(FROTA!AG126="","",FROTA!AG126)</f>
        <v/>
      </c>
      <c r="R125" s="4" t="str">
        <f t="shared" si="10"/>
        <v/>
      </c>
      <c r="S125" s="164">
        <f t="shared" si="11"/>
        <v>0</v>
      </c>
      <c r="T125" s="257">
        <v>42916</v>
      </c>
      <c r="U125" s="256" t="s">
        <v>60</v>
      </c>
    </row>
    <row r="126" spans="2:21" ht="13.5" customHeight="1" x14ac:dyDescent="0.2">
      <c r="B126" s="23" t="str">
        <f>IF(FROTA!B127="","",FROTA!B127)</f>
        <v/>
      </c>
      <c r="C126" s="139" t="str">
        <f>IF(B126="","",VLOOKUP(B126,FROTA!$B$5:$C$306,2,0))</f>
        <v/>
      </c>
      <c r="D126" s="22" t="str">
        <f t="shared" si="6"/>
        <v/>
      </c>
      <c r="E126" s="4" t="str">
        <f>IF(B126="","",SUM(VLOOKUP(C126,ESCALA!$B$3:$N$19,8,0))*(VLOOKUP(SEM!C127,SEM!$C$5:$AC$305,27,0)))</f>
        <v/>
      </c>
      <c r="F126" s="120" t="str">
        <f>IF(D126="","",ROUNDUP(SEM!$AD127*VLOOKUP(RECEITAS!$C126,ESCALA!$B$3:$N$19,8,0),0))</f>
        <v/>
      </c>
      <c r="G126" s="4" t="str">
        <f>IF(B126="","",(SUM((VLOOKUP(C126,ESCALA!$B$3:$N$19,10,0))*(VLOOKUP(SAB!C127,SAB!$C$5:$AC$305,27,0))/VLOOKUP(C126,PERFIL!$B$4:$M$20,8,0))*VLOOKUP(C126,PERFIL!$B$4:$M$20,11,0)))</f>
        <v/>
      </c>
      <c r="H126" s="120" t="str">
        <f>IF(F126="","",ROUNDUP(SAB!$AD127*VLOOKUP(RECEITAS!$C126,ESCALA!$B$3:$N$19,10,0),0))</f>
        <v/>
      </c>
      <c r="I126" s="4" t="str">
        <f>IF(B126="","",SUM(VLOOKUP(C126,ESCALA!$B$3:$N$19,12,0))*(VLOOKUP(DF!C127,DF!$C$5:$AC$305,27,0))/VLOOKUP(C126,PERFIL!$B$4:$M$20,8,0)*VLOOKUP(C126,PERFIL!$B$4:$M$20,12,0))</f>
        <v/>
      </c>
      <c r="J126" s="120" t="str">
        <f>IF(H126="","",ROUNDUP(DF!$AD127*VLOOKUP(RECEITAS!$C126,ESCALA!$B$3:$N$19,12,0),0))</f>
        <v/>
      </c>
      <c r="K126" s="4" t="str">
        <f>IF(FROTA!AA127="","",FROTA!AA127)</f>
        <v/>
      </c>
      <c r="L126" s="4" t="str">
        <f t="shared" si="7"/>
        <v/>
      </c>
      <c r="M126" s="4" t="str">
        <f>IF(FROTA!AC127="","",FROTA!AC127)</f>
        <v/>
      </c>
      <c r="N126" s="4" t="str">
        <f t="shared" si="8"/>
        <v/>
      </c>
      <c r="O126" s="4" t="str">
        <f>IF(FROTA!AE127="","",FROTA!AE127)</f>
        <v/>
      </c>
      <c r="P126" s="4" t="str">
        <f t="shared" si="9"/>
        <v/>
      </c>
      <c r="Q126" s="4" t="str">
        <f>IF(FROTA!AG127="","",FROTA!AG127)</f>
        <v/>
      </c>
      <c r="R126" s="4" t="str">
        <f t="shared" si="10"/>
        <v/>
      </c>
      <c r="S126" s="164">
        <f t="shared" si="11"/>
        <v>0</v>
      </c>
      <c r="T126" s="257">
        <v>42917</v>
      </c>
      <c r="U126" s="256" t="s">
        <v>61</v>
      </c>
    </row>
    <row r="127" spans="2:21" ht="13.5" customHeight="1" x14ac:dyDescent="0.2">
      <c r="B127" s="23" t="str">
        <f>IF(FROTA!B128="","",FROTA!B128)</f>
        <v/>
      </c>
      <c r="C127" s="139" t="str">
        <f>IF(B127="","",VLOOKUP(B127,FROTA!$B$5:$C$306,2,0))</f>
        <v/>
      </c>
      <c r="D127" s="22" t="str">
        <f t="shared" si="6"/>
        <v/>
      </c>
      <c r="E127" s="4" t="str">
        <f>IF(B127="","",SUM(VLOOKUP(C127,ESCALA!$B$3:$N$19,8,0))*(VLOOKUP(SEM!C128,SEM!$C$5:$AC$305,27,0)))</f>
        <v/>
      </c>
      <c r="F127" s="120" t="str">
        <f>IF(D127="","",ROUNDUP(SEM!$AD128*VLOOKUP(RECEITAS!$C127,ESCALA!$B$3:$N$19,8,0),0))</f>
        <v/>
      </c>
      <c r="G127" s="4" t="str">
        <f>IF(B127="","",(SUM((VLOOKUP(C127,ESCALA!$B$3:$N$19,10,0))*(VLOOKUP(SAB!C128,SAB!$C$5:$AC$305,27,0))/VLOOKUP(C127,PERFIL!$B$4:$M$20,8,0))*VLOOKUP(C127,PERFIL!$B$4:$M$20,11,0)))</f>
        <v/>
      </c>
      <c r="H127" s="120" t="str">
        <f>IF(F127="","",ROUNDUP(SAB!$AD128*VLOOKUP(RECEITAS!$C127,ESCALA!$B$3:$N$19,10,0),0))</f>
        <v/>
      </c>
      <c r="I127" s="4" t="str">
        <f>IF(B127="","",SUM(VLOOKUP(C127,ESCALA!$B$3:$N$19,12,0))*(VLOOKUP(DF!C128,DF!$C$5:$AC$305,27,0))/VLOOKUP(C127,PERFIL!$B$4:$M$20,8,0)*VLOOKUP(C127,PERFIL!$B$4:$M$20,12,0))</f>
        <v/>
      </c>
      <c r="J127" s="120" t="str">
        <f>IF(H127="","",ROUNDUP(DF!$AD128*VLOOKUP(RECEITAS!$C127,ESCALA!$B$3:$N$19,12,0),0))</f>
        <v/>
      </c>
      <c r="K127" s="4" t="str">
        <f>IF(FROTA!AA128="","",FROTA!AA128)</f>
        <v/>
      </c>
      <c r="L127" s="4" t="str">
        <f t="shared" si="7"/>
        <v/>
      </c>
      <c r="M127" s="4" t="str">
        <f>IF(FROTA!AC128="","",FROTA!AC128)</f>
        <v/>
      </c>
      <c r="N127" s="4" t="str">
        <f t="shared" si="8"/>
        <v/>
      </c>
      <c r="O127" s="4" t="str">
        <f>IF(FROTA!AE128="","",FROTA!AE128)</f>
        <v/>
      </c>
      <c r="P127" s="4" t="str">
        <f t="shared" si="9"/>
        <v/>
      </c>
      <c r="Q127" s="4" t="str">
        <f>IF(FROTA!AG128="","",FROTA!AG128)</f>
        <v/>
      </c>
      <c r="R127" s="4" t="str">
        <f t="shared" si="10"/>
        <v/>
      </c>
      <c r="S127" s="164">
        <f t="shared" si="11"/>
        <v>0</v>
      </c>
      <c r="T127" s="257">
        <v>42918</v>
      </c>
      <c r="U127" s="256" t="s">
        <v>58</v>
      </c>
    </row>
    <row r="128" spans="2:21" ht="13.5" customHeight="1" x14ac:dyDescent="0.2">
      <c r="B128" s="23" t="str">
        <f>IF(FROTA!B129="","",FROTA!B129)</f>
        <v/>
      </c>
      <c r="C128" s="139" t="str">
        <f>IF(B128="","",VLOOKUP(B128,FROTA!$B$5:$C$306,2,0))</f>
        <v/>
      </c>
      <c r="D128" s="22" t="str">
        <f t="shared" si="6"/>
        <v/>
      </c>
      <c r="E128" s="4" t="str">
        <f>IF(B128="","",SUM(VLOOKUP(C128,ESCALA!$B$3:$N$19,8,0))*(VLOOKUP(SEM!C129,SEM!$C$5:$AC$305,27,0)))</f>
        <v/>
      </c>
      <c r="F128" s="120" t="str">
        <f>IF(D128="","",ROUNDUP(SEM!$AD129*VLOOKUP(RECEITAS!$C128,ESCALA!$B$3:$N$19,8,0),0))</f>
        <v/>
      </c>
      <c r="G128" s="4" t="str">
        <f>IF(B128="","",(SUM((VLOOKUP(C128,ESCALA!$B$3:$N$19,10,0))*(VLOOKUP(SAB!C129,SAB!$C$5:$AC$305,27,0))/VLOOKUP(C128,PERFIL!$B$4:$M$20,8,0))*VLOOKUP(C128,PERFIL!$B$4:$M$20,11,0)))</f>
        <v/>
      </c>
      <c r="H128" s="120" t="str">
        <f>IF(F128="","",ROUNDUP(SAB!$AD129*VLOOKUP(RECEITAS!$C128,ESCALA!$B$3:$N$19,10,0),0))</f>
        <v/>
      </c>
      <c r="I128" s="4" t="str">
        <f>IF(B128="","",SUM(VLOOKUP(C128,ESCALA!$B$3:$N$19,12,0))*(VLOOKUP(DF!C129,DF!$C$5:$AC$305,27,0))/VLOOKUP(C128,PERFIL!$B$4:$M$20,8,0)*VLOOKUP(C128,PERFIL!$B$4:$M$20,12,0))</f>
        <v/>
      </c>
      <c r="J128" s="120" t="str">
        <f>IF(H128="","",ROUNDUP(DF!$AD129*VLOOKUP(RECEITAS!$C128,ESCALA!$B$3:$N$19,12,0),0))</f>
        <v/>
      </c>
      <c r="K128" s="4" t="str">
        <f>IF(FROTA!AA129="","",FROTA!AA129)</f>
        <v/>
      </c>
      <c r="L128" s="4" t="str">
        <f t="shared" si="7"/>
        <v/>
      </c>
      <c r="M128" s="4" t="str">
        <f>IF(FROTA!AC129="","",FROTA!AC129)</f>
        <v/>
      </c>
      <c r="N128" s="4" t="str">
        <f t="shared" si="8"/>
        <v/>
      </c>
      <c r="O128" s="4" t="str">
        <f>IF(FROTA!AE129="","",FROTA!AE129)</f>
        <v/>
      </c>
      <c r="P128" s="4" t="str">
        <f t="shared" si="9"/>
        <v/>
      </c>
      <c r="Q128" s="4" t="str">
        <f>IF(FROTA!AG129="","",FROTA!AG129)</f>
        <v/>
      </c>
      <c r="R128" s="4" t="str">
        <f t="shared" si="10"/>
        <v/>
      </c>
      <c r="S128" s="164">
        <f t="shared" si="11"/>
        <v>0</v>
      </c>
      <c r="T128" s="257">
        <v>42919</v>
      </c>
      <c r="U128" s="256" t="s">
        <v>62</v>
      </c>
    </row>
    <row r="129" spans="2:21" ht="13.5" customHeight="1" x14ac:dyDescent="0.2">
      <c r="B129" s="23" t="str">
        <f>IF(FROTA!B130="","",FROTA!B130)</f>
        <v/>
      </c>
      <c r="C129" s="139" t="str">
        <f>IF(B129="","",VLOOKUP(B129,FROTA!$B$5:$C$306,2,0))</f>
        <v/>
      </c>
      <c r="D129" s="22" t="str">
        <f t="shared" si="6"/>
        <v/>
      </c>
      <c r="E129" s="4" t="str">
        <f>IF(B129="","",SUM(VLOOKUP(C129,ESCALA!$B$3:$N$19,8,0))*(VLOOKUP(SEM!C130,SEM!$C$5:$AC$305,27,0)))</f>
        <v/>
      </c>
      <c r="F129" s="120" t="str">
        <f>IF(D129="","",ROUNDUP(SEM!$AD130*VLOOKUP(RECEITAS!$C129,ESCALA!$B$3:$N$19,8,0),0))</f>
        <v/>
      </c>
      <c r="G129" s="4" t="str">
        <f>IF(B129="","",(SUM((VLOOKUP(C129,ESCALA!$B$3:$N$19,10,0))*(VLOOKUP(SAB!C130,SAB!$C$5:$AC$305,27,0))/VLOOKUP(C129,PERFIL!$B$4:$M$20,8,0))*VLOOKUP(C129,PERFIL!$B$4:$M$20,11,0)))</f>
        <v/>
      </c>
      <c r="H129" s="120" t="str">
        <f>IF(F129="","",ROUNDUP(SAB!$AD130*VLOOKUP(RECEITAS!$C129,ESCALA!$B$3:$N$19,10,0),0))</f>
        <v/>
      </c>
      <c r="I129" s="4" t="str">
        <f>IF(B129="","",SUM(VLOOKUP(C129,ESCALA!$B$3:$N$19,12,0))*(VLOOKUP(DF!C130,DF!$C$5:$AC$305,27,0))/VLOOKUP(C129,PERFIL!$B$4:$M$20,8,0)*VLOOKUP(C129,PERFIL!$B$4:$M$20,12,0))</f>
        <v/>
      </c>
      <c r="J129" s="120" t="str">
        <f>IF(H129="","",ROUNDUP(DF!$AD130*VLOOKUP(RECEITAS!$C129,ESCALA!$B$3:$N$19,12,0),0))</f>
        <v/>
      </c>
      <c r="K129" s="4" t="str">
        <f>IF(FROTA!AA130="","",FROTA!AA130)</f>
        <v/>
      </c>
      <c r="L129" s="4" t="str">
        <f t="shared" si="7"/>
        <v/>
      </c>
      <c r="M129" s="4" t="str">
        <f>IF(FROTA!AC130="","",FROTA!AC130)</f>
        <v/>
      </c>
      <c r="N129" s="4" t="str">
        <f t="shared" si="8"/>
        <v/>
      </c>
      <c r="O129" s="4" t="str">
        <f>IF(FROTA!AE130="","",FROTA!AE130)</f>
        <v/>
      </c>
      <c r="P129" s="4" t="str">
        <f t="shared" si="9"/>
        <v/>
      </c>
      <c r="Q129" s="4" t="str">
        <f>IF(FROTA!AG130="","",FROTA!AG130)</f>
        <v/>
      </c>
      <c r="R129" s="4" t="str">
        <f t="shared" si="10"/>
        <v/>
      </c>
      <c r="S129" s="164">
        <f t="shared" si="11"/>
        <v>0</v>
      </c>
      <c r="T129" s="257">
        <v>42920</v>
      </c>
      <c r="U129" s="256" t="s">
        <v>63</v>
      </c>
    </row>
    <row r="130" spans="2:21" ht="13.5" customHeight="1" x14ac:dyDescent="0.2">
      <c r="B130" s="23" t="str">
        <f>IF(FROTA!B131="","",FROTA!B131)</f>
        <v/>
      </c>
      <c r="C130" s="139" t="str">
        <f>IF(B130="","",VLOOKUP(B130,FROTA!$B$5:$C$306,2,0))</f>
        <v/>
      </c>
      <c r="D130" s="22" t="str">
        <f t="shared" si="6"/>
        <v/>
      </c>
      <c r="E130" s="4" t="str">
        <f>IF(B130="","",SUM(VLOOKUP(C130,ESCALA!$B$3:$N$19,8,0))*(VLOOKUP(SEM!C131,SEM!$C$5:$AC$305,27,0)))</f>
        <v/>
      </c>
      <c r="F130" s="120" t="str">
        <f>IF(D130="","",ROUNDUP(SEM!$AD131*VLOOKUP(RECEITAS!$C130,ESCALA!$B$3:$N$19,8,0),0))</f>
        <v/>
      </c>
      <c r="G130" s="4" t="str">
        <f>IF(B130="","",(SUM((VLOOKUP(C130,ESCALA!$B$3:$N$19,10,0))*(VLOOKUP(SAB!C131,SAB!$C$5:$AC$305,27,0))/VLOOKUP(C130,PERFIL!$B$4:$M$20,8,0))*VLOOKUP(C130,PERFIL!$B$4:$M$20,11,0)))</f>
        <v/>
      </c>
      <c r="H130" s="120" t="str">
        <f>IF(F130="","",ROUNDUP(SAB!$AD131*VLOOKUP(RECEITAS!$C130,ESCALA!$B$3:$N$19,10,0),0))</f>
        <v/>
      </c>
      <c r="I130" s="4" t="str">
        <f>IF(B130="","",SUM(VLOOKUP(C130,ESCALA!$B$3:$N$19,12,0))*(VLOOKUP(DF!C131,DF!$C$5:$AC$305,27,0))/VLOOKUP(C130,PERFIL!$B$4:$M$20,8,0)*VLOOKUP(C130,PERFIL!$B$4:$M$20,12,0))</f>
        <v/>
      </c>
      <c r="J130" s="120" t="str">
        <f>IF(H130="","",ROUNDUP(DF!$AD131*VLOOKUP(RECEITAS!$C130,ESCALA!$B$3:$N$19,12,0),0))</f>
        <v/>
      </c>
      <c r="K130" s="4" t="str">
        <f>IF(FROTA!AA131="","",FROTA!AA131)</f>
        <v/>
      </c>
      <c r="L130" s="4" t="str">
        <f t="shared" si="7"/>
        <v/>
      </c>
      <c r="M130" s="4" t="str">
        <f>IF(FROTA!AC131="","",FROTA!AC131)</f>
        <v/>
      </c>
      <c r="N130" s="4" t="str">
        <f t="shared" si="8"/>
        <v/>
      </c>
      <c r="O130" s="4" t="str">
        <f>IF(FROTA!AE131="","",FROTA!AE131)</f>
        <v/>
      </c>
      <c r="P130" s="4" t="str">
        <f t="shared" si="9"/>
        <v/>
      </c>
      <c r="Q130" s="4" t="str">
        <f>IF(FROTA!AG131="","",FROTA!AG131)</f>
        <v/>
      </c>
      <c r="R130" s="4" t="str">
        <f t="shared" si="10"/>
        <v/>
      </c>
      <c r="S130" s="164">
        <f t="shared" si="11"/>
        <v>0</v>
      </c>
      <c r="T130" s="257">
        <v>42921</v>
      </c>
      <c r="U130" s="256" t="s">
        <v>64</v>
      </c>
    </row>
    <row r="131" spans="2:21" ht="13.5" customHeight="1" x14ac:dyDescent="0.2">
      <c r="B131" s="23" t="str">
        <f>IF(FROTA!B132="","",FROTA!B132)</f>
        <v/>
      </c>
      <c r="C131" s="139" t="str">
        <f>IF(B131="","",VLOOKUP(B131,FROTA!$B$5:$C$306,2,0))</f>
        <v/>
      </c>
      <c r="D131" s="22" t="str">
        <f t="shared" si="6"/>
        <v/>
      </c>
      <c r="E131" s="4" t="str">
        <f>IF(B131="","",SUM(VLOOKUP(C131,ESCALA!$B$3:$N$19,8,0))*(VLOOKUP(SEM!C132,SEM!$C$5:$AC$305,27,0)))</f>
        <v/>
      </c>
      <c r="F131" s="120" t="str">
        <f>IF(D131="","",ROUNDUP(SEM!$AD132*VLOOKUP(RECEITAS!$C131,ESCALA!$B$3:$N$19,8,0),0))</f>
        <v/>
      </c>
      <c r="G131" s="4" t="str">
        <f>IF(B131="","",(SUM((VLOOKUP(C131,ESCALA!$B$3:$N$19,10,0))*(VLOOKUP(SAB!C132,SAB!$C$5:$AC$305,27,0))/VLOOKUP(C131,PERFIL!$B$4:$M$20,8,0))*VLOOKUP(C131,PERFIL!$B$4:$M$20,11,0)))</f>
        <v/>
      </c>
      <c r="H131" s="120" t="str">
        <f>IF(F131="","",ROUNDUP(SAB!$AD132*VLOOKUP(RECEITAS!$C131,ESCALA!$B$3:$N$19,10,0),0))</f>
        <v/>
      </c>
      <c r="I131" s="4" t="str">
        <f>IF(B131="","",SUM(VLOOKUP(C131,ESCALA!$B$3:$N$19,12,0))*(VLOOKUP(DF!C132,DF!$C$5:$AC$305,27,0))/VLOOKUP(C131,PERFIL!$B$4:$M$20,8,0)*VLOOKUP(C131,PERFIL!$B$4:$M$20,12,0))</f>
        <v/>
      </c>
      <c r="J131" s="120" t="str">
        <f>IF(H131="","",ROUNDUP(DF!$AD132*VLOOKUP(RECEITAS!$C131,ESCALA!$B$3:$N$19,12,0),0))</f>
        <v/>
      </c>
      <c r="K131" s="4" t="str">
        <f>IF(FROTA!AA132="","",FROTA!AA132)</f>
        <v/>
      </c>
      <c r="L131" s="4" t="str">
        <f t="shared" si="7"/>
        <v/>
      </c>
      <c r="M131" s="4" t="str">
        <f>IF(FROTA!AC132="","",FROTA!AC132)</f>
        <v/>
      </c>
      <c r="N131" s="4" t="str">
        <f t="shared" si="8"/>
        <v/>
      </c>
      <c r="O131" s="4" t="str">
        <f>IF(FROTA!AE132="","",FROTA!AE132)</f>
        <v/>
      </c>
      <c r="P131" s="4" t="str">
        <f t="shared" si="9"/>
        <v/>
      </c>
      <c r="Q131" s="4" t="str">
        <f>IF(FROTA!AG132="","",FROTA!AG132)</f>
        <v/>
      </c>
      <c r="R131" s="4" t="str">
        <f t="shared" si="10"/>
        <v/>
      </c>
      <c r="S131" s="164">
        <f t="shared" si="11"/>
        <v>0</v>
      </c>
      <c r="T131" s="257">
        <v>42922</v>
      </c>
      <c r="U131" s="256" t="s">
        <v>59</v>
      </c>
    </row>
    <row r="132" spans="2:21" ht="13.5" customHeight="1" x14ac:dyDescent="0.2">
      <c r="B132" s="23" t="str">
        <f>IF(FROTA!B133="","",FROTA!B133)</f>
        <v/>
      </c>
      <c r="C132" s="139" t="str">
        <f>IF(B132="","",VLOOKUP(B132,FROTA!$B$5:$C$306,2,0))</f>
        <v/>
      </c>
      <c r="D132" s="22" t="str">
        <f t="shared" si="6"/>
        <v/>
      </c>
      <c r="E132" s="4" t="str">
        <f>IF(B132="","",SUM(VLOOKUP(C132,ESCALA!$B$3:$N$19,8,0))*(VLOOKUP(SEM!C133,SEM!$C$5:$AC$305,27,0)))</f>
        <v/>
      </c>
      <c r="F132" s="120" t="str">
        <f>IF(D132="","",ROUNDUP(SEM!$AD133*VLOOKUP(RECEITAS!$C132,ESCALA!$B$3:$N$19,8,0),0))</f>
        <v/>
      </c>
      <c r="G132" s="4" t="str">
        <f>IF(B132="","",(SUM((VLOOKUP(C132,ESCALA!$B$3:$N$19,10,0))*(VLOOKUP(SAB!C133,SAB!$C$5:$AC$305,27,0))/VLOOKUP(C132,PERFIL!$B$4:$M$20,8,0))*VLOOKUP(C132,PERFIL!$B$4:$M$20,11,0)))</f>
        <v/>
      </c>
      <c r="H132" s="120" t="str">
        <f>IF(F132="","",ROUNDUP(SAB!$AD133*VLOOKUP(RECEITAS!$C132,ESCALA!$B$3:$N$19,10,0),0))</f>
        <v/>
      </c>
      <c r="I132" s="4" t="str">
        <f>IF(B132="","",SUM(VLOOKUP(C132,ESCALA!$B$3:$N$19,12,0))*(VLOOKUP(DF!C133,DF!$C$5:$AC$305,27,0))/VLOOKUP(C132,PERFIL!$B$4:$M$20,8,0)*VLOOKUP(C132,PERFIL!$B$4:$M$20,12,0))</f>
        <v/>
      </c>
      <c r="J132" s="120" t="str">
        <f>IF(H132="","",ROUNDUP(DF!$AD133*VLOOKUP(RECEITAS!$C132,ESCALA!$B$3:$N$19,12,0),0))</f>
        <v/>
      </c>
      <c r="K132" s="4" t="str">
        <f>IF(FROTA!AA133="","",FROTA!AA133)</f>
        <v/>
      </c>
      <c r="L132" s="4" t="str">
        <f t="shared" si="7"/>
        <v/>
      </c>
      <c r="M132" s="4" t="str">
        <f>IF(FROTA!AC133="","",FROTA!AC133)</f>
        <v/>
      </c>
      <c r="N132" s="4" t="str">
        <f t="shared" si="8"/>
        <v/>
      </c>
      <c r="O132" s="4" t="str">
        <f>IF(FROTA!AE133="","",FROTA!AE133)</f>
        <v/>
      </c>
      <c r="P132" s="4" t="str">
        <f t="shared" si="9"/>
        <v/>
      </c>
      <c r="Q132" s="4" t="str">
        <f>IF(FROTA!AG133="","",FROTA!AG133)</f>
        <v/>
      </c>
      <c r="R132" s="4" t="str">
        <f t="shared" si="10"/>
        <v/>
      </c>
      <c r="S132" s="164">
        <f t="shared" si="11"/>
        <v>0</v>
      </c>
      <c r="T132" s="257">
        <v>42923</v>
      </c>
      <c r="U132" s="256" t="s">
        <v>60</v>
      </c>
    </row>
    <row r="133" spans="2:21" ht="13.5" customHeight="1" x14ac:dyDescent="0.2">
      <c r="B133" s="23" t="str">
        <f>IF(FROTA!B134="","",FROTA!B134)</f>
        <v/>
      </c>
      <c r="C133" s="139" t="str">
        <f>IF(B133="","",VLOOKUP(B133,FROTA!$B$5:$C$306,2,0))</f>
        <v/>
      </c>
      <c r="D133" s="22" t="str">
        <f t="shared" si="6"/>
        <v/>
      </c>
      <c r="E133" s="4" t="str">
        <f>IF(B133="","",SUM(VLOOKUP(C133,ESCALA!$B$3:$N$19,8,0))*(VLOOKUP(SEM!C134,SEM!$C$5:$AC$305,27,0)))</f>
        <v/>
      </c>
      <c r="F133" s="120" t="str">
        <f>IF(D133="","",ROUNDUP(SEM!$AD134*VLOOKUP(RECEITAS!$C133,ESCALA!$B$3:$N$19,8,0),0))</f>
        <v/>
      </c>
      <c r="G133" s="4" t="str">
        <f>IF(B133="","",(SUM((VLOOKUP(C133,ESCALA!$B$3:$N$19,10,0))*(VLOOKUP(SAB!C134,SAB!$C$5:$AC$305,27,0))/VLOOKUP(C133,PERFIL!$B$4:$M$20,8,0))*VLOOKUP(C133,PERFIL!$B$4:$M$20,11,0)))</f>
        <v/>
      </c>
      <c r="H133" s="120" t="str">
        <f>IF(F133="","",ROUNDUP(SAB!$AD134*VLOOKUP(RECEITAS!$C133,ESCALA!$B$3:$N$19,10,0),0))</f>
        <v/>
      </c>
      <c r="I133" s="4" t="str">
        <f>IF(B133="","",SUM(VLOOKUP(C133,ESCALA!$B$3:$N$19,12,0))*(VLOOKUP(DF!C134,DF!$C$5:$AC$305,27,0))/VLOOKUP(C133,PERFIL!$B$4:$M$20,8,0)*VLOOKUP(C133,PERFIL!$B$4:$M$20,12,0))</f>
        <v/>
      </c>
      <c r="J133" s="120" t="str">
        <f>IF(H133="","",ROUNDUP(DF!$AD134*VLOOKUP(RECEITAS!$C133,ESCALA!$B$3:$N$19,12,0),0))</f>
        <v/>
      </c>
      <c r="K133" s="4" t="str">
        <f>IF(FROTA!AA134="","",FROTA!AA134)</f>
        <v/>
      </c>
      <c r="L133" s="4" t="str">
        <f t="shared" si="7"/>
        <v/>
      </c>
      <c r="M133" s="4" t="str">
        <f>IF(FROTA!AC134="","",FROTA!AC134)</f>
        <v/>
      </c>
      <c r="N133" s="4" t="str">
        <f t="shared" si="8"/>
        <v/>
      </c>
      <c r="O133" s="4" t="str">
        <f>IF(FROTA!AE134="","",FROTA!AE134)</f>
        <v/>
      </c>
      <c r="P133" s="4" t="str">
        <f t="shared" si="9"/>
        <v/>
      </c>
      <c r="Q133" s="4" t="str">
        <f>IF(FROTA!AG134="","",FROTA!AG134)</f>
        <v/>
      </c>
      <c r="R133" s="4" t="str">
        <f t="shared" si="10"/>
        <v/>
      </c>
      <c r="S133" s="164">
        <f t="shared" si="11"/>
        <v>0</v>
      </c>
      <c r="T133" s="257">
        <v>42924</v>
      </c>
      <c r="U133" s="256" t="s">
        <v>61</v>
      </c>
    </row>
    <row r="134" spans="2:21" ht="13.5" customHeight="1" x14ac:dyDescent="0.2">
      <c r="B134" s="23" t="str">
        <f>IF(FROTA!B135="","",FROTA!B135)</f>
        <v/>
      </c>
      <c r="C134" s="139" t="str">
        <f>IF(B134="","",VLOOKUP(B134,FROTA!$B$5:$C$306,2,0))</f>
        <v/>
      </c>
      <c r="D134" s="22" t="str">
        <f t="shared" ref="D134:D197" si="12">IF(B134="","",SUM(E134,G134,I134,L134,N134,P134,R134))</f>
        <v/>
      </c>
      <c r="E134" s="4" t="str">
        <f>IF(B134="","",SUM(VLOOKUP(C134,ESCALA!$B$3:$N$19,8,0))*(VLOOKUP(SEM!C135,SEM!$C$5:$AC$305,27,0)))</f>
        <v/>
      </c>
      <c r="F134" s="120" t="str">
        <f>IF(D134="","",ROUNDUP(SEM!$AD135*VLOOKUP(RECEITAS!$C134,ESCALA!$B$3:$N$19,8,0),0))</f>
        <v/>
      </c>
      <c r="G134" s="4" t="str">
        <f>IF(B134="","",(SUM((VLOOKUP(C134,ESCALA!$B$3:$N$19,10,0))*(VLOOKUP(SAB!C135,SAB!$C$5:$AC$305,27,0))/VLOOKUP(C134,PERFIL!$B$4:$M$20,8,0))*VLOOKUP(C134,PERFIL!$B$4:$M$20,11,0)))</f>
        <v/>
      </c>
      <c r="H134" s="120" t="str">
        <f>IF(F134="","",ROUNDUP(SAB!$AD135*VLOOKUP(RECEITAS!$C134,ESCALA!$B$3:$N$19,10,0),0))</f>
        <v/>
      </c>
      <c r="I134" s="4" t="str">
        <f>IF(B134="","",SUM(VLOOKUP(C134,ESCALA!$B$3:$N$19,12,0))*(VLOOKUP(DF!C135,DF!$C$5:$AC$305,27,0))/VLOOKUP(C134,PERFIL!$B$4:$M$20,8,0)*VLOOKUP(C134,PERFIL!$B$4:$M$20,12,0))</f>
        <v/>
      </c>
      <c r="J134" s="120" t="str">
        <f>IF(H134="","",ROUNDUP(DF!$AD135*VLOOKUP(RECEITAS!$C134,ESCALA!$B$3:$N$19,12,0),0))</f>
        <v/>
      </c>
      <c r="K134" s="4" t="str">
        <f>IF(FROTA!AA135="","",FROTA!AA135)</f>
        <v/>
      </c>
      <c r="L134" s="4" t="str">
        <f t="shared" ref="L134:L197" si="13">IF(K134="sim",SUM($E134,$G134,$I134)*0,"")</f>
        <v/>
      </c>
      <c r="M134" s="4" t="str">
        <f>IF(FROTA!AC135="","",FROTA!AC135)</f>
        <v/>
      </c>
      <c r="N134" s="4" t="str">
        <f t="shared" ref="N134:N197" si="14">IF(M134="sim",SUM($E134,$G134,$I134)*0.0085,"")</f>
        <v/>
      </c>
      <c r="O134" s="4" t="str">
        <f>IF(FROTA!AE135="","",FROTA!AE135)</f>
        <v/>
      </c>
      <c r="P134" s="4" t="str">
        <f t="shared" ref="P134:P197" si="15">IF(O134="sim",SUM($E134,$G134,$I134)*0.0085,"")</f>
        <v/>
      </c>
      <c r="Q134" s="4" t="str">
        <f>IF(FROTA!AG135="","",FROTA!AG135)</f>
        <v/>
      </c>
      <c r="R134" s="4" t="str">
        <f t="shared" ref="R134:R197" si="16">IF(Q134="sim",SUM($E134,$G134,$I134)*0.0085,"")</f>
        <v/>
      </c>
      <c r="S134" s="164">
        <f t="shared" si="11"/>
        <v>0</v>
      </c>
      <c r="T134" s="257">
        <v>42925</v>
      </c>
      <c r="U134" s="256" t="s">
        <v>65</v>
      </c>
    </row>
    <row r="135" spans="2:21" ht="13.5" customHeight="1" x14ac:dyDescent="0.2">
      <c r="B135" s="23" t="str">
        <f>IF(FROTA!B136="","",FROTA!B136)</f>
        <v/>
      </c>
      <c r="C135" s="139" t="str">
        <f>IF(B135="","",VLOOKUP(B135,FROTA!$B$5:$C$306,2,0))</f>
        <v/>
      </c>
      <c r="D135" s="22" t="str">
        <f t="shared" si="12"/>
        <v/>
      </c>
      <c r="E135" s="4" t="str">
        <f>IF(B135="","",SUM(VLOOKUP(C135,ESCALA!$B$3:$N$19,8,0))*(VLOOKUP(SEM!C136,SEM!$C$5:$AC$305,27,0)))</f>
        <v/>
      </c>
      <c r="F135" s="120" t="str">
        <f>IF(D135="","",ROUNDUP(SEM!$AD136*VLOOKUP(RECEITAS!$C135,ESCALA!$B$3:$N$19,8,0),0))</f>
        <v/>
      </c>
      <c r="G135" s="4" t="str">
        <f>IF(B135="","",(SUM((VLOOKUP(C135,ESCALA!$B$3:$N$19,10,0))*(VLOOKUP(SAB!C136,SAB!$C$5:$AC$305,27,0))/VLOOKUP(C135,PERFIL!$B$4:$M$20,8,0))*VLOOKUP(C135,PERFIL!$B$4:$M$20,11,0)))</f>
        <v/>
      </c>
      <c r="H135" s="120" t="str">
        <f>IF(F135="","",ROUNDUP(SAB!$AD136*VLOOKUP(RECEITAS!$C135,ESCALA!$B$3:$N$19,10,0),0))</f>
        <v/>
      </c>
      <c r="I135" s="4" t="str">
        <f>IF(B135="","",SUM(VLOOKUP(C135,ESCALA!$B$3:$N$19,12,0))*(VLOOKUP(DF!C136,DF!$C$5:$AC$305,27,0))/VLOOKUP(C135,PERFIL!$B$4:$M$20,8,0)*VLOOKUP(C135,PERFIL!$B$4:$M$20,12,0))</f>
        <v/>
      </c>
      <c r="J135" s="120" t="str">
        <f>IF(H135="","",ROUNDUP(DF!$AD136*VLOOKUP(RECEITAS!$C135,ESCALA!$B$3:$N$19,12,0),0))</f>
        <v/>
      </c>
      <c r="K135" s="4" t="str">
        <f>IF(FROTA!AA136="","",FROTA!AA136)</f>
        <v/>
      </c>
      <c r="L135" s="4" t="str">
        <f t="shared" si="13"/>
        <v/>
      </c>
      <c r="M135" s="4" t="str">
        <f>IF(FROTA!AC136="","",FROTA!AC136)</f>
        <v/>
      </c>
      <c r="N135" s="4" t="str">
        <f t="shared" si="14"/>
        <v/>
      </c>
      <c r="O135" s="4" t="str">
        <f>IF(FROTA!AE136="","",FROTA!AE136)</f>
        <v/>
      </c>
      <c r="P135" s="4" t="str">
        <f t="shared" si="15"/>
        <v/>
      </c>
      <c r="Q135" s="4" t="str">
        <f>IF(FROTA!AG136="","",FROTA!AG136)</f>
        <v/>
      </c>
      <c r="R135" s="4" t="str">
        <f t="shared" si="16"/>
        <v/>
      </c>
      <c r="S135" s="164">
        <f t="shared" ref="S135:S198" si="17">SUM(E135,G135,I135,L135,N135,P135,R135)</f>
        <v>0</v>
      </c>
      <c r="T135" s="257">
        <v>42926</v>
      </c>
      <c r="U135" s="256" t="s">
        <v>62</v>
      </c>
    </row>
    <row r="136" spans="2:21" ht="13.5" customHeight="1" x14ac:dyDescent="0.2">
      <c r="B136" s="23" t="str">
        <f>IF(FROTA!B137="","",FROTA!B137)</f>
        <v/>
      </c>
      <c r="C136" s="139" t="str">
        <f>IF(B136="","",VLOOKUP(B136,FROTA!$B$5:$C$306,2,0))</f>
        <v/>
      </c>
      <c r="D136" s="22" t="str">
        <f t="shared" si="12"/>
        <v/>
      </c>
      <c r="E136" s="4" t="str">
        <f>IF(B136="","",SUM(VLOOKUP(C136,ESCALA!$B$3:$N$19,8,0))*(VLOOKUP(SEM!C137,SEM!$C$5:$AC$305,27,0)))</f>
        <v/>
      </c>
      <c r="F136" s="120" t="str">
        <f>IF(D136="","",ROUNDUP(SEM!$AD137*VLOOKUP(RECEITAS!$C136,ESCALA!$B$3:$N$19,8,0),0))</f>
        <v/>
      </c>
      <c r="G136" s="4" t="str">
        <f>IF(B136="","",(SUM((VLOOKUP(C136,ESCALA!$B$3:$N$19,10,0))*(VLOOKUP(SAB!C137,SAB!$C$5:$AC$305,27,0))/VLOOKUP(C136,PERFIL!$B$4:$M$20,8,0))*VLOOKUP(C136,PERFIL!$B$4:$M$20,11,0)))</f>
        <v/>
      </c>
      <c r="H136" s="120" t="str">
        <f>IF(F136="","",ROUNDUP(SAB!$AD137*VLOOKUP(RECEITAS!$C136,ESCALA!$B$3:$N$19,10,0),0))</f>
        <v/>
      </c>
      <c r="I136" s="4" t="str">
        <f>IF(B136="","",SUM(VLOOKUP(C136,ESCALA!$B$3:$N$19,12,0))*(VLOOKUP(DF!C137,DF!$C$5:$AC$305,27,0))/VLOOKUP(C136,PERFIL!$B$4:$M$20,8,0)*VLOOKUP(C136,PERFIL!$B$4:$M$20,12,0))</f>
        <v/>
      </c>
      <c r="J136" s="120" t="str">
        <f>IF(H136="","",ROUNDUP(DF!$AD137*VLOOKUP(RECEITAS!$C136,ESCALA!$B$3:$N$19,12,0),0))</f>
        <v/>
      </c>
      <c r="K136" s="4" t="str">
        <f>IF(FROTA!AA137="","",FROTA!AA137)</f>
        <v/>
      </c>
      <c r="L136" s="4" t="str">
        <f t="shared" si="13"/>
        <v/>
      </c>
      <c r="M136" s="4" t="str">
        <f>IF(FROTA!AC137="","",FROTA!AC137)</f>
        <v/>
      </c>
      <c r="N136" s="4" t="str">
        <f t="shared" si="14"/>
        <v/>
      </c>
      <c r="O136" s="4" t="str">
        <f>IF(FROTA!AE137="","",FROTA!AE137)</f>
        <v/>
      </c>
      <c r="P136" s="4" t="str">
        <f t="shared" si="15"/>
        <v/>
      </c>
      <c r="Q136" s="4" t="str">
        <f>IF(FROTA!AG137="","",FROTA!AG137)</f>
        <v/>
      </c>
      <c r="R136" s="4" t="str">
        <f t="shared" si="16"/>
        <v/>
      </c>
      <c r="S136" s="164">
        <f t="shared" si="17"/>
        <v>0</v>
      </c>
      <c r="T136" s="257">
        <v>42927</v>
      </c>
      <c r="U136" s="256" t="s">
        <v>63</v>
      </c>
    </row>
    <row r="137" spans="2:21" ht="13.5" customHeight="1" x14ac:dyDescent="0.2">
      <c r="B137" s="23" t="str">
        <f>IF(FROTA!B138="","",FROTA!B138)</f>
        <v/>
      </c>
      <c r="C137" s="139" t="str">
        <f>IF(B137="","",VLOOKUP(B137,FROTA!$B$5:$C$306,2,0))</f>
        <v/>
      </c>
      <c r="D137" s="22" t="str">
        <f t="shared" si="12"/>
        <v/>
      </c>
      <c r="E137" s="4" t="str">
        <f>IF(B137="","",SUM(VLOOKUP(C137,ESCALA!$B$3:$N$19,8,0))*(VLOOKUP(SEM!C138,SEM!$C$5:$AC$305,27,0)))</f>
        <v/>
      </c>
      <c r="F137" s="120" t="str">
        <f>IF(D137="","",ROUNDUP(SEM!$AD138*VLOOKUP(RECEITAS!$C137,ESCALA!$B$3:$N$19,8,0),0))</f>
        <v/>
      </c>
      <c r="G137" s="4" t="str">
        <f>IF(B137="","",(SUM((VLOOKUP(C137,ESCALA!$B$3:$N$19,10,0))*(VLOOKUP(SAB!C138,SAB!$C$5:$AC$305,27,0))/VLOOKUP(C137,PERFIL!$B$4:$M$20,8,0))*VLOOKUP(C137,PERFIL!$B$4:$M$20,11,0)))</f>
        <v/>
      </c>
      <c r="H137" s="120" t="str">
        <f>IF(F137="","",ROUNDUP(SAB!$AD138*VLOOKUP(RECEITAS!$C137,ESCALA!$B$3:$N$19,10,0),0))</f>
        <v/>
      </c>
      <c r="I137" s="4" t="str">
        <f>IF(B137="","",SUM(VLOOKUP(C137,ESCALA!$B$3:$N$19,12,0))*(VLOOKUP(DF!C138,DF!$C$5:$AC$305,27,0))/VLOOKUP(C137,PERFIL!$B$4:$M$20,8,0)*VLOOKUP(C137,PERFIL!$B$4:$M$20,12,0))</f>
        <v/>
      </c>
      <c r="J137" s="120" t="str">
        <f>IF(H137="","",ROUNDUP(DF!$AD138*VLOOKUP(RECEITAS!$C137,ESCALA!$B$3:$N$19,12,0),0))</f>
        <v/>
      </c>
      <c r="K137" s="4" t="str">
        <f>IF(FROTA!AA138="","",FROTA!AA138)</f>
        <v/>
      </c>
      <c r="L137" s="4" t="str">
        <f t="shared" si="13"/>
        <v/>
      </c>
      <c r="M137" s="4" t="str">
        <f>IF(FROTA!AC138="","",FROTA!AC138)</f>
        <v/>
      </c>
      <c r="N137" s="4" t="str">
        <f t="shared" si="14"/>
        <v/>
      </c>
      <c r="O137" s="4" t="str">
        <f>IF(FROTA!AE138="","",FROTA!AE138)</f>
        <v/>
      </c>
      <c r="P137" s="4" t="str">
        <f t="shared" si="15"/>
        <v/>
      </c>
      <c r="Q137" s="4" t="str">
        <f>IF(FROTA!AG138="","",FROTA!AG138)</f>
        <v/>
      </c>
      <c r="R137" s="4" t="str">
        <f t="shared" si="16"/>
        <v/>
      </c>
      <c r="S137" s="164">
        <f t="shared" si="17"/>
        <v>0</v>
      </c>
      <c r="T137" s="257">
        <v>42928</v>
      </c>
      <c r="U137" s="256" t="s">
        <v>64</v>
      </c>
    </row>
    <row r="138" spans="2:21" ht="13.5" customHeight="1" x14ac:dyDescent="0.2">
      <c r="B138" s="23" t="str">
        <f>IF(FROTA!B139="","",FROTA!B139)</f>
        <v/>
      </c>
      <c r="C138" s="139" t="str">
        <f>IF(B138="","",VLOOKUP(B138,FROTA!$B$5:$C$306,2,0))</f>
        <v/>
      </c>
      <c r="D138" s="22" t="str">
        <f t="shared" si="12"/>
        <v/>
      </c>
      <c r="E138" s="4" t="str">
        <f>IF(B138="","",SUM(VLOOKUP(C138,ESCALA!$B$3:$N$19,8,0))*(VLOOKUP(SEM!C139,SEM!$C$5:$AC$305,27,0)))</f>
        <v/>
      </c>
      <c r="F138" s="120" t="str">
        <f>IF(D138="","",ROUNDUP(SEM!$AD139*VLOOKUP(RECEITAS!$C138,ESCALA!$B$3:$N$19,8,0),0))</f>
        <v/>
      </c>
      <c r="G138" s="4" t="str">
        <f>IF(B138="","",(SUM((VLOOKUP(C138,ESCALA!$B$3:$N$19,10,0))*(VLOOKUP(SAB!C139,SAB!$C$5:$AC$305,27,0))/VLOOKUP(C138,PERFIL!$B$4:$M$20,8,0))*VLOOKUP(C138,PERFIL!$B$4:$M$20,11,0)))</f>
        <v/>
      </c>
      <c r="H138" s="120" t="str">
        <f>IF(F138="","",ROUNDUP(SAB!$AD139*VLOOKUP(RECEITAS!$C138,ESCALA!$B$3:$N$19,10,0),0))</f>
        <v/>
      </c>
      <c r="I138" s="4" t="str">
        <f>IF(B138="","",SUM(VLOOKUP(C138,ESCALA!$B$3:$N$19,12,0))*(VLOOKUP(DF!C139,DF!$C$5:$AC$305,27,0))/VLOOKUP(C138,PERFIL!$B$4:$M$20,8,0)*VLOOKUP(C138,PERFIL!$B$4:$M$20,12,0))</f>
        <v/>
      </c>
      <c r="J138" s="120" t="str">
        <f>IF(H138="","",ROUNDUP(DF!$AD139*VLOOKUP(RECEITAS!$C138,ESCALA!$B$3:$N$19,12,0),0))</f>
        <v/>
      </c>
      <c r="K138" s="4" t="str">
        <f>IF(FROTA!AA139="","",FROTA!AA139)</f>
        <v/>
      </c>
      <c r="L138" s="4" t="str">
        <f t="shared" si="13"/>
        <v/>
      </c>
      <c r="M138" s="4" t="str">
        <f>IF(FROTA!AC139="","",FROTA!AC139)</f>
        <v/>
      </c>
      <c r="N138" s="4" t="str">
        <f t="shared" si="14"/>
        <v/>
      </c>
      <c r="O138" s="4" t="str">
        <f>IF(FROTA!AE139="","",FROTA!AE139)</f>
        <v/>
      </c>
      <c r="P138" s="4" t="str">
        <f t="shared" si="15"/>
        <v/>
      </c>
      <c r="Q138" s="4" t="str">
        <f>IF(FROTA!AG139="","",FROTA!AG139)</f>
        <v/>
      </c>
      <c r="R138" s="4" t="str">
        <f t="shared" si="16"/>
        <v/>
      </c>
      <c r="S138" s="164">
        <f t="shared" si="17"/>
        <v>0</v>
      </c>
      <c r="T138" s="257">
        <v>42929</v>
      </c>
      <c r="U138" s="256" t="s">
        <v>59</v>
      </c>
    </row>
    <row r="139" spans="2:21" ht="13.5" customHeight="1" x14ac:dyDescent="0.2">
      <c r="B139" s="23" t="str">
        <f>IF(FROTA!B140="","",FROTA!B140)</f>
        <v/>
      </c>
      <c r="C139" s="139" t="str">
        <f>IF(B139="","",VLOOKUP(B139,FROTA!$B$5:$C$306,2,0))</f>
        <v/>
      </c>
      <c r="D139" s="22" t="str">
        <f t="shared" si="12"/>
        <v/>
      </c>
      <c r="E139" s="4" t="str">
        <f>IF(B139="","",SUM(VLOOKUP(C139,ESCALA!$B$3:$N$19,8,0))*(VLOOKUP(SEM!C140,SEM!$C$5:$AC$305,27,0)))</f>
        <v/>
      </c>
      <c r="F139" s="120" t="str">
        <f>IF(D139="","",ROUNDUP(SEM!$AD140*VLOOKUP(RECEITAS!$C139,ESCALA!$B$3:$N$19,8,0),0))</f>
        <v/>
      </c>
      <c r="G139" s="4" t="str">
        <f>IF(B139="","",(SUM((VLOOKUP(C139,ESCALA!$B$3:$N$19,10,0))*(VLOOKUP(SAB!C140,SAB!$C$5:$AC$305,27,0))/VLOOKUP(C139,PERFIL!$B$4:$M$20,8,0))*VLOOKUP(C139,PERFIL!$B$4:$M$20,11,0)))</f>
        <v/>
      </c>
      <c r="H139" s="120" t="str">
        <f>IF(F139="","",ROUNDUP(SAB!$AD140*VLOOKUP(RECEITAS!$C139,ESCALA!$B$3:$N$19,10,0),0))</f>
        <v/>
      </c>
      <c r="I139" s="4" t="str">
        <f>IF(B139="","",SUM(VLOOKUP(C139,ESCALA!$B$3:$N$19,12,0))*(VLOOKUP(DF!C140,DF!$C$5:$AC$305,27,0))/VLOOKUP(C139,PERFIL!$B$4:$M$20,8,0)*VLOOKUP(C139,PERFIL!$B$4:$M$20,12,0))</f>
        <v/>
      </c>
      <c r="J139" s="120" t="str">
        <f>IF(H139="","",ROUNDUP(DF!$AD140*VLOOKUP(RECEITAS!$C139,ESCALA!$B$3:$N$19,12,0),0))</f>
        <v/>
      </c>
      <c r="K139" s="4" t="str">
        <f>IF(FROTA!AA140="","",FROTA!AA140)</f>
        <v/>
      </c>
      <c r="L139" s="4" t="str">
        <f t="shared" si="13"/>
        <v/>
      </c>
      <c r="M139" s="4" t="str">
        <f>IF(FROTA!AC140="","",FROTA!AC140)</f>
        <v/>
      </c>
      <c r="N139" s="4" t="str">
        <f t="shared" si="14"/>
        <v/>
      </c>
      <c r="O139" s="4" t="str">
        <f>IF(FROTA!AE140="","",FROTA!AE140)</f>
        <v/>
      </c>
      <c r="P139" s="4" t="str">
        <f t="shared" si="15"/>
        <v/>
      </c>
      <c r="Q139" s="4" t="str">
        <f>IF(FROTA!AG140="","",FROTA!AG140)</f>
        <v/>
      </c>
      <c r="R139" s="4" t="str">
        <f t="shared" si="16"/>
        <v/>
      </c>
      <c r="S139" s="164">
        <f t="shared" si="17"/>
        <v>0</v>
      </c>
      <c r="T139" s="257">
        <v>42930</v>
      </c>
      <c r="U139" s="256" t="s">
        <v>60</v>
      </c>
    </row>
    <row r="140" spans="2:21" ht="13.5" customHeight="1" x14ac:dyDescent="0.2">
      <c r="B140" s="23" t="str">
        <f>IF(FROTA!B141="","",FROTA!B141)</f>
        <v/>
      </c>
      <c r="C140" s="139" t="str">
        <f>IF(B140="","",VLOOKUP(B140,FROTA!$B$5:$C$306,2,0))</f>
        <v/>
      </c>
      <c r="D140" s="22" t="str">
        <f t="shared" si="12"/>
        <v/>
      </c>
      <c r="E140" s="4" t="str">
        <f>IF(B140="","",SUM(VLOOKUP(C140,ESCALA!$B$3:$N$19,8,0))*(VLOOKUP(SEM!C141,SEM!$C$5:$AC$305,27,0)))</f>
        <v/>
      </c>
      <c r="F140" s="120" t="str">
        <f>IF(D140="","",ROUNDUP(SEM!$AD141*VLOOKUP(RECEITAS!$C140,ESCALA!$B$3:$N$19,8,0),0))</f>
        <v/>
      </c>
      <c r="G140" s="4" t="str">
        <f>IF(B140="","",(SUM((VLOOKUP(C140,ESCALA!$B$3:$N$19,10,0))*(VLOOKUP(SAB!C141,SAB!$C$5:$AC$305,27,0))/VLOOKUP(C140,PERFIL!$B$4:$M$20,8,0))*VLOOKUP(C140,PERFIL!$B$4:$M$20,11,0)))</f>
        <v/>
      </c>
      <c r="H140" s="120" t="str">
        <f>IF(F140="","",ROUNDUP(SAB!$AD141*VLOOKUP(RECEITAS!$C140,ESCALA!$B$3:$N$19,10,0),0))</f>
        <v/>
      </c>
      <c r="I140" s="4" t="str">
        <f>IF(B140="","",SUM(VLOOKUP(C140,ESCALA!$B$3:$N$19,12,0))*(VLOOKUP(DF!C141,DF!$C$5:$AC$305,27,0))/VLOOKUP(C140,PERFIL!$B$4:$M$20,8,0)*VLOOKUP(C140,PERFIL!$B$4:$M$20,12,0))</f>
        <v/>
      </c>
      <c r="J140" s="120" t="str">
        <f>IF(H140="","",ROUNDUP(DF!$AD141*VLOOKUP(RECEITAS!$C140,ESCALA!$B$3:$N$19,12,0),0))</f>
        <v/>
      </c>
      <c r="K140" s="4" t="str">
        <f>IF(FROTA!AA141="","",FROTA!AA141)</f>
        <v/>
      </c>
      <c r="L140" s="4" t="str">
        <f t="shared" si="13"/>
        <v/>
      </c>
      <c r="M140" s="4" t="str">
        <f>IF(FROTA!AC141="","",FROTA!AC141)</f>
        <v/>
      </c>
      <c r="N140" s="4" t="str">
        <f t="shared" si="14"/>
        <v/>
      </c>
      <c r="O140" s="4" t="str">
        <f>IF(FROTA!AE141="","",FROTA!AE141)</f>
        <v/>
      </c>
      <c r="P140" s="4" t="str">
        <f t="shared" si="15"/>
        <v/>
      </c>
      <c r="Q140" s="4" t="str">
        <f>IF(FROTA!AG141="","",FROTA!AG141)</f>
        <v/>
      </c>
      <c r="R140" s="4" t="str">
        <f t="shared" si="16"/>
        <v/>
      </c>
      <c r="S140" s="164">
        <f t="shared" si="17"/>
        <v>0</v>
      </c>
      <c r="T140" s="257">
        <v>42931</v>
      </c>
      <c r="U140" s="256" t="s">
        <v>61</v>
      </c>
    </row>
    <row r="141" spans="2:21" ht="13.5" customHeight="1" x14ac:dyDescent="0.2">
      <c r="B141" s="23" t="str">
        <f>IF(FROTA!B142="","",FROTA!B142)</f>
        <v/>
      </c>
      <c r="C141" s="139" t="str">
        <f>IF(B141="","",VLOOKUP(B141,FROTA!$B$5:$C$306,2,0))</f>
        <v/>
      </c>
      <c r="D141" s="22" t="str">
        <f t="shared" si="12"/>
        <v/>
      </c>
      <c r="E141" s="4" t="str">
        <f>IF(B141="","",SUM(VLOOKUP(C141,ESCALA!$B$3:$N$19,8,0))*(VLOOKUP(SEM!C142,SEM!$C$5:$AC$305,27,0)))</f>
        <v/>
      </c>
      <c r="F141" s="120" t="str">
        <f>IF(D141="","",ROUNDUP(SEM!$AD142*VLOOKUP(RECEITAS!$C141,ESCALA!$B$3:$N$19,8,0),0))</f>
        <v/>
      </c>
      <c r="G141" s="4" t="str">
        <f>IF(B141="","",(SUM((VLOOKUP(C141,ESCALA!$B$3:$N$19,10,0))*(VLOOKUP(SAB!C142,SAB!$C$5:$AC$305,27,0))/VLOOKUP(C141,PERFIL!$B$4:$M$20,8,0))*VLOOKUP(C141,PERFIL!$B$4:$M$20,11,0)))</f>
        <v/>
      </c>
      <c r="H141" s="120" t="str">
        <f>IF(F141="","",ROUNDUP(SAB!$AD142*VLOOKUP(RECEITAS!$C141,ESCALA!$B$3:$N$19,10,0),0))</f>
        <v/>
      </c>
      <c r="I141" s="4" t="str">
        <f>IF(B141="","",SUM(VLOOKUP(C141,ESCALA!$B$3:$N$19,12,0))*(VLOOKUP(DF!C142,DF!$C$5:$AC$305,27,0))/VLOOKUP(C141,PERFIL!$B$4:$M$20,8,0)*VLOOKUP(C141,PERFIL!$B$4:$M$20,12,0))</f>
        <v/>
      </c>
      <c r="J141" s="120" t="str">
        <f>IF(H141="","",ROUNDUP(DF!$AD142*VLOOKUP(RECEITAS!$C141,ESCALA!$B$3:$N$19,12,0),0))</f>
        <v/>
      </c>
      <c r="K141" s="4" t="str">
        <f>IF(FROTA!AA142="","",FROTA!AA142)</f>
        <v/>
      </c>
      <c r="L141" s="4" t="str">
        <f t="shared" si="13"/>
        <v/>
      </c>
      <c r="M141" s="4" t="str">
        <f>IF(FROTA!AC142="","",FROTA!AC142)</f>
        <v/>
      </c>
      <c r="N141" s="4" t="str">
        <f t="shared" si="14"/>
        <v/>
      </c>
      <c r="O141" s="4" t="str">
        <f>IF(FROTA!AE142="","",FROTA!AE142)</f>
        <v/>
      </c>
      <c r="P141" s="4" t="str">
        <f t="shared" si="15"/>
        <v/>
      </c>
      <c r="Q141" s="4" t="str">
        <f>IF(FROTA!AG142="","",FROTA!AG142)</f>
        <v/>
      </c>
      <c r="R141" s="4" t="str">
        <f t="shared" si="16"/>
        <v/>
      </c>
      <c r="S141" s="164">
        <f t="shared" si="17"/>
        <v>0</v>
      </c>
      <c r="T141" s="257">
        <v>42932</v>
      </c>
      <c r="U141" s="256" t="s">
        <v>58</v>
      </c>
    </row>
    <row r="142" spans="2:21" ht="13.5" customHeight="1" x14ac:dyDescent="0.2">
      <c r="B142" s="23" t="str">
        <f>IF(FROTA!B143="","",FROTA!B143)</f>
        <v/>
      </c>
      <c r="C142" s="139" t="str">
        <f>IF(B142="","",VLOOKUP(B142,FROTA!$B$5:$C$306,2,0))</f>
        <v/>
      </c>
      <c r="D142" s="22" t="str">
        <f t="shared" si="12"/>
        <v/>
      </c>
      <c r="E142" s="4" t="str">
        <f>IF(B142="","",SUM(VLOOKUP(C142,ESCALA!$B$3:$N$19,8,0))*(VLOOKUP(SEM!C143,SEM!$C$5:$AC$305,27,0)))</f>
        <v/>
      </c>
      <c r="F142" s="120" t="str">
        <f>IF(D142="","",ROUNDUP(SEM!$AD143*VLOOKUP(RECEITAS!$C142,ESCALA!$B$3:$N$19,8,0),0))</f>
        <v/>
      </c>
      <c r="G142" s="4" t="str">
        <f>IF(B142="","",(SUM((VLOOKUP(C142,ESCALA!$B$3:$N$19,10,0))*(VLOOKUP(SAB!C143,SAB!$C$5:$AC$305,27,0))/VLOOKUP(C142,PERFIL!$B$4:$M$20,8,0))*VLOOKUP(C142,PERFIL!$B$4:$M$20,11,0)))</f>
        <v/>
      </c>
      <c r="H142" s="120" t="str">
        <f>IF(F142="","",ROUNDUP(SAB!$AD143*VLOOKUP(RECEITAS!$C142,ESCALA!$B$3:$N$19,10,0),0))</f>
        <v/>
      </c>
      <c r="I142" s="4" t="str">
        <f>IF(B142="","",SUM(VLOOKUP(C142,ESCALA!$B$3:$N$19,12,0))*(VLOOKUP(DF!C143,DF!$C$5:$AC$305,27,0))/VLOOKUP(C142,PERFIL!$B$4:$M$20,8,0)*VLOOKUP(C142,PERFIL!$B$4:$M$20,12,0))</f>
        <v/>
      </c>
      <c r="J142" s="120" t="str">
        <f>IF(H142="","",ROUNDUP(DF!$AD143*VLOOKUP(RECEITAS!$C142,ESCALA!$B$3:$N$19,12,0),0))</f>
        <v/>
      </c>
      <c r="K142" s="4" t="str">
        <f>IF(FROTA!AA143="","",FROTA!AA143)</f>
        <v/>
      </c>
      <c r="L142" s="4" t="str">
        <f t="shared" si="13"/>
        <v/>
      </c>
      <c r="M142" s="4" t="str">
        <f>IF(FROTA!AC143="","",FROTA!AC143)</f>
        <v/>
      </c>
      <c r="N142" s="4" t="str">
        <f t="shared" si="14"/>
        <v/>
      </c>
      <c r="O142" s="4" t="str">
        <f>IF(FROTA!AE143="","",FROTA!AE143)</f>
        <v/>
      </c>
      <c r="P142" s="4" t="str">
        <f t="shared" si="15"/>
        <v/>
      </c>
      <c r="Q142" s="4" t="str">
        <f>IF(FROTA!AG143="","",FROTA!AG143)</f>
        <v/>
      </c>
      <c r="R142" s="4" t="str">
        <f t="shared" si="16"/>
        <v/>
      </c>
      <c r="S142" s="164">
        <f t="shared" si="17"/>
        <v>0</v>
      </c>
      <c r="T142" s="257">
        <v>42933</v>
      </c>
      <c r="U142" s="256" t="s">
        <v>62</v>
      </c>
    </row>
    <row r="143" spans="2:21" ht="13.5" customHeight="1" x14ac:dyDescent="0.2">
      <c r="B143" s="23" t="str">
        <f>IF(FROTA!B144="","",FROTA!B144)</f>
        <v/>
      </c>
      <c r="C143" s="139" t="str">
        <f>IF(B143="","",VLOOKUP(B143,FROTA!$B$5:$C$306,2,0))</f>
        <v/>
      </c>
      <c r="D143" s="22" t="str">
        <f t="shared" si="12"/>
        <v/>
      </c>
      <c r="E143" s="4" t="str">
        <f>IF(B143="","",SUM(VLOOKUP(C143,ESCALA!$B$3:$N$19,8,0))*(VLOOKUP(SEM!C144,SEM!$C$5:$AC$305,27,0)))</f>
        <v/>
      </c>
      <c r="F143" s="120" t="str">
        <f>IF(D143="","",ROUNDUP(SEM!$AD144*VLOOKUP(RECEITAS!$C143,ESCALA!$B$3:$N$19,8,0),0))</f>
        <v/>
      </c>
      <c r="G143" s="4" t="str">
        <f>IF(B143="","",(SUM((VLOOKUP(C143,ESCALA!$B$3:$N$19,10,0))*(VLOOKUP(SAB!C144,SAB!$C$5:$AC$305,27,0))/VLOOKUP(C143,PERFIL!$B$4:$M$20,8,0))*VLOOKUP(C143,PERFIL!$B$4:$M$20,11,0)))</f>
        <v/>
      </c>
      <c r="H143" s="120" t="str">
        <f>IF(F143="","",ROUNDUP(SAB!$AD144*VLOOKUP(RECEITAS!$C143,ESCALA!$B$3:$N$19,10,0),0))</f>
        <v/>
      </c>
      <c r="I143" s="4" t="str">
        <f>IF(B143="","",SUM(VLOOKUP(C143,ESCALA!$B$3:$N$19,12,0))*(VLOOKUP(DF!C144,DF!$C$5:$AC$305,27,0))/VLOOKUP(C143,PERFIL!$B$4:$M$20,8,0)*VLOOKUP(C143,PERFIL!$B$4:$M$20,12,0))</f>
        <v/>
      </c>
      <c r="J143" s="120" t="str">
        <f>IF(H143="","",ROUNDUP(DF!$AD144*VLOOKUP(RECEITAS!$C143,ESCALA!$B$3:$N$19,12,0),0))</f>
        <v/>
      </c>
      <c r="K143" s="4" t="str">
        <f>IF(FROTA!AA144="","",FROTA!AA144)</f>
        <v/>
      </c>
      <c r="L143" s="4" t="str">
        <f t="shared" si="13"/>
        <v/>
      </c>
      <c r="M143" s="4" t="str">
        <f>IF(FROTA!AC144="","",FROTA!AC144)</f>
        <v/>
      </c>
      <c r="N143" s="4" t="str">
        <f t="shared" si="14"/>
        <v/>
      </c>
      <c r="O143" s="4" t="str">
        <f>IF(FROTA!AE144="","",FROTA!AE144)</f>
        <v/>
      </c>
      <c r="P143" s="4" t="str">
        <f t="shared" si="15"/>
        <v/>
      </c>
      <c r="Q143" s="4" t="str">
        <f>IF(FROTA!AG144="","",FROTA!AG144)</f>
        <v/>
      </c>
      <c r="R143" s="4" t="str">
        <f t="shared" si="16"/>
        <v/>
      </c>
      <c r="S143" s="164">
        <f t="shared" si="17"/>
        <v>0</v>
      </c>
      <c r="T143" s="257">
        <v>42934</v>
      </c>
      <c r="U143" s="256" t="s">
        <v>63</v>
      </c>
    </row>
    <row r="144" spans="2:21" ht="13.5" customHeight="1" x14ac:dyDescent="0.2">
      <c r="B144" s="23" t="str">
        <f>IF(FROTA!B145="","",FROTA!B145)</f>
        <v/>
      </c>
      <c r="C144" s="139" t="str">
        <f>IF(B144="","",VLOOKUP(B144,FROTA!$B$5:$C$306,2,0))</f>
        <v/>
      </c>
      <c r="D144" s="22" t="str">
        <f t="shared" si="12"/>
        <v/>
      </c>
      <c r="E144" s="4" t="str">
        <f>IF(B144="","",SUM(VLOOKUP(C144,ESCALA!$B$3:$N$19,8,0))*(VLOOKUP(SEM!C145,SEM!$C$5:$AC$305,27,0)))</f>
        <v/>
      </c>
      <c r="F144" s="120" t="str">
        <f>IF(D144="","",ROUNDUP(SEM!$AD145*VLOOKUP(RECEITAS!$C144,ESCALA!$B$3:$N$19,8,0),0))</f>
        <v/>
      </c>
      <c r="G144" s="4" t="str">
        <f>IF(B144="","",(SUM((VLOOKUP(C144,ESCALA!$B$3:$N$19,10,0))*(VLOOKUP(SAB!C145,SAB!$C$5:$AC$305,27,0))/VLOOKUP(C144,PERFIL!$B$4:$M$20,8,0))*VLOOKUP(C144,PERFIL!$B$4:$M$20,11,0)))</f>
        <v/>
      </c>
      <c r="H144" s="120" t="str">
        <f>IF(F144="","",ROUNDUP(SAB!$AD145*VLOOKUP(RECEITAS!$C144,ESCALA!$B$3:$N$19,10,0),0))</f>
        <v/>
      </c>
      <c r="I144" s="4" t="str">
        <f>IF(B144="","",SUM(VLOOKUP(C144,ESCALA!$B$3:$N$19,12,0))*(VLOOKUP(DF!C145,DF!$C$5:$AC$305,27,0))/VLOOKUP(C144,PERFIL!$B$4:$M$20,8,0)*VLOOKUP(C144,PERFIL!$B$4:$M$20,12,0))</f>
        <v/>
      </c>
      <c r="J144" s="120" t="str">
        <f>IF(H144="","",ROUNDUP(DF!$AD145*VLOOKUP(RECEITAS!$C144,ESCALA!$B$3:$N$19,12,0),0))</f>
        <v/>
      </c>
      <c r="K144" s="4" t="str">
        <f>IF(FROTA!AA145="","",FROTA!AA145)</f>
        <v/>
      </c>
      <c r="L144" s="4" t="str">
        <f t="shared" si="13"/>
        <v/>
      </c>
      <c r="M144" s="4" t="str">
        <f>IF(FROTA!AC145="","",FROTA!AC145)</f>
        <v/>
      </c>
      <c r="N144" s="4" t="str">
        <f t="shared" si="14"/>
        <v/>
      </c>
      <c r="O144" s="4" t="str">
        <f>IF(FROTA!AE145="","",FROTA!AE145)</f>
        <v/>
      </c>
      <c r="P144" s="4" t="str">
        <f t="shared" si="15"/>
        <v/>
      </c>
      <c r="Q144" s="4" t="str">
        <f>IF(FROTA!AG145="","",FROTA!AG145)</f>
        <v/>
      </c>
      <c r="R144" s="4" t="str">
        <f t="shared" si="16"/>
        <v/>
      </c>
      <c r="S144" s="164">
        <f t="shared" si="17"/>
        <v>0</v>
      </c>
      <c r="T144" s="257">
        <v>42935</v>
      </c>
      <c r="U144" s="256" t="s">
        <v>64</v>
      </c>
    </row>
    <row r="145" spans="2:21" ht="13.5" customHeight="1" x14ac:dyDescent="0.2">
      <c r="B145" s="23" t="str">
        <f>IF(FROTA!B146="","",FROTA!B146)</f>
        <v/>
      </c>
      <c r="C145" s="139" t="str">
        <f>IF(B145="","",VLOOKUP(B145,FROTA!$B$5:$C$306,2,0))</f>
        <v/>
      </c>
      <c r="D145" s="22" t="str">
        <f t="shared" si="12"/>
        <v/>
      </c>
      <c r="E145" s="4" t="str">
        <f>IF(B145="","",SUM(VLOOKUP(C145,ESCALA!$B$3:$N$19,8,0))*(VLOOKUP(SEM!C146,SEM!$C$5:$AC$305,27,0)))</f>
        <v/>
      </c>
      <c r="F145" s="120" t="str">
        <f>IF(D145="","",ROUNDUP(SEM!$AD146*VLOOKUP(RECEITAS!$C145,ESCALA!$B$3:$N$19,8,0),0))</f>
        <v/>
      </c>
      <c r="G145" s="4" t="str">
        <f>IF(B145="","",(SUM((VLOOKUP(C145,ESCALA!$B$3:$N$19,10,0))*(VLOOKUP(SAB!C146,SAB!$C$5:$AC$305,27,0))/VLOOKUP(C145,PERFIL!$B$4:$M$20,8,0))*VLOOKUP(C145,PERFIL!$B$4:$M$20,11,0)))</f>
        <v/>
      </c>
      <c r="H145" s="120" t="str">
        <f>IF(F145="","",ROUNDUP(SAB!$AD146*VLOOKUP(RECEITAS!$C145,ESCALA!$B$3:$N$19,10,0),0))</f>
        <v/>
      </c>
      <c r="I145" s="4" t="str">
        <f>IF(B145="","",SUM(VLOOKUP(C145,ESCALA!$B$3:$N$19,12,0))*(VLOOKUP(DF!C146,DF!$C$5:$AC$305,27,0))/VLOOKUP(C145,PERFIL!$B$4:$M$20,8,0)*VLOOKUP(C145,PERFIL!$B$4:$M$20,12,0))</f>
        <v/>
      </c>
      <c r="J145" s="120" t="str">
        <f>IF(H145="","",ROUNDUP(DF!$AD146*VLOOKUP(RECEITAS!$C145,ESCALA!$B$3:$N$19,12,0),0))</f>
        <v/>
      </c>
      <c r="K145" s="4" t="str">
        <f>IF(FROTA!AA146="","",FROTA!AA146)</f>
        <v/>
      </c>
      <c r="L145" s="4" t="str">
        <f t="shared" si="13"/>
        <v/>
      </c>
      <c r="M145" s="4" t="str">
        <f>IF(FROTA!AC146="","",FROTA!AC146)</f>
        <v/>
      </c>
      <c r="N145" s="4" t="str">
        <f t="shared" si="14"/>
        <v/>
      </c>
      <c r="O145" s="4" t="str">
        <f>IF(FROTA!AE146="","",FROTA!AE146)</f>
        <v/>
      </c>
      <c r="P145" s="4" t="str">
        <f t="shared" si="15"/>
        <v/>
      </c>
      <c r="Q145" s="4" t="str">
        <f>IF(FROTA!AG146="","",FROTA!AG146)</f>
        <v/>
      </c>
      <c r="R145" s="4" t="str">
        <f t="shared" si="16"/>
        <v/>
      </c>
      <c r="S145" s="164">
        <f t="shared" si="17"/>
        <v>0</v>
      </c>
      <c r="T145" s="257">
        <v>42936</v>
      </c>
      <c r="U145" s="256" t="s">
        <v>59</v>
      </c>
    </row>
    <row r="146" spans="2:21" ht="13.5" customHeight="1" x14ac:dyDescent="0.2">
      <c r="B146" s="23" t="str">
        <f>IF(FROTA!B147="","",FROTA!B147)</f>
        <v/>
      </c>
      <c r="C146" s="139" t="str">
        <f>IF(B146="","",VLOOKUP(B146,FROTA!$B$5:$C$306,2,0))</f>
        <v/>
      </c>
      <c r="D146" s="22" t="str">
        <f t="shared" si="12"/>
        <v/>
      </c>
      <c r="E146" s="4" t="str">
        <f>IF(B146="","",SUM(VLOOKUP(C146,ESCALA!$B$3:$N$19,8,0))*(VLOOKUP(SEM!C147,SEM!$C$5:$AC$305,27,0)))</f>
        <v/>
      </c>
      <c r="F146" s="120" t="str">
        <f>IF(D146="","",ROUNDUP(SEM!$AD147*VLOOKUP(RECEITAS!$C146,ESCALA!$B$3:$N$19,8,0),0))</f>
        <v/>
      </c>
      <c r="G146" s="4" t="str">
        <f>IF(B146="","",(SUM((VLOOKUP(C146,ESCALA!$B$3:$N$19,10,0))*(VLOOKUP(SAB!C147,SAB!$C$5:$AC$305,27,0))/VLOOKUP(C146,PERFIL!$B$4:$M$20,8,0))*VLOOKUP(C146,PERFIL!$B$4:$M$20,11,0)))</f>
        <v/>
      </c>
      <c r="H146" s="120" t="str">
        <f>IF(F146="","",ROUNDUP(SAB!$AD147*VLOOKUP(RECEITAS!$C146,ESCALA!$B$3:$N$19,10,0),0))</f>
        <v/>
      </c>
      <c r="I146" s="4" t="str">
        <f>IF(B146="","",SUM(VLOOKUP(C146,ESCALA!$B$3:$N$19,12,0))*(VLOOKUP(DF!C147,DF!$C$5:$AC$305,27,0))/VLOOKUP(C146,PERFIL!$B$4:$M$20,8,0)*VLOOKUP(C146,PERFIL!$B$4:$M$20,12,0))</f>
        <v/>
      </c>
      <c r="J146" s="120" t="str">
        <f>IF(H146="","",ROUNDUP(DF!$AD147*VLOOKUP(RECEITAS!$C146,ESCALA!$B$3:$N$19,12,0),0))</f>
        <v/>
      </c>
      <c r="K146" s="4" t="str">
        <f>IF(FROTA!AA147="","",FROTA!AA147)</f>
        <v/>
      </c>
      <c r="L146" s="4" t="str">
        <f t="shared" si="13"/>
        <v/>
      </c>
      <c r="M146" s="4" t="str">
        <f>IF(FROTA!AC147="","",FROTA!AC147)</f>
        <v/>
      </c>
      <c r="N146" s="4" t="str">
        <f t="shared" si="14"/>
        <v/>
      </c>
      <c r="O146" s="4" t="str">
        <f>IF(FROTA!AE147="","",FROTA!AE147)</f>
        <v/>
      </c>
      <c r="P146" s="4" t="str">
        <f t="shared" si="15"/>
        <v/>
      </c>
      <c r="Q146" s="4" t="str">
        <f>IF(FROTA!AG147="","",FROTA!AG147)</f>
        <v/>
      </c>
      <c r="R146" s="4" t="str">
        <f t="shared" si="16"/>
        <v/>
      </c>
      <c r="S146" s="164">
        <f t="shared" si="17"/>
        <v>0</v>
      </c>
      <c r="T146" s="257">
        <v>42937</v>
      </c>
      <c r="U146" s="256" t="s">
        <v>60</v>
      </c>
    </row>
    <row r="147" spans="2:21" ht="13.5" customHeight="1" x14ac:dyDescent="0.2">
      <c r="B147" s="23" t="str">
        <f>IF(FROTA!B148="","",FROTA!B148)</f>
        <v/>
      </c>
      <c r="C147" s="139" t="str">
        <f>IF(B147="","",VLOOKUP(B147,FROTA!$B$5:$C$306,2,0))</f>
        <v/>
      </c>
      <c r="D147" s="22" t="str">
        <f t="shared" si="12"/>
        <v/>
      </c>
      <c r="E147" s="4" t="str">
        <f>IF(B147="","",SUM(VLOOKUP(C147,ESCALA!$B$3:$N$19,8,0))*(VLOOKUP(SEM!C148,SEM!$C$5:$AC$305,27,0)))</f>
        <v/>
      </c>
      <c r="F147" s="120" t="str">
        <f>IF(D147="","",ROUNDUP(SEM!$AD148*VLOOKUP(RECEITAS!$C147,ESCALA!$B$3:$N$19,8,0),0))</f>
        <v/>
      </c>
      <c r="G147" s="4" t="str">
        <f>IF(B147="","",(SUM((VLOOKUP(C147,ESCALA!$B$3:$N$19,10,0))*(VLOOKUP(SAB!C148,SAB!$C$5:$AC$305,27,0))/VLOOKUP(C147,PERFIL!$B$4:$M$20,8,0))*VLOOKUP(C147,PERFIL!$B$4:$M$20,11,0)))</f>
        <v/>
      </c>
      <c r="H147" s="120" t="str">
        <f>IF(F147="","",ROUNDUP(SAB!$AD148*VLOOKUP(RECEITAS!$C147,ESCALA!$B$3:$N$19,10,0),0))</f>
        <v/>
      </c>
      <c r="I147" s="4" t="str">
        <f>IF(B147="","",SUM(VLOOKUP(C147,ESCALA!$B$3:$N$19,12,0))*(VLOOKUP(DF!C148,DF!$C$5:$AC$305,27,0))/VLOOKUP(C147,PERFIL!$B$4:$M$20,8,0)*VLOOKUP(C147,PERFIL!$B$4:$M$20,12,0))</f>
        <v/>
      </c>
      <c r="J147" s="120" t="str">
        <f>IF(H147="","",ROUNDUP(DF!$AD148*VLOOKUP(RECEITAS!$C147,ESCALA!$B$3:$N$19,12,0),0))</f>
        <v/>
      </c>
      <c r="K147" s="4" t="str">
        <f>IF(FROTA!AA148="","",FROTA!AA148)</f>
        <v/>
      </c>
      <c r="L147" s="4" t="str">
        <f t="shared" si="13"/>
        <v/>
      </c>
      <c r="M147" s="4" t="str">
        <f>IF(FROTA!AC148="","",FROTA!AC148)</f>
        <v/>
      </c>
      <c r="N147" s="4" t="str">
        <f t="shared" si="14"/>
        <v/>
      </c>
      <c r="O147" s="4" t="str">
        <f>IF(FROTA!AE148="","",FROTA!AE148)</f>
        <v/>
      </c>
      <c r="P147" s="4" t="str">
        <f t="shared" si="15"/>
        <v/>
      </c>
      <c r="Q147" s="4" t="str">
        <f>IF(FROTA!AG148="","",FROTA!AG148)</f>
        <v/>
      </c>
      <c r="R147" s="4" t="str">
        <f t="shared" si="16"/>
        <v/>
      </c>
      <c r="S147" s="164">
        <f t="shared" si="17"/>
        <v>0</v>
      </c>
      <c r="T147" s="257">
        <v>42938</v>
      </c>
      <c r="U147" s="256" t="s">
        <v>61</v>
      </c>
    </row>
    <row r="148" spans="2:21" ht="13.5" customHeight="1" x14ac:dyDescent="0.2">
      <c r="B148" s="23" t="str">
        <f>IF(FROTA!B149="","",FROTA!B149)</f>
        <v/>
      </c>
      <c r="C148" s="139" t="str">
        <f>IF(B148="","",VLOOKUP(B148,FROTA!$B$5:$C$306,2,0))</f>
        <v/>
      </c>
      <c r="D148" s="22" t="str">
        <f t="shared" si="12"/>
        <v/>
      </c>
      <c r="E148" s="4" t="str">
        <f>IF(B148="","",SUM(VLOOKUP(C148,ESCALA!$B$3:$N$19,8,0))*(VLOOKUP(SEM!C149,SEM!$C$5:$AC$305,27,0)))</f>
        <v/>
      </c>
      <c r="F148" s="120" t="str">
        <f>IF(D148="","",ROUNDUP(SEM!$AD149*VLOOKUP(RECEITAS!$C148,ESCALA!$B$3:$N$19,8,0),0))</f>
        <v/>
      </c>
      <c r="G148" s="4" t="str">
        <f>IF(B148="","",(SUM((VLOOKUP(C148,ESCALA!$B$3:$N$19,10,0))*(VLOOKUP(SAB!C149,SAB!$C$5:$AC$305,27,0))/VLOOKUP(C148,PERFIL!$B$4:$M$20,8,0))*VLOOKUP(C148,PERFIL!$B$4:$M$20,11,0)))</f>
        <v/>
      </c>
      <c r="H148" s="120" t="str">
        <f>IF(F148="","",ROUNDUP(SAB!$AD149*VLOOKUP(RECEITAS!$C148,ESCALA!$B$3:$N$19,10,0),0))</f>
        <v/>
      </c>
      <c r="I148" s="4" t="str">
        <f>IF(B148="","",SUM(VLOOKUP(C148,ESCALA!$B$3:$N$19,12,0))*(VLOOKUP(DF!C149,DF!$C$5:$AC$305,27,0))/VLOOKUP(C148,PERFIL!$B$4:$M$20,8,0)*VLOOKUP(C148,PERFIL!$B$4:$M$20,12,0))</f>
        <v/>
      </c>
      <c r="J148" s="120" t="str">
        <f>IF(H148="","",ROUNDUP(DF!$AD149*VLOOKUP(RECEITAS!$C148,ESCALA!$B$3:$N$19,12,0),0))</f>
        <v/>
      </c>
      <c r="K148" s="4" t="str">
        <f>IF(FROTA!AA149="","",FROTA!AA149)</f>
        <v/>
      </c>
      <c r="L148" s="4" t="str">
        <f t="shared" si="13"/>
        <v/>
      </c>
      <c r="M148" s="4" t="str">
        <f>IF(FROTA!AC149="","",FROTA!AC149)</f>
        <v/>
      </c>
      <c r="N148" s="4" t="str">
        <f t="shared" si="14"/>
        <v/>
      </c>
      <c r="O148" s="4" t="str">
        <f>IF(FROTA!AE149="","",FROTA!AE149)</f>
        <v/>
      </c>
      <c r="P148" s="4" t="str">
        <f t="shared" si="15"/>
        <v/>
      </c>
      <c r="Q148" s="4" t="str">
        <f>IF(FROTA!AG149="","",FROTA!AG149)</f>
        <v/>
      </c>
      <c r="R148" s="4" t="str">
        <f t="shared" si="16"/>
        <v/>
      </c>
      <c r="S148" s="164">
        <f t="shared" si="17"/>
        <v>0</v>
      </c>
      <c r="T148" s="257">
        <v>42939</v>
      </c>
      <c r="U148" s="256" t="s">
        <v>58</v>
      </c>
    </row>
    <row r="149" spans="2:21" ht="13.5" customHeight="1" x14ac:dyDescent="0.2">
      <c r="B149" s="23" t="str">
        <f>IF(FROTA!B150="","",FROTA!B150)</f>
        <v/>
      </c>
      <c r="C149" s="139" t="str">
        <f>IF(B149="","",VLOOKUP(B149,FROTA!$B$5:$C$306,2,0))</f>
        <v/>
      </c>
      <c r="D149" s="22" t="str">
        <f t="shared" si="12"/>
        <v/>
      </c>
      <c r="E149" s="4" t="str">
        <f>IF(B149="","",SUM(VLOOKUP(C149,ESCALA!$B$3:$N$19,8,0))*(VLOOKUP(SEM!C150,SEM!$C$5:$AC$305,27,0)))</f>
        <v/>
      </c>
      <c r="F149" s="120" t="str">
        <f>IF(D149="","",ROUNDUP(SEM!$AD150*VLOOKUP(RECEITAS!$C149,ESCALA!$B$3:$N$19,8,0),0))</f>
        <v/>
      </c>
      <c r="G149" s="4" t="str">
        <f>IF(B149="","",(SUM((VLOOKUP(C149,ESCALA!$B$3:$N$19,10,0))*(VLOOKUP(SAB!C150,SAB!$C$5:$AC$305,27,0))/VLOOKUP(C149,PERFIL!$B$4:$M$20,8,0))*VLOOKUP(C149,PERFIL!$B$4:$M$20,11,0)))</f>
        <v/>
      </c>
      <c r="H149" s="120" t="str">
        <f>IF(F149="","",ROUNDUP(SAB!$AD150*VLOOKUP(RECEITAS!$C149,ESCALA!$B$3:$N$19,10,0),0))</f>
        <v/>
      </c>
      <c r="I149" s="4" t="str">
        <f>IF(B149="","",SUM(VLOOKUP(C149,ESCALA!$B$3:$N$19,12,0))*(VLOOKUP(DF!C150,DF!$C$5:$AC$305,27,0))/VLOOKUP(C149,PERFIL!$B$4:$M$20,8,0)*VLOOKUP(C149,PERFIL!$B$4:$M$20,12,0))</f>
        <v/>
      </c>
      <c r="J149" s="120" t="str">
        <f>IF(H149="","",ROUNDUP(DF!$AD150*VLOOKUP(RECEITAS!$C149,ESCALA!$B$3:$N$19,12,0),0))</f>
        <v/>
      </c>
      <c r="K149" s="4" t="str">
        <f>IF(FROTA!AA150="","",FROTA!AA150)</f>
        <v/>
      </c>
      <c r="L149" s="4" t="str">
        <f t="shared" si="13"/>
        <v/>
      </c>
      <c r="M149" s="4" t="str">
        <f>IF(FROTA!AC150="","",FROTA!AC150)</f>
        <v/>
      </c>
      <c r="N149" s="4" t="str">
        <f t="shared" si="14"/>
        <v/>
      </c>
      <c r="O149" s="4" t="str">
        <f>IF(FROTA!AE150="","",FROTA!AE150)</f>
        <v/>
      </c>
      <c r="P149" s="4" t="str">
        <f t="shared" si="15"/>
        <v/>
      </c>
      <c r="Q149" s="4" t="str">
        <f>IF(FROTA!AG150="","",FROTA!AG150)</f>
        <v/>
      </c>
      <c r="R149" s="4" t="str">
        <f t="shared" si="16"/>
        <v/>
      </c>
      <c r="S149" s="164">
        <f t="shared" si="17"/>
        <v>0</v>
      </c>
      <c r="T149" s="257">
        <v>42940</v>
      </c>
      <c r="U149" s="256" t="s">
        <v>62</v>
      </c>
    </row>
    <row r="150" spans="2:21" ht="13.5" customHeight="1" x14ac:dyDescent="0.2">
      <c r="B150" s="23" t="str">
        <f>IF(FROTA!B151="","",FROTA!B151)</f>
        <v/>
      </c>
      <c r="C150" s="139" t="str">
        <f>IF(B150="","",VLOOKUP(B150,FROTA!$B$5:$C$306,2,0))</f>
        <v/>
      </c>
      <c r="D150" s="22" t="str">
        <f t="shared" si="12"/>
        <v/>
      </c>
      <c r="E150" s="4" t="str">
        <f>IF(B150="","",SUM(VLOOKUP(C150,ESCALA!$B$3:$N$19,8,0))*(VLOOKUP(SEM!C151,SEM!$C$5:$AC$305,27,0)))</f>
        <v/>
      </c>
      <c r="F150" s="120" t="str">
        <f>IF(D150="","",ROUNDUP(SEM!$AD151*VLOOKUP(RECEITAS!$C150,ESCALA!$B$3:$N$19,8,0),0))</f>
        <v/>
      </c>
      <c r="G150" s="4" t="str">
        <f>IF(B150="","",(SUM((VLOOKUP(C150,ESCALA!$B$3:$N$19,10,0))*(VLOOKUP(SAB!C151,SAB!$C$5:$AC$305,27,0))/VLOOKUP(C150,PERFIL!$B$4:$M$20,8,0))*VLOOKUP(C150,PERFIL!$B$4:$M$20,11,0)))</f>
        <v/>
      </c>
      <c r="H150" s="120" t="str">
        <f>IF(F150="","",ROUNDUP(SAB!$AD151*VLOOKUP(RECEITAS!$C150,ESCALA!$B$3:$N$19,10,0),0))</f>
        <v/>
      </c>
      <c r="I150" s="4" t="str">
        <f>IF(B150="","",SUM(VLOOKUP(C150,ESCALA!$B$3:$N$19,12,0))*(VLOOKUP(DF!C151,DF!$C$5:$AC$305,27,0))/VLOOKUP(C150,PERFIL!$B$4:$M$20,8,0)*VLOOKUP(C150,PERFIL!$B$4:$M$20,12,0))</f>
        <v/>
      </c>
      <c r="J150" s="120" t="str">
        <f>IF(H150="","",ROUNDUP(DF!$AD151*VLOOKUP(RECEITAS!$C150,ESCALA!$B$3:$N$19,12,0),0))</f>
        <v/>
      </c>
      <c r="K150" s="4" t="str">
        <f>IF(FROTA!AA151="","",FROTA!AA151)</f>
        <v/>
      </c>
      <c r="L150" s="4" t="str">
        <f t="shared" si="13"/>
        <v/>
      </c>
      <c r="M150" s="4" t="str">
        <f>IF(FROTA!AC151="","",FROTA!AC151)</f>
        <v/>
      </c>
      <c r="N150" s="4" t="str">
        <f t="shared" si="14"/>
        <v/>
      </c>
      <c r="O150" s="4" t="str">
        <f>IF(FROTA!AE151="","",FROTA!AE151)</f>
        <v/>
      </c>
      <c r="P150" s="4" t="str">
        <f t="shared" si="15"/>
        <v/>
      </c>
      <c r="Q150" s="4" t="str">
        <f>IF(FROTA!AG151="","",FROTA!AG151)</f>
        <v/>
      </c>
      <c r="R150" s="4" t="str">
        <f t="shared" si="16"/>
        <v/>
      </c>
      <c r="S150" s="164">
        <f t="shared" si="17"/>
        <v>0</v>
      </c>
      <c r="T150" s="257">
        <v>42941</v>
      </c>
      <c r="U150" s="256" t="s">
        <v>63</v>
      </c>
    </row>
    <row r="151" spans="2:21" ht="13.5" customHeight="1" x14ac:dyDescent="0.2">
      <c r="B151" s="23" t="str">
        <f>IF(FROTA!B152="","",FROTA!B152)</f>
        <v/>
      </c>
      <c r="C151" s="139" t="str">
        <f>IF(B151="","",VLOOKUP(B151,FROTA!$B$5:$C$306,2,0))</f>
        <v/>
      </c>
      <c r="D151" s="22" t="str">
        <f t="shared" si="12"/>
        <v/>
      </c>
      <c r="E151" s="4" t="str">
        <f>IF(B151="","",SUM(VLOOKUP(C151,ESCALA!$B$3:$N$19,8,0))*(VLOOKUP(SEM!C152,SEM!$C$5:$AC$305,27,0)))</f>
        <v/>
      </c>
      <c r="F151" s="120" t="str">
        <f>IF(D151="","",ROUNDUP(SEM!$AD152*VLOOKUP(RECEITAS!$C151,ESCALA!$B$3:$N$19,8,0),0))</f>
        <v/>
      </c>
      <c r="G151" s="4" t="str">
        <f>IF(B151="","",(SUM((VLOOKUP(C151,ESCALA!$B$3:$N$19,10,0))*(VLOOKUP(SAB!C152,SAB!$C$5:$AC$305,27,0))/VLOOKUP(C151,PERFIL!$B$4:$M$20,8,0))*VLOOKUP(C151,PERFIL!$B$4:$M$20,11,0)))</f>
        <v/>
      </c>
      <c r="H151" s="120" t="str">
        <f>IF(F151="","",ROUNDUP(SAB!$AD152*VLOOKUP(RECEITAS!$C151,ESCALA!$B$3:$N$19,10,0),0))</f>
        <v/>
      </c>
      <c r="I151" s="4" t="str">
        <f>IF(B151="","",SUM(VLOOKUP(C151,ESCALA!$B$3:$N$19,12,0))*(VLOOKUP(DF!C152,DF!$C$5:$AC$305,27,0))/VLOOKUP(C151,PERFIL!$B$4:$M$20,8,0)*VLOOKUP(C151,PERFIL!$B$4:$M$20,12,0))</f>
        <v/>
      </c>
      <c r="J151" s="120" t="str">
        <f>IF(H151="","",ROUNDUP(DF!$AD152*VLOOKUP(RECEITAS!$C151,ESCALA!$B$3:$N$19,12,0),0))</f>
        <v/>
      </c>
      <c r="K151" s="4" t="str">
        <f>IF(FROTA!AA152="","",FROTA!AA152)</f>
        <v/>
      </c>
      <c r="L151" s="4" t="str">
        <f t="shared" si="13"/>
        <v/>
      </c>
      <c r="M151" s="4" t="str">
        <f>IF(FROTA!AC152="","",FROTA!AC152)</f>
        <v/>
      </c>
      <c r="N151" s="4" t="str">
        <f t="shared" si="14"/>
        <v/>
      </c>
      <c r="O151" s="4" t="str">
        <f>IF(FROTA!AE152="","",FROTA!AE152)</f>
        <v/>
      </c>
      <c r="P151" s="4" t="str">
        <f t="shared" si="15"/>
        <v/>
      </c>
      <c r="Q151" s="4" t="str">
        <f>IF(FROTA!AG152="","",FROTA!AG152)</f>
        <v/>
      </c>
      <c r="R151" s="4" t="str">
        <f t="shared" si="16"/>
        <v/>
      </c>
      <c r="S151" s="164">
        <f t="shared" si="17"/>
        <v>0</v>
      </c>
      <c r="T151" s="257">
        <v>42942</v>
      </c>
      <c r="U151" s="256" t="s">
        <v>64</v>
      </c>
    </row>
    <row r="152" spans="2:21" ht="13.5" customHeight="1" x14ac:dyDescent="0.2">
      <c r="B152" s="23" t="str">
        <f>IF(FROTA!B153="","",FROTA!B153)</f>
        <v/>
      </c>
      <c r="C152" s="139" t="str">
        <f>IF(B152="","",VLOOKUP(B152,FROTA!$B$5:$C$306,2,0))</f>
        <v/>
      </c>
      <c r="D152" s="22" t="str">
        <f t="shared" si="12"/>
        <v/>
      </c>
      <c r="E152" s="4" t="str">
        <f>IF(B152="","",SUM(VLOOKUP(C152,ESCALA!$B$3:$N$19,8,0))*(VLOOKUP(SEM!C153,SEM!$C$5:$AC$305,27,0)))</f>
        <v/>
      </c>
      <c r="F152" s="120" t="str">
        <f>IF(D152="","",ROUNDUP(SEM!$AD153*VLOOKUP(RECEITAS!$C152,ESCALA!$B$3:$N$19,8,0),0))</f>
        <v/>
      </c>
      <c r="G152" s="4" t="str">
        <f>IF(B152="","",(SUM((VLOOKUP(C152,ESCALA!$B$3:$N$19,10,0))*(VLOOKUP(SAB!C153,SAB!$C$5:$AC$305,27,0))/VLOOKUP(C152,PERFIL!$B$4:$M$20,8,0))*VLOOKUP(C152,PERFIL!$B$4:$M$20,11,0)))</f>
        <v/>
      </c>
      <c r="H152" s="120" t="str">
        <f>IF(F152="","",ROUNDUP(SAB!$AD153*VLOOKUP(RECEITAS!$C152,ESCALA!$B$3:$N$19,10,0),0))</f>
        <v/>
      </c>
      <c r="I152" s="4" t="str">
        <f>IF(B152="","",SUM(VLOOKUP(C152,ESCALA!$B$3:$N$19,12,0))*(VLOOKUP(DF!C153,DF!$C$5:$AC$305,27,0))/VLOOKUP(C152,PERFIL!$B$4:$M$20,8,0)*VLOOKUP(C152,PERFIL!$B$4:$M$20,12,0))</f>
        <v/>
      </c>
      <c r="J152" s="120" t="str">
        <f>IF(H152="","",ROUNDUP(DF!$AD153*VLOOKUP(RECEITAS!$C152,ESCALA!$B$3:$N$19,12,0),0))</f>
        <v/>
      </c>
      <c r="K152" s="4" t="str">
        <f>IF(FROTA!AA153="","",FROTA!AA153)</f>
        <v/>
      </c>
      <c r="L152" s="4" t="str">
        <f t="shared" si="13"/>
        <v/>
      </c>
      <c r="M152" s="4" t="str">
        <f>IF(FROTA!AC153="","",FROTA!AC153)</f>
        <v/>
      </c>
      <c r="N152" s="4" t="str">
        <f t="shared" si="14"/>
        <v/>
      </c>
      <c r="O152" s="4" t="str">
        <f>IF(FROTA!AE153="","",FROTA!AE153)</f>
        <v/>
      </c>
      <c r="P152" s="4" t="str">
        <f t="shared" si="15"/>
        <v/>
      </c>
      <c r="Q152" s="4" t="str">
        <f>IF(FROTA!AG153="","",FROTA!AG153)</f>
        <v/>
      </c>
      <c r="R152" s="4" t="str">
        <f t="shared" si="16"/>
        <v/>
      </c>
      <c r="S152" s="164">
        <f t="shared" si="17"/>
        <v>0</v>
      </c>
      <c r="T152" s="257">
        <v>42943</v>
      </c>
      <c r="U152" s="256" t="s">
        <v>59</v>
      </c>
    </row>
    <row r="153" spans="2:21" ht="13.5" customHeight="1" x14ac:dyDescent="0.2">
      <c r="B153" s="23" t="str">
        <f>IF(FROTA!B154="","",FROTA!B154)</f>
        <v/>
      </c>
      <c r="C153" s="139" t="str">
        <f>IF(B153="","",VLOOKUP(B153,FROTA!$B$5:$C$306,2,0))</f>
        <v/>
      </c>
      <c r="D153" s="22" t="str">
        <f t="shared" si="12"/>
        <v/>
      </c>
      <c r="E153" s="4" t="str">
        <f>IF(B153="","",SUM(VLOOKUP(C153,ESCALA!$B$3:$N$19,8,0))*(VLOOKUP(SEM!C154,SEM!$C$5:$AC$305,27,0)))</f>
        <v/>
      </c>
      <c r="F153" s="120" t="str">
        <f>IF(D153="","",ROUNDUP(SEM!$AD154*VLOOKUP(RECEITAS!$C153,ESCALA!$B$3:$N$19,8,0),0))</f>
        <v/>
      </c>
      <c r="G153" s="4" t="str">
        <f>IF(B153="","",(SUM((VLOOKUP(C153,ESCALA!$B$3:$N$19,10,0))*(VLOOKUP(SAB!C154,SAB!$C$5:$AC$305,27,0))/VLOOKUP(C153,PERFIL!$B$4:$M$20,8,0))*VLOOKUP(C153,PERFIL!$B$4:$M$20,11,0)))</f>
        <v/>
      </c>
      <c r="H153" s="120" t="str">
        <f>IF(F153="","",ROUNDUP(SAB!$AD154*VLOOKUP(RECEITAS!$C153,ESCALA!$B$3:$N$19,10,0),0))</f>
        <v/>
      </c>
      <c r="I153" s="4" t="str">
        <f>IF(B153="","",SUM(VLOOKUP(C153,ESCALA!$B$3:$N$19,12,0))*(VLOOKUP(DF!C154,DF!$C$5:$AC$305,27,0))/VLOOKUP(C153,PERFIL!$B$4:$M$20,8,0)*VLOOKUP(C153,PERFIL!$B$4:$M$20,12,0))</f>
        <v/>
      </c>
      <c r="J153" s="120" t="str">
        <f>IF(H153="","",ROUNDUP(DF!$AD154*VLOOKUP(RECEITAS!$C153,ESCALA!$B$3:$N$19,12,0),0))</f>
        <v/>
      </c>
      <c r="K153" s="4" t="str">
        <f>IF(FROTA!AA154="","",FROTA!AA154)</f>
        <v/>
      </c>
      <c r="L153" s="4" t="str">
        <f t="shared" si="13"/>
        <v/>
      </c>
      <c r="M153" s="4" t="str">
        <f>IF(FROTA!AC154="","",FROTA!AC154)</f>
        <v/>
      </c>
      <c r="N153" s="4" t="str">
        <f t="shared" si="14"/>
        <v/>
      </c>
      <c r="O153" s="4" t="str">
        <f>IF(FROTA!AE154="","",FROTA!AE154)</f>
        <v/>
      </c>
      <c r="P153" s="4" t="str">
        <f t="shared" si="15"/>
        <v/>
      </c>
      <c r="Q153" s="4" t="str">
        <f>IF(FROTA!AG154="","",FROTA!AG154)</f>
        <v/>
      </c>
      <c r="R153" s="4" t="str">
        <f t="shared" si="16"/>
        <v/>
      </c>
      <c r="S153" s="164">
        <f t="shared" si="17"/>
        <v>0</v>
      </c>
      <c r="T153" s="257">
        <v>42944</v>
      </c>
      <c r="U153" s="256" t="s">
        <v>60</v>
      </c>
    </row>
    <row r="154" spans="2:21" ht="13.5" customHeight="1" x14ac:dyDescent="0.2">
      <c r="B154" s="23" t="str">
        <f>IF(FROTA!B155="","",FROTA!B155)</f>
        <v/>
      </c>
      <c r="C154" s="139" t="str">
        <f>IF(B154="","",VLOOKUP(B154,FROTA!$B$5:$C$306,2,0))</f>
        <v/>
      </c>
      <c r="D154" s="22" t="str">
        <f t="shared" si="12"/>
        <v/>
      </c>
      <c r="E154" s="4" t="str">
        <f>IF(B154="","",SUM(VLOOKUP(C154,ESCALA!$B$3:$N$19,8,0))*(VLOOKUP(SEM!C155,SEM!$C$5:$AC$305,27,0)))</f>
        <v/>
      </c>
      <c r="F154" s="120" t="str">
        <f>IF(D154="","",ROUNDUP(SEM!$AD155*VLOOKUP(RECEITAS!$C154,ESCALA!$B$3:$N$19,8,0),0))</f>
        <v/>
      </c>
      <c r="G154" s="4" t="str">
        <f>IF(B154="","",(SUM((VLOOKUP(C154,ESCALA!$B$3:$N$19,10,0))*(VLOOKUP(SAB!C155,SAB!$C$5:$AC$305,27,0))/VLOOKUP(C154,PERFIL!$B$4:$M$20,8,0))*VLOOKUP(C154,PERFIL!$B$4:$M$20,11,0)))</f>
        <v/>
      </c>
      <c r="H154" s="120" t="str">
        <f>IF(F154="","",ROUNDUP(SAB!$AD155*VLOOKUP(RECEITAS!$C154,ESCALA!$B$3:$N$19,10,0),0))</f>
        <v/>
      </c>
      <c r="I154" s="4" t="str">
        <f>IF(B154="","",SUM(VLOOKUP(C154,ESCALA!$B$3:$N$19,12,0))*(VLOOKUP(DF!C155,DF!$C$5:$AC$305,27,0))/VLOOKUP(C154,PERFIL!$B$4:$M$20,8,0)*VLOOKUP(C154,PERFIL!$B$4:$M$20,12,0))</f>
        <v/>
      </c>
      <c r="J154" s="120" t="str">
        <f>IF(H154="","",ROUNDUP(DF!$AD155*VLOOKUP(RECEITAS!$C154,ESCALA!$B$3:$N$19,12,0),0))</f>
        <v/>
      </c>
      <c r="K154" s="4" t="str">
        <f>IF(FROTA!AA155="","",FROTA!AA155)</f>
        <v/>
      </c>
      <c r="L154" s="4" t="str">
        <f t="shared" si="13"/>
        <v/>
      </c>
      <c r="M154" s="4" t="str">
        <f>IF(FROTA!AC155="","",FROTA!AC155)</f>
        <v/>
      </c>
      <c r="N154" s="4" t="str">
        <f t="shared" si="14"/>
        <v/>
      </c>
      <c r="O154" s="4" t="str">
        <f>IF(FROTA!AE155="","",FROTA!AE155)</f>
        <v/>
      </c>
      <c r="P154" s="4" t="str">
        <f t="shared" si="15"/>
        <v/>
      </c>
      <c r="Q154" s="4" t="str">
        <f>IF(FROTA!AG155="","",FROTA!AG155)</f>
        <v/>
      </c>
      <c r="R154" s="4" t="str">
        <f t="shared" si="16"/>
        <v/>
      </c>
      <c r="S154" s="164">
        <f t="shared" si="17"/>
        <v>0</v>
      </c>
      <c r="T154" s="257">
        <v>42945</v>
      </c>
      <c r="U154" s="256" t="s">
        <v>61</v>
      </c>
    </row>
    <row r="155" spans="2:21" ht="13.5" customHeight="1" x14ac:dyDescent="0.2">
      <c r="B155" s="23" t="str">
        <f>IF(FROTA!B156="","",FROTA!B156)</f>
        <v/>
      </c>
      <c r="C155" s="139" t="str">
        <f>IF(B155="","",VLOOKUP(B155,FROTA!$B$5:$C$306,2,0))</f>
        <v/>
      </c>
      <c r="D155" s="22" t="str">
        <f t="shared" si="12"/>
        <v/>
      </c>
      <c r="E155" s="4" t="str">
        <f>IF(B155="","",SUM(VLOOKUP(C155,ESCALA!$B$3:$N$19,8,0))*(VLOOKUP(SEM!C156,SEM!$C$5:$AC$305,27,0)))</f>
        <v/>
      </c>
      <c r="F155" s="120" t="str">
        <f>IF(D155="","",ROUNDUP(SEM!$AD156*VLOOKUP(RECEITAS!$C155,ESCALA!$B$3:$N$19,8,0),0))</f>
        <v/>
      </c>
      <c r="G155" s="4" t="str">
        <f>IF(B155="","",(SUM((VLOOKUP(C155,ESCALA!$B$3:$N$19,10,0))*(VLOOKUP(SAB!C156,SAB!$C$5:$AC$305,27,0))/VLOOKUP(C155,PERFIL!$B$4:$M$20,8,0))*VLOOKUP(C155,PERFIL!$B$4:$M$20,11,0)))</f>
        <v/>
      </c>
      <c r="H155" s="120" t="str">
        <f>IF(F155="","",ROUNDUP(SAB!$AD156*VLOOKUP(RECEITAS!$C155,ESCALA!$B$3:$N$19,10,0),0))</f>
        <v/>
      </c>
      <c r="I155" s="4" t="str">
        <f>IF(B155="","",SUM(VLOOKUP(C155,ESCALA!$B$3:$N$19,12,0))*(VLOOKUP(DF!C156,DF!$C$5:$AC$305,27,0))/VLOOKUP(C155,PERFIL!$B$4:$M$20,8,0)*VLOOKUP(C155,PERFIL!$B$4:$M$20,12,0))</f>
        <v/>
      </c>
      <c r="J155" s="120" t="str">
        <f>IF(H155="","",ROUNDUP(DF!$AD156*VLOOKUP(RECEITAS!$C155,ESCALA!$B$3:$N$19,12,0),0))</f>
        <v/>
      </c>
      <c r="K155" s="4" t="str">
        <f>IF(FROTA!AA156="","",FROTA!AA156)</f>
        <v/>
      </c>
      <c r="L155" s="4" t="str">
        <f t="shared" si="13"/>
        <v/>
      </c>
      <c r="M155" s="4" t="str">
        <f>IF(FROTA!AC156="","",FROTA!AC156)</f>
        <v/>
      </c>
      <c r="N155" s="4" t="str">
        <f t="shared" si="14"/>
        <v/>
      </c>
      <c r="O155" s="4" t="str">
        <f>IF(FROTA!AE156="","",FROTA!AE156)</f>
        <v/>
      </c>
      <c r="P155" s="4" t="str">
        <f t="shared" si="15"/>
        <v/>
      </c>
      <c r="Q155" s="4" t="str">
        <f>IF(FROTA!AG156="","",FROTA!AG156)</f>
        <v/>
      </c>
      <c r="R155" s="4" t="str">
        <f t="shared" si="16"/>
        <v/>
      </c>
      <c r="S155" s="164">
        <f t="shared" si="17"/>
        <v>0</v>
      </c>
      <c r="T155" s="257">
        <v>42946</v>
      </c>
      <c r="U155" s="256" t="s">
        <v>58</v>
      </c>
    </row>
    <row r="156" spans="2:21" ht="13.5" customHeight="1" x14ac:dyDescent="0.2">
      <c r="B156" s="23" t="str">
        <f>IF(FROTA!B157="","",FROTA!B157)</f>
        <v/>
      </c>
      <c r="C156" s="139" t="str">
        <f>IF(B156="","",VLOOKUP(B156,FROTA!$B$5:$C$306,2,0))</f>
        <v/>
      </c>
      <c r="D156" s="22" t="str">
        <f t="shared" si="12"/>
        <v/>
      </c>
      <c r="E156" s="4" t="str">
        <f>IF(B156="","",SUM(VLOOKUP(C156,ESCALA!$B$3:$N$19,8,0))*(VLOOKUP(SEM!C157,SEM!$C$5:$AC$305,27,0)))</f>
        <v/>
      </c>
      <c r="F156" s="120" t="str">
        <f>IF(D156="","",ROUNDUP(SEM!$AD157*VLOOKUP(RECEITAS!$C156,ESCALA!$B$3:$N$19,8,0),0))</f>
        <v/>
      </c>
      <c r="G156" s="4" t="str">
        <f>IF(B156="","",(SUM((VLOOKUP(C156,ESCALA!$B$3:$N$19,10,0))*(VLOOKUP(SAB!C157,SAB!$C$5:$AC$305,27,0))/VLOOKUP(C156,PERFIL!$B$4:$M$20,8,0))*VLOOKUP(C156,PERFIL!$B$4:$M$20,11,0)))</f>
        <v/>
      </c>
      <c r="H156" s="120" t="str">
        <f>IF(F156="","",ROUNDUP(SAB!$AD157*VLOOKUP(RECEITAS!$C156,ESCALA!$B$3:$N$19,10,0),0))</f>
        <v/>
      </c>
      <c r="I156" s="4" t="str">
        <f>IF(B156="","",SUM(VLOOKUP(C156,ESCALA!$B$3:$N$19,12,0))*(VLOOKUP(DF!C157,DF!$C$5:$AC$305,27,0))/VLOOKUP(C156,PERFIL!$B$4:$M$20,8,0)*VLOOKUP(C156,PERFIL!$B$4:$M$20,12,0))</f>
        <v/>
      </c>
      <c r="J156" s="120" t="str">
        <f>IF(H156="","",ROUNDUP(DF!$AD157*VLOOKUP(RECEITAS!$C156,ESCALA!$B$3:$N$19,12,0),0))</f>
        <v/>
      </c>
      <c r="K156" s="4" t="str">
        <f>IF(FROTA!AA157="","",FROTA!AA157)</f>
        <v/>
      </c>
      <c r="L156" s="4" t="str">
        <f t="shared" si="13"/>
        <v/>
      </c>
      <c r="M156" s="4" t="str">
        <f>IF(FROTA!AC157="","",FROTA!AC157)</f>
        <v/>
      </c>
      <c r="N156" s="4" t="str">
        <f t="shared" si="14"/>
        <v/>
      </c>
      <c r="O156" s="4" t="str">
        <f>IF(FROTA!AE157="","",FROTA!AE157)</f>
        <v/>
      </c>
      <c r="P156" s="4" t="str">
        <f t="shared" si="15"/>
        <v/>
      </c>
      <c r="Q156" s="4" t="str">
        <f>IF(FROTA!AG157="","",FROTA!AG157)</f>
        <v/>
      </c>
      <c r="R156" s="4" t="str">
        <f t="shared" si="16"/>
        <v/>
      </c>
      <c r="S156" s="164">
        <f t="shared" si="17"/>
        <v>0</v>
      </c>
      <c r="T156" s="257">
        <v>42947</v>
      </c>
      <c r="U156" s="256" t="s">
        <v>62</v>
      </c>
    </row>
    <row r="157" spans="2:21" ht="13.5" customHeight="1" x14ac:dyDescent="0.2">
      <c r="B157" s="23" t="str">
        <f>IF(FROTA!B158="","",FROTA!B158)</f>
        <v/>
      </c>
      <c r="C157" s="139" t="str">
        <f>IF(B157="","",VLOOKUP(B157,FROTA!$B$5:$C$306,2,0))</f>
        <v/>
      </c>
      <c r="D157" s="22" t="str">
        <f t="shared" si="12"/>
        <v/>
      </c>
      <c r="E157" s="4" t="str">
        <f>IF(B157="","",SUM(VLOOKUP(C157,ESCALA!$B$3:$N$19,8,0))*(VLOOKUP(SEM!C158,SEM!$C$5:$AC$305,27,0)))</f>
        <v/>
      </c>
      <c r="F157" s="120" t="str">
        <f>IF(D157="","",ROUNDUP(SEM!$AD158*VLOOKUP(RECEITAS!$C157,ESCALA!$B$3:$N$19,8,0),0))</f>
        <v/>
      </c>
      <c r="G157" s="4" t="str">
        <f>IF(B157="","",(SUM((VLOOKUP(C157,ESCALA!$B$3:$N$19,10,0))*(VLOOKUP(SAB!C158,SAB!$C$5:$AC$305,27,0))/VLOOKUP(C157,PERFIL!$B$4:$M$20,8,0))*VLOOKUP(C157,PERFIL!$B$4:$M$20,11,0)))</f>
        <v/>
      </c>
      <c r="H157" s="120" t="str">
        <f>IF(F157="","",ROUNDUP(SAB!$AD158*VLOOKUP(RECEITAS!$C157,ESCALA!$B$3:$N$19,10,0),0))</f>
        <v/>
      </c>
      <c r="I157" s="4" t="str">
        <f>IF(B157="","",SUM(VLOOKUP(C157,ESCALA!$B$3:$N$19,12,0))*(VLOOKUP(DF!C158,DF!$C$5:$AC$305,27,0))/VLOOKUP(C157,PERFIL!$B$4:$M$20,8,0)*VLOOKUP(C157,PERFIL!$B$4:$M$20,12,0))</f>
        <v/>
      </c>
      <c r="J157" s="120" t="str">
        <f>IF(H157="","",ROUNDUP(DF!$AD158*VLOOKUP(RECEITAS!$C157,ESCALA!$B$3:$N$19,12,0),0))</f>
        <v/>
      </c>
      <c r="K157" s="4" t="str">
        <f>IF(FROTA!AA158="","",FROTA!AA158)</f>
        <v/>
      </c>
      <c r="L157" s="4" t="str">
        <f t="shared" si="13"/>
        <v/>
      </c>
      <c r="M157" s="4" t="str">
        <f>IF(FROTA!AC158="","",FROTA!AC158)</f>
        <v/>
      </c>
      <c r="N157" s="4" t="str">
        <f t="shared" si="14"/>
        <v/>
      </c>
      <c r="O157" s="4" t="str">
        <f>IF(FROTA!AE158="","",FROTA!AE158)</f>
        <v/>
      </c>
      <c r="P157" s="4" t="str">
        <f t="shared" si="15"/>
        <v/>
      </c>
      <c r="Q157" s="4" t="str">
        <f>IF(FROTA!AG158="","",FROTA!AG158)</f>
        <v/>
      </c>
      <c r="R157" s="4" t="str">
        <f t="shared" si="16"/>
        <v/>
      </c>
      <c r="S157" s="164">
        <f t="shared" si="17"/>
        <v>0</v>
      </c>
      <c r="T157" s="257">
        <v>42948</v>
      </c>
      <c r="U157" s="256" t="s">
        <v>63</v>
      </c>
    </row>
    <row r="158" spans="2:21" ht="13.5" customHeight="1" x14ac:dyDescent="0.2">
      <c r="B158" s="23" t="str">
        <f>IF(FROTA!B159="","",FROTA!B159)</f>
        <v/>
      </c>
      <c r="C158" s="139" t="str">
        <f>IF(B158="","",VLOOKUP(B158,FROTA!$B$5:$C$306,2,0))</f>
        <v/>
      </c>
      <c r="D158" s="22" t="str">
        <f t="shared" si="12"/>
        <v/>
      </c>
      <c r="E158" s="4" t="str">
        <f>IF(B158="","",SUM(VLOOKUP(C158,ESCALA!$B$3:$N$19,8,0))*(VLOOKUP(SEM!C159,SEM!$C$5:$AC$305,27,0)))</f>
        <v/>
      </c>
      <c r="F158" s="120" t="str">
        <f>IF(D158="","",ROUNDUP(SEM!$AD159*VLOOKUP(RECEITAS!$C158,ESCALA!$B$3:$N$19,8,0),0))</f>
        <v/>
      </c>
      <c r="G158" s="4" t="str">
        <f>IF(B158="","",(SUM((VLOOKUP(C158,ESCALA!$B$3:$N$19,10,0))*(VLOOKUP(SAB!C159,SAB!$C$5:$AC$305,27,0))/VLOOKUP(C158,PERFIL!$B$4:$M$20,8,0))*VLOOKUP(C158,PERFIL!$B$4:$M$20,11,0)))</f>
        <v/>
      </c>
      <c r="H158" s="120" t="str">
        <f>IF(F158="","",ROUNDUP(SAB!$AD159*VLOOKUP(RECEITAS!$C158,ESCALA!$B$3:$N$19,10,0),0))</f>
        <v/>
      </c>
      <c r="I158" s="4" t="str">
        <f>IF(B158="","",SUM(VLOOKUP(C158,ESCALA!$B$3:$N$19,12,0))*(VLOOKUP(DF!C159,DF!$C$5:$AC$305,27,0))/VLOOKUP(C158,PERFIL!$B$4:$M$20,8,0)*VLOOKUP(C158,PERFIL!$B$4:$M$20,12,0))</f>
        <v/>
      </c>
      <c r="J158" s="120" t="str">
        <f>IF(H158="","",ROUNDUP(DF!$AD159*VLOOKUP(RECEITAS!$C158,ESCALA!$B$3:$N$19,12,0),0))</f>
        <v/>
      </c>
      <c r="K158" s="4" t="str">
        <f>IF(FROTA!AA159="","",FROTA!AA159)</f>
        <v/>
      </c>
      <c r="L158" s="4" t="str">
        <f t="shared" si="13"/>
        <v/>
      </c>
      <c r="M158" s="4" t="str">
        <f>IF(FROTA!AC159="","",FROTA!AC159)</f>
        <v/>
      </c>
      <c r="N158" s="4" t="str">
        <f t="shared" si="14"/>
        <v/>
      </c>
      <c r="O158" s="4" t="str">
        <f>IF(FROTA!AE159="","",FROTA!AE159)</f>
        <v/>
      </c>
      <c r="P158" s="4" t="str">
        <f t="shared" si="15"/>
        <v/>
      </c>
      <c r="Q158" s="4" t="str">
        <f>IF(FROTA!AG159="","",FROTA!AG159)</f>
        <v/>
      </c>
      <c r="R158" s="4" t="str">
        <f t="shared" si="16"/>
        <v/>
      </c>
      <c r="S158" s="164">
        <f t="shared" si="17"/>
        <v>0</v>
      </c>
      <c r="T158" s="257">
        <v>42949</v>
      </c>
      <c r="U158" s="256" t="s">
        <v>64</v>
      </c>
    </row>
    <row r="159" spans="2:21" ht="13.5" customHeight="1" x14ac:dyDescent="0.2">
      <c r="B159" s="23" t="str">
        <f>IF(FROTA!B160="","",FROTA!B160)</f>
        <v/>
      </c>
      <c r="C159" s="139" t="str">
        <f>IF(B159="","",VLOOKUP(B159,FROTA!$B$5:$C$306,2,0))</f>
        <v/>
      </c>
      <c r="D159" s="22" t="str">
        <f t="shared" si="12"/>
        <v/>
      </c>
      <c r="E159" s="4" t="str">
        <f>IF(B159="","",SUM(VLOOKUP(C159,ESCALA!$B$3:$N$19,8,0))*(VLOOKUP(SEM!C160,SEM!$C$5:$AC$305,27,0)))</f>
        <v/>
      </c>
      <c r="F159" s="120" t="str">
        <f>IF(D159="","",ROUNDUP(SEM!$AD160*VLOOKUP(RECEITAS!$C159,ESCALA!$B$3:$N$19,8,0),0))</f>
        <v/>
      </c>
      <c r="G159" s="4" t="str">
        <f>IF(B159="","",(SUM((VLOOKUP(C159,ESCALA!$B$3:$N$19,10,0))*(VLOOKUP(SAB!C160,SAB!$C$5:$AC$305,27,0))/VLOOKUP(C159,PERFIL!$B$4:$M$20,8,0))*VLOOKUP(C159,PERFIL!$B$4:$M$20,11,0)))</f>
        <v/>
      </c>
      <c r="H159" s="120" t="str">
        <f>IF(F159="","",ROUNDUP(SAB!$AD160*VLOOKUP(RECEITAS!$C159,ESCALA!$B$3:$N$19,10,0),0))</f>
        <v/>
      </c>
      <c r="I159" s="4" t="str">
        <f>IF(B159="","",SUM(VLOOKUP(C159,ESCALA!$B$3:$N$19,12,0))*(VLOOKUP(DF!C160,DF!$C$5:$AC$305,27,0))/VLOOKUP(C159,PERFIL!$B$4:$M$20,8,0)*VLOOKUP(C159,PERFIL!$B$4:$M$20,12,0))</f>
        <v/>
      </c>
      <c r="J159" s="120" t="str">
        <f>IF(H159="","",ROUNDUP(DF!$AD160*VLOOKUP(RECEITAS!$C159,ESCALA!$B$3:$N$19,12,0),0))</f>
        <v/>
      </c>
      <c r="K159" s="4" t="str">
        <f>IF(FROTA!AA160="","",FROTA!AA160)</f>
        <v/>
      </c>
      <c r="L159" s="4" t="str">
        <f t="shared" si="13"/>
        <v/>
      </c>
      <c r="M159" s="4" t="str">
        <f>IF(FROTA!AC160="","",FROTA!AC160)</f>
        <v/>
      </c>
      <c r="N159" s="4" t="str">
        <f t="shared" si="14"/>
        <v/>
      </c>
      <c r="O159" s="4" t="str">
        <f>IF(FROTA!AE160="","",FROTA!AE160)</f>
        <v/>
      </c>
      <c r="P159" s="4" t="str">
        <f t="shared" si="15"/>
        <v/>
      </c>
      <c r="Q159" s="4" t="str">
        <f>IF(FROTA!AG160="","",FROTA!AG160)</f>
        <v/>
      </c>
      <c r="R159" s="4" t="str">
        <f t="shared" si="16"/>
        <v/>
      </c>
      <c r="S159" s="164">
        <f t="shared" si="17"/>
        <v>0</v>
      </c>
      <c r="T159" s="257">
        <v>42950</v>
      </c>
      <c r="U159" s="256" t="s">
        <v>59</v>
      </c>
    </row>
    <row r="160" spans="2:21" ht="13.5" customHeight="1" x14ac:dyDescent="0.2">
      <c r="B160" s="23" t="str">
        <f>IF(FROTA!B161="","",FROTA!B161)</f>
        <v/>
      </c>
      <c r="C160" s="139" t="str">
        <f>IF(B160="","",VLOOKUP(B160,FROTA!$B$5:$C$306,2,0))</f>
        <v/>
      </c>
      <c r="D160" s="22" t="str">
        <f t="shared" si="12"/>
        <v/>
      </c>
      <c r="E160" s="4" t="str">
        <f>IF(B160="","",SUM(VLOOKUP(C160,ESCALA!$B$3:$N$19,8,0))*(VLOOKUP(SEM!C161,SEM!$C$5:$AC$305,27,0)))</f>
        <v/>
      </c>
      <c r="F160" s="120" t="str">
        <f>IF(D160="","",ROUNDUP(SEM!$AD161*VLOOKUP(RECEITAS!$C160,ESCALA!$B$3:$N$19,8,0),0))</f>
        <v/>
      </c>
      <c r="G160" s="4" t="str">
        <f>IF(B160="","",(SUM((VLOOKUP(C160,ESCALA!$B$3:$N$19,10,0))*(VLOOKUP(SAB!C161,SAB!$C$5:$AC$305,27,0))/VLOOKUP(C160,PERFIL!$B$4:$M$20,8,0))*VLOOKUP(C160,PERFIL!$B$4:$M$20,11,0)))</f>
        <v/>
      </c>
      <c r="H160" s="120" t="str">
        <f>IF(F160="","",ROUNDUP(SAB!$AD161*VLOOKUP(RECEITAS!$C160,ESCALA!$B$3:$N$19,10,0),0))</f>
        <v/>
      </c>
      <c r="I160" s="4" t="str">
        <f>IF(B160="","",SUM(VLOOKUP(C160,ESCALA!$B$3:$N$19,12,0))*(VLOOKUP(DF!C161,DF!$C$5:$AC$305,27,0))/VLOOKUP(C160,PERFIL!$B$4:$M$20,8,0)*VLOOKUP(C160,PERFIL!$B$4:$M$20,12,0))</f>
        <v/>
      </c>
      <c r="J160" s="120" t="str">
        <f>IF(H160="","",ROUNDUP(DF!$AD161*VLOOKUP(RECEITAS!$C160,ESCALA!$B$3:$N$19,12,0),0))</f>
        <v/>
      </c>
      <c r="K160" s="4" t="str">
        <f>IF(FROTA!AA161="","",FROTA!AA161)</f>
        <v/>
      </c>
      <c r="L160" s="4" t="str">
        <f t="shared" si="13"/>
        <v/>
      </c>
      <c r="M160" s="4" t="str">
        <f>IF(FROTA!AC161="","",FROTA!AC161)</f>
        <v/>
      </c>
      <c r="N160" s="4" t="str">
        <f t="shared" si="14"/>
        <v/>
      </c>
      <c r="O160" s="4" t="str">
        <f>IF(FROTA!AE161="","",FROTA!AE161)</f>
        <v/>
      </c>
      <c r="P160" s="4" t="str">
        <f t="shared" si="15"/>
        <v/>
      </c>
      <c r="Q160" s="4" t="str">
        <f>IF(FROTA!AG161="","",FROTA!AG161)</f>
        <v/>
      </c>
      <c r="R160" s="4" t="str">
        <f t="shared" si="16"/>
        <v/>
      </c>
      <c r="S160" s="164">
        <f t="shared" si="17"/>
        <v>0</v>
      </c>
      <c r="T160" s="257">
        <v>42951</v>
      </c>
      <c r="U160" s="256" t="s">
        <v>60</v>
      </c>
    </row>
    <row r="161" spans="2:21" ht="13.5" customHeight="1" x14ac:dyDescent="0.2">
      <c r="B161" s="23" t="str">
        <f>IF(FROTA!B162="","",FROTA!B162)</f>
        <v/>
      </c>
      <c r="C161" s="139" t="str">
        <f>IF(B161="","",VLOOKUP(B161,FROTA!$B$5:$C$306,2,0))</f>
        <v/>
      </c>
      <c r="D161" s="22" t="str">
        <f t="shared" si="12"/>
        <v/>
      </c>
      <c r="E161" s="4" t="str">
        <f>IF(B161="","",SUM(VLOOKUP(C161,ESCALA!$B$3:$N$19,8,0))*(VLOOKUP(SEM!C162,SEM!$C$5:$AC$305,27,0)))</f>
        <v/>
      </c>
      <c r="F161" s="120" t="str">
        <f>IF(D161="","",ROUNDUP(SEM!$AD162*VLOOKUP(RECEITAS!$C161,ESCALA!$B$3:$N$19,8,0),0))</f>
        <v/>
      </c>
      <c r="G161" s="4" t="str">
        <f>IF(B161="","",(SUM((VLOOKUP(C161,ESCALA!$B$3:$N$19,10,0))*(VLOOKUP(SAB!C162,SAB!$C$5:$AC$305,27,0))/VLOOKUP(C161,PERFIL!$B$4:$M$20,8,0))*VLOOKUP(C161,PERFIL!$B$4:$M$20,11,0)))</f>
        <v/>
      </c>
      <c r="H161" s="120" t="str">
        <f>IF(F161="","",ROUNDUP(SAB!$AD162*VLOOKUP(RECEITAS!$C161,ESCALA!$B$3:$N$19,10,0),0))</f>
        <v/>
      </c>
      <c r="I161" s="4" t="str">
        <f>IF(B161="","",SUM(VLOOKUP(C161,ESCALA!$B$3:$N$19,12,0))*(VLOOKUP(DF!C162,DF!$C$5:$AC$305,27,0))/VLOOKUP(C161,PERFIL!$B$4:$M$20,8,0)*VLOOKUP(C161,PERFIL!$B$4:$M$20,12,0))</f>
        <v/>
      </c>
      <c r="J161" s="120" t="str">
        <f>IF(H161="","",ROUNDUP(DF!$AD162*VLOOKUP(RECEITAS!$C161,ESCALA!$B$3:$N$19,12,0),0))</f>
        <v/>
      </c>
      <c r="K161" s="4" t="str">
        <f>IF(FROTA!AA162="","",FROTA!AA162)</f>
        <v/>
      </c>
      <c r="L161" s="4" t="str">
        <f t="shared" si="13"/>
        <v/>
      </c>
      <c r="M161" s="4" t="str">
        <f>IF(FROTA!AC162="","",FROTA!AC162)</f>
        <v/>
      </c>
      <c r="N161" s="4" t="str">
        <f t="shared" si="14"/>
        <v/>
      </c>
      <c r="O161" s="4" t="str">
        <f>IF(FROTA!AE162="","",FROTA!AE162)</f>
        <v/>
      </c>
      <c r="P161" s="4" t="str">
        <f t="shared" si="15"/>
        <v/>
      </c>
      <c r="Q161" s="4" t="str">
        <f>IF(FROTA!AG162="","",FROTA!AG162)</f>
        <v/>
      </c>
      <c r="R161" s="4" t="str">
        <f t="shared" si="16"/>
        <v/>
      </c>
      <c r="S161" s="164">
        <f t="shared" si="17"/>
        <v>0</v>
      </c>
      <c r="T161" s="257">
        <v>42952</v>
      </c>
      <c r="U161" s="256" t="s">
        <v>61</v>
      </c>
    </row>
    <row r="162" spans="2:21" ht="13.5" customHeight="1" x14ac:dyDescent="0.2">
      <c r="B162" s="23" t="str">
        <f>IF(FROTA!B163="","",FROTA!B163)</f>
        <v/>
      </c>
      <c r="C162" s="139" t="str">
        <f>IF(B162="","",VLOOKUP(B162,FROTA!$B$5:$C$306,2,0))</f>
        <v/>
      </c>
      <c r="D162" s="22" t="str">
        <f t="shared" si="12"/>
        <v/>
      </c>
      <c r="E162" s="4" t="str">
        <f>IF(B162="","",SUM(VLOOKUP(C162,ESCALA!$B$3:$N$19,8,0))*(VLOOKUP(SEM!C163,SEM!$C$5:$AC$305,27,0)))</f>
        <v/>
      </c>
      <c r="F162" s="120" t="str">
        <f>IF(D162="","",ROUNDUP(SEM!$AD163*VLOOKUP(RECEITAS!$C162,ESCALA!$B$3:$N$19,8,0),0))</f>
        <v/>
      </c>
      <c r="G162" s="4" t="str">
        <f>IF(B162="","",(SUM((VLOOKUP(C162,ESCALA!$B$3:$N$19,10,0))*(VLOOKUP(SAB!C163,SAB!$C$5:$AC$305,27,0))/VLOOKUP(C162,PERFIL!$B$4:$M$20,8,0))*VLOOKUP(C162,PERFIL!$B$4:$M$20,11,0)))</f>
        <v/>
      </c>
      <c r="H162" s="120" t="str">
        <f>IF(F162="","",ROUNDUP(SAB!$AD163*VLOOKUP(RECEITAS!$C162,ESCALA!$B$3:$N$19,10,0),0))</f>
        <v/>
      </c>
      <c r="I162" s="4" t="str">
        <f>IF(B162="","",SUM(VLOOKUP(C162,ESCALA!$B$3:$N$19,12,0))*(VLOOKUP(DF!C163,DF!$C$5:$AC$305,27,0))/VLOOKUP(C162,PERFIL!$B$4:$M$20,8,0)*VLOOKUP(C162,PERFIL!$B$4:$M$20,12,0))</f>
        <v/>
      </c>
      <c r="J162" s="120" t="str">
        <f>IF(H162="","",ROUNDUP(DF!$AD163*VLOOKUP(RECEITAS!$C162,ESCALA!$B$3:$N$19,12,0),0))</f>
        <v/>
      </c>
      <c r="K162" s="4" t="str">
        <f>IF(FROTA!AA163="","",FROTA!AA163)</f>
        <v/>
      </c>
      <c r="L162" s="4" t="str">
        <f t="shared" si="13"/>
        <v/>
      </c>
      <c r="M162" s="4" t="str">
        <f>IF(FROTA!AC163="","",FROTA!AC163)</f>
        <v/>
      </c>
      <c r="N162" s="4" t="str">
        <f t="shared" si="14"/>
        <v/>
      </c>
      <c r="O162" s="4" t="str">
        <f>IF(FROTA!AE163="","",FROTA!AE163)</f>
        <v/>
      </c>
      <c r="P162" s="4" t="str">
        <f t="shared" si="15"/>
        <v/>
      </c>
      <c r="Q162" s="4" t="str">
        <f>IF(FROTA!AG163="","",FROTA!AG163)</f>
        <v/>
      </c>
      <c r="R162" s="4" t="str">
        <f t="shared" si="16"/>
        <v/>
      </c>
      <c r="S162" s="164">
        <f t="shared" si="17"/>
        <v>0</v>
      </c>
      <c r="T162" s="257">
        <v>42953</v>
      </c>
      <c r="U162" s="256" t="s">
        <v>58</v>
      </c>
    </row>
    <row r="163" spans="2:21" ht="13.5" customHeight="1" x14ac:dyDescent="0.2">
      <c r="B163" s="23" t="str">
        <f>IF(FROTA!B164="","",FROTA!B164)</f>
        <v/>
      </c>
      <c r="C163" s="139" t="str">
        <f>IF(B163="","",VLOOKUP(B163,FROTA!$B$5:$C$306,2,0))</f>
        <v/>
      </c>
      <c r="D163" s="22" t="str">
        <f t="shared" si="12"/>
        <v/>
      </c>
      <c r="E163" s="4" t="str">
        <f>IF(B163="","",SUM(VLOOKUP(C163,ESCALA!$B$3:$N$19,8,0))*(VLOOKUP(SEM!C164,SEM!$C$5:$AC$305,27,0)))</f>
        <v/>
      </c>
      <c r="F163" s="120" t="str">
        <f>IF(D163="","",ROUNDUP(SEM!$AD164*VLOOKUP(RECEITAS!$C163,ESCALA!$B$3:$N$19,8,0),0))</f>
        <v/>
      </c>
      <c r="G163" s="4" t="str">
        <f>IF(B163="","",(SUM((VLOOKUP(C163,ESCALA!$B$3:$N$19,10,0))*(VLOOKUP(SAB!C164,SAB!$C$5:$AC$305,27,0))/VLOOKUP(C163,PERFIL!$B$4:$M$20,8,0))*VLOOKUP(C163,PERFIL!$B$4:$M$20,11,0)))</f>
        <v/>
      </c>
      <c r="H163" s="120" t="str">
        <f>IF(F163="","",ROUNDUP(SAB!$AD164*VLOOKUP(RECEITAS!$C163,ESCALA!$B$3:$N$19,10,0),0))</f>
        <v/>
      </c>
      <c r="I163" s="4" t="str">
        <f>IF(B163="","",SUM(VLOOKUP(C163,ESCALA!$B$3:$N$19,12,0))*(VLOOKUP(DF!C164,DF!$C$5:$AC$305,27,0))/VLOOKUP(C163,PERFIL!$B$4:$M$20,8,0)*VLOOKUP(C163,PERFIL!$B$4:$M$20,12,0))</f>
        <v/>
      </c>
      <c r="J163" s="120" t="str">
        <f>IF(H163="","",ROUNDUP(DF!$AD164*VLOOKUP(RECEITAS!$C163,ESCALA!$B$3:$N$19,12,0),0))</f>
        <v/>
      </c>
      <c r="K163" s="4" t="str">
        <f>IF(FROTA!AA164="","",FROTA!AA164)</f>
        <v/>
      </c>
      <c r="L163" s="4" t="str">
        <f t="shared" si="13"/>
        <v/>
      </c>
      <c r="M163" s="4" t="str">
        <f>IF(FROTA!AC164="","",FROTA!AC164)</f>
        <v/>
      </c>
      <c r="N163" s="4" t="str">
        <f t="shared" si="14"/>
        <v/>
      </c>
      <c r="O163" s="4" t="str">
        <f>IF(FROTA!AE164="","",FROTA!AE164)</f>
        <v/>
      </c>
      <c r="P163" s="4" t="str">
        <f t="shared" si="15"/>
        <v/>
      </c>
      <c r="Q163" s="4" t="str">
        <f>IF(FROTA!AG164="","",FROTA!AG164)</f>
        <v/>
      </c>
      <c r="R163" s="4" t="str">
        <f t="shared" si="16"/>
        <v/>
      </c>
      <c r="S163" s="164">
        <f t="shared" si="17"/>
        <v>0</v>
      </c>
      <c r="T163" s="257">
        <v>42954</v>
      </c>
      <c r="U163" s="256" t="s">
        <v>62</v>
      </c>
    </row>
    <row r="164" spans="2:21" ht="13.5" customHeight="1" x14ac:dyDescent="0.2">
      <c r="B164" s="23" t="str">
        <f>IF(FROTA!B165="","",FROTA!B165)</f>
        <v/>
      </c>
      <c r="C164" s="139" t="str">
        <f>IF(B164="","",VLOOKUP(B164,FROTA!$B$5:$C$306,2,0))</f>
        <v/>
      </c>
      <c r="D164" s="22" t="str">
        <f t="shared" si="12"/>
        <v/>
      </c>
      <c r="E164" s="4" t="str">
        <f>IF(B164="","",SUM(VLOOKUP(C164,ESCALA!$B$3:$N$19,8,0))*(VLOOKUP(SEM!C165,SEM!$C$5:$AC$305,27,0)))</f>
        <v/>
      </c>
      <c r="F164" s="120" t="str">
        <f>IF(D164="","",ROUNDUP(SEM!$AD165*VLOOKUP(RECEITAS!$C164,ESCALA!$B$3:$N$19,8,0),0))</f>
        <v/>
      </c>
      <c r="G164" s="4" t="str">
        <f>IF(B164="","",(SUM((VLOOKUP(C164,ESCALA!$B$3:$N$19,10,0))*(VLOOKUP(SAB!C165,SAB!$C$5:$AC$305,27,0))/VLOOKUP(C164,PERFIL!$B$4:$M$20,8,0))*VLOOKUP(C164,PERFIL!$B$4:$M$20,11,0)))</f>
        <v/>
      </c>
      <c r="H164" s="120" t="str">
        <f>IF(F164="","",ROUNDUP(SAB!$AD165*VLOOKUP(RECEITAS!$C164,ESCALA!$B$3:$N$19,10,0),0))</f>
        <v/>
      </c>
      <c r="I164" s="4" t="str">
        <f>IF(B164="","",SUM(VLOOKUP(C164,ESCALA!$B$3:$N$19,12,0))*(VLOOKUP(DF!C165,DF!$C$5:$AC$305,27,0))/VLOOKUP(C164,PERFIL!$B$4:$M$20,8,0)*VLOOKUP(C164,PERFIL!$B$4:$M$20,12,0))</f>
        <v/>
      </c>
      <c r="J164" s="120" t="str">
        <f>IF(H164="","",ROUNDUP(DF!$AD165*VLOOKUP(RECEITAS!$C164,ESCALA!$B$3:$N$19,12,0),0))</f>
        <v/>
      </c>
      <c r="K164" s="4" t="str">
        <f>IF(FROTA!AA165="","",FROTA!AA165)</f>
        <v/>
      </c>
      <c r="L164" s="4" t="str">
        <f t="shared" si="13"/>
        <v/>
      </c>
      <c r="M164" s="4" t="str">
        <f>IF(FROTA!AC165="","",FROTA!AC165)</f>
        <v/>
      </c>
      <c r="N164" s="4" t="str">
        <f t="shared" si="14"/>
        <v/>
      </c>
      <c r="O164" s="4" t="str">
        <f>IF(FROTA!AE165="","",FROTA!AE165)</f>
        <v/>
      </c>
      <c r="P164" s="4" t="str">
        <f t="shared" si="15"/>
        <v/>
      </c>
      <c r="Q164" s="4" t="str">
        <f>IF(FROTA!AG165="","",FROTA!AG165)</f>
        <v/>
      </c>
      <c r="R164" s="4" t="str">
        <f t="shared" si="16"/>
        <v/>
      </c>
      <c r="S164" s="164">
        <f t="shared" si="17"/>
        <v>0</v>
      </c>
      <c r="T164" s="257">
        <v>42955</v>
      </c>
      <c r="U164" s="256" t="s">
        <v>63</v>
      </c>
    </row>
    <row r="165" spans="2:21" ht="13.5" customHeight="1" x14ac:dyDescent="0.2">
      <c r="B165" s="23" t="str">
        <f>IF(FROTA!B166="","",FROTA!B166)</f>
        <v/>
      </c>
      <c r="C165" s="139" t="str">
        <f>IF(B165="","",VLOOKUP(B165,FROTA!$B$5:$C$306,2,0))</f>
        <v/>
      </c>
      <c r="D165" s="22" t="str">
        <f t="shared" si="12"/>
        <v/>
      </c>
      <c r="E165" s="4" t="str">
        <f>IF(B165="","",SUM(VLOOKUP(C165,ESCALA!$B$3:$N$19,8,0))*(VLOOKUP(SEM!C166,SEM!$C$5:$AC$305,27,0)))</f>
        <v/>
      </c>
      <c r="F165" s="120" t="str">
        <f>IF(D165="","",ROUNDUP(SEM!$AD166*VLOOKUP(RECEITAS!$C165,ESCALA!$B$3:$N$19,8,0),0))</f>
        <v/>
      </c>
      <c r="G165" s="4" t="str">
        <f>IF(B165="","",(SUM((VLOOKUP(C165,ESCALA!$B$3:$N$19,10,0))*(VLOOKUP(SAB!C166,SAB!$C$5:$AC$305,27,0))/VLOOKUP(C165,PERFIL!$B$4:$M$20,8,0))*VLOOKUP(C165,PERFIL!$B$4:$M$20,11,0)))</f>
        <v/>
      </c>
      <c r="H165" s="120" t="str">
        <f>IF(F165="","",ROUNDUP(SAB!$AD166*VLOOKUP(RECEITAS!$C165,ESCALA!$B$3:$N$19,10,0),0))</f>
        <v/>
      </c>
      <c r="I165" s="4" t="str">
        <f>IF(B165="","",SUM(VLOOKUP(C165,ESCALA!$B$3:$N$19,12,0))*(VLOOKUP(DF!C166,DF!$C$5:$AC$305,27,0))/VLOOKUP(C165,PERFIL!$B$4:$M$20,8,0)*VLOOKUP(C165,PERFIL!$B$4:$M$20,12,0))</f>
        <v/>
      </c>
      <c r="J165" s="120" t="str">
        <f>IF(H165="","",ROUNDUP(DF!$AD166*VLOOKUP(RECEITAS!$C165,ESCALA!$B$3:$N$19,12,0),0))</f>
        <v/>
      </c>
      <c r="K165" s="4" t="str">
        <f>IF(FROTA!AA166="","",FROTA!AA166)</f>
        <v/>
      </c>
      <c r="L165" s="4" t="str">
        <f t="shared" si="13"/>
        <v/>
      </c>
      <c r="M165" s="4" t="str">
        <f>IF(FROTA!AC166="","",FROTA!AC166)</f>
        <v/>
      </c>
      <c r="N165" s="4" t="str">
        <f t="shared" si="14"/>
        <v/>
      </c>
      <c r="O165" s="4" t="str">
        <f>IF(FROTA!AE166="","",FROTA!AE166)</f>
        <v/>
      </c>
      <c r="P165" s="4" t="str">
        <f t="shared" si="15"/>
        <v/>
      </c>
      <c r="Q165" s="4" t="str">
        <f>IF(FROTA!AG166="","",FROTA!AG166)</f>
        <v/>
      </c>
      <c r="R165" s="4" t="str">
        <f t="shared" si="16"/>
        <v/>
      </c>
      <c r="S165" s="164">
        <f t="shared" si="17"/>
        <v>0</v>
      </c>
      <c r="T165" s="257">
        <v>42956</v>
      </c>
      <c r="U165" s="256" t="s">
        <v>64</v>
      </c>
    </row>
    <row r="166" spans="2:21" ht="13.5" customHeight="1" x14ac:dyDescent="0.2">
      <c r="B166" s="23" t="str">
        <f>IF(FROTA!B167="","",FROTA!B167)</f>
        <v/>
      </c>
      <c r="C166" s="139" t="str">
        <f>IF(B166="","",VLOOKUP(B166,FROTA!$B$5:$C$306,2,0))</f>
        <v/>
      </c>
      <c r="D166" s="22" t="str">
        <f t="shared" si="12"/>
        <v/>
      </c>
      <c r="E166" s="4" t="str">
        <f>IF(B166="","",SUM(VLOOKUP(C166,ESCALA!$B$3:$N$19,8,0))*(VLOOKUP(SEM!C167,SEM!$C$5:$AC$305,27,0)))</f>
        <v/>
      </c>
      <c r="F166" s="120" t="str">
        <f>IF(D166="","",ROUNDUP(SEM!$AD167*VLOOKUP(RECEITAS!$C166,ESCALA!$B$3:$N$19,8,0),0))</f>
        <v/>
      </c>
      <c r="G166" s="4" t="str">
        <f>IF(B166="","",(SUM((VLOOKUP(C166,ESCALA!$B$3:$N$19,10,0))*(VLOOKUP(SAB!C167,SAB!$C$5:$AC$305,27,0))/VLOOKUP(C166,PERFIL!$B$4:$M$20,8,0))*VLOOKUP(C166,PERFIL!$B$4:$M$20,11,0)))</f>
        <v/>
      </c>
      <c r="H166" s="120" t="str">
        <f>IF(F166="","",ROUNDUP(SAB!$AD167*VLOOKUP(RECEITAS!$C166,ESCALA!$B$3:$N$19,10,0),0))</f>
        <v/>
      </c>
      <c r="I166" s="4" t="str">
        <f>IF(B166="","",SUM(VLOOKUP(C166,ESCALA!$B$3:$N$19,12,0))*(VLOOKUP(DF!C167,DF!$C$5:$AC$305,27,0))/VLOOKUP(C166,PERFIL!$B$4:$M$20,8,0)*VLOOKUP(C166,PERFIL!$B$4:$M$20,12,0))</f>
        <v/>
      </c>
      <c r="J166" s="120" t="str">
        <f>IF(H166="","",ROUNDUP(DF!$AD167*VLOOKUP(RECEITAS!$C166,ESCALA!$B$3:$N$19,12,0),0))</f>
        <v/>
      </c>
      <c r="K166" s="4" t="str">
        <f>IF(FROTA!AA167="","",FROTA!AA167)</f>
        <v/>
      </c>
      <c r="L166" s="4" t="str">
        <f t="shared" si="13"/>
        <v/>
      </c>
      <c r="M166" s="4" t="str">
        <f>IF(FROTA!AC167="","",FROTA!AC167)</f>
        <v/>
      </c>
      <c r="N166" s="4" t="str">
        <f t="shared" si="14"/>
        <v/>
      </c>
      <c r="O166" s="4" t="str">
        <f>IF(FROTA!AE167="","",FROTA!AE167)</f>
        <v/>
      </c>
      <c r="P166" s="4" t="str">
        <f t="shared" si="15"/>
        <v/>
      </c>
      <c r="Q166" s="4" t="str">
        <f>IF(FROTA!AG167="","",FROTA!AG167)</f>
        <v/>
      </c>
      <c r="R166" s="4" t="str">
        <f t="shared" si="16"/>
        <v/>
      </c>
      <c r="S166" s="164">
        <f t="shared" si="17"/>
        <v>0</v>
      </c>
      <c r="T166" s="257">
        <v>42957</v>
      </c>
      <c r="U166" s="256" t="s">
        <v>59</v>
      </c>
    </row>
    <row r="167" spans="2:21" ht="13.5" customHeight="1" x14ac:dyDescent="0.2">
      <c r="B167" s="23" t="str">
        <f>IF(FROTA!B168="","",FROTA!B168)</f>
        <v/>
      </c>
      <c r="C167" s="139" t="str">
        <f>IF(B167="","",VLOOKUP(B167,FROTA!$B$5:$C$306,2,0))</f>
        <v/>
      </c>
      <c r="D167" s="22" t="str">
        <f t="shared" si="12"/>
        <v/>
      </c>
      <c r="E167" s="4" t="str">
        <f>IF(B167="","",SUM(VLOOKUP(C167,ESCALA!$B$3:$N$19,8,0))*(VLOOKUP(SEM!C168,SEM!$C$5:$AC$305,27,0)))</f>
        <v/>
      </c>
      <c r="F167" s="120" t="str">
        <f>IF(D167="","",ROUNDUP(SEM!$AD168*VLOOKUP(RECEITAS!$C167,ESCALA!$B$3:$N$19,8,0),0))</f>
        <v/>
      </c>
      <c r="G167" s="4" t="str">
        <f>IF(B167="","",(SUM((VLOOKUP(C167,ESCALA!$B$3:$N$19,10,0))*(VLOOKUP(SAB!C168,SAB!$C$5:$AC$305,27,0))/VLOOKUP(C167,PERFIL!$B$4:$M$20,8,0))*VLOOKUP(C167,PERFIL!$B$4:$M$20,11,0)))</f>
        <v/>
      </c>
      <c r="H167" s="120" t="str">
        <f>IF(F167="","",ROUNDUP(SAB!$AD168*VLOOKUP(RECEITAS!$C167,ESCALA!$B$3:$N$19,10,0),0))</f>
        <v/>
      </c>
      <c r="I167" s="4" t="str">
        <f>IF(B167="","",SUM(VLOOKUP(C167,ESCALA!$B$3:$N$19,12,0))*(VLOOKUP(DF!C168,DF!$C$5:$AC$305,27,0))/VLOOKUP(C167,PERFIL!$B$4:$M$20,8,0)*VLOOKUP(C167,PERFIL!$B$4:$M$20,12,0))</f>
        <v/>
      </c>
      <c r="J167" s="120" t="str">
        <f>IF(H167="","",ROUNDUP(DF!$AD168*VLOOKUP(RECEITAS!$C167,ESCALA!$B$3:$N$19,12,0),0))</f>
        <v/>
      </c>
      <c r="K167" s="4" t="str">
        <f>IF(FROTA!AA168="","",FROTA!AA168)</f>
        <v/>
      </c>
      <c r="L167" s="4" t="str">
        <f t="shared" si="13"/>
        <v/>
      </c>
      <c r="M167" s="4" t="str">
        <f>IF(FROTA!AC168="","",FROTA!AC168)</f>
        <v/>
      </c>
      <c r="N167" s="4" t="str">
        <f t="shared" si="14"/>
        <v/>
      </c>
      <c r="O167" s="4" t="str">
        <f>IF(FROTA!AE168="","",FROTA!AE168)</f>
        <v/>
      </c>
      <c r="P167" s="4" t="str">
        <f t="shared" si="15"/>
        <v/>
      </c>
      <c r="Q167" s="4" t="str">
        <f>IF(FROTA!AG168="","",FROTA!AG168)</f>
        <v/>
      </c>
      <c r="R167" s="4" t="str">
        <f t="shared" si="16"/>
        <v/>
      </c>
      <c r="S167" s="164">
        <f t="shared" si="17"/>
        <v>0</v>
      </c>
      <c r="T167" s="257">
        <v>42958</v>
      </c>
      <c r="U167" s="256" t="s">
        <v>60</v>
      </c>
    </row>
    <row r="168" spans="2:21" ht="13.5" customHeight="1" x14ac:dyDescent="0.2">
      <c r="B168" s="23" t="str">
        <f>IF(FROTA!B169="","",FROTA!B169)</f>
        <v/>
      </c>
      <c r="C168" s="139" t="str">
        <f>IF(B168="","",VLOOKUP(B168,FROTA!$B$5:$C$306,2,0))</f>
        <v/>
      </c>
      <c r="D168" s="22" t="str">
        <f t="shared" si="12"/>
        <v/>
      </c>
      <c r="E168" s="4" t="str">
        <f>IF(B168="","",SUM(VLOOKUP(C168,ESCALA!$B$3:$N$19,8,0))*(VLOOKUP(SEM!C169,SEM!$C$5:$AC$305,27,0)))</f>
        <v/>
      </c>
      <c r="F168" s="120" t="str">
        <f>IF(D168="","",ROUNDUP(SEM!$AD169*VLOOKUP(RECEITAS!$C168,ESCALA!$B$3:$N$19,8,0),0))</f>
        <v/>
      </c>
      <c r="G168" s="4" t="str">
        <f>IF(B168="","",(SUM((VLOOKUP(C168,ESCALA!$B$3:$N$19,10,0))*(VLOOKUP(SAB!C169,SAB!$C$5:$AC$305,27,0))/VLOOKUP(C168,PERFIL!$B$4:$M$20,8,0))*VLOOKUP(C168,PERFIL!$B$4:$M$20,11,0)))</f>
        <v/>
      </c>
      <c r="H168" s="120" t="str">
        <f>IF(F168="","",ROUNDUP(SAB!$AD169*VLOOKUP(RECEITAS!$C168,ESCALA!$B$3:$N$19,10,0),0))</f>
        <v/>
      </c>
      <c r="I168" s="4" t="str">
        <f>IF(B168="","",SUM(VLOOKUP(C168,ESCALA!$B$3:$N$19,12,0))*(VLOOKUP(DF!C169,DF!$C$5:$AC$305,27,0))/VLOOKUP(C168,PERFIL!$B$4:$M$20,8,0)*VLOOKUP(C168,PERFIL!$B$4:$M$20,12,0))</f>
        <v/>
      </c>
      <c r="J168" s="120" t="str">
        <f>IF(H168="","",ROUNDUP(DF!$AD169*VLOOKUP(RECEITAS!$C168,ESCALA!$B$3:$N$19,12,0),0))</f>
        <v/>
      </c>
      <c r="K168" s="4" t="str">
        <f>IF(FROTA!AA169="","",FROTA!AA169)</f>
        <v/>
      </c>
      <c r="L168" s="4" t="str">
        <f t="shared" si="13"/>
        <v/>
      </c>
      <c r="M168" s="4" t="str">
        <f>IF(FROTA!AC169="","",FROTA!AC169)</f>
        <v/>
      </c>
      <c r="N168" s="4" t="str">
        <f t="shared" si="14"/>
        <v/>
      </c>
      <c r="O168" s="4" t="str">
        <f>IF(FROTA!AE169="","",FROTA!AE169)</f>
        <v/>
      </c>
      <c r="P168" s="4" t="str">
        <f t="shared" si="15"/>
        <v/>
      </c>
      <c r="Q168" s="4" t="str">
        <f>IF(FROTA!AG169="","",FROTA!AG169)</f>
        <v/>
      </c>
      <c r="R168" s="4" t="str">
        <f t="shared" si="16"/>
        <v/>
      </c>
      <c r="S168" s="164">
        <f t="shared" si="17"/>
        <v>0</v>
      </c>
      <c r="T168" s="257">
        <v>42959</v>
      </c>
      <c r="U168" s="256" t="s">
        <v>61</v>
      </c>
    </row>
    <row r="169" spans="2:21" ht="13.5" customHeight="1" x14ac:dyDescent="0.2">
      <c r="B169" s="23" t="str">
        <f>IF(FROTA!B170="","",FROTA!B170)</f>
        <v/>
      </c>
      <c r="C169" s="139" t="str">
        <f>IF(B169="","",VLOOKUP(B169,FROTA!$B$5:$C$306,2,0))</f>
        <v/>
      </c>
      <c r="D169" s="22" t="str">
        <f t="shared" si="12"/>
        <v/>
      </c>
      <c r="E169" s="4" t="str">
        <f>IF(B169="","",SUM(VLOOKUP(C169,ESCALA!$B$3:$N$19,8,0))*(VLOOKUP(SEM!C170,SEM!$C$5:$AC$305,27,0)))</f>
        <v/>
      </c>
      <c r="F169" s="120" t="str">
        <f>IF(D169="","",ROUNDUP(SEM!$AD170*VLOOKUP(RECEITAS!$C169,ESCALA!$B$3:$N$19,8,0),0))</f>
        <v/>
      </c>
      <c r="G169" s="4" t="str">
        <f>IF(B169="","",(SUM((VLOOKUP(C169,ESCALA!$B$3:$N$19,10,0))*(VLOOKUP(SAB!C170,SAB!$C$5:$AC$305,27,0))/VLOOKUP(C169,PERFIL!$B$4:$M$20,8,0))*VLOOKUP(C169,PERFIL!$B$4:$M$20,11,0)))</f>
        <v/>
      </c>
      <c r="H169" s="120" t="str">
        <f>IF(F169="","",ROUNDUP(SAB!$AD170*VLOOKUP(RECEITAS!$C169,ESCALA!$B$3:$N$19,10,0),0))</f>
        <v/>
      </c>
      <c r="I169" s="4" t="str">
        <f>IF(B169="","",SUM(VLOOKUP(C169,ESCALA!$B$3:$N$19,12,0))*(VLOOKUP(DF!C170,DF!$C$5:$AC$305,27,0))/VLOOKUP(C169,PERFIL!$B$4:$M$20,8,0)*VLOOKUP(C169,PERFIL!$B$4:$M$20,12,0))</f>
        <v/>
      </c>
      <c r="J169" s="120" t="str">
        <f>IF(H169="","",ROUNDUP(DF!$AD170*VLOOKUP(RECEITAS!$C169,ESCALA!$B$3:$N$19,12,0),0))</f>
        <v/>
      </c>
      <c r="K169" s="4" t="str">
        <f>IF(FROTA!AA170="","",FROTA!AA170)</f>
        <v/>
      </c>
      <c r="L169" s="4" t="str">
        <f t="shared" si="13"/>
        <v/>
      </c>
      <c r="M169" s="4" t="str">
        <f>IF(FROTA!AC170="","",FROTA!AC170)</f>
        <v/>
      </c>
      <c r="N169" s="4" t="str">
        <f t="shared" si="14"/>
        <v/>
      </c>
      <c r="O169" s="4" t="str">
        <f>IF(FROTA!AE170="","",FROTA!AE170)</f>
        <v/>
      </c>
      <c r="P169" s="4" t="str">
        <f t="shared" si="15"/>
        <v/>
      </c>
      <c r="Q169" s="4" t="str">
        <f>IF(FROTA!AG170="","",FROTA!AG170)</f>
        <v/>
      </c>
      <c r="R169" s="4" t="str">
        <f t="shared" si="16"/>
        <v/>
      </c>
      <c r="S169" s="164">
        <f t="shared" si="17"/>
        <v>0</v>
      </c>
      <c r="T169" s="257">
        <v>42960</v>
      </c>
      <c r="U169" s="256" t="s">
        <v>58</v>
      </c>
    </row>
    <row r="170" spans="2:21" ht="13.5" customHeight="1" x14ac:dyDescent="0.2">
      <c r="B170" s="23" t="str">
        <f>IF(FROTA!B171="","",FROTA!B171)</f>
        <v/>
      </c>
      <c r="C170" s="139" t="str">
        <f>IF(B170="","",VLOOKUP(B170,FROTA!$B$5:$C$306,2,0))</f>
        <v/>
      </c>
      <c r="D170" s="22" t="str">
        <f t="shared" si="12"/>
        <v/>
      </c>
      <c r="E170" s="4" t="str">
        <f>IF(B170="","",SUM(VLOOKUP(C170,ESCALA!$B$3:$N$19,8,0))*(VLOOKUP(SEM!C171,SEM!$C$5:$AC$305,27,0)))</f>
        <v/>
      </c>
      <c r="F170" s="120" t="str">
        <f>IF(D170="","",ROUNDUP(SEM!$AD171*VLOOKUP(RECEITAS!$C170,ESCALA!$B$3:$N$19,8,0),0))</f>
        <v/>
      </c>
      <c r="G170" s="4" t="str">
        <f>IF(B170="","",(SUM((VLOOKUP(C170,ESCALA!$B$3:$N$19,10,0))*(VLOOKUP(SAB!C171,SAB!$C$5:$AC$305,27,0))/VLOOKUP(C170,PERFIL!$B$4:$M$20,8,0))*VLOOKUP(C170,PERFIL!$B$4:$M$20,11,0)))</f>
        <v/>
      </c>
      <c r="H170" s="120" t="str">
        <f>IF(F170="","",ROUNDUP(SAB!$AD171*VLOOKUP(RECEITAS!$C170,ESCALA!$B$3:$N$19,10,0),0))</f>
        <v/>
      </c>
      <c r="I170" s="4" t="str">
        <f>IF(B170="","",SUM(VLOOKUP(C170,ESCALA!$B$3:$N$19,12,0))*(VLOOKUP(DF!C171,DF!$C$5:$AC$305,27,0))/VLOOKUP(C170,PERFIL!$B$4:$M$20,8,0)*VLOOKUP(C170,PERFIL!$B$4:$M$20,12,0))</f>
        <v/>
      </c>
      <c r="J170" s="120" t="str">
        <f>IF(H170="","",ROUNDUP(DF!$AD171*VLOOKUP(RECEITAS!$C170,ESCALA!$B$3:$N$19,12,0),0))</f>
        <v/>
      </c>
      <c r="K170" s="4" t="str">
        <f>IF(FROTA!AA171="","",FROTA!AA171)</f>
        <v/>
      </c>
      <c r="L170" s="4" t="str">
        <f t="shared" si="13"/>
        <v/>
      </c>
      <c r="M170" s="4" t="str">
        <f>IF(FROTA!AC171="","",FROTA!AC171)</f>
        <v/>
      </c>
      <c r="N170" s="4" t="str">
        <f t="shared" si="14"/>
        <v/>
      </c>
      <c r="O170" s="4" t="str">
        <f>IF(FROTA!AE171="","",FROTA!AE171)</f>
        <v/>
      </c>
      <c r="P170" s="4" t="str">
        <f t="shared" si="15"/>
        <v/>
      </c>
      <c r="Q170" s="4" t="str">
        <f>IF(FROTA!AG171="","",FROTA!AG171)</f>
        <v/>
      </c>
      <c r="R170" s="4" t="str">
        <f t="shared" si="16"/>
        <v/>
      </c>
      <c r="S170" s="164">
        <f t="shared" si="17"/>
        <v>0</v>
      </c>
      <c r="T170" s="257">
        <v>42961</v>
      </c>
      <c r="U170" s="256" t="s">
        <v>62</v>
      </c>
    </row>
    <row r="171" spans="2:21" ht="13.5" customHeight="1" x14ac:dyDescent="0.2">
      <c r="B171" s="23" t="str">
        <f>IF(FROTA!B172="","",FROTA!B172)</f>
        <v/>
      </c>
      <c r="C171" s="139" t="str">
        <f>IF(B171="","",VLOOKUP(B171,FROTA!$B$5:$C$306,2,0))</f>
        <v/>
      </c>
      <c r="D171" s="22" t="str">
        <f t="shared" si="12"/>
        <v/>
      </c>
      <c r="E171" s="4" t="str">
        <f>IF(B171="","",SUM(VLOOKUP(C171,ESCALA!$B$3:$N$19,8,0))*(VLOOKUP(SEM!C172,SEM!$C$5:$AC$305,27,0)))</f>
        <v/>
      </c>
      <c r="F171" s="120" t="str">
        <f>IF(D171="","",ROUNDUP(SEM!$AD172*VLOOKUP(RECEITAS!$C171,ESCALA!$B$3:$N$19,8,0),0))</f>
        <v/>
      </c>
      <c r="G171" s="4" t="str">
        <f>IF(B171="","",(SUM((VLOOKUP(C171,ESCALA!$B$3:$N$19,10,0))*(VLOOKUP(SAB!C172,SAB!$C$5:$AC$305,27,0))/VLOOKUP(C171,PERFIL!$B$4:$M$20,8,0))*VLOOKUP(C171,PERFIL!$B$4:$M$20,11,0)))</f>
        <v/>
      </c>
      <c r="H171" s="120" t="str">
        <f>IF(F171="","",ROUNDUP(SAB!$AD172*VLOOKUP(RECEITAS!$C171,ESCALA!$B$3:$N$19,10,0),0))</f>
        <v/>
      </c>
      <c r="I171" s="4" t="str">
        <f>IF(B171="","",SUM(VLOOKUP(C171,ESCALA!$B$3:$N$19,12,0))*(VLOOKUP(DF!C172,DF!$C$5:$AC$305,27,0))/VLOOKUP(C171,PERFIL!$B$4:$M$20,8,0)*VLOOKUP(C171,PERFIL!$B$4:$M$20,12,0))</f>
        <v/>
      </c>
      <c r="J171" s="120" t="str">
        <f>IF(H171="","",ROUNDUP(DF!$AD172*VLOOKUP(RECEITAS!$C171,ESCALA!$B$3:$N$19,12,0),0))</f>
        <v/>
      </c>
      <c r="K171" s="4" t="str">
        <f>IF(FROTA!AA172="","",FROTA!AA172)</f>
        <v/>
      </c>
      <c r="L171" s="4" t="str">
        <f t="shared" si="13"/>
        <v/>
      </c>
      <c r="M171" s="4" t="str">
        <f>IF(FROTA!AC172="","",FROTA!AC172)</f>
        <v/>
      </c>
      <c r="N171" s="4" t="str">
        <f t="shared" si="14"/>
        <v/>
      </c>
      <c r="O171" s="4" t="str">
        <f>IF(FROTA!AE172="","",FROTA!AE172)</f>
        <v/>
      </c>
      <c r="P171" s="4" t="str">
        <f t="shared" si="15"/>
        <v/>
      </c>
      <c r="Q171" s="4" t="str">
        <f>IF(FROTA!AG172="","",FROTA!AG172)</f>
        <v/>
      </c>
      <c r="R171" s="4" t="str">
        <f t="shared" si="16"/>
        <v/>
      </c>
      <c r="S171" s="164">
        <f t="shared" si="17"/>
        <v>0</v>
      </c>
      <c r="T171" s="257">
        <v>42962</v>
      </c>
      <c r="U171" s="256" t="s">
        <v>63</v>
      </c>
    </row>
    <row r="172" spans="2:21" ht="13.5" customHeight="1" x14ac:dyDescent="0.2">
      <c r="B172" s="23" t="str">
        <f>IF(FROTA!B173="","",FROTA!B173)</f>
        <v/>
      </c>
      <c r="C172" s="139" t="str">
        <f>IF(B172="","",VLOOKUP(B172,FROTA!$B$5:$C$306,2,0))</f>
        <v/>
      </c>
      <c r="D172" s="22" t="str">
        <f t="shared" si="12"/>
        <v/>
      </c>
      <c r="E172" s="4" t="str">
        <f>IF(B172="","",SUM(VLOOKUP(C172,ESCALA!$B$3:$N$19,8,0))*(VLOOKUP(SEM!C173,SEM!$C$5:$AC$305,27,0)))</f>
        <v/>
      </c>
      <c r="F172" s="120" t="str">
        <f>IF(D172="","",ROUNDUP(SEM!$AD173*VLOOKUP(RECEITAS!$C172,ESCALA!$B$3:$N$19,8,0),0))</f>
        <v/>
      </c>
      <c r="G172" s="4" t="str">
        <f>IF(B172="","",(SUM((VLOOKUP(C172,ESCALA!$B$3:$N$19,10,0))*(VLOOKUP(SAB!C173,SAB!$C$5:$AC$305,27,0))/VLOOKUP(C172,PERFIL!$B$4:$M$20,8,0))*VLOOKUP(C172,PERFIL!$B$4:$M$20,11,0)))</f>
        <v/>
      </c>
      <c r="H172" s="120" t="str">
        <f>IF(F172="","",ROUNDUP(SAB!$AD173*VLOOKUP(RECEITAS!$C172,ESCALA!$B$3:$N$19,10,0),0))</f>
        <v/>
      </c>
      <c r="I172" s="4" t="str">
        <f>IF(B172="","",SUM(VLOOKUP(C172,ESCALA!$B$3:$N$19,12,0))*(VLOOKUP(DF!C173,DF!$C$5:$AC$305,27,0))/VLOOKUP(C172,PERFIL!$B$4:$M$20,8,0)*VLOOKUP(C172,PERFIL!$B$4:$M$20,12,0))</f>
        <v/>
      </c>
      <c r="J172" s="120" t="str">
        <f>IF(H172="","",ROUNDUP(DF!$AD173*VLOOKUP(RECEITAS!$C172,ESCALA!$B$3:$N$19,12,0),0))</f>
        <v/>
      </c>
      <c r="K172" s="4" t="str">
        <f>IF(FROTA!AA173="","",FROTA!AA173)</f>
        <v/>
      </c>
      <c r="L172" s="4" t="str">
        <f t="shared" si="13"/>
        <v/>
      </c>
      <c r="M172" s="4" t="str">
        <f>IF(FROTA!AC173="","",FROTA!AC173)</f>
        <v/>
      </c>
      <c r="N172" s="4" t="str">
        <f t="shared" si="14"/>
        <v/>
      </c>
      <c r="O172" s="4" t="str">
        <f>IF(FROTA!AE173="","",FROTA!AE173)</f>
        <v/>
      </c>
      <c r="P172" s="4" t="str">
        <f t="shared" si="15"/>
        <v/>
      </c>
      <c r="Q172" s="4" t="str">
        <f>IF(FROTA!AG173="","",FROTA!AG173)</f>
        <v/>
      </c>
      <c r="R172" s="4" t="str">
        <f t="shared" si="16"/>
        <v/>
      </c>
      <c r="S172" s="164">
        <f t="shared" si="17"/>
        <v>0</v>
      </c>
      <c r="T172" s="257">
        <v>42963</v>
      </c>
      <c r="U172" s="256" t="s">
        <v>64</v>
      </c>
    </row>
    <row r="173" spans="2:21" ht="13.5" customHeight="1" x14ac:dyDescent="0.2">
      <c r="B173" s="23" t="str">
        <f>IF(FROTA!B174="","",FROTA!B174)</f>
        <v/>
      </c>
      <c r="C173" s="139" t="str">
        <f>IF(B173="","",VLOOKUP(B173,FROTA!$B$5:$C$306,2,0))</f>
        <v/>
      </c>
      <c r="D173" s="22" t="str">
        <f t="shared" si="12"/>
        <v/>
      </c>
      <c r="E173" s="4" t="str">
        <f>IF(B173="","",SUM(VLOOKUP(C173,ESCALA!$B$3:$N$19,8,0))*(VLOOKUP(SEM!C174,SEM!$C$5:$AC$305,27,0)))</f>
        <v/>
      </c>
      <c r="F173" s="120" t="str">
        <f>IF(D173="","",ROUNDUP(SEM!$AD174*VLOOKUP(RECEITAS!$C173,ESCALA!$B$3:$N$19,8,0),0))</f>
        <v/>
      </c>
      <c r="G173" s="4" t="str">
        <f>IF(B173="","",(SUM((VLOOKUP(C173,ESCALA!$B$3:$N$19,10,0))*(VLOOKUP(SAB!C174,SAB!$C$5:$AC$305,27,0))/VLOOKUP(C173,PERFIL!$B$4:$M$20,8,0))*VLOOKUP(C173,PERFIL!$B$4:$M$20,11,0)))</f>
        <v/>
      </c>
      <c r="H173" s="120" t="str">
        <f>IF(F173="","",ROUNDUP(SAB!$AD174*VLOOKUP(RECEITAS!$C173,ESCALA!$B$3:$N$19,10,0),0))</f>
        <v/>
      </c>
      <c r="I173" s="4" t="str">
        <f>IF(B173="","",SUM(VLOOKUP(C173,ESCALA!$B$3:$N$19,12,0))*(VLOOKUP(DF!C174,DF!$C$5:$AC$305,27,0))/VLOOKUP(C173,PERFIL!$B$4:$M$20,8,0)*VLOOKUP(C173,PERFIL!$B$4:$M$20,12,0))</f>
        <v/>
      </c>
      <c r="J173" s="120" t="str">
        <f>IF(H173="","",ROUNDUP(DF!$AD174*VLOOKUP(RECEITAS!$C173,ESCALA!$B$3:$N$19,12,0),0))</f>
        <v/>
      </c>
      <c r="K173" s="4" t="str">
        <f>IF(FROTA!AA174="","",FROTA!AA174)</f>
        <v/>
      </c>
      <c r="L173" s="4" t="str">
        <f t="shared" si="13"/>
        <v/>
      </c>
      <c r="M173" s="4" t="str">
        <f>IF(FROTA!AC174="","",FROTA!AC174)</f>
        <v/>
      </c>
      <c r="N173" s="4" t="str">
        <f t="shared" si="14"/>
        <v/>
      </c>
      <c r="O173" s="4" t="str">
        <f>IF(FROTA!AE174="","",FROTA!AE174)</f>
        <v/>
      </c>
      <c r="P173" s="4" t="str">
        <f t="shared" si="15"/>
        <v/>
      </c>
      <c r="Q173" s="4" t="str">
        <f>IF(FROTA!AG174="","",FROTA!AG174)</f>
        <v/>
      </c>
      <c r="R173" s="4" t="str">
        <f t="shared" si="16"/>
        <v/>
      </c>
      <c r="S173" s="164">
        <f t="shared" si="17"/>
        <v>0</v>
      </c>
      <c r="T173" s="257">
        <v>42964</v>
      </c>
      <c r="U173" s="256" t="s">
        <v>59</v>
      </c>
    </row>
    <row r="174" spans="2:21" ht="13.5" customHeight="1" x14ac:dyDescent="0.2">
      <c r="B174" s="23" t="str">
        <f>IF(FROTA!B175="","",FROTA!B175)</f>
        <v/>
      </c>
      <c r="C174" s="139" t="str">
        <f>IF(B174="","",VLOOKUP(B174,FROTA!$B$5:$C$306,2,0))</f>
        <v/>
      </c>
      <c r="D174" s="22" t="str">
        <f t="shared" si="12"/>
        <v/>
      </c>
      <c r="E174" s="4" t="str">
        <f>IF(B174="","",SUM(VLOOKUP(C174,ESCALA!$B$3:$N$19,8,0))*(VLOOKUP(SEM!C175,SEM!$C$5:$AC$305,27,0)))</f>
        <v/>
      </c>
      <c r="F174" s="120" t="str">
        <f>IF(D174="","",ROUNDUP(SEM!$AD175*VLOOKUP(RECEITAS!$C174,ESCALA!$B$3:$N$19,8,0),0))</f>
        <v/>
      </c>
      <c r="G174" s="4" t="str">
        <f>IF(B174="","",(SUM((VLOOKUP(C174,ESCALA!$B$3:$N$19,10,0))*(VLOOKUP(SAB!C175,SAB!$C$5:$AC$305,27,0))/VLOOKUP(C174,PERFIL!$B$4:$M$20,8,0))*VLOOKUP(C174,PERFIL!$B$4:$M$20,11,0)))</f>
        <v/>
      </c>
      <c r="H174" s="120" t="str">
        <f>IF(F174="","",ROUNDUP(SAB!$AD175*VLOOKUP(RECEITAS!$C174,ESCALA!$B$3:$N$19,10,0),0))</f>
        <v/>
      </c>
      <c r="I174" s="4" t="str">
        <f>IF(B174="","",SUM(VLOOKUP(C174,ESCALA!$B$3:$N$19,12,0))*(VLOOKUP(DF!C175,DF!$C$5:$AC$305,27,0))/VLOOKUP(C174,PERFIL!$B$4:$M$20,8,0)*VLOOKUP(C174,PERFIL!$B$4:$M$20,12,0))</f>
        <v/>
      </c>
      <c r="J174" s="120" t="str">
        <f>IF(H174="","",ROUNDUP(DF!$AD175*VLOOKUP(RECEITAS!$C174,ESCALA!$B$3:$N$19,12,0),0))</f>
        <v/>
      </c>
      <c r="K174" s="4" t="str">
        <f>IF(FROTA!AA175="","",FROTA!AA175)</f>
        <v/>
      </c>
      <c r="L174" s="4" t="str">
        <f t="shared" si="13"/>
        <v/>
      </c>
      <c r="M174" s="4" t="str">
        <f>IF(FROTA!AC175="","",FROTA!AC175)</f>
        <v/>
      </c>
      <c r="N174" s="4" t="str">
        <f t="shared" si="14"/>
        <v/>
      </c>
      <c r="O174" s="4" t="str">
        <f>IF(FROTA!AE175="","",FROTA!AE175)</f>
        <v/>
      </c>
      <c r="P174" s="4" t="str">
        <f t="shared" si="15"/>
        <v/>
      </c>
      <c r="Q174" s="4" t="str">
        <f>IF(FROTA!AG175="","",FROTA!AG175)</f>
        <v/>
      </c>
      <c r="R174" s="4" t="str">
        <f t="shared" si="16"/>
        <v/>
      </c>
      <c r="S174" s="164">
        <f t="shared" si="17"/>
        <v>0</v>
      </c>
      <c r="T174" s="257">
        <v>42965</v>
      </c>
      <c r="U174" s="256" t="s">
        <v>60</v>
      </c>
    </row>
    <row r="175" spans="2:21" ht="13.5" customHeight="1" x14ac:dyDescent="0.2">
      <c r="B175" s="23" t="str">
        <f>IF(FROTA!B176="","",FROTA!B176)</f>
        <v/>
      </c>
      <c r="C175" s="139" t="str">
        <f>IF(B175="","",VLOOKUP(B175,FROTA!$B$5:$C$306,2,0))</f>
        <v/>
      </c>
      <c r="D175" s="22" t="str">
        <f t="shared" si="12"/>
        <v/>
      </c>
      <c r="E175" s="4" t="str">
        <f>IF(B175="","",SUM(VLOOKUP(C175,ESCALA!$B$3:$N$19,8,0))*(VLOOKUP(SEM!C176,SEM!$C$5:$AC$305,27,0)))</f>
        <v/>
      </c>
      <c r="F175" s="120" t="str">
        <f>IF(D175="","",ROUNDUP(SEM!$AD176*VLOOKUP(RECEITAS!$C175,ESCALA!$B$3:$N$19,8,0),0))</f>
        <v/>
      </c>
      <c r="G175" s="4" t="str">
        <f>IF(B175="","",(SUM((VLOOKUP(C175,ESCALA!$B$3:$N$19,10,0))*(VLOOKUP(SAB!C176,SAB!$C$5:$AC$305,27,0))/VLOOKUP(C175,PERFIL!$B$4:$M$20,8,0))*VLOOKUP(C175,PERFIL!$B$4:$M$20,11,0)))</f>
        <v/>
      </c>
      <c r="H175" s="120" t="str">
        <f>IF(F175="","",ROUNDUP(SAB!$AD176*VLOOKUP(RECEITAS!$C175,ESCALA!$B$3:$N$19,10,0),0))</f>
        <v/>
      </c>
      <c r="I175" s="4" t="str">
        <f>IF(B175="","",SUM(VLOOKUP(C175,ESCALA!$B$3:$N$19,12,0))*(VLOOKUP(DF!C176,DF!$C$5:$AC$305,27,0))/VLOOKUP(C175,PERFIL!$B$4:$M$20,8,0)*VLOOKUP(C175,PERFIL!$B$4:$M$20,12,0))</f>
        <v/>
      </c>
      <c r="J175" s="120" t="str">
        <f>IF(H175="","",ROUNDUP(DF!$AD176*VLOOKUP(RECEITAS!$C175,ESCALA!$B$3:$N$19,12,0),0))</f>
        <v/>
      </c>
      <c r="K175" s="4" t="str">
        <f>IF(FROTA!AA176="","",FROTA!AA176)</f>
        <v/>
      </c>
      <c r="L175" s="4" t="str">
        <f t="shared" si="13"/>
        <v/>
      </c>
      <c r="M175" s="4" t="str">
        <f>IF(FROTA!AC176="","",FROTA!AC176)</f>
        <v/>
      </c>
      <c r="N175" s="4" t="str">
        <f t="shared" si="14"/>
        <v/>
      </c>
      <c r="O175" s="4" t="str">
        <f>IF(FROTA!AE176="","",FROTA!AE176)</f>
        <v/>
      </c>
      <c r="P175" s="4" t="str">
        <f t="shared" si="15"/>
        <v/>
      </c>
      <c r="Q175" s="4" t="str">
        <f>IF(FROTA!AG176="","",FROTA!AG176)</f>
        <v/>
      </c>
      <c r="R175" s="4" t="str">
        <f t="shared" si="16"/>
        <v/>
      </c>
      <c r="S175" s="164">
        <f t="shared" si="17"/>
        <v>0</v>
      </c>
      <c r="T175" s="257">
        <v>42966</v>
      </c>
      <c r="U175" s="256" t="s">
        <v>61</v>
      </c>
    </row>
    <row r="176" spans="2:21" ht="13.5" customHeight="1" x14ac:dyDescent="0.2">
      <c r="B176" s="23" t="str">
        <f>IF(FROTA!B177="","",FROTA!B177)</f>
        <v/>
      </c>
      <c r="C176" s="139" t="str">
        <f>IF(B176="","",VLOOKUP(B176,FROTA!$B$5:$C$306,2,0))</f>
        <v/>
      </c>
      <c r="D176" s="22" t="str">
        <f t="shared" si="12"/>
        <v/>
      </c>
      <c r="E176" s="4" t="str">
        <f>IF(B176="","",SUM(VLOOKUP(C176,ESCALA!$B$3:$N$19,8,0))*(VLOOKUP(SEM!C177,SEM!$C$5:$AC$305,27,0)))</f>
        <v/>
      </c>
      <c r="F176" s="120" t="str">
        <f>IF(D176="","",ROUNDUP(SEM!$AD177*VLOOKUP(RECEITAS!$C176,ESCALA!$B$3:$N$19,8,0),0))</f>
        <v/>
      </c>
      <c r="G176" s="4" t="str">
        <f>IF(B176="","",(SUM((VLOOKUP(C176,ESCALA!$B$3:$N$19,10,0))*(VLOOKUP(SAB!C177,SAB!$C$5:$AC$305,27,0))/VLOOKUP(C176,PERFIL!$B$4:$M$20,8,0))*VLOOKUP(C176,PERFIL!$B$4:$M$20,11,0)))</f>
        <v/>
      </c>
      <c r="H176" s="120" t="str">
        <f>IF(F176="","",ROUNDUP(SAB!$AD177*VLOOKUP(RECEITAS!$C176,ESCALA!$B$3:$N$19,10,0),0))</f>
        <v/>
      </c>
      <c r="I176" s="4" t="str">
        <f>IF(B176="","",SUM(VLOOKUP(C176,ESCALA!$B$3:$N$19,12,0))*(VLOOKUP(DF!C177,DF!$C$5:$AC$305,27,0))/VLOOKUP(C176,PERFIL!$B$4:$M$20,8,0)*VLOOKUP(C176,PERFIL!$B$4:$M$20,12,0))</f>
        <v/>
      </c>
      <c r="J176" s="120" t="str">
        <f>IF(H176="","",ROUNDUP(DF!$AD177*VLOOKUP(RECEITAS!$C176,ESCALA!$B$3:$N$19,12,0),0))</f>
        <v/>
      </c>
      <c r="K176" s="4" t="str">
        <f>IF(FROTA!AA177="","",FROTA!AA177)</f>
        <v/>
      </c>
      <c r="L176" s="4" t="str">
        <f t="shared" si="13"/>
        <v/>
      </c>
      <c r="M176" s="4" t="str">
        <f>IF(FROTA!AC177="","",FROTA!AC177)</f>
        <v/>
      </c>
      <c r="N176" s="4" t="str">
        <f t="shared" si="14"/>
        <v/>
      </c>
      <c r="O176" s="4" t="str">
        <f>IF(FROTA!AE177="","",FROTA!AE177)</f>
        <v/>
      </c>
      <c r="P176" s="4" t="str">
        <f t="shared" si="15"/>
        <v/>
      </c>
      <c r="Q176" s="4" t="str">
        <f>IF(FROTA!AG177="","",FROTA!AG177)</f>
        <v/>
      </c>
      <c r="R176" s="4" t="str">
        <f t="shared" si="16"/>
        <v/>
      </c>
      <c r="S176" s="164">
        <f t="shared" si="17"/>
        <v>0</v>
      </c>
      <c r="T176" s="257">
        <v>42967</v>
      </c>
      <c r="U176" s="256" t="s">
        <v>58</v>
      </c>
    </row>
    <row r="177" spans="2:21" ht="13.5" customHeight="1" x14ac:dyDescent="0.2">
      <c r="B177" s="23" t="str">
        <f>IF(FROTA!B178="","",FROTA!B178)</f>
        <v/>
      </c>
      <c r="C177" s="139" t="str">
        <f>IF(B177="","",VLOOKUP(B177,FROTA!$B$5:$C$306,2,0))</f>
        <v/>
      </c>
      <c r="D177" s="22" t="str">
        <f t="shared" si="12"/>
        <v/>
      </c>
      <c r="E177" s="4" t="str">
        <f>IF(B177="","",SUM(VLOOKUP(C177,ESCALA!$B$3:$N$19,8,0))*(VLOOKUP(SEM!C178,SEM!$C$5:$AC$305,27,0)))</f>
        <v/>
      </c>
      <c r="F177" s="120" t="str">
        <f>IF(D177="","",ROUNDUP(SEM!$AD178*VLOOKUP(RECEITAS!$C177,ESCALA!$B$3:$N$19,8,0),0))</f>
        <v/>
      </c>
      <c r="G177" s="4" t="str">
        <f>IF(B177="","",(SUM((VLOOKUP(C177,ESCALA!$B$3:$N$19,10,0))*(VLOOKUP(SAB!C178,SAB!$C$5:$AC$305,27,0))/VLOOKUP(C177,PERFIL!$B$4:$M$20,8,0))*VLOOKUP(C177,PERFIL!$B$4:$M$20,11,0)))</f>
        <v/>
      </c>
      <c r="H177" s="120" t="str">
        <f>IF(F177="","",ROUNDUP(SAB!$AD178*VLOOKUP(RECEITAS!$C177,ESCALA!$B$3:$N$19,10,0),0))</f>
        <v/>
      </c>
      <c r="I177" s="4" t="str">
        <f>IF(B177="","",SUM(VLOOKUP(C177,ESCALA!$B$3:$N$19,12,0))*(VLOOKUP(DF!C178,DF!$C$5:$AC$305,27,0))/VLOOKUP(C177,PERFIL!$B$4:$M$20,8,0)*VLOOKUP(C177,PERFIL!$B$4:$M$20,12,0))</f>
        <v/>
      </c>
      <c r="J177" s="120" t="str">
        <f>IF(H177="","",ROUNDUP(DF!$AD178*VLOOKUP(RECEITAS!$C177,ESCALA!$B$3:$N$19,12,0),0))</f>
        <v/>
      </c>
      <c r="K177" s="4" t="str">
        <f>IF(FROTA!AA178="","",FROTA!AA178)</f>
        <v/>
      </c>
      <c r="L177" s="4" t="str">
        <f t="shared" si="13"/>
        <v/>
      </c>
      <c r="M177" s="4" t="str">
        <f>IF(FROTA!AC178="","",FROTA!AC178)</f>
        <v/>
      </c>
      <c r="N177" s="4" t="str">
        <f t="shared" si="14"/>
        <v/>
      </c>
      <c r="O177" s="4" t="str">
        <f>IF(FROTA!AE178="","",FROTA!AE178)</f>
        <v/>
      </c>
      <c r="P177" s="4" t="str">
        <f t="shared" si="15"/>
        <v/>
      </c>
      <c r="Q177" s="4" t="str">
        <f>IF(FROTA!AG178="","",FROTA!AG178)</f>
        <v/>
      </c>
      <c r="R177" s="4" t="str">
        <f t="shared" si="16"/>
        <v/>
      </c>
      <c r="S177" s="164">
        <f t="shared" si="17"/>
        <v>0</v>
      </c>
      <c r="T177" s="257">
        <v>42968</v>
      </c>
      <c r="U177" s="256" t="s">
        <v>62</v>
      </c>
    </row>
    <row r="178" spans="2:21" ht="13.5" customHeight="1" x14ac:dyDescent="0.2">
      <c r="B178" s="23" t="str">
        <f>IF(FROTA!B179="","",FROTA!B179)</f>
        <v/>
      </c>
      <c r="C178" s="139" t="str">
        <f>IF(B178="","",VLOOKUP(B178,FROTA!$B$5:$C$306,2,0))</f>
        <v/>
      </c>
      <c r="D178" s="22" t="str">
        <f t="shared" si="12"/>
        <v/>
      </c>
      <c r="E178" s="4" t="str">
        <f>IF(B178="","",SUM(VLOOKUP(C178,ESCALA!$B$3:$N$19,8,0))*(VLOOKUP(SEM!C179,SEM!$C$5:$AC$305,27,0)))</f>
        <v/>
      </c>
      <c r="F178" s="120" t="str">
        <f>IF(D178="","",ROUNDUP(SEM!$AD179*VLOOKUP(RECEITAS!$C178,ESCALA!$B$3:$N$19,8,0),0))</f>
        <v/>
      </c>
      <c r="G178" s="4" t="str">
        <f>IF(B178="","",(SUM((VLOOKUP(C178,ESCALA!$B$3:$N$19,10,0))*(VLOOKUP(SAB!C179,SAB!$C$5:$AC$305,27,0))/VLOOKUP(C178,PERFIL!$B$4:$M$20,8,0))*VLOOKUP(C178,PERFIL!$B$4:$M$20,11,0)))</f>
        <v/>
      </c>
      <c r="H178" s="120" t="str">
        <f>IF(F178="","",ROUNDUP(SAB!$AD179*VLOOKUP(RECEITAS!$C178,ESCALA!$B$3:$N$19,10,0),0))</f>
        <v/>
      </c>
      <c r="I178" s="4" t="str">
        <f>IF(B178="","",SUM(VLOOKUP(C178,ESCALA!$B$3:$N$19,12,0))*(VLOOKUP(DF!C179,DF!$C$5:$AC$305,27,0))/VLOOKUP(C178,PERFIL!$B$4:$M$20,8,0)*VLOOKUP(C178,PERFIL!$B$4:$M$20,12,0))</f>
        <v/>
      </c>
      <c r="J178" s="120" t="str">
        <f>IF(H178="","",ROUNDUP(DF!$AD179*VLOOKUP(RECEITAS!$C178,ESCALA!$B$3:$N$19,12,0),0))</f>
        <v/>
      </c>
      <c r="K178" s="4" t="str">
        <f>IF(FROTA!AA179="","",FROTA!AA179)</f>
        <v/>
      </c>
      <c r="L178" s="4" t="str">
        <f t="shared" si="13"/>
        <v/>
      </c>
      <c r="M178" s="4" t="str">
        <f>IF(FROTA!AC179="","",FROTA!AC179)</f>
        <v/>
      </c>
      <c r="N178" s="4" t="str">
        <f t="shared" si="14"/>
        <v/>
      </c>
      <c r="O178" s="4" t="str">
        <f>IF(FROTA!AE179="","",FROTA!AE179)</f>
        <v/>
      </c>
      <c r="P178" s="4" t="str">
        <f t="shared" si="15"/>
        <v/>
      </c>
      <c r="Q178" s="4" t="str">
        <f>IF(FROTA!AG179="","",FROTA!AG179)</f>
        <v/>
      </c>
      <c r="R178" s="4" t="str">
        <f t="shared" si="16"/>
        <v/>
      </c>
      <c r="S178" s="164">
        <f t="shared" si="17"/>
        <v>0</v>
      </c>
      <c r="T178" s="257">
        <v>42969</v>
      </c>
      <c r="U178" s="256" t="s">
        <v>63</v>
      </c>
    </row>
    <row r="179" spans="2:21" ht="13.5" customHeight="1" x14ac:dyDescent="0.2">
      <c r="B179" s="23" t="str">
        <f>IF(FROTA!B180="","",FROTA!B180)</f>
        <v/>
      </c>
      <c r="C179" s="139" t="str">
        <f>IF(B179="","",VLOOKUP(B179,FROTA!$B$5:$C$306,2,0))</f>
        <v/>
      </c>
      <c r="D179" s="22" t="str">
        <f t="shared" si="12"/>
        <v/>
      </c>
      <c r="E179" s="4" t="str">
        <f>IF(B179="","",SUM(VLOOKUP(C179,ESCALA!$B$3:$N$19,8,0))*(VLOOKUP(SEM!C180,SEM!$C$5:$AC$305,27,0)))</f>
        <v/>
      </c>
      <c r="F179" s="120" t="str">
        <f>IF(D179="","",ROUNDUP(SEM!$AD180*VLOOKUP(RECEITAS!$C179,ESCALA!$B$3:$N$19,8,0),0))</f>
        <v/>
      </c>
      <c r="G179" s="4" t="str">
        <f>IF(B179="","",(SUM((VLOOKUP(C179,ESCALA!$B$3:$N$19,10,0))*(VLOOKUP(SAB!C180,SAB!$C$5:$AC$305,27,0))/VLOOKUP(C179,PERFIL!$B$4:$M$20,8,0))*VLOOKUP(C179,PERFIL!$B$4:$M$20,11,0)))</f>
        <v/>
      </c>
      <c r="H179" s="120" t="str">
        <f>IF(F179="","",ROUNDUP(SAB!$AD180*VLOOKUP(RECEITAS!$C179,ESCALA!$B$3:$N$19,10,0),0))</f>
        <v/>
      </c>
      <c r="I179" s="4" t="str">
        <f>IF(B179="","",SUM(VLOOKUP(C179,ESCALA!$B$3:$N$19,12,0))*(VLOOKUP(DF!C180,DF!$C$5:$AC$305,27,0))/VLOOKUP(C179,PERFIL!$B$4:$M$20,8,0)*VLOOKUP(C179,PERFIL!$B$4:$M$20,12,0))</f>
        <v/>
      </c>
      <c r="J179" s="120" t="str">
        <f>IF(H179="","",ROUNDUP(DF!$AD180*VLOOKUP(RECEITAS!$C179,ESCALA!$B$3:$N$19,12,0),0))</f>
        <v/>
      </c>
      <c r="K179" s="4" t="str">
        <f>IF(FROTA!AA180="","",FROTA!AA180)</f>
        <v/>
      </c>
      <c r="L179" s="4" t="str">
        <f t="shared" si="13"/>
        <v/>
      </c>
      <c r="M179" s="4" t="str">
        <f>IF(FROTA!AC180="","",FROTA!AC180)</f>
        <v/>
      </c>
      <c r="N179" s="4" t="str">
        <f t="shared" si="14"/>
        <v/>
      </c>
      <c r="O179" s="4" t="str">
        <f>IF(FROTA!AE180="","",FROTA!AE180)</f>
        <v/>
      </c>
      <c r="P179" s="4" t="str">
        <f t="shared" si="15"/>
        <v/>
      </c>
      <c r="Q179" s="4" t="str">
        <f>IF(FROTA!AG180="","",FROTA!AG180)</f>
        <v/>
      </c>
      <c r="R179" s="4" t="str">
        <f t="shared" si="16"/>
        <v/>
      </c>
      <c r="S179" s="164">
        <f t="shared" si="17"/>
        <v>0</v>
      </c>
      <c r="T179" s="257">
        <v>42970</v>
      </c>
      <c r="U179" s="256" t="s">
        <v>64</v>
      </c>
    </row>
    <row r="180" spans="2:21" ht="13.5" customHeight="1" x14ac:dyDescent="0.2">
      <c r="B180" s="23" t="str">
        <f>IF(FROTA!B181="","",FROTA!B181)</f>
        <v/>
      </c>
      <c r="C180" s="139" t="str">
        <f>IF(B180="","",VLOOKUP(B180,FROTA!$B$5:$C$306,2,0))</f>
        <v/>
      </c>
      <c r="D180" s="22" t="str">
        <f t="shared" si="12"/>
        <v/>
      </c>
      <c r="E180" s="4" t="str">
        <f>IF(B180="","",SUM(VLOOKUP(C180,ESCALA!$B$3:$N$19,8,0))*(VLOOKUP(SEM!C181,SEM!$C$5:$AC$305,27,0)))</f>
        <v/>
      </c>
      <c r="F180" s="120" t="str">
        <f>IF(D180="","",ROUNDUP(SEM!$AD181*VLOOKUP(RECEITAS!$C180,ESCALA!$B$3:$N$19,8,0),0))</f>
        <v/>
      </c>
      <c r="G180" s="4" t="str">
        <f>IF(B180="","",(SUM((VLOOKUP(C180,ESCALA!$B$3:$N$19,10,0))*(VLOOKUP(SAB!C181,SAB!$C$5:$AC$305,27,0))/VLOOKUP(C180,PERFIL!$B$4:$M$20,8,0))*VLOOKUP(C180,PERFIL!$B$4:$M$20,11,0)))</f>
        <v/>
      </c>
      <c r="H180" s="120" t="str">
        <f>IF(F180="","",ROUNDUP(SAB!$AD181*VLOOKUP(RECEITAS!$C180,ESCALA!$B$3:$N$19,10,0),0))</f>
        <v/>
      </c>
      <c r="I180" s="4" t="str">
        <f>IF(B180="","",SUM(VLOOKUP(C180,ESCALA!$B$3:$N$19,12,0))*(VLOOKUP(DF!C181,DF!$C$5:$AC$305,27,0))/VLOOKUP(C180,PERFIL!$B$4:$M$20,8,0)*VLOOKUP(C180,PERFIL!$B$4:$M$20,12,0))</f>
        <v/>
      </c>
      <c r="J180" s="120" t="str">
        <f>IF(H180="","",ROUNDUP(DF!$AD181*VLOOKUP(RECEITAS!$C180,ESCALA!$B$3:$N$19,12,0),0))</f>
        <v/>
      </c>
      <c r="K180" s="4" t="str">
        <f>IF(FROTA!AA181="","",FROTA!AA181)</f>
        <v/>
      </c>
      <c r="L180" s="4" t="str">
        <f t="shared" si="13"/>
        <v/>
      </c>
      <c r="M180" s="4" t="str">
        <f>IF(FROTA!AC181="","",FROTA!AC181)</f>
        <v/>
      </c>
      <c r="N180" s="4" t="str">
        <f t="shared" si="14"/>
        <v/>
      </c>
      <c r="O180" s="4" t="str">
        <f>IF(FROTA!AE181="","",FROTA!AE181)</f>
        <v/>
      </c>
      <c r="P180" s="4" t="str">
        <f t="shared" si="15"/>
        <v/>
      </c>
      <c r="Q180" s="4" t="str">
        <f>IF(FROTA!AG181="","",FROTA!AG181)</f>
        <v/>
      </c>
      <c r="R180" s="4" t="str">
        <f t="shared" si="16"/>
        <v/>
      </c>
      <c r="S180" s="164">
        <f t="shared" si="17"/>
        <v>0</v>
      </c>
      <c r="T180" s="257">
        <v>42971</v>
      </c>
      <c r="U180" s="256" t="s">
        <v>59</v>
      </c>
    </row>
    <row r="181" spans="2:21" ht="13.5" customHeight="1" x14ac:dyDescent="0.2">
      <c r="B181" s="23" t="str">
        <f>IF(FROTA!B182="","",FROTA!B182)</f>
        <v/>
      </c>
      <c r="C181" s="139" t="str">
        <f>IF(B181="","",VLOOKUP(B181,FROTA!$B$5:$C$306,2,0))</f>
        <v/>
      </c>
      <c r="D181" s="22" t="str">
        <f t="shared" si="12"/>
        <v/>
      </c>
      <c r="E181" s="4" t="str">
        <f>IF(B181="","",SUM(VLOOKUP(C181,ESCALA!$B$3:$N$19,8,0))*(VLOOKUP(SEM!C182,SEM!$C$5:$AC$305,27,0)))</f>
        <v/>
      </c>
      <c r="F181" s="120" t="str">
        <f>IF(D181="","",ROUNDUP(SEM!$AD182*VLOOKUP(RECEITAS!$C181,ESCALA!$B$3:$N$19,8,0),0))</f>
        <v/>
      </c>
      <c r="G181" s="4" t="str">
        <f>IF(B181="","",(SUM((VLOOKUP(C181,ESCALA!$B$3:$N$19,10,0))*(VLOOKUP(SAB!C182,SAB!$C$5:$AC$305,27,0))/VLOOKUP(C181,PERFIL!$B$4:$M$20,8,0))*VLOOKUP(C181,PERFIL!$B$4:$M$20,11,0)))</f>
        <v/>
      </c>
      <c r="H181" s="120" t="str">
        <f>IF(F181="","",ROUNDUP(SAB!$AD182*VLOOKUP(RECEITAS!$C181,ESCALA!$B$3:$N$19,10,0),0))</f>
        <v/>
      </c>
      <c r="I181" s="4" t="str">
        <f>IF(B181="","",SUM(VLOOKUP(C181,ESCALA!$B$3:$N$19,12,0))*(VLOOKUP(DF!C182,DF!$C$5:$AC$305,27,0))/VLOOKUP(C181,PERFIL!$B$4:$M$20,8,0)*VLOOKUP(C181,PERFIL!$B$4:$M$20,12,0))</f>
        <v/>
      </c>
      <c r="J181" s="120" t="str">
        <f>IF(H181="","",ROUNDUP(DF!$AD182*VLOOKUP(RECEITAS!$C181,ESCALA!$B$3:$N$19,12,0),0))</f>
        <v/>
      </c>
      <c r="K181" s="4" t="str">
        <f>IF(FROTA!AA182="","",FROTA!AA182)</f>
        <v/>
      </c>
      <c r="L181" s="4" t="str">
        <f t="shared" si="13"/>
        <v/>
      </c>
      <c r="M181" s="4" t="str">
        <f>IF(FROTA!AC182="","",FROTA!AC182)</f>
        <v/>
      </c>
      <c r="N181" s="4" t="str">
        <f t="shared" si="14"/>
        <v/>
      </c>
      <c r="O181" s="4" t="str">
        <f>IF(FROTA!AE182="","",FROTA!AE182)</f>
        <v/>
      </c>
      <c r="P181" s="4" t="str">
        <f t="shared" si="15"/>
        <v/>
      </c>
      <c r="Q181" s="4" t="str">
        <f>IF(FROTA!AG182="","",FROTA!AG182)</f>
        <v/>
      </c>
      <c r="R181" s="4" t="str">
        <f t="shared" si="16"/>
        <v/>
      </c>
      <c r="S181" s="164">
        <f t="shared" si="17"/>
        <v>0</v>
      </c>
      <c r="T181" s="257">
        <v>42972</v>
      </c>
      <c r="U181" s="256" t="s">
        <v>60</v>
      </c>
    </row>
    <row r="182" spans="2:21" ht="13.5" customHeight="1" x14ac:dyDescent="0.2">
      <c r="B182" s="23" t="str">
        <f>IF(FROTA!B183="","",FROTA!B183)</f>
        <v/>
      </c>
      <c r="C182" s="139" t="str">
        <f>IF(B182="","",VLOOKUP(B182,FROTA!$B$5:$C$306,2,0))</f>
        <v/>
      </c>
      <c r="D182" s="22" t="str">
        <f t="shared" si="12"/>
        <v/>
      </c>
      <c r="E182" s="4" t="str">
        <f>IF(B182="","",SUM(VLOOKUP(C182,ESCALA!$B$3:$N$19,8,0))*(VLOOKUP(SEM!C183,SEM!$C$5:$AC$305,27,0)))</f>
        <v/>
      </c>
      <c r="F182" s="120" t="str">
        <f>IF(D182="","",ROUNDUP(SEM!$AD183*VLOOKUP(RECEITAS!$C182,ESCALA!$B$3:$N$19,8,0),0))</f>
        <v/>
      </c>
      <c r="G182" s="4" t="str">
        <f>IF(B182="","",(SUM((VLOOKUP(C182,ESCALA!$B$3:$N$19,10,0))*(VLOOKUP(SAB!C183,SAB!$C$5:$AC$305,27,0))/VLOOKUP(C182,PERFIL!$B$4:$M$20,8,0))*VLOOKUP(C182,PERFIL!$B$4:$M$20,11,0)))</f>
        <v/>
      </c>
      <c r="H182" s="120" t="str">
        <f>IF(F182="","",ROUNDUP(SAB!$AD183*VLOOKUP(RECEITAS!$C182,ESCALA!$B$3:$N$19,10,0),0))</f>
        <v/>
      </c>
      <c r="I182" s="4" t="str">
        <f>IF(B182="","",SUM(VLOOKUP(C182,ESCALA!$B$3:$N$19,12,0))*(VLOOKUP(DF!C183,DF!$C$5:$AC$305,27,0))/VLOOKUP(C182,PERFIL!$B$4:$M$20,8,0)*VLOOKUP(C182,PERFIL!$B$4:$M$20,12,0))</f>
        <v/>
      </c>
      <c r="J182" s="120" t="str">
        <f>IF(H182="","",ROUNDUP(DF!$AD183*VLOOKUP(RECEITAS!$C182,ESCALA!$B$3:$N$19,12,0),0))</f>
        <v/>
      </c>
      <c r="K182" s="4" t="str">
        <f>IF(FROTA!AA183="","",FROTA!AA183)</f>
        <v/>
      </c>
      <c r="L182" s="4" t="str">
        <f t="shared" si="13"/>
        <v/>
      </c>
      <c r="M182" s="4" t="str">
        <f>IF(FROTA!AC183="","",FROTA!AC183)</f>
        <v/>
      </c>
      <c r="N182" s="4" t="str">
        <f t="shared" si="14"/>
        <v/>
      </c>
      <c r="O182" s="4" t="str">
        <f>IF(FROTA!AE183="","",FROTA!AE183)</f>
        <v/>
      </c>
      <c r="P182" s="4" t="str">
        <f t="shared" si="15"/>
        <v/>
      </c>
      <c r="Q182" s="4" t="str">
        <f>IF(FROTA!AG183="","",FROTA!AG183)</f>
        <v/>
      </c>
      <c r="R182" s="4" t="str">
        <f t="shared" si="16"/>
        <v/>
      </c>
      <c r="S182" s="164">
        <f t="shared" si="17"/>
        <v>0</v>
      </c>
      <c r="T182" s="257">
        <v>42973</v>
      </c>
      <c r="U182" s="256" t="s">
        <v>61</v>
      </c>
    </row>
    <row r="183" spans="2:21" ht="13.5" customHeight="1" x14ac:dyDescent="0.2">
      <c r="B183" s="23" t="str">
        <f>IF(FROTA!B184="","",FROTA!B184)</f>
        <v/>
      </c>
      <c r="C183" s="139" t="str">
        <f>IF(B183="","",VLOOKUP(B183,FROTA!$B$5:$C$306,2,0))</f>
        <v/>
      </c>
      <c r="D183" s="22" t="str">
        <f t="shared" si="12"/>
        <v/>
      </c>
      <c r="E183" s="4" t="str">
        <f>IF(B183="","",SUM(VLOOKUP(C183,ESCALA!$B$3:$N$19,8,0))*(VLOOKUP(SEM!C184,SEM!$C$5:$AC$305,27,0)))</f>
        <v/>
      </c>
      <c r="F183" s="120" t="str">
        <f>IF(D183="","",ROUNDUP(SEM!$AD184*VLOOKUP(RECEITAS!$C183,ESCALA!$B$3:$N$19,8,0),0))</f>
        <v/>
      </c>
      <c r="G183" s="4" t="str">
        <f>IF(B183="","",(SUM((VLOOKUP(C183,ESCALA!$B$3:$N$19,10,0))*(VLOOKUP(SAB!C184,SAB!$C$5:$AC$305,27,0))/VLOOKUP(C183,PERFIL!$B$4:$M$20,8,0))*VLOOKUP(C183,PERFIL!$B$4:$M$20,11,0)))</f>
        <v/>
      </c>
      <c r="H183" s="120" t="str">
        <f>IF(F183="","",ROUNDUP(SAB!$AD184*VLOOKUP(RECEITAS!$C183,ESCALA!$B$3:$N$19,10,0),0))</f>
        <v/>
      </c>
      <c r="I183" s="4" t="str">
        <f>IF(B183="","",SUM(VLOOKUP(C183,ESCALA!$B$3:$N$19,12,0))*(VLOOKUP(DF!C184,DF!$C$5:$AC$305,27,0))/VLOOKUP(C183,PERFIL!$B$4:$M$20,8,0)*VLOOKUP(C183,PERFIL!$B$4:$M$20,12,0))</f>
        <v/>
      </c>
      <c r="J183" s="120" t="str">
        <f>IF(H183="","",ROUNDUP(DF!$AD184*VLOOKUP(RECEITAS!$C183,ESCALA!$B$3:$N$19,12,0),0))</f>
        <v/>
      </c>
      <c r="K183" s="4" t="str">
        <f>IF(FROTA!AA184="","",FROTA!AA184)</f>
        <v/>
      </c>
      <c r="L183" s="4" t="str">
        <f t="shared" si="13"/>
        <v/>
      </c>
      <c r="M183" s="4" t="str">
        <f>IF(FROTA!AC184="","",FROTA!AC184)</f>
        <v/>
      </c>
      <c r="N183" s="4" t="str">
        <f t="shared" si="14"/>
        <v/>
      </c>
      <c r="O183" s="4" t="str">
        <f>IF(FROTA!AE184="","",FROTA!AE184)</f>
        <v/>
      </c>
      <c r="P183" s="4" t="str">
        <f t="shared" si="15"/>
        <v/>
      </c>
      <c r="Q183" s="4" t="str">
        <f>IF(FROTA!AG184="","",FROTA!AG184)</f>
        <v/>
      </c>
      <c r="R183" s="4" t="str">
        <f t="shared" si="16"/>
        <v/>
      </c>
      <c r="S183" s="164">
        <f t="shared" si="17"/>
        <v>0</v>
      </c>
      <c r="T183" s="257">
        <v>42974</v>
      </c>
      <c r="U183" s="256" t="s">
        <v>58</v>
      </c>
    </row>
    <row r="184" spans="2:21" ht="13.5" customHeight="1" x14ac:dyDescent="0.2">
      <c r="B184" s="23" t="str">
        <f>IF(FROTA!B185="","",FROTA!B185)</f>
        <v/>
      </c>
      <c r="C184" s="139" t="str">
        <f>IF(B184="","",VLOOKUP(B184,FROTA!$B$5:$C$306,2,0))</f>
        <v/>
      </c>
      <c r="D184" s="22" t="str">
        <f t="shared" si="12"/>
        <v/>
      </c>
      <c r="E184" s="4" t="str">
        <f>IF(B184="","",SUM(VLOOKUP(C184,ESCALA!$B$3:$N$19,8,0))*(VLOOKUP(SEM!C185,SEM!$C$5:$AC$305,27,0)))</f>
        <v/>
      </c>
      <c r="F184" s="120" t="str">
        <f>IF(D184="","",ROUNDUP(SEM!$AD185*VLOOKUP(RECEITAS!$C184,ESCALA!$B$3:$N$19,8,0),0))</f>
        <v/>
      </c>
      <c r="G184" s="4" t="str">
        <f>IF(B184="","",(SUM((VLOOKUP(C184,ESCALA!$B$3:$N$19,10,0))*(VLOOKUP(SAB!C185,SAB!$C$5:$AC$305,27,0))/VLOOKUP(C184,PERFIL!$B$4:$M$20,8,0))*VLOOKUP(C184,PERFIL!$B$4:$M$20,11,0)))</f>
        <v/>
      </c>
      <c r="H184" s="120" t="str">
        <f>IF(F184="","",ROUNDUP(SAB!$AD185*VLOOKUP(RECEITAS!$C184,ESCALA!$B$3:$N$19,10,0),0))</f>
        <v/>
      </c>
      <c r="I184" s="4" t="str">
        <f>IF(B184="","",SUM(VLOOKUP(C184,ESCALA!$B$3:$N$19,12,0))*(VLOOKUP(DF!C185,DF!$C$5:$AC$305,27,0))/VLOOKUP(C184,PERFIL!$B$4:$M$20,8,0)*VLOOKUP(C184,PERFIL!$B$4:$M$20,12,0))</f>
        <v/>
      </c>
      <c r="J184" s="120" t="str">
        <f>IF(H184="","",ROUNDUP(DF!$AD185*VLOOKUP(RECEITAS!$C184,ESCALA!$B$3:$N$19,12,0),0))</f>
        <v/>
      </c>
      <c r="K184" s="4" t="str">
        <f>IF(FROTA!AA185="","",FROTA!AA185)</f>
        <v/>
      </c>
      <c r="L184" s="4" t="str">
        <f t="shared" si="13"/>
        <v/>
      </c>
      <c r="M184" s="4" t="str">
        <f>IF(FROTA!AC185="","",FROTA!AC185)</f>
        <v/>
      </c>
      <c r="N184" s="4" t="str">
        <f t="shared" si="14"/>
        <v/>
      </c>
      <c r="O184" s="4" t="str">
        <f>IF(FROTA!AE185="","",FROTA!AE185)</f>
        <v/>
      </c>
      <c r="P184" s="4" t="str">
        <f t="shared" si="15"/>
        <v/>
      </c>
      <c r="Q184" s="4" t="str">
        <f>IF(FROTA!AG185="","",FROTA!AG185)</f>
        <v/>
      </c>
      <c r="R184" s="4" t="str">
        <f t="shared" si="16"/>
        <v/>
      </c>
      <c r="S184" s="164">
        <f t="shared" si="17"/>
        <v>0</v>
      </c>
      <c r="T184" s="257">
        <v>42975</v>
      </c>
      <c r="U184" s="256" t="s">
        <v>62</v>
      </c>
    </row>
    <row r="185" spans="2:21" ht="13.5" customHeight="1" x14ac:dyDescent="0.2">
      <c r="B185" s="23" t="str">
        <f>IF(FROTA!B186="","",FROTA!B186)</f>
        <v/>
      </c>
      <c r="C185" s="139" t="str">
        <f>IF(B185="","",VLOOKUP(B185,FROTA!$B$5:$C$306,2,0))</f>
        <v/>
      </c>
      <c r="D185" s="22" t="str">
        <f t="shared" si="12"/>
        <v/>
      </c>
      <c r="E185" s="4" t="str">
        <f>IF(B185="","",SUM(VLOOKUP(C185,ESCALA!$B$3:$N$19,8,0))*(VLOOKUP(SEM!C186,SEM!$C$5:$AC$305,27,0)))</f>
        <v/>
      </c>
      <c r="F185" s="120" t="str">
        <f>IF(D185="","",ROUNDUP(SEM!$AD186*VLOOKUP(RECEITAS!$C185,ESCALA!$B$3:$N$19,8,0),0))</f>
        <v/>
      </c>
      <c r="G185" s="4" t="str">
        <f>IF(B185="","",(SUM((VLOOKUP(C185,ESCALA!$B$3:$N$19,10,0))*(VLOOKUP(SAB!C186,SAB!$C$5:$AC$305,27,0))/VLOOKUP(C185,PERFIL!$B$4:$M$20,8,0))*VLOOKUP(C185,PERFIL!$B$4:$M$20,11,0)))</f>
        <v/>
      </c>
      <c r="H185" s="120" t="str">
        <f>IF(F185="","",ROUNDUP(SAB!$AD186*VLOOKUP(RECEITAS!$C185,ESCALA!$B$3:$N$19,10,0),0))</f>
        <v/>
      </c>
      <c r="I185" s="4" t="str">
        <f>IF(B185="","",SUM(VLOOKUP(C185,ESCALA!$B$3:$N$19,12,0))*(VLOOKUP(DF!C186,DF!$C$5:$AC$305,27,0))/VLOOKUP(C185,PERFIL!$B$4:$M$20,8,0)*VLOOKUP(C185,PERFIL!$B$4:$M$20,12,0))</f>
        <v/>
      </c>
      <c r="J185" s="120" t="str">
        <f>IF(H185="","",ROUNDUP(DF!$AD186*VLOOKUP(RECEITAS!$C185,ESCALA!$B$3:$N$19,12,0),0))</f>
        <v/>
      </c>
      <c r="K185" s="4" t="str">
        <f>IF(FROTA!AA186="","",FROTA!AA186)</f>
        <v/>
      </c>
      <c r="L185" s="4" t="str">
        <f t="shared" si="13"/>
        <v/>
      </c>
      <c r="M185" s="4" t="str">
        <f>IF(FROTA!AC186="","",FROTA!AC186)</f>
        <v/>
      </c>
      <c r="N185" s="4" t="str">
        <f t="shared" si="14"/>
        <v/>
      </c>
      <c r="O185" s="4" t="str">
        <f>IF(FROTA!AE186="","",FROTA!AE186)</f>
        <v/>
      </c>
      <c r="P185" s="4" t="str">
        <f t="shared" si="15"/>
        <v/>
      </c>
      <c r="Q185" s="4" t="str">
        <f>IF(FROTA!AG186="","",FROTA!AG186)</f>
        <v/>
      </c>
      <c r="R185" s="4" t="str">
        <f t="shared" si="16"/>
        <v/>
      </c>
      <c r="S185" s="164">
        <f t="shared" si="17"/>
        <v>0</v>
      </c>
      <c r="T185" s="257">
        <v>42976</v>
      </c>
      <c r="U185" s="256" t="s">
        <v>63</v>
      </c>
    </row>
    <row r="186" spans="2:21" ht="13.5" customHeight="1" x14ac:dyDescent="0.2">
      <c r="B186" s="23" t="str">
        <f>IF(FROTA!B187="","",FROTA!B187)</f>
        <v/>
      </c>
      <c r="C186" s="139" t="str">
        <f>IF(B186="","",VLOOKUP(B186,FROTA!$B$5:$C$306,2,0))</f>
        <v/>
      </c>
      <c r="D186" s="22" t="str">
        <f t="shared" si="12"/>
        <v/>
      </c>
      <c r="E186" s="4" t="str">
        <f>IF(B186="","",SUM(VLOOKUP(C186,ESCALA!$B$3:$N$19,8,0))*(VLOOKUP(SEM!C187,SEM!$C$5:$AC$305,27,0)))</f>
        <v/>
      </c>
      <c r="F186" s="120" t="str">
        <f>IF(D186="","",ROUNDUP(SEM!$AD187*VLOOKUP(RECEITAS!$C186,ESCALA!$B$3:$N$19,8,0),0))</f>
        <v/>
      </c>
      <c r="G186" s="4" t="str">
        <f>IF(B186="","",(SUM((VLOOKUP(C186,ESCALA!$B$3:$N$19,10,0))*(VLOOKUP(SAB!C187,SAB!$C$5:$AC$305,27,0))/VLOOKUP(C186,PERFIL!$B$4:$M$20,8,0))*VLOOKUP(C186,PERFIL!$B$4:$M$20,11,0)))</f>
        <v/>
      </c>
      <c r="H186" s="120" t="str">
        <f>IF(F186="","",ROUNDUP(SAB!$AD187*VLOOKUP(RECEITAS!$C186,ESCALA!$B$3:$N$19,10,0),0))</f>
        <v/>
      </c>
      <c r="I186" s="4" t="str">
        <f>IF(B186="","",SUM(VLOOKUP(C186,ESCALA!$B$3:$N$19,12,0))*(VLOOKUP(DF!C187,DF!$C$5:$AC$305,27,0))/VLOOKUP(C186,PERFIL!$B$4:$M$20,8,0)*VLOOKUP(C186,PERFIL!$B$4:$M$20,12,0))</f>
        <v/>
      </c>
      <c r="J186" s="120" t="str">
        <f>IF(H186="","",ROUNDUP(DF!$AD187*VLOOKUP(RECEITAS!$C186,ESCALA!$B$3:$N$19,12,0),0))</f>
        <v/>
      </c>
      <c r="K186" s="4" t="str">
        <f>IF(FROTA!AA187="","",FROTA!AA187)</f>
        <v/>
      </c>
      <c r="L186" s="4" t="str">
        <f t="shared" si="13"/>
        <v/>
      </c>
      <c r="M186" s="4" t="str">
        <f>IF(FROTA!AC187="","",FROTA!AC187)</f>
        <v/>
      </c>
      <c r="N186" s="4" t="str">
        <f t="shared" si="14"/>
        <v/>
      </c>
      <c r="O186" s="4" t="str">
        <f>IF(FROTA!AE187="","",FROTA!AE187)</f>
        <v/>
      </c>
      <c r="P186" s="4" t="str">
        <f t="shared" si="15"/>
        <v/>
      </c>
      <c r="Q186" s="4" t="str">
        <f>IF(FROTA!AG187="","",FROTA!AG187)</f>
        <v/>
      </c>
      <c r="R186" s="4" t="str">
        <f t="shared" si="16"/>
        <v/>
      </c>
      <c r="S186" s="164">
        <f t="shared" si="17"/>
        <v>0</v>
      </c>
      <c r="T186" s="257">
        <v>42977</v>
      </c>
      <c r="U186" s="256" t="s">
        <v>64</v>
      </c>
    </row>
    <row r="187" spans="2:21" ht="13.5" customHeight="1" x14ac:dyDescent="0.2">
      <c r="B187" s="23" t="str">
        <f>IF(FROTA!B188="","",FROTA!B188)</f>
        <v/>
      </c>
      <c r="C187" s="139" t="str">
        <f>IF(B187="","",VLOOKUP(B187,FROTA!$B$5:$C$306,2,0))</f>
        <v/>
      </c>
      <c r="D187" s="22" t="str">
        <f t="shared" si="12"/>
        <v/>
      </c>
      <c r="E187" s="4" t="str">
        <f>IF(B187="","",SUM(VLOOKUP(C187,ESCALA!$B$3:$N$19,8,0))*(VLOOKUP(SEM!C188,SEM!$C$5:$AC$305,27,0)))</f>
        <v/>
      </c>
      <c r="F187" s="120" t="str">
        <f>IF(D187="","",ROUNDUP(SEM!$AD188*VLOOKUP(RECEITAS!$C187,ESCALA!$B$3:$N$19,8,0),0))</f>
        <v/>
      </c>
      <c r="G187" s="4" t="str">
        <f>IF(B187="","",(SUM((VLOOKUP(C187,ESCALA!$B$3:$N$19,10,0))*(VLOOKUP(SAB!C188,SAB!$C$5:$AC$305,27,0))/VLOOKUP(C187,PERFIL!$B$4:$M$20,8,0))*VLOOKUP(C187,PERFIL!$B$4:$M$20,11,0)))</f>
        <v/>
      </c>
      <c r="H187" s="120" t="str">
        <f>IF(F187="","",ROUNDUP(SAB!$AD188*VLOOKUP(RECEITAS!$C187,ESCALA!$B$3:$N$19,10,0),0))</f>
        <v/>
      </c>
      <c r="I187" s="4" t="str">
        <f>IF(B187="","",SUM(VLOOKUP(C187,ESCALA!$B$3:$N$19,12,0))*(VLOOKUP(DF!C188,DF!$C$5:$AC$305,27,0))/VLOOKUP(C187,PERFIL!$B$4:$M$20,8,0)*VLOOKUP(C187,PERFIL!$B$4:$M$20,12,0))</f>
        <v/>
      </c>
      <c r="J187" s="120" t="str">
        <f>IF(H187="","",ROUNDUP(DF!$AD188*VLOOKUP(RECEITAS!$C187,ESCALA!$B$3:$N$19,12,0),0))</f>
        <v/>
      </c>
      <c r="K187" s="4" t="str">
        <f>IF(FROTA!AA188="","",FROTA!AA188)</f>
        <v/>
      </c>
      <c r="L187" s="4" t="str">
        <f t="shared" si="13"/>
        <v/>
      </c>
      <c r="M187" s="4" t="str">
        <f>IF(FROTA!AC188="","",FROTA!AC188)</f>
        <v/>
      </c>
      <c r="N187" s="4" t="str">
        <f t="shared" si="14"/>
        <v/>
      </c>
      <c r="O187" s="4" t="str">
        <f>IF(FROTA!AE188="","",FROTA!AE188)</f>
        <v/>
      </c>
      <c r="P187" s="4" t="str">
        <f t="shared" si="15"/>
        <v/>
      </c>
      <c r="Q187" s="4" t="str">
        <f>IF(FROTA!AG188="","",FROTA!AG188)</f>
        <v/>
      </c>
      <c r="R187" s="4" t="str">
        <f t="shared" si="16"/>
        <v/>
      </c>
      <c r="S187" s="164">
        <f t="shared" si="17"/>
        <v>0</v>
      </c>
      <c r="T187" s="257">
        <v>42978</v>
      </c>
      <c r="U187" s="256" t="s">
        <v>59</v>
      </c>
    </row>
    <row r="188" spans="2:21" ht="13.5" customHeight="1" x14ac:dyDescent="0.2">
      <c r="B188" s="23" t="str">
        <f>IF(FROTA!B189="","",FROTA!B189)</f>
        <v/>
      </c>
      <c r="C188" s="139" t="str">
        <f>IF(B188="","",VLOOKUP(B188,FROTA!$B$5:$C$306,2,0))</f>
        <v/>
      </c>
      <c r="D188" s="22" t="str">
        <f t="shared" si="12"/>
        <v/>
      </c>
      <c r="E188" s="4" t="str">
        <f>IF(B188="","",SUM(VLOOKUP(C188,ESCALA!$B$3:$N$19,8,0))*(VLOOKUP(SEM!C189,SEM!$C$5:$AC$305,27,0)))</f>
        <v/>
      </c>
      <c r="F188" s="120" t="str">
        <f>IF(D188="","",ROUNDUP(SEM!$AD189*VLOOKUP(RECEITAS!$C188,ESCALA!$B$3:$N$19,8,0),0))</f>
        <v/>
      </c>
      <c r="G188" s="4" t="str">
        <f>IF(B188="","",(SUM((VLOOKUP(C188,ESCALA!$B$3:$N$19,10,0))*(VLOOKUP(SAB!C189,SAB!$C$5:$AC$305,27,0))/VLOOKUP(C188,PERFIL!$B$4:$M$20,8,0))*VLOOKUP(C188,PERFIL!$B$4:$M$20,11,0)))</f>
        <v/>
      </c>
      <c r="H188" s="120" t="str">
        <f>IF(F188="","",ROUNDUP(SAB!$AD189*VLOOKUP(RECEITAS!$C188,ESCALA!$B$3:$N$19,10,0),0))</f>
        <v/>
      </c>
      <c r="I188" s="4" t="str">
        <f>IF(B188="","",SUM(VLOOKUP(C188,ESCALA!$B$3:$N$19,12,0))*(VLOOKUP(DF!C189,DF!$C$5:$AC$305,27,0))/VLOOKUP(C188,PERFIL!$B$4:$M$20,8,0)*VLOOKUP(C188,PERFIL!$B$4:$M$20,12,0))</f>
        <v/>
      </c>
      <c r="J188" s="120" t="str">
        <f>IF(H188="","",ROUNDUP(DF!$AD189*VLOOKUP(RECEITAS!$C188,ESCALA!$B$3:$N$19,12,0),0))</f>
        <v/>
      </c>
      <c r="K188" s="4" t="str">
        <f>IF(FROTA!AA189="","",FROTA!AA189)</f>
        <v/>
      </c>
      <c r="L188" s="4" t="str">
        <f t="shared" si="13"/>
        <v/>
      </c>
      <c r="M188" s="4" t="str">
        <f>IF(FROTA!AC189="","",FROTA!AC189)</f>
        <v/>
      </c>
      <c r="N188" s="4" t="str">
        <f t="shared" si="14"/>
        <v/>
      </c>
      <c r="O188" s="4" t="str">
        <f>IF(FROTA!AE189="","",FROTA!AE189)</f>
        <v/>
      </c>
      <c r="P188" s="4" t="str">
        <f t="shared" si="15"/>
        <v/>
      </c>
      <c r="Q188" s="4" t="str">
        <f>IF(FROTA!AG189="","",FROTA!AG189)</f>
        <v/>
      </c>
      <c r="R188" s="4" t="str">
        <f t="shared" si="16"/>
        <v/>
      </c>
      <c r="S188" s="164">
        <f t="shared" si="17"/>
        <v>0</v>
      </c>
      <c r="T188" s="257">
        <v>42979</v>
      </c>
      <c r="U188" s="256" t="s">
        <v>60</v>
      </c>
    </row>
    <row r="189" spans="2:21" ht="13.5" customHeight="1" x14ac:dyDescent="0.2">
      <c r="B189" s="23" t="str">
        <f>IF(FROTA!B190="","",FROTA!B190)</f>
        <v/>
      </c>
      <c r="C189" s="139" t="str">
        <f>IF(B189="","",VLOOKUP(B189,FROTA!$B$5:$C$306,2,0))</f>
        <v/>
      </c>
      <c r="D189" s="22" t="str">
        <f t="shared" si="12"/>
        <v/>
      </c>
      <c r="E189" s="4" t="str">
        <f>IF(B189="","",SUM(VLOOKUP(C189,ESCALA!$B$3:$N$19,8,0))*(VLOOKUP(SEM!C190,SEM!$C$5:$AC$305,27,0)))</f>
        <v/>
      </c>
      <c r="F189" s="120" t="str">
        <f>IF(D189="","",ROUNDUP(SEM!$AD190*VLOOKUP(RECEITAS!$C189,ESCALA!$B$3:$N$19,8,0),0))</f>
        <v/>
      </c>
      <c r="G189" s="4" t="str">
        <f>IF(B189="","",(SUM((VLOOKUP(C189,ESCALA!$B$3:$N$19,10,0))*(VLOOKUP(SAB!C190,SAB!$C$5:$AC$305,27,0))/VLOOKUP(C189,PERFIL!$B$4:$M$20,8,0))*VLOOKUP(C189,PERFIL!$B$4:$M$20,11,0)))</f>
        <v/>
      </c>
      <c r="H189" s="120" t="str">
        <f>IF(F189="","",ROUNDUP(SAB!$AD190*VLOOKUP(RECEITAS!$C189,ESCALA!$B$3:$N$19,10,0),0))</f>
        <v/>
      </c>
      <c r="I189" s="4" t="str">
        <f>IF(B189="","",SUM(VLOOKUP(C189,ESCALA!$B$3:$N$19,12,0))*(VLOOKUP(DF!C190,DF!$C$5:$AC$305,27,0))/VLOOKUP(C189,PERFIL!$B$4:$M$20,8,0)*VLOOKUP(C189,PERFIL!$B$4:$M$20,12,0))</f>
        <v/>
      </c>
      <c r="J189" s="120" t="str">
        <f>IF(H189="","",ROUNDUP(DF!$AD190*VLOOKUP(RECEITAS!$C189,ESCALA!$B$3:$N$19,12,0),0))</f>
        <v/>
      </c>
      <c r="K189" s="4" t="str">
        <f>IF(FROTA!AA190="","",FROTA!AA190)</f>
        <v/>
      </c>
      <c r="L189" s="4" t="str">
        <f t="shared" si="13"/>
        <v/>
      </c>
      <c r="M189" s="4" t="str">
        <f>IF(FROTA!AC190="","",FROTA!AC190)</f>
        <v/>
      </c>
      <c r="N189" s="4" t="str">
        <f t="shared" si="14"/>
        <v/>
      </c>
      <c r="O189" s="4" t="str">
        <f>IF(FROTA!AE190="","",FROTA!AE190)</f>
        <v/>
      </c>
      <c r="P189" s="4" t="str">
        <f t="shared" si="15"/>
        <v/>
      </c>
      <c r="Q189" s="4" t="str">
        <f>IF(FROTA!AG190="","",FROTA!AG190)</f>
        <v/>
      </c>
      <c r="R189" s="4" t="str">
        <f t="shared" si="16"/>
        <v/>
      </c>
      <c r="S189" s="164">
        <f t="shared" si="17"/>
        <v>0</v>
      </c>
      <c r="T189" s="257">
        <v>42980</v>
      </c>
      <c r="U189" s="256" t="s">
        <v>61</v>
      </c>
    </row>
    <row r="190" spans="2:21" ht="13.5" customHeight="1" x14ac:dyDescent="0.2">
      <c r="B190" s="23" t="str">
        <f>IF(FROTA!B191="","",FROTA!B191)</f>
        <v/>
      </c>
      <c r="C190" s="139" t="str">
        <f>IF(B190="","",VLOOKUP(B190,FROTA!$B$5:$C$306,2,0))</f>
        <v/>
      </c>
      <c r="D190" s="22" t="str">
        <f t="shared" si="12"/>
        <v/>
      </c>
      <c r="E190" s="4" t="str">
        <f>IF(B190="","",SUM(VLOOKUP(C190,ESCALA!$B$3:$N$19,8,0))*(VLOOKUP(SEM!C191,SEM!$C$5:$AC$305,27,0)))</f>
        <v/>
      </c>
      <c r="F190" s="120" t="str">
        <f>IF(D190="","",ROUNDUP(SEM!$AD191*VLOOKUP(RECEITAS!$C190,ESCALA!$B$3:$N$19,8,0),0))</f>
        <v/>
      </c>
      <c r="G190" s="4" t="str">
        <f>IF(B190="","",(SUM((VLOOKUP(C190,ESCALA!$B$3:$N$19,10,0))*(VLOOKUP(SAB!C191,SAB!$C$5:$AC$305,27,0))/VLOOKUP(C190,PERFIL!$B$4:$M$20,8,0))*VLOOKUP(C190,PERFIL!$B$4:$M$20,11,0)))</f>
        <v/>
      </c>
      <c r="H190" s="120" t="str">
        <f>IF(F190="","",ROUNDUP(SAB!$AD191*VLOOKUP(RECEITAS!$C190,ESCALA!$B$3:$N$19,10,0),0))</f>
        <v/>
      </c>
      <c r="I190" s="4" t="str">
        <f>IF(B190="","",SUM(VLOOKUP(C190,ESCALA!$B$3:$N$19,12,0))*(VLOOKUP(DF!C191,DF!$C$5:$AC$305,27,0))/VLOOKUP(C190,PERFIL!$B$4:$M$20,8,0)*VLOOKUP(C190,PERFIL!$B$4:$M$20,12,0))</f>
        <v/>
      </c>
      <c r="J190" s="120" t="str">
        <f>IF(H190="","",ROUNDUP(DF!$AD191*VLOOKUP(RECEITAS!$C190,ESCALA!$B$3:$N$19,12,0),0))</f>
        <v/>
      </c>
      <c r="K190" s="4" t="str">
        <f>IF(FROTA!AA191="","",FROTA!AA191)</f>
        <v/>
      </c>
      <c r="L190" s="4" t="str">
        <f t="shared" si="13"/>
        <v/>
      </c>
      <c r="M190" s="4" t="str">
        <f>IF(FROTA!AC191="","",FROTA!AC191)</f>
        <v/>
      </c>
      <c r="N190" s="4" t="str">
        <f t="shared" si="14"/>
        <v/>
      </c>
      <c r="O190" s="4" t="str">
        <f>IF(FROTA!AE191="","",FROTA!AE191)</f>
        <v/>
      </c>
      <c r="P190" s="4" t="str">
        <f t="shared" si="15"/>
        <v/>
      </c>
      <c r="Q190" s="4" t="str">
        <f>IF(FROTA!AG191="","",FROTA!AG191)</f>
        <v/>
      </c>
      <c r="R190" s="4" t="str">
        <f t="shared" si="16"/>
        <v/>
      </c>
      <c r="S190" s="164">
        <f t="shared" si="17"/>
        <v>0</v>
      </c>
      <c r="T190" s="257">
        <v>42981</v>
      </c>
      <c r="U190" s="256" t="s">
        <v>58</v>
      </c>
    </row>
    <row r="191" spans="2:21" ht="13.5" customHeight="1" x14ac:dyDescent="0.2">
      <c r="B191" s="23" t="str">
        <f>IF(FROTA!B192="","",FROTA!B192)</f>
        <v/>
      </c>
      <c r="C191" s="139" t="str">
        <f>IF(B191="","",VLOOKUP(B191,FROTA!$B$5:$C$306,2,0))</f>
        <v/>
      </c>
      <c r="D191" s="22" t="str">
        <f t="shared" si="12"/>
        <v/>
      </c>
      <c r="E191" s="4" t="str">
        <f>IF(B191="","",SUM(VLOOKUP(C191,ESCALA!$B$3:$N$19,8,0))*(VLOOKUP(SEM!C192,SEM!$C$5:$AC$305,27,0)))</f>
        <v/>
      </c>
      <c r="F191" s="120" t="str">
        <f>IF(D191="","",ROUNDUP(SEM!$AD192*VLOOKUP(RECEITAS!$C191,ESCALA!$B$3:$N$19,8,0),0))</f>
        <v/>
      </c>
      <c r="G191" s="4" t="str">
        <f>IF(B191="","",(SUM((VLOOKUP(C191,ESCALA!$B$3:$N$19,10,0))*(VLOOKUP(SAB!C192,SAB!$C$5:$AC$305,27,0))/VLOOKUP(C191,PERFIL!$B$4:$M$20,8,0))*VLOOKUP(C191,PERFIL!$B$4:$M$20,11,0)))</f>
        <v/>
      </c>
      <c r="H191" s="120" t="str">
        <f>IF(F191="","",ROUNDUP(SAB!$AD192*VLOOKUP(RECEITAS!$C191,ESCALA!$B$3:$N$19,10,0),0))</f>
        <v/>
      </c>
      <c r="I191" s="4" t="str">
        <f>IF(B191="","",SUM(VLOOKUP(C191,ESCALA!$B$3:$N$19,12,0))*(VLOOKUP(DF!C192,DF!$C$5:$AC$305,27,0))/VLOOKUP(C191,PERFIL!$B$4:$M$20,8,0)*VLOOKUP(C191,PERFIL!$B$4:$M$20,12,0))</f>
        <v/>
      </c>
      <c r="J191" s="120" t="str">
        <f>IF(H191="","",ROUNDUP(DF!$AD192*VLOOKUP(RECEITAS!$C191,ESCALA!$B$3:$N$19,12,0),0))</f>
        <v/>
      </c>
      <c r="K191" s="4" t="str">
        <f>IF(FROTA!AA192="","",FROTA!AA192)</f>
        <v/>
      </c>
      <c r="L191" s="4" t="str">
        <f t="shared" si="13"/>
        <v/>
      </c>
      <c r="M191" s="4" t="str">
        <f>IF(FROTA!AC192="","",FROTA!AC192)</f>
        <v/>
      </c>
      <c r="N191" s="4" t="str">
        <f t="shared" si="14"/>
        <v/>
      </c>
      <c r="O191" s="4" t="str">
        <f>IF(FROTA!AE192="","",FROTA!AE192)</f>
        <v/>
      </c>
      <c r="P191" s="4" t="str">
        <f t="shared" si="15"/>
        <v/>
      </c>
      <c r="Q191" s="4" t="str">
        <f>IF(FROTA!AG192="","",FROTA!AG192)</f>
        <v/>
      </c>
      <c r="R191" s="4" t="str">
        <f t="shared" si="16"/>
        <v/>
      </c>
      <c r="S191" s="164">
        <f t="shared" si="17"/>
        <v>0</v>
      </c>
      <c r="T191" s="257">
        <v>42982</v>
      </c>
      <c r="U191" s="256" t="s">
        <v>62</v>
      </c>
    </row>
    <row r="192" spans="2:21" ht="13.5" customHeight="1" x14ac:dyDescent="0.2">
      <c r="B192" s="23" t="str">
        <f>IF(FROTA!B193="","",FROTA!B193)</f>
        <v/>
      </c>
      <c r="C192" s="139" t="str">
        <f>IF(B192="","",VLOOKUP(B192,FROTA!$B$5:$C$306,2,0))</f>
        <v/>
      </c>
      <c r="D192" s="22" t="str">
        <f t="shared" si="12"/>
        <v/>
      </c>
      <c r="E192" s="4" t="str">
        <f>IF(B192="","",SUM(VLOOKUP(C192,ESCALA!$B$3:$N$19,8,0))*(VLOOKUP(SEM!C193,SEM!$C$5:$AC$305,27,0)))</f>
        <v/>
      </c>
      <c r="F192" s="120" t="str">
        <f>IF(D192="","",ROUNDUP(SEM!$AD193*VLOOKUP(RECEITAS!$C192,ESCALA!$B$3:$N$19,8,0),0))</f>
        <v/>
      </c>
      <c r="G192" s="4" t="str">
        <f>IF(B192="","",(SUM((VLOOKUP(C192,ESCALA!$B$3:$N$19,10,0))*(VLOOKUP(SAB!C193,SAB!$C$5:$AC$305,27,0))/VLOOKUP(C192,PERFIL!$B$4:$M$20,8,0))*VLOOKUP(C192,PERFIL!$B$4:$M$20,11,0)))</f>
        <v/>
      </c>
      <c r="H192" s="120" t="str">
        <f>IF(F192="","",ROUNDUP(SAB!$AD193*VLOOKUP(RECEITAS!$C192,ESCALA!$B$3:$N$19,10,0),0))</f>
        <v/>
      </c>
      <c r="I192" s="4" t="str">
        <f>IF(B192="","",SUM(VLOOKUP(C192,ESCALA!$B$3:$N$19,12,0))*(VLOOKUP(DF!C193,DF!$C$5:$AC$305,27,0))/VLOOKUP(C192,PERFIL!$B$4:$M$20,8,0)*VLOOKUP(C192,PERFIL!$B$4:$M$20,12,0))</f>
        <v/>
      </c>
      <c r="J192" s="120" t="str">
        <f>IF(H192="","",ROUNDUP(DF!$AD193*VLOOKUP(RECEITAS!$C192,ESCALA!$B$3:$N$19,12,0),0))</f>
        <v/>
      </c>
      <c r="K192" s="4" t="str">
        <f>IF(FROTA!AA193="","",FROTA!AA193)</f>
        <v/>
      </c>
      <c r="L192" s="4" t="str">
        <f t="shared" si="13"/>
        <v/>
      </c>
      <c r="M192" s="4" t="str">
        <f>IF(FROTA!AC193="","",FROTA!AC193)</f>
        <v/>
      </c>
      <c r="N192" s="4" t="str">
        <f t="shared" si="14"/>
        <v/>
      </c>
      <c r="O192" s="4" t="str">
        <f>IF(FROTA!AE193="","",FROTA!AE193)</f>
        <v/>
      </c>
      <c r="P192" s="4" t="str">
        <f t="shared" si="15"/>
        <v/>
      </c>
      <c r="Q192" s="4" t="str">
        <f>IF(FROTA!AG193="","",FROTA!AG193)</f>
        <v/>
      </c>
      <c r="R192" s="4" t="str">
        <f t="shared" si="16"/>
        <v/>
      </c>
      <c r="S192" s="164">
        <f t="shared" si="17"/>
        <v>0</v>
      </c>
      <c r="T192" s="257">
        <v>42983</v>
      </c>
      <c r="U192" s="256" t="s">
        <v>63</v>
      </c>
    </row>
    <row r="193" spans="2:21" ht="13.5" customHeight="1" x14ac:dyDescent="0.2">
      <c r="B193" s="23" t="str">
        <f>IF(FROTA!B194="","",FROTA!B194)</f>
        <v/>
      </c>
      <c r="C193" s="139" t="str">
        <f>IF(B193="","",VLOOKUP(B193,FROTA!$B$5:$C$306,2,0))</f>
        <v/>
      </c>
      <c r="D193" s="22" t="str">
        <f t="shared" si="12"/>
        <v/>
      </c>
      <c r="E193" s="4" t="str">
        <f>IF(B193="","",SUM(VLOOKUP(C193,ESCALA!$B$3:$N$19,8,0))*(VLOOKUP(SEM!C194,SEM!$C$5:$AC$305,27,0)))</f>
        <v/>
      </c>
      <c r="F193" s="120" t="str">
        <f>IF(D193="","",ROUNDUP(SEM!$AD194*VLOOKUP(RECEITAS!$C193,ESCALA!$B$3:$N$19,8,0),0))</f>
        <v/>
      </c>
      <c r="G193" s="4" t="str">
        <f>IF(B193="","",(SUM((VLOOKUP(C193,ESCALA!$B$3:$N$19,10,0))*(VLOOKUP(SAB!C194,SAB!$C$5:$AC$305,27,0))/VLOOKUP(C193,PERFIL!$B$4:$M$20,8,0))*VLOOKUP(C193,PERFIL!$B$4:$M$20,11,0)))</f>
        <v/>
      </c>
      <c r="H193" s="120" t="str">
        <f>IF(F193="","",ROUNDUP(SAB!$AD194*VLOOKUP(RECEITAS!$C193,ESCALA!$B$3:$N$19,10,0),0))</f>
        <v/>
      </c>
      <c r="I193" s="4" t="str">
        <f>IF(B193="","",SUM(VLOOKUP(C193,ESCALA!$B$3:$N$19,12,0))*(VLOOKUP(DF!C194,DF!$C$5:$AC$305,27,0))/VLOOKUP(C193,PERFIL!$B$4:$M$20,8,0)*VLOOKUP(C193,PERFIL!$B$4:$M$20,12,0))</f>
        <v/>
      </c>
      <c r="J193" s="120" t="str">
        <f>IF(H193="","",ROUNDUP(DF!$AD194*VLOOKUP(RECEITAS!$C193,ESCALA!$B$3:$N$19,12,0),0))</f>
        <v/>
      </c>
      <c r="K193" s="4" t="str">
        <f>IF(FROTA!AA194="","",FROTA!AA194)</f>
        <v/>
      </c>
      <c r="L193" s="4" t="str">
        <f t="shared" si="13"/>
        <v/>
      </c>
      <c r="M193" s="4" t="str">
        <f>IF(FROTA!AC194="","",FROTA!AC194)</f>
        <v/>
      </c>
      <c r="N193" s="4" t="str">
        <f t="shared" si="14"/>
        <v/>
      </c>
      <c r="O193" s="4" t="str">
        <f>IF(FROTA!AE194="","",FROTA!AE194)</f>
        <v/>
      </c>
      <c r="P193" s="4" t="str">
        <f t="shared" si="15"/>
        <v/>
      </c>
      <c r="Q193" s="4" t="str">
        <f>IF(FROTA!AG194="","",FROTA!AG194)</f>
        <v/>
      </c>
      <c r="R193" s="4" t="str">
        <f t="shared" si="16"/>
        <v/>
      </c>
      <c r="S193" s="164">
        <f t="shared" si="17"/>
        <v>0</v>
      </c>
      <c r="T193" s="257">
        <v>42984</v>
      </c>
      <c r="U193" s="256" t="s">
        <v>64</v>
      </c>
    </row>
    <row r="194" spans="2:21" ht="13.5" customHeight="1" x14ac:dyDescent="0.2">
      <c r="B194" s="23" t="str">
        <f>IF(FROTA!B195="","",FROTA!B195)</f>
        <v/>
      </c>
      <c r="C194" s="139" t="str">
        <f>IF(B194="","",VLOOKUP(B194,FROTA!$B$5:$C$306,2,0))</f>
        <v/>
      </c>
      <c r="D194" s="22" t="str">
        <f t="shared" si="12"/>
        <v/>
      </c>
      <c r="E194" s="4" t="str">
        <f>IF(B194="","",SUM(VLOOKUP(C194,ESCALA!$B$3:$N$19,8,0))*(VLOOKUP(SEM!C195,SEM!$C$5:$AC$305,27,0)))</f>
        <v/>
      </c>
      <c r="F194" s="120" t="str">
        <f>IF(D194="","",ROUNDUP(SEM!$AD195*VLOOKUP(RECEITAS!$C194,ESCALA!$B$3:$N$19,8,0),0))</f>
        <v/>
      </c>
      <c r="G194" s="4" t="str">
        <f>IF(B194="","",(SUM((VLOOKUP(C194,ESCALA!$B$3:$N$19,10,0))*(VLOOKUP(SAB!C195,SAB!$C$5:$AC$305,27,0))/VLOOKUP(C194,PERFIL!$B$4:$M$20,8,0))*VLOOKUP(C194,PERFIL!$B$4:$M$20,11,0)))</f>
        <v/>
      </c>
      <c r="H194" s="120" t="str">
        <f>IF(F194="","",ROUNDUP(SAB!$AD195*VLOOKUP(RECEITAS!$C194,ESCALA!$B$3:$N$19,10,0),0))</f>
        <v/>
      </c>
      <c r="I194" s="4" t="str">
        <f>IF(B194="","",SUM(VLOOKUP(C194,ESCALA!$B$3:$N$19,12,0))*(VLOOKUP(DF!C195,DF!$C$5:$AC$305,27,0))/VLOOKUP(C194,PERFIL!$B$4:$M$20,8,0)*VLOOKUP(C194,PERFIL!$B$4:$M$20,12,0))</f>
        <v/>
      </c>
      <c r="J194" s="120" t="str">
        <f>IF(H194="","",ROUNDUP(DF!$AD195*VLOOKUP(RECEITAS!$C194,ESCALA!$B$3:$N$19,12,0),0))</f>
        <v/>
      </c>
      <c r="K194" s="4" t="str">
        <f>IF(FROTA!AA195="","",FROTA!AA195)</f>
        <v/>
      </c>
      <c r="L194" s="4" t="str">
        <f t="shared" si="13"/>
        <v/>
      </c>
      <c r="M194" s="4" t="str">
        <f>IF(FROTA!AC195="","",FROTA!AC195)</f>
        <v/>
      </c>
      <c r="N194" s="4" t="str">
        <f t="shared" si="14"/>
        <v/>
      </c>
      <c r="O194" s="4" t="str">
        <f>IF(FROTA!AE195="","",FROTA!AE195)</f>
        <v/>
      </c>
      <c r="P194" s="4" t="str">
        <f t="shared" si="15"/>
        <v/>
      </c>
      <c r="Q194" s="4" t="str">
        <f>IF(FROTA!AG195="","",FROTA!AG195)</f>
        <v/>
      </c>
      <c r="R194" s="4" t="str">
        <f t="shared" si="16"/>
        <v/>
      </c>
      <c r="S194" s="164">
        <f t="shared" si="17"/>
        <v>0</v>
      </c>
      <c r="T194" s="257">
        <v>42985</v>
      </c>
      <c r="U194" s="256" t="s">
        <v>65</v>
      </c>
    </row>
    <row r="195" spans="2:21" ht="13.5" customHeight="1" x14ac:dyDescent="0.2">
      <c r="B195" s="23" t="str">
        <f>IF(FROTA!B196="","",FROTA!B196)</f>
        <v/>
      </c>
      <c r="C195" s="139" t="str">
        <f>IF(B195="","",VLOOKUP(B195,FROTA!$B$5:$C$306,2,0))</f>
        <v/>
      </c>
      <c r="D195" s="22" t="str">
        <f t="shared" si="12"/>
        <v/>
      </c>
      <c r="E195" s="4" t="str">
        <f>IF(B195="","",SUM(VLOOKUP(C195,ESCALA!$B$3:$N$19,8,0))*(VLOOKUP(SEM!C196,SEM!$C$5:$AC$305,27,0)))</f>
        <v/>
      </c>
      <c r="F195" s="120" t="str">
        <f>IF(D195="","",ROUNDUP(SEM!$AD196*VLOOKUP(RECEITAS!$C195,ESCALA!$B$3:$N$19,8,0),0))</f>
        <v/>
      </c>
      <c r="G195" s="4" t="str">
        <f>IF(B195="","",(SUM((VLOOKUP(C195,ESCALA!$B$3:$N$19,10,0))*(VLOOKUP(SAB!C196,SAB!$C$5:$AC$305,27,0))/VLOOKUP(C195,PERFIL!$B$4:$M$20,8,0))*VLOOKUP(C195,PERFIL!$B$4:$M$20,11,0)))</f>
        <v/>
      </c>
      <c r="H195" s="120" t="str">
        <f>IF(F195="","",ROUNDUP(SAB!$AD196*VLOOKUP(RECEITAS!$C195,ESCALA!$B$3:$N$19,10,0),0))</f>
        <v/>
      </c>
      <c r="I195" s="4" t="str">
        <f>IF(B195="","",SUM(VLOOKUP(C195,ESCALA!$B$3:$N$19,12,0))*(VLOOKUP(DF!C196,DF!$C$5:$AC$305,27,0))/VLOOKUP(C195,PERFIL!$B$4:$M$20,8,0)*VLOOKUP(C195,PERFIL!$B$4:$M$20,12,0))</f>
        <v/>
      </c>
      <c r="J195" s="120" t="str">
        <f>IF(H195="","",ROUNDUP(DF!$AD196*VLOOKUP(RECEITAS!$C195,ESCALA!$B$3:$N$19,12,0),0))</f>
        <v/>
      </c>
      <c r="K195" s="4" t="str">
        <f>IF(FROTA!AA196="","",FROTA!AA196)</f>
        <v/>
      </c>
      <c r="L195" s="4" t="str">
        <f t="shared" si="13"/>
        <v/>
      </c>
      <c r="M195" s="4" t="str">
        <f>IF(FROTA!AC196="","",FROTA!AC196)</f>
        <v/>
      </c>
      <c r="N195" s="4" t="str">
        <f t="shared" si="14"/>
        <v/>
      </c>
      <c r="O195" s="4" t="str">
        <f>IF(FROTA!AE196="","",FROTA!AE196)</f>
        <v/>
      </c>
      <c r="P195" s="4" t="str">
        <f t="shared" si="15"/>
        <v/>
      </c>
      <c r="Q195" s="4" t="str">
        <f>IF(FROTA!AG196="","",FROTA!AG196)</f>
        <v/>
      </c>
      <c r="R195" s="4" t="str">
        <f t="shared" si="16"/>
        <v/>
      </c>
      <c r="S195" s="164">
        <f t="shared" si="17"/>
        <v>0</v>
      </c>
      <c r="T195" s="257">
        <v>42986</v>
      </c>
      <c r="U195" s="256" t="s">
        <v>60</v>
      </c>
    </row>
    <row r="196" spans="2:21" ht="13.5" customHeight="1" x14ac:dyDescent="0.2">
      <c r="B196" s="23" t="str">
        <f>IF(FROTA!B197="","",FROTA!B197)</f>
        <v/>
      </c>
      <c r="C196" s="139" t="str">
        <f>IF(B196="","",VLOOKUP(B196,FROTA!$B$5:$C$306,2,0))</f>
        <v/>
      </c>
      <c r="D196" s="22" t="str">
        <f t="shared" si="12"/>
        <v/>
      </c>
      <c r="E196" s="4" t="str">
        <f>IF(B196="","",SUM(VLOOKUP(C196,ESCALA!$B$3:$N$19,8,0))*(VLOOKUP(SEM!C197,SEM!$C$5:$AC$305,27,0)))</f>
        <v/>
      </c>
      <c r="F196" s="120" t="str">
        <f>IF(D196="","",ROUNDUP(SEM!$AD197*VLOOKUP(RECEITAS!$C196,ESCALA!$B$3:$N$19,8,0),0))</f>
        <v/>
      </c>
      <c r="G196" s="4" t="str">
        <f>IF(B196="","",(SUM((VLOOKUP(C196,ESCALA!$B$3:$N$19,10,0))*(VLOOKUP(SAB!C197,SAB!$C$5:$AC$305,27,0))/VLOOKUP(C196,PERFIL!$B$4:$M$20,8,0))*VLOOKUP(C196,PERFIL!$B$4:$M$20,11,0)))</f>
        <v/>
      </c>
      <c r="H196" s="120" t="str">
        <f>IF(F196="","",ROUNDUP(SAB!$AD197*VLOOKUP(RECEITAS!$C196,ESCALA!$B$3:$N$19,10,0),0))</f>
        <v/>
      </c>
      <c r="I196" s="4" t="str">
        <f>IF(B196="","",SUM(VLOOKUP(C196,ESCALA!$B$3:$N$19,12,0))*(VLOOKUP(DF!C197,DF!$C$5:$AC$305,27,0))/VLOOKUP(C196,PERFIL!$B$4:$M$20,8,0)*VLOOKUP(C196,PERFIL!$B$4:$M$20,12,0))</f>
        <v/>
      </c>
      <c r="J196" s="120" t="str">
        <f>IF(H196="","",ROUNDUP(DF!$AD197*VLOOKUP(RECEITAS!$C196,ESCALA!$B$3:$N$19,12,0),0))</f>
        <v/>
      </c>
      <c r="K196" s="4" t="str">
        <f>IF(FROTA!AA197="","",FROTA!AA197)</f>
        <v/>
      </c>
      <c r="L196" s="4" t="str">
        <f t="shared" si="13"/>
        <v/>
      </c>
      <c r="M196" s="4" t="str">
        <f>IF(FROTA!AC197="","",FROTA!AC197)</f>
        <v/>
      </c>
      <c r="N196" s="4" t="str">
        <f t="shared" si="14"/>
        <v/>
      </c>
      <c r="O196" s="4" t="str">
        <f>IF(FROTA!AE197="","",FROTA!AE197)</f>
        <v/>
      </c>
      <c r="P196" s="4" t="str">
        <f t="shared" si="15"/>
        <v/>
      </c>
      <c r="Q196" s="4" t="str">
        <f>IF(FROTA!AG197="","",FROTA!AG197)</f>
        <v/>
      </c>
      <c r="R196" s="4" t="str">
        <f t="shared" si="16"/>
        <v/>
      </c>
      <c r="S196" s="164">
        <f t="shared" si="17"/>
        <v>0</v>
      </c>
      <c r="T196" s="257">
        <v>42987</v>
      </c>
      <c r="U196" s="256" t="s">
        <v>61</v>
      </c>
    </row>
    <row r="197" spans="2:21" ht="13.5" customHeight="1" x14ac:dyDescent="0.2">
      <c r="B197" s="23" t="str">
        <f>IF(FROTA!B198="","",FROTA!B198)</f>
        <v/>
      </c>
      <c r="C197" s="139" t="str">
        <f>IF(B197="","",VLOOKUP(B197,FROTA!$B$5:$C$306,2,0))</f>
        <v/>
      </c>
      <c r="D197" s="22" t="str">
        <f t="shared" si="12"/>
        <v/>
      </c>
      <c r="E197" s="4" t="str">
        <f>IF(B197="","",SUM(VLOOKUP(C197,ESCALA!$B$3:$N$19,8,0))*(VLOOKUP(SEM!C198,SEM!$C$5:$AC$305,27,0)))</f>
        <v/>
      </c>
      <c r="F197" s="120" t="str">
        <f>IF(D197="","",ROUNDUP(SEM!$AD198*VLOOKUP(RECEITAS!$C197,ESCALA!$B$3:$N$19,8,0),0))</f>
        <v/>
      </c>
      <c r="G197" s="4" t="str">
        <f>IF(B197="","",(SUM((VLOOKUP(C197,ESCALA!$B$3:$N$19,10,0))*(VLOOKUP(SAB!C198,SAB!$C$5:$AC$305,27,0))/VLOOKUP(C197,PERFIL!$B$4:$M$20,8,0))*VLOOKUP(C197,PERFIL!$B$4:$M$20,11,0)))</f>
        <v/>
      </c>
      <c r="H197" s="120" t="str">
        <f>IF(F197="","",ROUNDUP(SAB!$AD198*VLOOKUP(RECEITAS!$C197,ESCALA!$B$3:$N$19,10,0),0))</f>
        <v/>
      </c>
      <c r="I197" s="4" t="str">
        <f>IF(B197="","",SUM(VLOOKUP(C197,ESCALA!$B$3:$N$19,12,0))*(VLOOKUP(DF!C198,DF!$C$5:$AC$305,27,0))/VLOOKUP(C197,PERFIL!$B$4:$M$20,8,0)*VLOOKUP(C197,PERFIL!$B$4:$M$20,12,0))</f>
        <v/>
      </c>
      <c r="J197" s="120" t="str">
        <f>IF(H197="","",ROUNDUP(DF!$AD198*VLOOKUP(RECEITAS!$C197,ESCALA!$B$3:$N$19,12,0),0))</f>
        <v/>
      </c>
      <c r="K197" s="4" t="str">
        <f>IF(FROTA!AA198="","",FROTA!AA198)</f>
        <v/>
      </c>
      <c r="L197" s="4" t="str">
        <f t="shared" si="13"/>
        <v/>
      </c>
      <c r="M197" s="4" t="str">
        <f>IF(FROTA!AC198="","",FROTA!AC198)</f>
        <v/>
      </c>
      <c r="N197" s="4" t="str">
        <f t="shared" si="14"/>
        <v/>
      </c>
      <c r="O197" s="4" t="str">
        <f>IF(FROTA!AE198="","",FROTA!AE198)</f>
        <v/>
      </c>
      <c r="P197" s="4" t="str">
        <f t="shared" si="15"/>
        <v/>
      </c>
      <c r="Q197" s="4" t="str">
        <f>IF(FROTA!AG198="","",FROTA!AG198)</f>
        <v/>
      </c>
      <c r="R197" s="4" t="str">
        <f t="shared" si="16"/>
        <v/>
      </c>
      <c r="S197" s="164">
        <f t="shared" si="17"/>
        <v>0</v>
      </c>
      <c r="T197" s="257">
        <v>42988</v>
      </c>
      <c r="U197" s="256" t="s">
        <v>58</v>
      </c>
    </row>
    <row r="198" spans="2:21" ht="13.5" customHeight="1" x14ac:dyDescent="0.2">
      <c r="B198" s="23" t="str">
        <f>IF(FROTA!B199="","",FROTA!B199)</f>
        <v/>
      </c>
      <c r="C198" s="139" t="str">
        <f>IF(B198="","",VLOOKUP(B198,FROTA!$B$5:$C$306,2,0))</f>
        <v/>
      </c>
      <c r="D198" s="22" t="str">
        <f t="shared" ref="D198:D261" si="18">IF(B198="","",SUM(E198,G198,I198,L198,N198,P198,R198))</f>
        <v/>
      </c>
      <c r="E198" s="4" t="str">
        <f>IF(B198="","",SUM(VLOOKUP(C198,ESCALA!$B$3:$N$19,8,0))*(VLOOKUP(SEM!C199,SEM!$C$5:$AC$305,27,0)))</f>
        <v/>
      </c>
      <c r="F198" s="120" t="str">
        <f>IF(D198="","",ROUNDUP(SEM!$AD199*VLOOKUP(RECEITAS!$C198,ESCALA!$B$3:$N$19,8,0),0))</f>
        <v/>
      </c>
      <c r="G198" s="4" t="str">
        <f>IF(B198="","",(SUM((VLOOKUP(C198,ESCALA!$B$3:$N$19,10,0))*(VLOOKUP(SAB!C199,SAB!$C$5:$AC$305,27,0))/VLOOKUP(C198,PERFIL!$B$4:$M$20,8,0))*VLOOKUP(C198,PERFIL!$B$4:$M$20,11,0)))</f>
        <v/>
      </c>
      <c r="H198" s="120" t="str">
        <f>IF(F198="","",ROUNDUP(SAB!$AD199*VLOOKUP(RECEITAS!$C198,ESCALA!$B$3:$N$19,10,0),0))</f>
        <v/>
      </c>
      <c r="I198" s="4" t="str">
        <f>IF(B198="","",SUM(VLOOKUP(C198,ESCALA!$B$3:$N$19,12,0))*(VLOOKUP(DF!C199,DF!$C$5:$AC$305,27,0))/VLOOKUP(C198,PERFIL!$B$4:$M$20,8,0)*VLOOKUP(C198,PERFIL!$B$4:$M$20,12,0))</f>
        <v/>
      </c>
      <c r="J198" s="120" t="str">
        <f>IF(H198="","",ROUNDUP(DF!$AD199*VLOOKUP(RECEITAS!$C198,ESCALA!$B$3:$N$19,12,0),0))</f>
        <v/>
      </c>
      <c r="K198" s="4" t="str">
        <f>IF(FROTA!AA199="","",FROTA!AA199)</f>
        <v/>
      </c>
      <c r="L198" s="4" t="str">
        <f t="shared" ref="L198:L261" si="19">IF(K198="sim",SUM($E198,$G198,$I198)*0,"")</f>
        <v/>
      </c>
      <c r="M198" s="4" t="str">
        <f>IF(FROTA!AC199="","",FROTA!AC199)</f>
        <v/>
      </c>
      <c r="N198" s="4" t="str">
        <f t="shared" ref="N198:N261" si="20">IF(M198="sim",SUM($E198,$G198,$I198)*0.0085,"")</f>
        <v/>
      </c>
      <c r="O198" s="4" t="str">
        <f>IF(FROTA!AE199="","",FROTA!AE199)</f>
        <v/>
      </c>
      <c r="P198" s="4" t="str">
        <f t="shared" ref="P198:P261" si="21">IF(O198="sim",SUM($E198,$G198,$I198)*0.0085,"")</f>
        <v/>
      </c>
      <c r="Q198" s="4" t="str">
        <f>IF(FROTA!AG199="","",FROTA!AG199)</f>
        <v/>
      </c>
      <c r="R198" s="4" t="str">
        <f t="shared" ref="R198:R261" si="22">IF(Q198="sim",SUM($E198,$G198,$I198)*0.0085,"")</f>
        <v/>
      </c>
      <c r="S198" s="164">
        <f t="shared" si="17"/>
        <v>0</v>
      </c>
      <c r="T198" s="257">
        <v>42989</v>
      </c>
      <c r="U198" s="256" t="s">
        <v>62</v>
      </c>
    </row>
    <row r="199" spans="2:21" ht="13.5" customHeight="1" x14ac:dyDescent="0.2">
      <c r="B199" s="23" t="str">
        <f>IF(FROTA!B200="","",FROTA!B200)</f>
        <v/>
      </c>
      <c r="C199" s="139" t="str">
        <f>IF(B199="","",VLOOKUP(B199,FROTA!$B$5:$C$306,2,0))</f>
        <v/>
      </c>
      <c r="D199" s="22" t="str">
        <f t="shared" si="18"/>
        <v/>
      </c>
      <c r="E199" s="4" t="str">
        <f>IF(B199="","",SUM(VLOOKUP(C199,ESCALA!$B$3:$N$19,8,0))*(VLOOKUP(SEM!C200,SEM!$C$5:$AC$305,27,0)))</f>
        <v/>
      </c>
      <c r="F199" s="120" t="str">
        <f>IF(D199="","",ROUNDUP(SEM!$AD200*VLOOKUP(RECEITAS!$C199,ESCALA!$B$3:$N$19,8,0),0))</f>
        <v/>
      </c>
      <c r="G199" s="4" t="str">
        <f>IF(B199="","",(SUM((VLOOKUP(C199,ESCALA!$B$3:$N$19,10,0))*(VLOOKUP(SAB!C200,SAB!$C$5:$AC$305,27,0))/VLOOKUP(C199,PERFIL!$B$4:$M$20,8,0))*VLOOKUP(C199,PERFIL!$B$4:$M$20,11,0)))</f>
        <v/>
      </c>
      <c r="H199" s="120" t="str">
        <f>IF(F199="","",ROUNDUP(SAB!$AD200*VLOOKUP(RECEITAS!$C199,ESCALA!$B$3:$N$19,10,0),0))</f>
        <v/>
      </c>
      <c r="I199" s="4" t="str">
        <f>IF(B199="","",SUM(VLOOKUP(C199,ESCALA!$B$3:$N$19,12,0))*(VLOOKUP(DF!C200,DF!$C$5:$AC$305,27,0))/VLOOKUP(C199,PERFIL!$B$4:$M$20,8,0)*VLOOKUP(C199,PERFIL!$B$4:$M$20,12,0))</f>
        <v/>
      </c>
      <c r="J199" s="120" t="str">
        <f>IF(H199="","",ROUNDUP(DF!$AD200*VLOOKUP(RECEITAS!$C199,ESCALA!$B$3:$N$19,12,0),0))</f>
        <v/>
      </c>
      <c r="K199" s="4" t="str">
        <f>IF(FROTA!AA200="","",FROTA!AA200)</f>
        <v/>
      </c>
      <c r="L199" s="4" t="str">
        <f t="shared" si="19"/>
        <v/>
      </c>
      <c r="M199" s="4" t="str">
        <f>IF(FROTA!AC200="","",FROTA!AC200)</f>
        <v/>
      </c>
      <c r="N199" s="4" t="str">
        <f t="shared" si="20"/>
        <v/>
      </c>
      <c r="O199" s="4" t="str">
        <f>IF(FROTA!AE200="","",FROTA!AE200)</f>
        <v/>
      </c>
      <c r="P199" s="4" t="str">
        <f t="shared" si="21"/>
        <v/>
      </c>
      <c r="Q199" s="4" t="str">
        <f>IF(FROTA!AG200="","",FROTA!AG200)</f>
        <v/>
      </c>
      <c r="R199" s="4" t="str">
        <f t="shared" si="22"/>
        <v/>
      </c>
      <c r="S199" s="164">
        <f t="shared" ref="S199:S262" si="23">SUM(E199,G199,I199,L199,N199,P199,R199)</f>
        <v>0</v>
      </c>
      <c r="T199" s="257">
        <v>42990</v>
      </c>
      <c r="U199" s="256" t="s">
        <v>63</v>
      </c>
    </row>
    <row r="200" spans="2:21" ht="13.5" customHeight="1" x14ac:dyDescent="0.2">
      <c r="B200" s="23" t="str">
        <f>IF(FROTA!B201="","",FROTA!B201)</f>
        <v/>
      </c>
      <c r="C200" s="139" t="str">
        <f>IF(B200="","",VLOOKUP(B200,FROTA!$B$5:$C$306,2,0))</f>
        <v/>
      </c>
      <c r="D200" s="22" t="str">
        <f t="shared" si="18"/>
        <v/>
      </c>
      <c r="E200" s="4" t="str">
        <f>IF(B200="","",SUM(VLOOKUP(C200,ESCALA!$B$3:$N$19,8,0))*(VLOOKUP(SEM!C201,SEM!$C$5:$AC$305,27,0)))</f>
        <v/>
      </c>
      <c r="F200" s="120" t="str">
        <f>IF(D200="","",ROUNDUP(SEM!$AD201*VLOOKUP(RECEITAS!$C200,ESCALA!$B$3:$N$19,8,0),0))</f>
        <v/>
      </c>
      <c r="G200" s="4" t="str">
        <f>IF(B200="","",(SUM((VLOOKUP(C200,ESCALA!$B$3:$N$19,10,0))*(VLOOKUP(SAB!C201,SAB!$C$5:$AC$305,27,0))/VLOOKUP(C200,PERFIL!$B$4:$M$20,8,0))*VLOOKUP(C200,PERFIL!$B$4:$M$20,11,0)))</f>
        <v/>
      </c>
      <c r="H200" s="120" t="str">
        <f>IF(F200="","",ROUNDUP(SAB!$AD201*VLOOKUP(RECEITAS!$C200,ESCALA!$B$3:$N$19,10,0),0))</f>
        <v/>
      </c>
      <c r="I200" s="4" t="str">
        <f>IF(B200="","",SUM(VLOOKUP(C200,ESCALA!$B$3:$N$19,12,0))*(VLOOKUP(DF!C201,DF!$C$5:$AC$305,27,0))/VLOOKUP(C200,PERFIL!$B$4:$M$20,8,0)*VLOOKUP(C200,PERFIL!$B$4:$M$20,12,0))</f>
        <v/>
      </c>
      <c r="J200" s="120" t="str">
        <f>IF(H200="","",ROUNDUP(DF!$AD201*VLOOKUP(RECEITAS!$C200,ESCALA!$B$3:$N$19,12,0),0))</f>
        <v/>
      </c>
      <c r="K200" s="4" t="str">
        <f>IF(FROTA!AA201="","",FROTA!AA201)</f>
        <v/>
      </c>
      <c r="L200" s="4" t="str">
        <f t="shared" si="19"/>
        <v/>
      </c>
      <c r="M200" s="4" t="str">
        <f>IF(FROTA!AC201="","",FROTA!AC201)</f>
        <v/>
      </c>
      <c r="N200" s="4" t="str">
        <f t="shared" si="20"/>
        <v/>
      </c>
      <c r="O200" s="4" t="str">
        <f>IF(FROTA!AE201="","",FROTA!AE201)</f>
        <v/>
      </c>
      <c r="P200" s="4" t="str">
        <f t="shared" si="21"/>
        <v/>
      </c>
      <c r="Q200" s="4" t="str">
        <f>IF(FROTA!AG201="","",FROTA!AG201)</f>
        <v/>
      </c>
      <c r="R200" s="4" t="str">
        <f t="shared" si="22"/>
        <v/>
      </c>
      <c r="S200" s="164">
        <f t="shared" si="23"/>
        <v>0</v>
      </c>
      <c r="T200" s="257">
        <v>42991</v>
      </c>
      <c r="U200" s="256" t="s">
        <v>64</v>
      </c>
    </row>
    <row r="201" spans="2:21" ht="13.5" customHeight="1" x14ac:dyDescent="0.2">
      <c r="B201" s="23" t="str">
        <f>IF(FROTA!B202="","",FROTA!B202)</f>
        <v/>
      </c>
      <c r="C201" s="139" t="str">
        <f>IF(B201="","",VLOOKUP(B201,FROTA!$B$5:$C$306,2,0))</f>
        <v/>
      </c>
      <c r="D201" s="22" t="str">
        <f t="shared" si="18"/>
        <v/>
      </c>
      <c r="E201" s="4" t="str">
        <f>IF(B201="","",SUM(VLOOKUP(C201,ESCALA!$B$3:$N$19,8,0))*(VLOOKUP(SEM!C202,SEM!$C$5:$AC$305,27,0)))</f>
        <v/>
      </c>
      <c r="F201" s="120" t="str">
        <f>IF(D201="","",ROUNDUP(SEM!$AD202*VLOOKUP(RECEITAS!$C201,ESCALA!$B$3:$N$19,8,0),0))</f>
        <v/>
      </c>
      <c r="G201" s="4" t="str">
        <f>IF(B201="","",(SUM((VLOOKUP(C201,ESCALA!$B$3:$N$19,10,0))*(VLOOKUP(SAB!C202,SAB!$C$5:$AC$305,27,0))/VLOOKUP(C201,PERFIL!$B$4:$M$20,8,0))*VLOOKUP(C201,PERFIL!$B$4:$M$20,11,0)))</f>
        <v/>
      </c>
      <c r="H201" s="120" t="str">
        <f>IF(F201="","",ROUNDUP(SAB!$AD202*VLOOKUP(RECEITAS!$C201,ESCALA!$B$3:$N$19,10,0),0))</f>
        <v/>
      </c>
      <c r="I201" s="4" t="str">
        <f>IF(B201="","",SUM(VLOOKUP(C201,ESCALA!$B$3:$N$19,12,0))*(VLOOKUP(DF!C202,DF!$C$5:$AC$305,27,0))/VLOOKUP(C201,PERFIL!$B$4:$M$20,8,0)*VLOOKUP(C201,PERFIL!$B$4:$M$20,12,0))</f>
        <v/>
      </c>
      <c r="J201" s="120" t="str">
        <f>IF(H201="","",ROUNDUP(DF!$AD202*VLOOKUP(RECEITAS!$C201,ESCALA!$B$3:$N$19,12,0),0))</f>
        <v/>
      </c>
      <c r="K201" s="4" t="str">
        <f>IF(FROTA!AA202="","",FROTA!AA202)</f>
        <v/>
      </c>
      <c r="L201" s="4" t="str">
        <f t="shared" si="19"/>
        <v/>
      </c>
      <c r="M201" s="4" t="str">
        <f>IF(FROTA!AC202="","",FROTA!AC202)</f>
        <v/>
      </c>
      <c r="N201" s="4" t="str">
        <f t="shared" si="20"/>
        <v/>
      </c>
      <c r="O201" s="4" t="str">
        <f>IF(FROTA!AE202="","",FROTA!AE202)</f>
        <v/>
      </c>
      <c r="P201" s="4" t="str">
        <f t="shared" si="21"/>
        <v/>
      </c>
      <c r="Q201" s="4" t="str">
        <f>IF(FROTA!AG202="","",FROTA!AG202)</f>
        <v/>
      </c>
      <c r="R201" s="4" t="str">
        <f t="shared" si="22"/>
        <v/>
      </c>
      <c r="S201" s="164">
        <f t="shared" si="23"/>
        <v>0</v>
      </c>
      <c r="T201" s="257">
        <v>42992</v>
      </c>
      <c r="U201" s="256" t="s">
        <v>59</v>
      </c>
    </row>
    <row r="202" spans="2:21" ht="13.5" customHeight="1" x14ac:dyDescent="0.2">
      <c r="B202" s="23" t="str">
        <f>IF(FROTA!B203="","",FROTA!B203)</f>
        <v/>
      </c>
      <c r="C202" s="139" t="str">
        <f>IF(B202="","",VLOOKUP(B202,FROTA!$B$5:$C$306,2,0))</f>
        <v/>
      </c>
      <c r="D202" s="22" t="str">
        <f t="shared" si="18"/>
        <v/>
      </c>
      <c r="E202" s="4" t="str">
        <f>IF(B202="","",SUM(VLOOKUP(C202,ESCALA!$B$3:$N$19,8,0))*(VLOOKUP(SEM!C203,SEM!$C$5:$AC$305,27,0)))</f>
        <v/>
      </c>
      <c r="F202" s="120" t="str">
        <f>IF(D202="","",ROUNDUP(SEM!$AD203*VLOOKUP(RECEITAS!$C202,ESCALA!$B$3:$N$19,8,0),0))</f>
        <v/>
      </c>
      <c r="G202" s="4" t="str">
        <f>IF(B202="","",(SUM((VLOOKUP(C202,ESCALA!$B$3:$N$19,10,0))*(VLOOKUP(SAB!C203,SAB!$C$5:$AC$305,27,0))/VLOOKUP(C202,PERFIL!$B$4:$M$20,8,0))*VLOOKUP(C202,PERFIL!$B$4:$M$20,11,0)))</f>
        <v/>
      </c>
      <c r="H202" s="120" t="str">
        <f>IF(F202="","",ROUNDUP(SAB!$AD203*VLOOKUP(RECEITAS!$C202,ESCALA!$B$3:$N$19,10,0),0))</f>
        <v/>
      </c>
      <c r="I202" s="4" t="str">
        <f>IF(B202="","",SUM(VLOOKUP(C202,ESCALA!$B$3:$N$19,12,0))*(VLOOKUP(DF!C203,DF!$C$5:$AC$305,27,0))/VLOOKUP(C202,PERFIL!$B$4:$M$20,8,0)*VLOOKUP(C202,PERFIL!$B$4:$M$20,12,0))</f>
        <v/>
      </c>
      <c r="J202" s="120" t="str">
        <f>IF(H202="","",ROUNDUP(DF!$AD203*VLOOKUP(RECEITAS!$C202,ESCALA!$B$3:$N$19,12,0),0))</f>
        <v/>
      </c>
      <c r="K202" s="4" t="str">
        <f>IF(FROTA!AA203="","",FROTA!AA203)</f>
        <v/>
      </c>
      <c r="L202" s="4" t="str">
        <f t="shared" si="19"/>
        <v/>
      </c>
      <c r="M202" s="4" t="str">
        <f>IF(FROTA!AC203="","",FROTA!AC203)</f>
        <v/>
      </c>
      <c r="N202" s="4" t="str">
        <f t="shared" si="20"/>
        <v/>
      </c>
      <c r="O202" s="4" t="str">
        <f>IF(FROTA!AE203="","",FROTA!AE203)</f>
        <v/>
      </c>
      <c r="P202" s="4" t="str">
        <f t="shared" si="21"/>
        <v/>
      </c>
      <c r="Q202" s="4" t="str">
        <f>IF(FROTA!AG203="","",FROTA!AG203)</f>
        <v/>
      </c>
      <c r="R202" s="4" t="str">
        <f t="shared" si="22"/>
        <v/>
      </c>
      <c r="S202" s="164">
        <f t="shared" si="23"/>
        <v>0</v>
      </c>
      <c r="T202" s="257">
        <v>42993</v>
      </c>
      <c r="U202" s="256" t="s">
        <v>60</v>
      </c>
    </row>
    <row r="203" spans="2:21" ht="13.5" customHeight="1" x14ac:dyDescent="0.2">
      <c r="B203" s="23" t="str">
        <f>IF(FROTA!B204="","",FROTA!B204)</f>
        <v/>
      </c>
      <c r="C203" s="139" t="str">
        <f>IF(B203="","",VLOOKUP(B203,FROTA!$B$5:$C$306,2,0))</f>
        <v/>
      </c>
      <c r="D203" s="22" t="str">
        <f t="shared" si="18"/>
        <v/>
      </c>
      <c r="E203" s="4" t="str">
        <f>IF(B203="","",SUM(VLOOKUP(C203,ESCALA!$B$3:$N$19,8,0))*(VLOOKUP(SEM!C204,SEM!$C$5:$AC$305,27,0)))</f>
        <v/>
      </c>
      <c r="F203" s="120" t="str">
        <f>IF(D203="","",ROUNDUP(SEM!$AD204*VLOOKUP(RECEITAS!$C203,ESCALA!$B$3:$N$19,8,0),0))</f>
        <v/>
      </c>
      <c r="G203" s="4" t="str">
        <f>IF(B203="","",(SUM((VLOOKUP(C203,ESCALA!$B$3:$N$19,10,0))*(VLOOKUP(SAB!C204,SAB!$C$5:$AC$305,27,0))/VLOOKUP(C203,PERFIL!$B$4:$M$20,8,0))*VLOOKUP(C203,PERFIL!$B$4:$M$20,11,0)))</f>
        <v/>
      </c>
      <c r="H203" s="120" t="str">
        <f>IF(F203="","",ROUNDUP(SAB!$AD204*VLOOKUP(RECEITAS!$C203,ESCALA!$B$3:$N$19,10,0),0))</f>
        <v/>
      </c>
      <c r="I203" s="4" t="str">
        <f>IF(B203="","",SUM(VLOOKUP(C203,ESCALA!$B$3:$N$19,12,0))*(VLOOKUP(DF!C204,DF!$C$5:$AC$305,27,0))/VLOOKUP(C203,PERFIL!$B$4:$M$20,8,0)*VLOOKUP(C203,PERFIL!$B$4:$M$20,12,0))</f>
        <v/>
      </c>
      <c r="J203" s="120" t="str">
        <f>IF(H203="","",ROUNDUP(DF!$AD204*VLOOKUP(RECEITAS!$C203,ESCALA!$B$3:$N$19,12,0),0))</f>
        <v/>
      </c>
      <c r="K203" s="4" t="str">
        <f>IF(FROTA!AA204="","",FROTA!AA204)</f>
        <v/>
      </c>
      <c r="L203" s="4" t="str">
        <f t="shared" si="19"/>
        <v/>
      </c>
      <c r="M203" s="4" t="str">
        <f>IF(FROTA!AC204="","",FROTA!AC204)</f>
        <v/>
      </c>
      <c r="N203" s="4" t="str">
        <f t="shared" si="20"/>
        <v/>
      </c>
      <c r="O203" s="4" t="str">
        <f>IF(FROTA!AE204="","",FROTA!AE204)</f>
        <v/>
      </c>
      <c r="P203" s="4" t="str">
        <f t="shared" si="21"/>
        <v/>
      </c>
      <c r="Q203" s="4" t="str">
        <f>IF(FROTA!AG204="","",FROTA!AG204)</f>
        <v/>
      </c>
      <c r="R203" s="4" t="str">
        <f t="shared" si="22"/>
        <v/>
      </c>
      <c r="S203" s="164">
        <f t="shared" si="23"/>
        <v>0</v>
      </c>
      <c r="T203" s="257">
        <v>42994</v>
      </c>
      <c r="U203" s="256" t="s">
        <v>61</v>
      </c>
    </row>
    <row r="204" spans="2:21" ht="13.5" customHeight="1" x14ac:dyDescent="0.2">
      <c r="B204" s="23" t="str">
        <f>IF(FROTA!B205="","",FROTA!B205)</f>
        <v/>
      </c>
      <c r="C204" s="139" t="str">
        <f>IF(B204="","",VLOOKUP(B204,FROTA!$B$5:$C$306,2,0))</f>
        <v/>
      </c>
      <c r="D204" s="22" t="str">
        <f t="shared" si="18"/>
        <v/>
      </c>
      <c r="E204" s="4" t="str">
        <f>IF(B204="","",SUM(VLOOKUP(C204,ESCALA!$B$3:$N$19,8,0))*(VLOOKUP(SEM!C205,SEM!$C$5:$AC$305,27,0)))</f>
        <v/>
      </c>
      <c r="F204" s="120" t="str">
        <f>IF(D204="","",ROUNDUP(SEM!$AD205*VLOOKUP(RECEITAS!$C204,ESCALA!$B$3:$N$19,8,0),0))</f>
        <v/>
      </c>
      <c r="G204" s="4" t="str">
        <f>IF(B204="","",(SUM((VLOOKUP(C204,ESCALA!$B$3:$N$19,10,0))*(VLOOKUP(SAB!C205,SAB!$C$5:$AC$305,27,0))/VLOOKUP(C204,PERFIL!$B$4:$M$20,8,0))*VLOOKUP(C204,PERFIL!$B$4:$M$20,11,0)))</f>
        <v/>
      </c>
      <c r="H204" s="120" t="str">
        <f>IF(F204="","",ROUNDUP(SAB!$AD205*VLOOKUP(RECEITAS!$C204,ESCALA!$B$3:$N$19,10,0),0))</f>
        <v/>
      </c>
      <c r="I204" s="4" t="str">
        <f>IF(B204="","",SUM(VLOOKUP(C204,ESCALA!$B$3:$N$19,12,0))*(VLOOKUP(DF!C205,DF!$C$5:$AC$305,27,0))/VLOOKUP(C204,PERFIL!$B$4:$M$20,8,0)*VLOOKUP(C204,PERFIL!$B$4:$M$20,12,0))</f>
        <v/>
      </c>
      <c r="J204" s="120" t="str">
        <f>IF(H204="","",ROUNDUP(DF!$AD205*VLOOKUP(RECEITAS!$C204,ESCALA!$B$3:$N$19,12,0),0))</f>
        <v/>
      </c>
      <c r="K204" s="4" t="str">
        <f>IF(FROTA!AA205="","",FROTA!AA205)</f>
        <v/>
      </c>
      <c r="L204" s="4" t="str">
        <f t="shared" si="19"/>
        <v/>
      </c>
      <c r="M204" s="4" t="str">
        <f>IF(FROTA!AC205="","",FROTA!AC205)</f>
        <v/>
      </c>
      <c r="N204" s="4" t="str">
        <f t="shared" si="20"/>
        <v/>
      </c>
      <c r="O204" s="4" t="str">
        <f>IF(FROTA!AE205="","",FROTA!AE205)</f>
        <v/>
      </c>
      <c r="P204" s="4" t="str">
        <f t="shared" si="21"/>
        <v/>
      </c>
      <c r="Q204" s="4" t="str">
        <f>IF(FROTA!AG205="","",FROTA!AG205)</f>
        <v/>
      </c>
      <c r="R204" s="4" t="str">
        <f t="shared" si="22"/>
        <v/>
      </c>
      <c r="S204" s="164">
        <f t="shared" si="23"/>
        <v>0</v>
      </c>
      <c r="T204" s="257">
        <v>42995</v>
      </c>
      <c r="U204" s="256" t="s">
        <v>58</v>
      </c>
    </row>
    <row r="205" spans="2:21" ht="13.5" customHeight="1" x14ac:dyDescent="0.2">
      <c r="B205" s="23" t="str">
        <f>IF(FROTA!B206="","",FROTA!B206)</f>
        <v/>
      </c>
      <c r="C205" s="139" t="str">
        <f>IF(B205="","",VLOOKUP(B205,FROTA!$B$5:$C$306,2,0))</f>
        <v/>
      </c>
      <c r="D205" s="22" t="str">
        <f t="shared" si="18"/>
        <v/>
      </c>
      <c r="E205" s="4" t="str">
        <f>IF(B205="","",SUM(VLOOKUP(C205,ESCALA!$B$3:$N$19,8,0))*(VLOOKUP(SEM!C206,SEM!$C$5:$AC$305,27,0)))</f>
        <v/>
      </c>
      <c r="F205" s="120" t="str">
        <f>IF(D205="","",ROUNDUP(SEM!$AD206*VLOOKUP(RECEITAS!$C205,ESCALA!$B$3:$N$19,8,0),0))</f>
        <v/>
      </c>
      <c r="G205" s="4" t="str">
        <f>IF(B205="","",(SUM((VLOOKUP(C205,ESCALA!$B$3:$N$19,10,0))*(VLOOKUP(SAB!C206,SAB!$C$5:$AC$305,27,0))/VLOOKUP(C205,PERFIL!$B$4:$M$20,8,0))*VLOOKUP(C205,PERFIL!$B$4:$M$20,11,0)))</f>
        <v/>
      </c>
      <c r="H205" s="120" t="str">
        <f>IF(F205="","",ROUNDUP(SAB!$AD206*VLOOKUP(RECEITAS!$C205,ESCALA!$B$3:$N$19,10,0),0))</f>
        <v/>
      </c>
      <c r="I205" s="4" t="str">
        <f>IF(B205="","",SUM(VLOOKUP(C205,ESCALA!$B$3:$N$19,12,0))*(VLOOKUP(DF!C206,DF!$C$5:$AC$305,27,0))/VLOOKUP(C205,PERFIL!$B$4:$M$20,8,0)*VLOOKUP(C205,PERFIL!$B$4:$M$20,12,0))</f>
        <v/>
      </c>
      <c r="J205" s="120" t="str">
        <f>IF(H205="","",ROUNDUP(DF!$AD206*VLOOKUP(RECEITAS!$C205,ESCALA!$B$3:$N$19,12,0),0))</f>
        <v/>
      </c>
      <c r="K205" s="4" t="str">
        <f>IF(FROTA!AA206="","",FROTA!AA206)</f>
        <v/>
      </c>
      <c r="L205" s="4" t="str">
        <f t="shared" si="19"/>
        <v/>
      </c>
      <c r="M205" s="4" t="str">
        <f>IF(FROTA!AC206="","",FROTA!AC206)</f>
        <v/>
      </c>
      <c r="N205" s="4" t="str">
        <f t="shared" si="20"/>
        <v/>
      </c>
      <c r="O205" s="4" t="str">
        <f>IF(FROTA!AE206="","",FROTA!AE206)</f>
        <v/>
      </c>
      <c r="P205" s="4" t="str">
        <f t="shared" si="21"/>
        <v/>
      </c>
      <c r="Q205" s="4" t="str">
        <f>IF(FROTA!AG206="","",FROTA!AG206)</f>
        <v/>
      </c>
      <c r="R205" s="4" t="str">
        <f t="shared" si="22"/>
        <v/>
      </c>
      <c r="S205" s="164">
        <f t="shared" si="23"/>
        <v>0</v>
      </c>
      <c r="T205" s="257">
        <v>42996</v>
      </c>
      <c r="U205" s="256" t="s">
        <v>62</v>
      </c>
    </row>
    <row r="206" spans="2:21" ht="13.5" customHeight="1" x14ac:dyDescent="0.2">
      <c r="B206" s="23" t="str">
        <f>IF(FROTA!B207="","",FROTA!B207)</f>
        <v/>
      </c>
      <c r="C206" s="139" t="str">
        <f>IF(B206="","",VLOOKUP(B206,FROTA!$B$5:$C$306,2,0))</f>
        <v/>
      </c>
      <c r="D206" s="22" t="str">
        <f t="shared" si="18"/>
        <v/>
      </c>
      <c r="E206" s="4" t="str">
        <f>IF(B206="","",SUM(VLOOKUP(C206,ESCALA!$B$3:$N$19,8,0))*(VLOOKUP(SEM!C207,SEM!$C$5:$AC$305,27,0)))</f>
        <v/>
      </c>
      <c r="F206" s="120" t="str">
        <f>IF(D206="","",ROUNDUP(SEM!$AD207*VLOOKUP(RECEITAS!$C206,ESCALA!$B$3:$N$19,8,0),0))</f>
        <v/>
      </c>
      <c r="G206" s="4" t="str">
        <f>IF(B206="","",(SUM((VLOOKUP(C206,ESCALA!$B$3:$N$19,10,0))*(VLOOKUP(SAB!C207,SAB!$C$5:$AC$305,27,0))/VLOOKUP(C206,PERFIL!$B$4:$M$20,8,0))*VLOOKUP(C206,PERFIL!$B$4:$M$20,11,0)))</f>
        <v/>
      </c>
      <c r="H206" s="120" t="str">
        <f>IF(F206="","",ROUNDUP(SAB!$AD207*VLOOKUP(RECEITAS!$C206,ESCALA!$B$3:$N$19,10,0),0))</f>
        <v/>
      </c>
      <c r="I206" s="4" t="str">
        <f>IF(B206="","",SUM(VLOOKUP(C206,ESCALA!$B$3:$N$19,12,0))*(VLOOKUP(DF!C207,DF!$C$5:$AC$305,27,0))/VLOOKUP(C206,PERFIL!$B$4:$M$20,8,0)*VLOOKUP(C206,PERFIL!$B$4:$M$20,12,0))</f>
        <v/>
      </c>
      <c r="J206" s="120" t="str">
        <f>IF(H206="","",ROUNDUP(DF!$AD207*VLOOKUP(RECEITAS!$C206,ESCALA!$B$3:$N$19,12,0),0))</f>
        <v/>
      </c>
      <c r="K206" s="4" t="str">
        <f>IF(FROTA!AA207="","",FROTA!AA207)</f>
        <v/>
      </c>
      <c r="L206" s="4" t="str">
        <f t="shared" si="19"/>
        <v/>
      </c>
      <c r="M206" s="4" t="str">
        <f>IF(FROTA!AC207="","",FROTA!AC207)</f>
        <v/>
      </c>
      <c r="N206" s="4" t="str">
        <f t="shared" si="20"/>
        <v/>
      </c>
      <c r="O206" s="4" t="str">
        <f>IF(FROTA!AE207="","",FROTA!AE207)</f>
        <v/>
      </c>
      <c r="P206" s="4" t="str">
        <f t="shared" si="21"/>
        <v/>
      </c>
      <c r="Q206" s="4" t="str">
        <f>IF(FROTA!AG207="","",FROTA!AG207)</f>
        <v/>
      </c>
      <c r="R206" s="4" t="str">
        <f t="shared" si="22"/>
        <v/>
      </c>
      <c r="S206" s="164">
        <f t="shared" si="23"/>
        <v>0</v>
      </c>
      <c r="T206" s="257">
        <v>42997</v>
      </c>
      <c r="U206" s="256" t="s">
        <v>63</v>
      </c>
    </row>
    <row r="207" spans="2:21" ht="13.5" customHeight="1" x14ac:dyDescent="0.2">
      <c r="B207" s="23" t="str">
        <f>IF(FROTA!B208="","",FROTA!B208)</f>
        <v/>
      </c>
      <c r="C207" s="139" t="str">
        <f>IF(B207="","",VLOOKUP(B207,FROTA!$B$5:$C$306,2,0))</f>
        <v/>
      </c>
      <c r="D207" s="22" t="str">
        <f t="shared" si="18"/>
        <v/>
      </c>
      <c r="E207" s="4" t="str">
        <f>IF(B207="","",SUM(VLOOKUP(C207,ESCALA!$B$3:$N$19,8,0))*(VLOOKUP(SEM!C208,SEM!$C$5:$AC$305,27,0)))</f>
        <v/>
      </c>
      <c r="F207" s="120" t="str">
        <f>IF(D207="","",ROUNDUP(SEM!$AD208*VLOOKUP(RECEITAS!$C207,ESCALA!$B$3:$N$19,8,0),0))</f>
        <v/>
      </c>
      <c r="G207" s="4" t="str">
        <f>IF(B207="","",(SUM((VLOOKUP(C207,ESCALA!$B$3:$N$19,10,0))*(VLOOKUP(SAB!C208,SAB!$C$5:$AC$305,27,0))/VLOOKUP(C207,PERFIL!$B$4:$M$20,8,0))*VLOOKUP(C207,PERFIL!$B$4:$M$20,11,0)))</f>
        <v/>
      </c>
      <c r="H207" s="120" t="str">
        <f>IF(F207="","",ROUNDUP(SAB!$AD208*VLOOKUP(RECEITAS!$C207,ESCALA!$B$3:$N$19,10,0),0))</f>
        <v/>
      </c>
      <c r="I207" s="4" t="str">
        <f>IF(B207="","",SUM(VLOOKUP(C207,ESCALA!$B$3:$N$19,12,0))*(VLOOKUP(DF!C208,DF!$C$5:$AC$305,27,0))/VLOOKUP(C207,PERFIL!$B$4:$M$20,8,0)*VLOOKUP(C207,PERFIL!$B$4:$M$20,12,0))</f>
        <v/>
      </c>
      <c r="J207" s="120" t="str">
        <f>IF(H207="","",ROUNDUP(DF!$AD208*VLOOKUP(RECEITAS!$C207,ESCALA!$B$3:$N$19,12,0),0))</f>
        <v/>
      </c>
      <c r="K207" s="4" t="str">
        <f>IF(FROTA!AA208="","",FROTA!AA208)</f>
        <v/>
      </c>
      <c r="L207" s="4" t="str">
        <f t="shared" si="19"/>
        <v/>
      </c>
      <c r="M207" s="4" t="str">
        <f>IF(FROTA!AC208="","",FROTA!AC208)</f>
        <v/>
      </c>
      <c r="N207" s="4" t="str">
        <f t="shared" si="20"/>
        <v/>
      </c>
      <c r="O207" s="4" t="str">
        <f>IF(FROTA!AE208="","",FROTA!AE208)</f>
        <v/>
      </c>
      <c r="P207" s="4" t="str">
        <f t="shared" si="21"/>
        <v/>
      </c>
      <c r="Q207" s="4" t="str">
        <f>IF(FROTA!AG208="","",FROTA!AG208)</f>
        <v/>
      </c>
      <c r="R207" s="4" t="str">
        <f t="shared" si="22"/>
        <v/>
      </c>
      <c r="S207" s="164">
        <f t="shared" si="23"/>
        <v>0</v>
      </c>
      <c r="T207" s="257">
        <v>42998</v>
      </c>
      <c r="U207" s="256" t="s">
        <v>64</v>
      </c>
    </row>
    <row r="208" spans="2:21" ht="13.5" customHeight="1" x14ac:dyDescent="0.2">
      <c r="B208" s="23" t="str">
        <f>IF(FROTA!B209="","",FROTA!B209)</f>
        <v/>
      </c>
      <c r="C208" s="139" t="str">
        <f>IF(B208="","",VLOOKUP(B208,FROTA!$B$5:$C$306,2,0))</f>
        <v/>
      </c>
      <c r="D208" s="22" t="str">
        <f t="shared" si="18"/>
        <v/>
      </c>
      <c r="E208" s="4" t="str">
        <f>IF(B208="","",SUM(VLOOKUP(C208,ESCALA!$B$3:$N$19,8,0))*(VLOOKUP(SEM!C209,SEM!$C$5:$AC$305,27,0)))</f>
        <v/>
      </c>
      <c r="F208" s="120" t="str">
        <f>IF(D208="","",ROUNDUP(SEM!$AD209*VLOOKUP(RECEITAS!$C208,ESCALA!$B$3:$N$19,8,0),0))</f>
        <v/>
      </c>
      <c r="G208" s="4" t="str">
        <f>IF(B208="","",(SUM((VLOOKUP(C208,ESCALA!$B$3:$N$19,10,0))*(VLOOKUP(SAB!C209,SAB!$C$5:$AC$305,27,0))/VLOOKUP(C208,PERFIL!$B$4:$M$20,8,0))*VLOOKUP(C208,PERFIL!$B$4:$M$20,11,0)))</f>
        <v/>
      </c>
      <c r="H208" s="120" t="str">
        <f>IF(F208="","",ROUNDUP(SAB!$AD209*VLOOKUP(RECEITAS!$C208,ESCALA!$B$3:$N$19,10,0),0))</f>
        <v/>
      </c>
      <c r="I208" s="4" t="str">
        <f>IF(B208="","",SUM(VLOOKUP(C208,ESCALA!$B$3:$N$19,12,0))*(VLOOKUP(DF!C209,DF!$C$5:$AC$305,27,0))/VLOOKUP(C208,PERFIL!$B$4:$M$20,8,0)*VLOOKUP(C208,PERFIL!$B$4:$M$20,12,0))</f>
        <v/>
      </c>
      <c r="J208" s="120" t="str">
        <f>IF(H208="","",ROUNDUP(DF!$AD209*VLOOKUP(RECEITAS!$C208,ESCALA!$B$3:$N$19,12,0),0))</f>
        <v/>
      </c>
      <c r="K208" s="4" t="str">
        <f>IF(FROTA!AA209="","",FROTA!AA209)</f>
        <v/>
      </c>
      <c r="L208" s="4" t="str">
        <f t="shared" si="19"/>
        <v/>
      </c>
      <c r="M208" s="4" t="str">
        <f>IF(FROTA!AC209="","",FROTA!AC209)</f>
        <v/>
      </c>
      <c r="N208" s="4" t="str">
        <f t="shared" si="20"/>
        <v/>
      </c>
      <c r="O208" s="4" t="str">
        <f>IF(FROTA!AE209="","",FROTA!AE209)</f>
        <v/>
      </c>
      <c r="P208" s="4" t="str">
        <f t="shared" si="21"/>
        <v/>
      </c>
      <c r="Q208" s="4" t="str">
        <f>IF(FROTA!AG209="","",FROTA!AG209)</f>
        <v/>
      </c>
      <c r="R208" s="4" t="str">
        <f t="shared" si="22"/>
        <v/>
      </c>
      <c r="S208" s="164">
        <f t="shared" si="23"/>
        <v>0</v>
      </c>
      <c r="T208" s="257">
        <v>42999</v>
      </c>
      <c r="U208" s="256" t="s">
        <v>59</v>
      </c>
    </row>
    <row r="209" spans="2:21" ht="13.5" customHeight="1" x14ac:dyDescent="0.2">
      <c r="B209" s="23" t="str">
        <f>IF(FROTA!B210="","",FROTA!B210)</f>
        <v/>
      </c>
      <c r="C209" s="139" t="str">
        <f>IF(B209="","",VLOOKUP(B209,FROTA!$B$5:$C$306,2,0))</f>
        <v/>
      </c>
      <c r="D209" s="22" t="str">
        <f t="shared" si="18"/>
        <v/>
      </c>
      <c r="E209" s="4" t="str">
        <f>IF(B209="","",SUM(VLOOKUP(C209,ESCALA!$B$3:$N$19,8,0))*(VLOOKUP(SEM!C210,SEM!$C$5:$AC$305,27,0)))</f>
        <v/>
      </c>
      <c r="F209" s="120" t="str">
        <f>IF(D209="","",ROUNDUP(SEM!$AD210*VLOOKUP(RECEITAS!$C209,ESCALA!$B$3:$N$19,8,0),0))</f>
        <v/>
      </c>
      <c r="G209" s="4" t="str">
        <f>IF(B209="","",(SUM((VLOOKUP(C209,ESCALA!$B$3:$N$19,10,0))*(VLOOKUP(SAB!C210,SAB!$C$5:$AC$305,27,0))/VLOOKUP(C209,PERFIL!$B$4:$M$20,8,0))*VLOOKUP(C209,PERFIL!$B$4:$M$20,11,0)))</f>
        <v/>
      </c>
      <c r="H209" s="120" t="str">
        <f>IF(F209="","",ROUNDUP(SAB!$AD210*VLOOKUP(RECEITAS!$C209,ESCALA!$B$3:$N$19,10,0),0))</f>
        <v/>
      </c>
      <c r="I209" s="4" t="str">
        <f>IF(B209="","",SUM(VLOOKUP(C209,ESCALA!$B$3:$N$19,12,0))*(VLOOKUP(DF!C210,DF!$C$5:$AC$305,27,0))/VLOOKUP(C209,PERFIL!$B$4:$M$20,8,0)*VLOOKUP(C209,PERFIL!$B$4:$M$20,12,0))</f>
        <v/>
      </c>
      <c r="J209" s="120" t="str">
        <f>IF(H209="","",ROUNDUP(DF!$AD210*VLOOKUP(RECEITAS!$C209,ESCALA!$B$3:$N$19,12,0),0))</f>
        <v/>
      </c>
      <c r="K209" s="4" t="str">
        <f>IF(FROTA!AA210="","",FROTA!AA210)</f>
        <v/>
      </c>
      <c r="L209" s="4" t="str">
        <f t="shared" si="19"/>
        <v/>
      </c>
      <c r="M209" s="4" t="str">
        <f>IF(FROTA!AC210="","",FROTA!AC210)</f>
        <v/>
      </c>
      <c r="N209" s="4" t="str">
        <f t="shared" si="20"/>
        <v/>
      </c>
      <c r="O209" s="4" t="str">
        <f>IF(FROTA!AE210="","",FROTA!AE210)</f>
        <v/>
      </c>
      <c r="P209" s="4" t="str">
        <f t="shared" si="21"/>
        <v/>
      </c>
      <c r="Q209" s="4" t="str">
        <f>IF(FROTA!AG210="","",FROTA!AG210)</f>
        <v/>
      </c>
      <c r="R209" s="4" t="str">
        <f t="shared" si="22"/>
        <v/>
      </c>
      <c r="S209" s="164">
        <f t="shared" si="23"/>
        <v>0</v>
      </c>
      <c r="T209" s="257">
        <v>43000</v>
      </c>
      <c r="U209" s="256" t="s">
        <v>60</v>
      </c>
    </row>
    <row r="210" spans="2:21" ht="13.5" customHeight="1" x14ac:dyDescent="0.2">
      <c r="B210" s="23" t="str">
        <f>IF(FROTA!B211="","",FROTA!B211)</f>
        <v/>
      </c>
      <c r="C210" s="139" t="str">
        <f>IF(B210="","",VLOOKUP(B210,FROTA!$B$5:$C$306,2,0))</f>
        <v/>
      </c>
      <c r="D210" s="22" t="str">
        <f t="shared" si="18"/>
        <v/>
      </c>
      <c r="E210" s="4" t="str">
        <f>IF(B210="","",SUM(VLOOKUP(C210,ESCALA!$B$3:$N$19,8,0))*(VLOOKUP(SEM!C211,SEM!$C$5:$AC$305,27,0)))</f>
        <v/>
      </c>
      <c r="F210" s="120" t="str">
        <f>IF(D210="","",ROUNDUP(SEM!$AD211*VLOOKUP(RECEITAS!$C210,ESCALA!$B$3:$N$19,8,0),0))</f>
        <v/>
      </c>
      <c r="G210" s="4" t="str">
        <f>IF(B210="","",(SUM((VLOOKUP(C210,ESCALA!$B$3:$N$19,10,0))*(VLOOKUP(SAB!C211,SAB!$C$5:$AC$305,27,0))/VLOOKUP(C210,PERFIL!$B$4:$M$20,8,0))*VLOOKUP(C210,PERFIL!$B$4:$M$20,11,0)))</f>
        <v/>
      </c>
      <c r="H210" s="120" t="str">
        <f>IF(F210="","",ROUNDUP(SAB!$AD211*VLOOKUP(RECEITAS!$C210,ESCALA!$B$3:$N$19,10,0),0))</f>
        <v/>
      </c>
      <c r="I210" s="4" t="str">
        <f>IF(B210="","",SUM(VLOOKUP(C210,ESCALA!$B$3:$N$19,12,0))*(VLOOKUP(DF!C211,DF!$C$5:$AC$305,27,0))/VLOOKUP(C210,PERFIL!$B$4:$M$20,8,0)*VLOOKUP(C210,PERFIL!$B$4:$M$20,12,0))</f>
        <v/>
      </c>
      <c r="J210" s="120" t="str">
        <f>IF(H210="","",ROUNDUP(DF!$AD211*VLOOKUP(RECEITAS!$C210,ESCALA!$B$3:$N$19,12,0),0))</f>
        <v/>
      </c>
      <c r="K210" s="4" t="str">
        <f>IF(FROTA!AA211="","",FROTA!AA211)</f>
        <v/>
      </c>
      <c r="L210" s="4" t="str">
        <f t="shared" si="19"/>
        <v/>
      </c>
      <c r="M210" s="4" t="str">
        <f>IF(FROTA!AC211="","",FROTA!AC211)</f>
        <v/>
      </c>
      <c r="N210" s="4" t="str">
        <f t="shared" si="20"/>
        <v/>
      </c>
      <c r="O210" s="4" t="str">
        <f>IF(FROTA!AE211="","",FROTA!AE211)</f>
        <v/>
      </c>
      <c r="P210" s="4" t="str">
        <f t="shared" si="21"/>
        <v/>
      </c>
      <c r="Q210" s="4" t="str">
        <f>IF(FROTA!AG211="","",FROTA!AG211)</f>
        <v/>
      </c>
      <c r="R210" s="4" t="str">
        <f t="shared" si="22"/>
        <v/>
      </c>
      <c r="S210" s="164">
        <f t="shared" si="23"/>
        <v>0</v>
      </c>
      <c r="T210" s="257">
        <v>43001</v>
      </c>
      <c r="U210" s="256" t="s">
        <v>61</v>
      </c>
    </row>
    <row r="211" spans="2:21" ht="13.5" customHeight="1" x14ac:dyDescent="0.2">
      <c r="B211" s="23" t="str">
        <f>IF(FROTA!B212="","",FROTA!B212)</f>
        <v/>
      </c>
      <c r="C211" s="139" t="str">
        <f>IF(B211="","",VLOOKUP(B211,FROTA!$B$5:$C$306,2,0))</f>
        <v/>
      </c>
      <c r="D211" s="22" t="str">
        <f t="shared" si="18"/>
        <v/>
      </c>
      <c r="E211" s="4" t="str">
        <f>IF(B211="","",SUM(VLOOKUP(C211,ESCALA!$B$3:$N$19,8,0))*(VLOOKUP(SEM!C212,SEM!$C$5:$AC$305,27,0)))</f>
        <v/>
      </c>
      <c r="F211" s="120" t="str">
        <f>IF(D211="","",ROUNDUP(SEM!$AD212*VLOOKUP(RECEITAS!$C211,ESCALA!$B$3:$N$19,8,0),0))</f>
        <v/>
      </c>
      <c r="G211" s="4" t="str">
        <f>IF(B211="","",(SUM((VLOOKUP(C211,ESCALA!$B$3:$N$19,10,0))*(VLOOKUP(SAB!C212,SAB!$C$5:$AC$305,27,0))/VLOOKUP(C211,PERFIL!$B$4:$M$20,8,0))*VLOOKUP(C211,PERFIL!$B$4:$M$20,11,0)))</f>
        <v/>
      </c>
      <c r="H211" s="120" t="str">
        <f>IF(F211="","",ROUNDUP(SAB!$AD212*VLOOKUP(RECEITAS!$C211,ESCALA!$B$3:$N$19,10,0),0))</f>
        <v/>
      </c>
      <c r="I211" s="4" t="str">
        <f>IF(B211="","",SUM(VLOOKUP(C211,ESCALA!$B$3:$N$19,12,0))*(VLOOKUP(DF!C212,DF!$C$5:$AC$305,27,0))/VLOOKUP(C211,PERFIL!$B$4:$M$20,8,0)*VLOOKUP(C211,PERFIL!$B$4:$M$20,12,0))</f>
        <v/>
      </c>
      <c r="J211" s="120" t="str">
        <f>IF(H211="","",ROUNDUP(DF!$AD212*VLOOKUP(RECEITAS!$C211,ESCALA!$B$3:$N$19,12,0),0))</f>
        <v/>
      </c>
      <c r="K211" s="4" t="str">
        <f>IF(FROTA!AA212="","",FROTA!AA212)</f>
        <v/>
      </c>
      <c r="L211" s="4" t="str">
        <f t="shared" si="19"/>
        <v/>
      </c>
      <c r="M211" s="4" t="str">
        <f>IF(FROTA!AC212="","",FROTA!AC212)</f>
        <v/>
      </c>
      <c r="N211" s="4" t="str">
        <f t="shared" si="20"/>
        <v/>
      </c>
      <c r="O211" s="4" t="str">
        <f>IF(FROTA!AE212="","",FROTA!AE212)</f>
        <v/>
      </c>
      <c r="P211" s="4" t="str">
        <f t="shared" si="21"/>
        <v/>
      </c>
      <c r="Q211" s="4" t="str">
        <f>IF(FROTA!AG212="","",FROTA!AG212)</f>
        <v/>
      </c>
      <c r="R211" s="4" t="str">
        <f t="shared" si="22"/>
        <v/>
      </c>
      <c r="S211" s="164">
        <f t="shared" si="23"/>
        <v>0</v>
      </c>
      <c r="T211" s="257">
        <v>43002</v>
      </c>
      <c r="U211" s="256" t="s">
        <v>58</v>
      </c>
    </row>
    <row r="212" spans="2:21" ht="13.5" customHeight="1" x14ac:dyDescent="0.2">
      <c r="B212" s="23" t="str">
        <f>IF(FROTA!B213="","",FROTA!B213)</f>
        <v/>
      </c>
      <c r="C212" s="139" t="str">
        <f>IF(B212="","",VLOOKUP(B212,FROTA!$B$5:$C$306,2,0))</f>
        <v/>
      </c>
      <c r="D212" s="22" t="str">
        <f t="shared" si="18"/>
        <v/>
      </c>
      <c r="E212" s="4" t="str">
        <f>IF(B212="","",SUM(VLOOKUP(C212,ESCALA!$B$3:$N$19,8,0))*(VLOOKUP(SEM!C213,SEM!$C$5:$AC$305,27,0)))</f>
        <v/>
      </c>
      <c r="F212" s="120" t="str">
        <f>IF(D212="","",ROUNDUP(SEM!$AD213*VLOOKUP(RECEITAS!$C212,ESCALA!$B$3:$N$19,8,0),0))</f>
        <v/>
      </c>
      <c r="G212" s="4" t="str">
        <f>IF(B212="","",(SUM((VLOOKUP(C212,ESCALA!$B$3:$N$19,10,0))*(VLOOKUP(SAB!C213,SAB!$C$5:$AC$305,27,0))/VLOOKUP(C212,PERFIL!$B$4:$M$20,8,0))*VLOOKUP(C212,PERFIL!$B$4:$M$20,11,0)))</f>
        <v/>
      </c>
      <c r="H212" s="120" t="str">
        <f>IF(F212="","",ROUNDUP(SAB!$AD213*VLOOKUP(RECEITAS!$C212,ESCALA!$B$3:$N$19,10,0),0))</f>
        <v/>
      </c>
      <c r="I212" s="4" t="str">
        <f>IF(B212="","",SUM(VLOOKUP(C212,ESCALA!$B$3:$N$19,12,0))*(VLOOKUP(DF!C213,DF!$C$5:$AC$305,27,0))/VLOOKUP(C212,PERFIL!$B$4:$M$20,8,0)*VLOOKUP(C212,PERFIL!$B$4:$M$20,12,0))</f>
        <v/>
      </c>
      <c r="J212" s="120" t="str">
        <f>IF(H212="","",ROUNDUP(DF!$AD213*VLOOKUP(RECEITAS!$C212,ESCALA!$B$3:$N$19,12,0),0))</f>
        <v/>
      </c>
      <c r="K212" s="4" t="str">
        <f>IF(FROTA!AA213="","",FROTA!AA213)</f>
        <v/>
      </c>
      <c r="L212" s="4" t="str">
        <f t="shared" si="19"/>
        <v/>
      </c>
      <c r="M212" s="4" t="str">
        <f>IF(FROTA!AC213="","",FROTA!AC213)</f>
        <v/>
      </c>
      <c r="N212" s="4" t="str">
        <f t="shared" si="20"/>
        <v/>
      </c>
      <c r="O212" s="4" t="str">
        <f>IF(FROTA!AE213="","",FROTA!AE213)</f>
        <v/>
      </c>
      <c r="P212" s="4" t="str">
        <f t="shared" si="21"/>
        <v/>
      </c>
      <c r="Q212" s="4" t="str">
        <f>IF(FROTA!AG213="","",FROTA!AG213)</f>
        <v/>
      </c>
      <c r="R212" s="4" t="str">
        <f t="shared" si="22"/>
        <v/>
      </c>
      <c r="S212" s="164">
        <f t="shared" si="23"/>
        <v>0</v>
      </c>
      <c r="T212" s="257">
        <v>43003</v>
      </c>
      <c r="U212" s="256" t="s">
        <v>62</v>
      </c>
    </row>
    <row r="213" spans="2:21" ht="13.5" customHeight="1" x14ac:dyDescent="0.2">
      <c r="B213" s="23" t="str">
        <f>IF(FROTA!B214="","",FROTA!B214)</f>
        <v/>
      </c>
      <c r="C213" s="139" t="str">
        <f>IF(B213="","",VLOOKUP(B213,FROTA!$B$5:$C$306,2,0))</f>
        <v/>
      </c>
      <c r="D213" s="22" t="str">
        <f t="shared" si="18"/>
        <v/>
      </c>
      <c r="E213" s="4" t="str">
        <f>IF(B213="","",SUM(VLOOKUP(C213,ESCALA!$B$3:$N$19,8,0))*(VLOOKUP(SEM!C214,SEM!$C$5:$AC$305,27,0)))</f>
        <v/>
      </c>
      <c r="F213" s="120" t="str">
        <f>IF(D213="","",ROUNDUP(SEM!$AD214*VLOOKUP(RECEITAS!$C213,ESCALA!$B$3:$N$19,8,0),0))</f>
        <v/>
      </c>
      <c r="G213" s="4" t="str">
        <f>IF(B213="","",(SUM((VLOOKUP(C213,ESCALA!$B$3:$N$19,10,0))*(VLOOKUP(SAB!C214,SAB!$C$5:$AC$305,27,0))/VLOOKUP(C213,PERFIL!$B$4:$M$20,8,0))*VLOOKUP(C213,PERFIL!$B$4:$M$20,11,0)))</f>
        <v/>
      </c>
      <c r="H213" s="120" t="str">
        <f>IF(F213="","",ROUNDUP(SAB!$AD214*VLOOKUP(RECEITAS!$C213,ESCALA!$B$3:$N$19,10,0),0))</f>
        <v/>
      </c>
      <c r="I213" s="4" t="str">
        <f>IF(B213="","",SUM(VLOOKUP(C213,ESCALA!$B$3:$N$19,12,0))*(VLOOKUP(DF!C214,DF!$C$5:$AC$305,27,0))/VLOOKUP(C213,PERFIL!$B$4:$M$20,8,0)*VLOOKUP(C213,PERFIL!$B$4:$M$20,12,0))</f>
        <v/>
      </c>
      <c r="J213" s="120" t="str">
        <f>IF(H213="","",ROUNDUP(DF!$AD214*VLOOKUP(RECEITAS!$C213,ESCALA!$B$3:$N$19,12,0),0))</f>
        <v/>
      </c>
      <c r="K213" s="4" t="str">
        <f>IF(FROTA!AA214="","",FROTA!AA214)</f>
        <v/>
      </c>
      <c r="L213" s="4" t="str">
        <f t="shared" si="19"/>
        <v/>
      </c>
      <c r="M213" s="4" t="str">
        <f>IF(FROTA!AC214="","",FROTA!AC214)</f>
        <v/>
      </c>
      <c r="N213" s="4" t="str">
        <f t="shared" si="20"/>
        <v/>
      </c>
      <c r="O213" s="4" t="str">
        <f>IF(FROTA!AE214="","",FROTA!AE214)</f>
        <v/>
      </c>
      <c r="P213" s="4" t="str">
        <f t="shared" si="21"/>
        <v/>
      </c>
      <c r="Q213" s="4" t="str">
        <f>IF(FROTA!AG214="","",FROTA!AG214)</f>
        <v/>
      </c>
      <c r="R213" s="4" t="str">
        <f t="shared" si="22"/>
        <v/>
      </c>
      <c r="S213" s="164">
        <f t="shared" si="23"/>
        <v>0</v>
      </c>
      <c r="T213" s="257">
        <v>43004</v>
      </c>
      <c r="U213" s="256" t="s">
        <v>63</v>
      </c>
    </row>
    <row r="214" spans="2:21" ht="13.5" customHeight="1" x14ac:dyDescent="0.2">
      <c r="B214" s="23" t="str">
        <f>IF(FROTA!B215="","",FROTA!B215)</f>
        <v/>
      </c>
      <c r="C214" s="139" t="str">
        <f>IF(B214="","",VLOOKUP(B214,FROTA!$B$5:$C$306,2,0))</f>
        <v/>
      </c>
      <c r="D214" s="22" t="str">
        <f t="shared" si="18"/>
        <v/>
      </c>
      <c r="E214" s="4" t="str">
        <f>IF(B214="","",SUM(VLOOKUP(C214,ESCALA!$B$3:$N$19,8,0))*(VLOOKUP(SEM!C215,SEM!$C$5:$AC$305,27,0)))</f>
        <v/>
      </c>
      <c r="F214" s="120" t="str">
        <f>IF(D214="","",ROUNDUP(SEM!$AD215*VLOOKUP(RECEITAS!$C214,ESCALA!$B$3:$N$19,8,0),0))</f>
        <v/>
      </c>
      <c r="G214" s="4" t="str">
        <f>IF(B214="","",(SUM((VLOOKUP(C214,ESCALA!$B$3:$N$19,10,0))*(VLOOKUP(SAB!C215,SAB!$C$5:$AC$305,27,0))/VLOOKUP(C214,PERFIL!$B$4:$M$20,8,0))*VLOOKUP(C214,PERFIL!$B$4:$M$20,11,0)))</f>
        <v/>
      </c>
      <c r="H214" s="120" t="str">
        <f>IF(F214="","",ROUNDUP(SAB!$AD215*VLOOKUP(RECEITAS!$C214,ESCALA!$B$3:$N$19,10,0),0))</f>
        <v/>
      </c>
      <c r="I214" s="4" t="str">
        <f>IF(B214="","",SUM(VLOOKUP(C214,ESCALA!$B$3:$N$19,12,0))*(VLOOKUP(DF!C215,DF!$C$5:$AC$305,27,0))/VLOOKUP(C214,PERFIL!$B$4:$M$20,8,0)*VLOOKUP(C214,PERFIL!$B$4:$M$20,12,0))</f>
        <v/>
      </c>
      <c r="J214" s="120" t="str">
        <f>IF(H214="","",ROUNDUP(DF!$AD215*VLOOKUP(RECEITAS!$C214,ESCALA!$B$3:$N$19,12,0),0))</f>
        <v/>
      </c>
      <c r="K214" s="4" t="str">
        <f>IF(FROTA!AA215="","",FROTA!AA215)</f>
        <v/>
      </c>
      <c r="L214" s="4" t="str">
        <f t="shared" si="19"/>
        <v/>
      </c>
      <c r="M214" s="4" t="str">
        <f>IF(FROTA!AC215="","",FROTA!AC215)</f>
        <v/>
      </c>
      <c r="N214" s="4" t="str">
        <f t="shared" si="20"/>
        <v/>
      </c>
      <c r="O214" s="4" t="str">
        <f>IF(FROTA!AE215="","",FROTA!AE215)</f>
        <v/>
      </c>
      <c r="P214" s="4" t="str">
        <f t="shared" si="21"/>
        <v/>
      </c>
      <c r="Q214" s="4" t="str">
        <f>IF(FROTA!AG215="","",FROTA!AG215)</f>
        <v/>
      </c>
      <c r="R214" s="4" t="str">
        <f t="shared" si="22"/>
        <v/>
      </c>
      <c r="S214" s="164">
        <f t="shared" si="23"/>
        <v>0</v>
      </c>
      <c r="T214" s="257">
        <v>43005</v>
      </c>
      <c r="U214" s="256" t="s">
        <v>64</v>
      </c>
    </row>
    <row r="215" spans="2:21" ht="13.5" customHeight="1" x14ac:dyDescent="0.2">
      <c r="B215" s="23" t="str">
        <f>IF(FROTA!B216="","",FROTA!B216)</f>
        <v/>
      </c>
      <c r="C215" s="139" t="str">
        <f>IF(B215="","",VLOOKUP(B215,FROTA!$B$5:$C$306,2,0))</f>
        <v/>
      </c>
      <c r="D215" s="22" t="str">
        <f t="shared" si="18"/>
        <v/>
      </c>
      <c r="E215" s="4" t="str">
        <f>IF(B215="","",SUM(VLOOKUP(C215,ESCALA!$B$3:$N$19,8,0))*(VLOOKUP(SEM!C216,SEM!$C$5:$AC$305,27,0)))</f>
        <v/>
      </c>
      <c r="F215" s="120" t="str">
        <f>IF(D215="","",ROUNDUP(SEM!$AD216*VLOOKUP(RECEITAS!$C215,ESCALA!$B$3:$N$19,8,0),0))</f>
        <v/>
      </c>
      <c r="G215" s="4" t="str">
        <f>IF(B215="","",(SUM((VLOOKUP(C215,ESCALA!$B$3:$N$19,10,0))*(VLOOKUP(SAB!C216,SAB!$C$5:$AC$305,27,0))/VLOOKUP(C215,PERFIL!$B$4:$M$20,8,0))*VLOOKUP(C215,PERFIL!$B$4:$M$20,11,0)))</f>
        <v/>
      </c>
      <c r="H215" s="120" t="str">
        <f>IF(F215="","",ROUNDUP(SAB!$AD216*VLOOKUP(RECEITAS!$C215,ESCALA!$B$3:$N$19,10,0),0))</f>
        <v/>
      </c>
      <c r="I215" s="4" t="str">
        <f>IF(B215="","",SUM(VLOOKUP(C215,ESCALA!$B$3:$N$19,12,0))*(VLOOKUP(DF!C216,DF!$C$5:$AC$305,27,0))/VLOOKUP(C215,PERFIL!$B$4:$M$20,8,0)*VLOOKUP(C215,PERFIL!$B$4:$M$20,12,0))</f>
        <v/>
      </c>
      <c r="J215" s="120" t="str">
        <f>IF(H215="","",ROUNDUP(DF!$AD216*VLOOKUP(RECEITAS!$C215,ESCALA!$B$3:$N$19,12,0),0))</f>
        <v/>
      </c>
      <c r="K215" s="4" t="str">
        <f>IF(FROTA!AA216="","",FROTA!AA216)</f>
        <v/>
      </c>
      <c r="L215" s="4" t="str">
        <f t="shared" si="19"/>
        <v/>
      </c>
      <c r="M215" s="4" t="str">
        <f>IF(FROTA!AC216="","",FROTA!AC216)</f>
        <v/>
      </c>
      <c r="N215" s="4" t="str">
        <f t="shared" si="20"/>
        <v/>
      </c>
      <c r="O215" s="4" t="str">
        <f>IF(FROTA!AE216="","",FROTA!AE216)</f>
        <v/>
      </c>
      <c r="P215" s="4" t="str">
        <f t="shared" si="21"/>
        <v/>
      </c>
      <c r="Q215" s="4" t="str">
        <f>IF(FROTA!AG216="","",FROTA!AG216)</f>
        <v/>
      </c>
      <c r="R215" s="4" t="str">
        <f t="shared" si="22"/>
        <v/>
      </c>
      <c r="S215" s="164">
        <f t="shared" si="23"/>
        <v>0</v>
      </c>
      <c r="T215" s="257">
        <v>43006</v>
      </c>
      <c r="U215" s="256" t="s">
        <v>59</v>
      </c>
    </row>
    <row r="216" spans="2:21" ht="13.5" customHeight="1" x14ac:dyDescent="0.2">
      <c r="B216" s="23" t="str">
        <f>IF(FROTA!B217="","",FROTA!B217)</f>
        <v/>
      </c>
      <c r="C216" s="139" t="str">
        <f>IF(B216="","",VLOOKUP(B216,FROTA!$B$5:$C$306,2,0))</f>
        <v/>
      </c>
      <c r="D216" s="22" t="str">
        <f t="shared" si="18"/>
        <v/>
      </c>
      <c r="E216" s="4" t="str">
        <f>IF(B216="","",SUM(VLOOKUP(C216,ESCALA!$B$3:$N$19,8,0))*(VLOOKUP(SEM!C217,SEM!$C$5:$AC$305,27,0)))</f>
        <v/>
      </c>
      <c r="F216" s="120" t="str">
        <f>IF(D216="","",ROUNDUP(SEM!$AD217*VLOOKUP(RECEITAS!$C216,ESCALA!$B$3:$N$19,8,0),0))</f>
        <v/>
      </c>
      <c r="G216" s="4" t="str">
        <f>IF(B216="","",(SUM((VLOOKUP(C216,ESCALA!$B$3:$N$19,10,0))*(VLOOKUP(SAB!C217,SAB!$C$5:$AC$305,27,0))/VLOOKUP(C216,PERFIL!$B$4:$M$20,8,0))*VLOOKUP(C216,PERFIL!$B$4:$M$20,11,0)))</f>
        <v/>
      </c>
      <c r="H216" s="120" t="str">
        <f>IF(F216="","",ROUNDUP(SAB!$AD217*VLOOKUP(RECEITAS!$C216,ESCALA!$B$3:$N$19,10,0),0))</f>
        <v/>
      </c>
      <c r="I216" s="4" t="str">
        <f>IF(B216="","",SUM(VLOOKUP(C216,ESCALA!$B$3:$N$19,12,0))*(VLOOKUP(DF!C217,DF!$C$5:$AC$305,27,0))/VLOOKUP(C216,PERFIL!$B$4:$M$20,8,0)*VLOOKUP(C216,PERFIL!$B$4:$M$20,12,0))</f>
        <v/>
      </c>
      <c r="J216" s="120" t="str">
        <f>IF(H216="","",ROUNDUP(DF!$AD217*VLOOKUP(RECEITAS!$C216,ESCALA!$B$3:$N$19,12,0),0))</f>
        <v/>
      </c>
      <c r="K216" s="4" t="str">
        <f>IF(FROTA!AA217="","",FROTA!AA217)</f>
        <v/>
      </c>
      <c r="L216" s="4" t="str">
        <f t="shared" si="19"/>
        <v/>
      </c>
      <c r="M216" s="4" t="str">
        <f>IF(FROTA!AC217="","",FROTA!AC217)</f>
        <v/>
      </c>
      <c r="N216" s="4" t="str">
        <f t="shared" si="20"/>
        <v/>
      </c>
      <c r="O216" s="4" t="str">
        <f>IF(FROTA!AE217="","",FROTA!AE217)</f>
        <v/>
      </c>
      <c r="P216" s="4" t="str">
        <f t="shared" si="21"/>
        <v/>
      </c>
      <c r="Q216" s="4" t="str">
        <f>IF(FROTA!AG217="","",FROTA!AG217)</f>
        <v/>
      </c>
      <c r="R216" s="4" t="str">
        <f t="shared" si="22"/>
        <v/>
      </c>
      <c r="S216" s="164">
        <f t="shared" si="23"/>
        <v>0</v>
      </c>
      <c r="T216" s="257">
        <v>43007</v>
      </c>
      <c r="U216" s="256" t="s">
        <v>60</v>
      </c>
    </row>
    <row r="217" spans="2:21" ht="13.5" customHeight="1" x14ac:dyDescent="0.2">
      <c r="B217" s="23" t="str">
        <f>IF(FROTA!B218="","",FROTA!B218)</f>
        <v/>
      </c>
      <c r="C217" s="139" t="str">
        <f>IF(B217="","",VLOOKUP(B217,FROTA!$B$5:$C$306,2,0))</f>
        <v/>
      </c>
      <c r="D217" s="22" t="str">
        <f t="shared" si="18"/>
        <v/>
      </c>
      <c r="E217" s="4" t="str">
        <f>IF(B217="","",SUM(VLOOKUP(C217,ESCALA!$B$3:$N$19,8,0))*(VLOOKUP(SEM!C218,SEM!$C$5:$AC$305,27,0)))</f>
        <v/>
      </c>
      <c r="F217" s="120" t="str">
        <f>IF(D217="","",ROUNDUP(SEM!$AD218*VLOOKUP(RECEITAS!$C217,ESCALA!$B$3:$N$19,8,0),0))</f>
        <v/>
      </c>
      <c r="G217" s="4" t="str">
        <f>IF(B217="","",(SUM((VLOOKUP(C217,ESCALA!$B$3:$N$19,10,0))*(VLOOKUP(SAB!C218,SAB!$C$5:$AC$305,27,0))/VLOOKUP(C217,PERFIL!$B$4:$M$20,8,0))*VLOOKUP(C217,PERFIL!$B$4:$M$20,11,0)))</f>
        <v/>
      </c>
      <c r="H217" s="120" t="str">
        <f>IF(F217="","",ROUNDUP(SAB!$AD218*VLOOKUP(RECEITAS!$C217,ESCALA!$B$3:$N$19,10,0),0))</f>
        <v/>
      </c>
      <c r="I217" s="4" t="str">
        <f>IF(B217="","",SUM(VLOOKUP(C217,ESCALA!$B$3:$N$19,12,0))*(VLOOKUP(DF!C218,DF!$C$5:$AC$305,27,0))/VLOOKUP(C217,PERFIL!$B$4:$M$20,8,0)*VLOOKUP(C217,PERFIL!$B$4:$M$20,12,0))</f>
        <v/>
      </c>
      <c r="J217" s="120" t="str">
        <f>IF(H217="","",ROUNDUP(DF!$AD218*VLOOKUP(RECEITAS!$C217,ESCALA!$B$3:$N$19,12,0),0))</f>
        <v/>
      </c>
      <c r="K217" s="4" t="str">
        <f>IF(FROTA!AA218="","",FROTA!AA218)</f>
        <v/>
      </c>
      <c r="L217" s="4" t="str">
        <f t="shared" si="19"/>
        <v/>
      </c>
      <c r="M217" s="4" t="str">
        <f>IF(FROTA!AC218="","",FROTA!AC218)</f>
        <v/>
      </c>
      <c r="N217" s="4" t="str">
        <f t="shared" si="20"/>
        <v/>
      </c>
      <c r="O217" s="4" t="str">
        <f>IF(FROTA!AE218="","",FROTA!AE218)</f>
        <v/>
      </c>
      <c r="P217" s="4" t="str">
        <f t="shared" si="21"/>
        <v/>
      </c>
      <c r="Q217" s="4" t="str">
        <f>IF(FROTA!AG218="","",FROTA!AG218)</f>
        <v/>
      </c>
      <c r="R217" s="4" t="str">
        <f t="shared" si="22"/>
        <v/>
      </c>
      <c r="S217" s="164">
        <f t="shared" si="23"/>
        <v>0</v>
      </c>
      <c r="T217" s="257">
        <v>43008</v>
      </c>
      <c r="U217" s="256" t="s">
        <v>61</v>
      </c>
    </row>
    <row r="218" spans="2:21" ht="13.5" customHeight="1" x14ac:dyDescent="0.2">
      <c r="B218" s="23" t="str">
        <f>IF(FROTA!B219="","",FROTA!B219)</f>
        <v/>
      </c>
      <c r="C218" s="139" t="str">
        <f>IF(B218="","",VLOOKUP(B218,FROTA!$B$5:$C$306,2,0))</f>
        <v/>
      </c>
      <c r="D218" s="22" t="str">
        <f t="shared" si="18"/>
        <v/>
      </c>
      <c r="E218" s="4" t="str">
        <f>IF(B218="","",SUM(VLOOKUP(C218,ESCALA!$B$3:$N$19,8,0))*(VLOOKUP(SEM!C219,SEM!$C$5:$AC$305,27,0)))</f>
        <v/>
      </c>
      <c r="F218" s="120" t="str">
        <f>IF(D218="","",ROUNDUP(SEM!$AD219*VLOOKUP(RECEITAS!$C218,ESCALA!$B$3:$N$19,8,0),0))</f>
        <v/>
      </c>
      <c r="G218" s="4" t="str">
        <f>IF(B218="","",(SUM((VLOOKUP(C218,ESCALA!$B$3:$N$19,10,0))*(VLOOKUP(SAB!C219,SAB!$C$5:$AC$305,27,0))/VLOOKUP(C218,PERFIL!$B$4:$M$20,8,0))*VLOOKUP(C218,PERFIL!$B$4:$M$20,11,0)))</f>
        <v/>
      </c>
      <c r="H218" s="120" t="str">
        <f>IF(F218="","",ROUNDUP(SAB!$AD219*VLOOKUP(RECEITAS!$C218,ESCALA!$B$3:$N$19,10,0),0))</f>
        <v/>
      </c>
      <c r="I218" s="4" t="str">
        <f>IF(B218="","",SUM(VLOOKUP(C218,ESCALA!$B$3:$N$19,12,0))*(VLOOKUP(DF!C219,DF!$C$5:$AC$305,27,0))/VLOOKUP(C218,PERFIL!$B$4:$M$20,8,0)*VLOOKUP(C218,PERFIL!$B$4:$M$20,12,0))</f>
        <v/>
      </c>
      <c r="J218" s="120" t="str">
        <f>IF(H218="","",ROUNDUP(DF!$AD219*VLOOKUP(RECEITAS!$C218,ESCALA!$B$3:$N$19,12,0),0))</f>
        <v/>
      </c>
      <c r="K218" s="4" t="str">
        <f>IF(FROTA!AA219="","",FROTA!AA219)</f>
        <v/>
      </c>
      <c r="L218" s="4" t="str">
        <f t="shared" si="19"/>
        <v/>
      </c>
      <c r="M218" s="4" t="str">
        <f>IF(FROTA!AC219="","",FROTA!AC219)</f>
        <v/>
      </c>
      <c r="N218" s="4" t="str">
        <f t="shared" si="20"/>
        <v/>
      </c>
      <c r="O218" s="4" t="str">
        <f>IF(FROTA!AE219="","",FROTA!AE219)</f>
        <v/>
      </c>
      <c r="P218" s="4" t="str">
        <f t="shared" si="21"/>
        <v/>
      </c>
      <c r="Q218" s="4" t="str">
        <f>IF(FROTA!AG219="","",FROTA!AG219)</f>
        <v/>
      </c>
      <c r="R218" s="4" t="str">
        <f t="shared" si="22"/>
        <v/>
      </c>
      <c r="S218" s="164">
        <f t="shared" si="23"/>
        <v>0</v>
      </c>
      <c r="T218" s="257">
        <v>43009</v>
      </c>
      <c r="U218" s="256" t="s">
        <v>58</v>
      </c>
    </row>
    <row r="219" spans="2:21" ht="13.5" customHeight="1" x14ac:dyDescent="0.2">
      <c r="B219" s="23" t="str">
        <f>IF(FROTA!B220="","",FROTA!B220)</f>
        <v/>
      </c>
      <c r="C219" s="139" t="str">
        <f>IF(B219="","",VLOOKUP(B219,FROTA!$B$5:$C$306,2,0))</f>
        <v/>
      </c>
      <c r="D219" s="22" t="str">
        <f t="shared" si="18"/>
        <v/>
      </c>
      <c r="E219" s="4" t="str">
        <f>IF(B219="","",SUM(VLOOKUP(C219,ESCALA!$B$3:$N$19,8,0))*(VLOOKUP(SEM!C220,SEM!$C$5:$AC$305,27,0)))</f>
        <v/>
      </c>
      <c r="F219" s="120" t="str">
        <f>IF(D219="","",ROUNDUP(SEM!$AD220*VLOOKUP(RECEITAS!$C219,ESCALA!$B$3:$N$19,8,0),0))</f>
        <v/>
      </c>
      <c r="G219" s="4" t="str">
        <f>IF(B219="","",(SUM((VLOOKUP(C219,ESCALA!$B$3:$N$19,10,0))*(VLOOKUP(SAB!C220,SAB!$C$5:$AC$305,27,0))/VLOOKUP(C219,PERFIL!$B$4:$M$20,8,0))*VLOOKUP(C219,PERFIL!$B$4:$M$20,11,0)))</f>
        <v/>
      </c>
      <c r="H219" s="120" t="str">
        <f>IF(F219="","",ROUNDUP(SAB!$AD220*VLOOKUP(RECEITAS!$C219,ESCALA!$B$3:$N$19,10,0),0))</f>
        <v/>
      </c>
      <c r="I219" s="4" t="str">
        <f>IF(B219="","",SUM(VLOOKUP(C219,ESCALA!$B$3:$N$19,12,0))*(VLOOKUP(DF!C220,DF!$C$5:$AC$305,27,0))/VLOOKUP(C219,PERFIL!$B$4:$M$20,8,0)*VLOOKUP(C219,PERFIL!$B$4:$M$20,12,0))</f>
        <v/>
      </c>
      <c r="J219" s="120" t="str">
        <f>IF(H219="","",ROUNDUP(DF!$AD220*VLOOKUP(RECEITAS!$C219,ESCALA!$B$3:$N$19,12,0),0))</f>
        <v/>
      </c>
      <c r="K219" s="4" t="str">
        <f>IF(FROTA!AA220="","",FROTA!AA220)</f>
        <v/>
      </c>
      <c r="L219" s="4" t="str">
        <f t="shared" si="19"/>
        <v/>
      </c>
      <c r="M219" s="4" t="str">
        <f>IF(FROTA!AC220="","",FROTA!AC220)</f>
        <v/>
      </c>
      <c r="N219" s="4" t="str">
        <f t="shared" si="20"/>
        <v/>
      </c>
      <c r="O219" s="4" t="str">
        <f>IF(FROTA!AE220="","",FROTA!AE220)</f>
        <v/>
      </c>
      <c r="P219" s="4" t="str">
        <f t="shared" si="21"/>
        <v/>
      </c>
      <c r="Q219" s="4" t="str">
        <f>IF(FROTA!AG220="","",FROTA!AG220)</f>
        <v/>
      </c>
      <c r="R219" s="4" t="str">
        <f t="shared" si="22"/>
        <v/>
      </c>
      <c r="S219" s="164">
        <f t="shared" si="23"/>
        <v>0</v>
      </c>
      <c r="T219" s="257">
        <v>43010</v>
      </c>
      <c r="U219" s="256" t="s">
        <v>62</v>
      </c>
    </row>
    <row r="220" spans="2:21" ht="13.5" customHeight="1" x14ac:dyDescent="0.2">
      <c r="B220" s="23" t="str">
        <f>IF(FROTA!B221="","",FROTA!B221)</f>
        <v/>
      </c>
      <c r="C220" s="139" t="str">
        <f>IF(B220="","",VLOOKUP(B220,FROTA!$B$5:$C$306,2,0))</f>
        <v/>
      </c>
      <c r="D220" s="22" t="str">
        <f t="shared" si="18"/>
        <v/>
      </c>
      <c r="E220" s="4" t="str">
        <f>IF(B220="","",SUM(VLOOKUP(C220,ESCALA!$B$3:$N$19,8,0))*(VLOOKUP(SEM!C221,SEM!$C$5:$AC$305,27,0)))</f>
        <v/>
      </c>
      <c r="F220" s="120" t="str">
        <f>IF(D220="","",ROUNDUP(SEM!$AD221*VLOOKUP(RECEITAS!$C220,ESCALA!$B$3:$N$19,8,0),0))</f>
        <v/>
      </c>
      <c r="G220" s="4" t="str">
        <f>IF(B220="","",(SUM((VLOOKUP(C220,ESCALA!$B$3:$N$19,10,0))*(VLOOKUP(SAB!C221,SAB!$C$5:$AC$305,27,0))/VLOOKUP(C220,PERFIL!$B$4:$M$20,8,0))*VLOOKUP(C220,PERFIL!$B$4:$M$20,11,0)))</f>
        <v/>
      </c>
      <c r="H220" s="120" t="str">
        <f>IF(F220="","",ROUNDUP(SAB!$AD221*VLOOKUP(RECEITAS!$C220,ESCALA!$B$3:$N$19,10,0),0))</f>
        <v/>
      </c>
      <c r="I220" s="4" t="str">
        <f>IF(B220="","",SUM(VLOOKUP(C220,ESCALA!$B$3:$N$19,12,0))*(VLOOKUP(DF!C221,DF!$C$5:$AC$305,27,0))/VLOOKUP(C220,PERFIL!$B$4:$M$20,8,0)*VLOOKUP(C220,PERFIL!$B$4:$M$20,12,0))</f>
        <v/>
      </c>
      <c r="J220" s="120" t="str">
        <f>IF(H220="","",ROUNDUP(DF!$AD221*VLOOKUP(RECEITAS!$C220,ESCALA!$B$3:$N$19,12,0),0))</f>
        <v/>
      </c>
      <c r="K220" s="4" t="str">
        <f>IF(FROTA!AA221="","",FROTA!AA221)</f>
        <v/>
      </c>
      <c r="L220" s="4" t="str">
        <f t="shared" si="19"/>
        <v/>
      </c>
      <c r="M220" s="4" t="str">
        <f>IF(FROTA!AC221="","",FROTA!AC221)</f>
        <v/>
      </c>
      <c r="N220" s="4" t="str">
        <f t="shared" si="20"/>
        <v/>
      </c>
      <c r="O220" s="4" t="str">
        <f>IF(FROTA!AE221="","",FROTA!AE221)</f>
        <v/>
      </c>
      <c r="P220" s="4" t="str">
        <f t="shared" si="21"/>
        <v/>
      </c>
      <c r="Q220" s="4" t="str">
        <f>IF(FROTA!AG221="","",FROTA!AG221)</f>
        <v/>
      </c>
      <c r="R220" s="4" t="str">
        <f t="shared" si="22"/>
        <v/>
      </c>
      <c r="S220" s="164">
        <f t="shared" si="23"/>
        <v>0</v>
      </c>
      <c r="T220" s="257">
        <v>43011</v>
      </c>
      <c r="U220" s="256" t="s">
        <v>63</v>
      </c>
    </row>
    <row r="221" spans="2:21" ht="13.5" customHeight="1" x14ac:dyDescent="0.2">
      <c r="B221" s="23" t="str">
        <f>IF(FROTA!B222="","",FROTA!B222)</f>
        <v/>
      </c>
      <c r="C221" s="139" t="str">
        <f>IF(B221="","",VLOOKUP(B221,FROTA!$B$5:$C$306,2,0))</f>
        <v/>
      </c>
      <c r="D221" s="22" t="str">
        <f t="shared" si="18"/>
        <v/>
      </c>
      <c r="E221" s="4" t="str">
        <f>IF(B221="","",SUM(VLOOKUP(C221,ESCALA!$B$3:$N$19,8,0))*(VLOOKUP(SEM!C222,SEM!$C$5:$AC$305,27,0)))</f>
        <v/>
      </c>
      <c r="F221" s="120" t="str">
        <f>IF(D221="","",ROUNDUP(SEM!$AD222*VLOOKUP(RECEITAS!$C221,ESCALA!$B$3:$N$19,8,0),0))</f>
        <v/>
      </c>
      <c r="G221" s="4" t="str">
        <f>IF(B221="","",(SUM((VLOOKUP(C221,ESCALA!$B$3:$N$19,10,0))*(VLOOKUP(SAB!C222,SAB!$C$5:$AC$305,27,0))/VLOOKUP(C221,PERFIL!$B$4:$M$20,8,0))*VLOOKUP(C221,PERFIL!$B$4:$M$20,11,0)))</f>
        <v/>
      </c>
      <c r="H221" s="120" t="str">
        <f>IF(F221="","",ROUNDUP(SAB!$AD222*VLOOKUP(RECEITAS!$C221,ESCALA!$B$3:$N$19,10,0),0))</f>
        <v/>
      </c>
      <c r="I221" s="4" t="str">
        <f>IF(B221="","",SUM(VLOOKUP(C221,ESCALA!$B$3:$N$19,12,0))*(VLOOKUP(DF!C222,DF!$C$5:$AC$305,27,0))/VLOOKUP(C221,PERFIL!$B$4:$M$20,8,0)*VLOOKUP(C221,PERFIL!$B$4:$M$20,12,0))</f>
        <v/>
      </c>
      <c r="J221" s="120" t="str">
        <f>IF(H221="","",ROUNDUP(DF!$AD222*VLOOKUP(RECEITAS!$C221,ESCALA!$B$3:$N$19,12,0),0))</f>
        <v/>
      </c>
      <c r="K221" s="4" t="str">
        <f>IF(FROTA!AA222="","",FROTA!AA222)</f>
        <v/>
      </c>
      <c r="L221" s="4" t="str">
        <f t="shared" si="19"/>
        <v/>
      </c>
      <c r="M221" s="4" t="str">
        <f>IF(FROTA!AC222="","",FROTA!AC222)</f>
        <v/>
      </c>
      <c r="N221" s="4" t="str">
        <f t="shared" si="20"/>
        <v/>
      </c>
      <c r="O221" s="4" t="str">
        <f>IF(FROTA!AE222="","",FROTA!AE222)</f>
        <v/>
      </c>
      <c r="P221" s="4" t="str">
        <f t="shared" si="21"/>
        <v/>
      </c>
      <c r="Q221" s="4" t="str">
        <f>IF(FROTA!AG222="","",FROTA!AG222)</f>
        <v/>
      </c>
      <c r="R221" s="4" t="str">
        <f t="shared" si="22"/>
        <v/>
      </c>
      <c r="S221" s="164">
        <f t="shared" si="23"/>
        <v>0</v>
      </c>
      <c r="T221" s="257">
        <v>43012</v>
      </c>
      <c r="U221" s="256" t="s">
        <v>64</v>
      </c>
    </row>
    <row r="222" spans="2:21" ht="13.5" customHeight="1" x14ac:dyDescent="0.2">
      <c r="B222" s="23" t="str">
        <f>IF(FROTA!B223="","",FROTA!B223)</f>
        <v/>
      </c>
      <c r="C222" s="139" t="str">
        <f>IF(B222="","",VLOOKUP(B222,FROTA!$B$5:$C$306,2,0))</f>
        <v/>
      </c>
      <c r="D222" s="22" t="str">
        <f t="shared" si="18"/>
        <v/>
      </c>
      <c r="E222" s="4" t="str">
        <f>IF(B222="","",SUM(VLOOKUP(C222,ESCALA!$B$3:$N$19,8,0))*(VLOOKUP(SEM!C223,SEM!$C$5:$AC$305,27,0)))</f>
        <v/>
      </c>
      <c r="F222" s="120" t="str">
        <f>IF(D222="","",ROUNDUP(SEM!$AD223*VLOOKUP(RECEITAS!$C222,ESCALA!$B$3:$N$19,8,0),0))</f>
        <v/>
      </c>
      <c r="G222" s="4" t="str">
        <f>IF(B222="","",(SUM((VLOOKUP(C222,ESCALA!$B$3:$N$19,10,0))*(VLOOKUP(SAB!C223,SAB!$C$5:$AC$305,27,0))/VLOOKUP(C222,PERFIL!$B$4:$M$20,8,0))*VLOOKUP(C222,PERFIL!$B$4:$M$20,11,0)))</f>
        <v/>
      </c>
      <c r="H222" s="120" t="str">
        <f>IF(F222="","",ROUNDUP(SAB!$AD223*VLOOKUP(RECEITAS!$C222,ESCALA!$B$3:$N$19,10,0),0))</f>
        <v/>
      </c>
      <c r="I222" s="4" t="str">
        <f>IF(B222="","",SUM(VLOOKUP(C222,ESCALA!$B$3:$N$19,12,0))*(VLOOKUP(DF!C223,DF!$C$5:$AC$305,27,0))/VLOOKUP(C222,PERFIL!$B$4:$M$20,8,0)*VLOOKUP(C222,PERFIL!$B$4:$M$20,12,0))</f>
        <v/>
      </c>
      <c r="J222" s="120" t="str">
        <f>IF(H222="","",ROUNDUP(DF!$AD223*VLOOKUP(RECEITAS!$C222,ESCALA!$B$3:$N$19,12,0),0))</f>
        <v/>
      </c>
      <c r="K222" s="4" t="str">
        <f>IF(FROTA!AA223="","",FROTA!AA223)</f>
        <v/>
      </c>
      <c r="L222" s="4" t="str">
        <f t="shared" si="19"/>
        <v/>
      </c>
      <c r="M222" s="4" t="str">
        <f>IF(FROTA!AC223="","",FROTA!AC223)</f>
        <v/>
      </c>
      <c r="N222" s="4" t="str">
        <f t="shared" si="20"/>
        <v/>
      </c>
      <c r="O222" s="4" t="str">
        <f>IF(FROTA!AE223="","",FROTA!AE223)</f>
        <v/>
      </c>
      <c r="P222" s="4" t="str">
        <f t="shared" si="21"/>
        <v/>
      </c>
      <c r="Q222" s="4" t="str">
        <f>IF(FROTA!AG223="","",FROTA!AG223)</f>
        <v/>
      </c>
      <c r="R222" s="4" t="str">
        <f t="shared" si="22"/>
        <v/>
      </c>
      <c r="S222" s="164">
        <f t="shared" si="23"/>
        <v>0</v>
      </c>
      <c r="T222" s="257">
        <v>43013</v>
      </c>
      <c r="U222" s="256" t="s">
        <v>59</v>
      </c>
    </row>
    <row r="223" spans="2:21" ht="13.5" customHeight="1" x14ac:dyDescent="0.2">
      <c r="B223" s="23" t="str">
        <f>IF(FROTA!B224="","",FROTA!B224)</f>
        <v/>
      </c>
      <c r="C223" s="139" t="str">
        <f>IF(B223="","",VLOOKUP(B223,FROTA!$B$5:$C$306,2,0))</f>
        <v/>
      </c>
      <c r="D223" s="22" t="str">
        <f t="shared" si="18"/>
        <v/>
      </c>
      <c r="E223" s="4" t="str">
        <f>IF(B223="","",SUM(VLOOKUP(C223,ESCALA!$B$3:$N$19,8,0))*(VLOOKUP(SEM!C224,SEM!$C$5:$AC$305,27,0)))</f>
        <v/>
      </c>
      <c r="F223" s="120" t="str">
        <f>IF(D223="","",ROUNDUP(SEM!$AD224*VLOOKUP(RECEITAS!$C223,ESCALA!$B$3:$N$19,8,0),0))</f>
        <v/>
      </c>
      <c r="G223" s="4" t="str">
        <f>IF(B223="","",(SUM((VLOOKUP(C223,ESCALA!$B$3:$N$19,10,0))*(VLOOKUP(SAB!C224,SAB!$C$5:$AC$305,27,0))/VLOOKUP(C223,PERFIL!$B$4:$M$20,8,0))*VLOOKUP(C223,PERFIL!$B$4:$M$20,11,0)))</f>
        <v/>
      </c>
      <c r="H223" s="120" t="str">
        <f>IF(F223="","",ROUNDUP(SAB!$AD224*VLOOKUP(RECEITAS!$C223,ESCALA!$B$3:$N$19,10,0),0))</f>
        <v/>
      </c>
      <c r="I223" s="4" t="str">
        <f>IF(B223="","",SUM(VLOOKUP(C223,ESCALA!$B$3:$N$19,12,0))*(VLOOKUP(DF!C224,DF!$C$5:$AC$305,27,0))/VLOOKUP(C223,PERFIL!$B$4:$M$20,8,0)*VLOOKUP(C223,PERFIL!$B$4:$M$20,12,0))</f>
        <v/>
      </c>
      <c r="J223" s="120" t="str">
        <f>IF(H223="","",ROUNDUP(DF!$AD224*VLOOKUP(RECEITAS!$C223,ESCALA!$B$3:$N$19,12,0),0))</f>
        <v/>
      </c>
      <c r="K223" s="4" t="str">
        <f>IF(FROTA!AA224="","",FROTA!AA224)</f>
        <v/>
      </c>
      <c r="L223" s="4" t="str">
        <f t="shared" si="19"/>
        <v/>
      </c>
      <c r="M223" s="4" t="str">
        <f>IF(FROTA!AC224="","",FROTA!AC224)</f>
        <v/>
      </c>
      <c r="N223" s="4" t="str">
        <f t="shared" si="20"/>
        <v/>
      </c>
      <c r="O223" s="4" t="str">
        <f>IF(FROTA!AE224="","",FROTA!AE224)</f>
        <v/>
      </c>
      <c r="P223" s="4" t="str">
        <f t="shared" si="21"/>
        <v/>
      </c>
      <c r="Q223" s="4" t="str">
        <f>IF(FROTA!AG224="","",FROTA!AG224)</f>
        <v/>
      </c>
      <c r="R223" s="4" t="str">
        <f t="shared" si="22"/>
        <v/>
      </c>
      <c r="S223" s="164">
        <f t="shared" si="23"/>
        <v>0</v>
      </c>
      <c r="T223" s="257">
        <v>43014</v>
      </c>
      <c r="U223" s="256" t="s">
        <v>60</v>
      </c>
    </row>
    <row r="224" spans="2:21" ht="13.5" customHeight="1" x14ac:dyDescent="0.2">
      <c r="B224" s="23" t="str">
        <f>IF(FROTA!B225="","",FROTA!B225)</f>
        <v/>
      </c>
      <c r="C224" s="139" t="str">
        <f>IF(B224="","",VLOOKUP(B224,FROTA!$B$5:$C$306,2,0))</f>
        <v/>
      </c>
      <c r="D224" s="22" t="str">
        <f t="shared" si="18"/>
        <v/>
      </c>
      <c r="E224" s="4" t="str">
        <f>IF(B224="","",SUM(VLOOKUP(C224,ESCALA!$B$3:$N$19,8,0))*(VLOOKUP(SEM!C225,SEM!$C$5:$AC$305,27,0)))</f>
        <v/>
      </c>
      <c r="F224" s="120" t="str">
        <f>IF(D224="","",ROUNDUP(SEM!$AD225*VLOOKUP(RECEITAS!$C224,ESCALA!$B$3:$N$19,8,0),0))</f>
        <v/>
      </c>
      <c r="G224" s="4" t="str">
        <f>IF(B224="","",(SUM((VLOOKUP(C224,ESCALA!$B$3:$N$19,10,0))*(VLOOKUP(SAB!C225,SAB!$C$5:$AC$305,27,0))/VLOOKUP(C224,PERFIL!$B$4:$M$20,8,0))*VLOOKUP(C224,PERFIL!$B$4:$M$20,11,0)))</f>
        <v/>
      </c>
      <c r="H224" s="120" t="str">
        <f>IF(F224="","",ROUNDUP(SAB!$AD225*VLOOKUP(RECEITAS!$C224,ESCALA!$B$3:$N$19,10,0),0))</f>
        <v/>
      </c>
      <c r="I224" s="4" t="str">
        <f>IF(B224="","",SUM(VLOOKUP(C224,ESCALA!$B$3:$N$19,12,0))*(VLOOKUP(DF!C225,DF!$C$5:$AC$305,27,0))/VLOOKUP(C224,PERFIL!$B$4:$M$20,8,0)*VLOOKUP(C224,PERFIL!$B$4:$M$20,12,0))</f>
        <v/>
      </c>
      <c r="J224" s="120" t="str">
        <f>IF(H224="","",ROUNDUP(DF!$AD225*VLOOKUP(RECEITAS!$C224,ESCALA!$B$3:$N$19,12,0),0))</f>
        <v/>
      </c>
      <c r="K224" s="4" t="str">
        <f>IF(FROTA!AA225="","",FROTA!AA225)</f>
        <v/>
      </c>
      <c r="L224" s="4" t="str">
        <f t="shared" si="19"/>
        <v/>
      </c>
      <c r="M224" s="4" t="str">
        <f>IF(FROTA!AC225="","",FROTA!AC225)</f>
        <v/>
      </c>
      <c r="N224" s="4" t="str">
        <f t="shared" si="20"/>
        <v/>
      </c>
      <c r="O224" s="4" t="str">
        <f>IF(FROTA!AE225="","",FROTA!AE225)</f>
        <v/>
      </c>
      <c r="P224" s="4" t="str">
        <f t="shared" si="21"/>
        <v/>
      </c>
      <c r="Q224" s="4" t="str">
        <f>IF(FROTA!AG225="","",FROTA!AG225)</f>
        <v/>
      </c>
      <c r="R224" s="4" t="str">
        <f t="shared" si="22"/>
        <v/>
      </c>
      <c r="S224" s="164">
        <f t="shared" si="23"/>
        <v>0</v>
      </c>
      <c r="T224" s="257">
        <v>43015</v>
      </c>
      <c r="U224" s="256" t="s">
        <v>61</v>
      </c>
    </row>
    <row r="225" spans="2:21" ht="13.5" customHeight="1" x14ac:dyDescent="0.2">
      <c r="B225" s="23" t="str">
        <f>IF(FROTA!B226="","",FROTA!B226)</f>
        <v/>
      </c>
      <c r="C225" s="139" t="str">
        <f>IF(B225="","",VLOOKUP(B225,FROTA!$B$5:$C$306,2,0))</f>
        <v/>
      </c>
      <c r="D225" s="22" t="str">
        <f t="shared" si="18"/>
        <v/>
      </c>
      <c r="E225" s="4" t="str">
        <f>IF(B225="","",SUM(VLOOKUP(C225,ESCALA!$B$3:$N$19,8,0))*(VLOOKUP(SEM!C226,SEM!$C$5:$AC$305,27,0)))</f>
        <v/>
      </c>
      <c r="F225" s="120" t="str">
        <f>IF(D225="","",ROUNDUP(SEM!$AD226*VLOOKUP(RECEITAS!$C225,ESCALA!$B$3:$N$19,8,0),0))</f>
        <v/>
      </c>
      <c r="G225" s="4" t="str">
        <f>IF(B225="","",(SUM((VLOOKUP(C225,ESCALA!$B$3:$N$19,10,0))*(VLOOKUP(SAB!C226,SAB!$C$5:$AC$305,27,0))/VLOOKUP(C225,PERFIL!$B$4:$M$20,8,0))*VLOOKUP(C225,PERFIL!$B$4:$M$20,11,0)))</f>
        <v/>
      </c>
      <c r="H225" s="120" t="str">
        <f>IF(F225="","",ROUNDUP(SAB!$AD226*VLOOKUP(RECEITAS!$C225,ESCALA!$B$3:$N$19,10,0),0))</f>
        <v/>
      </c>
      <c r="I225" s="4" t="str">
        <f>IF(B225="","",SUM(VLOOKUP(C225,ESCALA!$B$3:$N$19,12,0))*(VLOOKUP(DF!C226,DF!$C$5:$AC$305,27,0))/VLOOKUP(C225,PERFIL!$B$4:$M$20,8,0)*VLOOKUP(C225,PERFIL!$B$4:$M$20,12,0))</f>
        <v/>
      </c>
      <c r="J225" s="120" t="str">
        <f>IF(H225="","",ROUNDUP(DF!$AD226*VLOOKUP(RECEITAS!$C225,ESCALA!$B$3:$N$19,12,0),0))</f>
        <v/>
      </c>
      <c r="K225" s="4" t="str">
        <f>IF(FROTA!AA226="","",FROTA!AA226)</f>
        <v/>
      </c>
      <c r="L225" s="4" t="str">
        <f t="shared" si="19"/>
        <v/>
      </c>
      <c r="M225" s="4" t="str">
        <f>IF(FROTA!AC226="","",FROTA!AC226)</f>
        <v/>
      </c>
      <c r="N225" s="4" t="str">
        <f t="shared" si="20"/>
        <v/>
      </c>
      <c r="O225" s="4" t="str">
        <f>IF(FROTA!AE226="","",FROTA!AE226)</f>
        <v/>
      </c>
      <c r="P225" s="4" t="str">
        <f t="shared" si="21"/>
        <v/>
      </c>
      <c r="Q225" s="4" t="str">
        <f>IF(FROTA!AG226="","",FROTA!AG226)</f>
        <v/>
      </c>
      <c r="R225" s="4" t="str">
        <f t="shared" si="22"/>
        <v/>
      </c>
      <c r="S225" s="164">
        <f t="shared" si="23"/>
        <v>0</v>
      </c>
      <c r="T225" s="257">
        <v>43016</v>
      </c>
      <c r="U225" s="256" t="s">
        <v>58</v>
      </c>
    </row>
    <row r="226" spans="2:21" ht="13.5" customHeight="1" x14ac:dyDescent="0.2">
      <c r="B226" s="23" t="str">
        <f>IF(FROTA!B227="","",FROTA!B227)</f>
        <v/>
      </c>
      <c r="C226" s="139" t="str">
        <f>IF(B226="","",VLOOKUP(B226,FROTA!$B$5:$C$306,2,0))</f>
        <v/>
      </c>
      <c r="D226" s="22" t="str">
        <f t="shared" si="18"/>
        <v/>
      </c>
      <c r="E226" s="4" t="str">
        <f>IF(B226="","",SUM(VLOOKUP(C226,ESCALA!$B$3:$N$19,8,0))*(VLOOKUP(SEM!C227,SEM!$C$5:$AC$305,27,0)))</f>
        <v/>
      </c>
      <c r="F226" s="120" t="str">
        <f>IF(D226="","",ROUNDUP(SEM!$AD227*VLOOKUP(RECEITAS!$C226,ESCALA!$B$3:$N$19,8,0),0))</f>
        <v/>
      </c>
      <c r="G226" s="4" t="str">
        <f>IF(B226="","",(SUM((VLOOKUP(C226,ESCALA!$B$3:$N$19,10,0))*(VLOOKUP(SAB!C227,SAB!$C$5:$AC$305,27,0))/VLOOKUP(C226,PERFIL!$B$4:$M$20,8,0))*VLOOKUP(C226,PERFIL!$B$4:$M$20,11,0)))</f>
        <v/>
      </c>
      <c r="H226" s="120" t="str">
        <f>IF(F226="","",ROUNDUP(SAB!$AD227*VLOOKUP(RECEITAS!$C226,ESCALA!$B$3:$N$19,10,0),0))</f>
        <v/>
      </c>
      <c r="I226" s="4" t="str">
        <f>IF(B226="","",SUM(VLOOKUP(C226,ESCALA!$B$3:$N$19,12,0))*(VLOOKUP(DF!C227,DF!$C$5:$AC$305,27,0))/VLOOKUP(C226,PERFIL!$B$4:$M$20,8,0)*VLOOKUP(C226,PERFIL!$B$4:$M$20,12,0))</f>
        <v/>
      </c>
      <c r="J226" s="120" t="str">
        <f>IF(H226="","",ROUNDUP(DF!$AD227*VLOOKUP(RECEITAS!$C226,ESCALA!$B$3:$N$19,12,0),0))</f>
        <v/>
      </c>
      <c r="K226" s="4" t="str">
        <f>IF(FROTA!AA227="","",FROTA!AA227)</f>
        <v/>
      </c>
      <c r="L226" s="4" t="str">
        <f t="shared" si="19"/>
        <v/>
      </c>
      <c r="M226" s="4" t="str">
        <f>IF(FROTA!AC227="","",FROTA!AC227)</f>
        <v/>
      </c>
      <c r="N226" s="4" t="str">
        <f t="shared" si="20"/>
        <v/>
      </c>
      <c r="O226" s="4" t="str">
        <f>IF(FROTA!AE227="","",FROTA!AE227)</f>
        <v/>
      </c>
      <c r="P226" s="4" t="str">
        <f t="shared" si="21"/>
        <v/>
      </c>
      <c r="Q226" s="4" t="str">
        <f>IF(FROTA!AG227="","",FROTA!AG227)</f>
        <v/>
      </c>
      <c r="R226" s="4" t="str">
        <f t="shared" si="22"/>
        <v/>
      </c>
      <c r="S226" s="164">
        <f t="shared" si="23"/>
        <v>0</v>
      </c>
      <c r="T226" s="257">
        <v>43017</v>
      </c>
      <c r="U226" s="256" t="s">
        <v>62</v>
      </c>
    </row>
    <row r="227" spans="2:21" ht="13.5" customHeight="1" x14ac:dyDescent="0.2">
      <c r="B227" s="23" t="str">
        <f>IF(FROTA!B228="","",FROTA!B228)</f>
        <v/>
      </c>
      <c r="C227" s="139" t="str">
        <f>IF(B227="","",VLOOKUP(B227,FROTA!$B$5:$C$306,2,0))</f>
        <v/>
      </c>
      <c r="D227" s="22" t="str">
        <f t="shared" si="18"/>
        <v/>
      </c>
      <c r="E227" s="4" t="str">
        <f>IF(B227="","",SUM(VLOOKUP(C227,ESCALA!$B$3:$N$19,8,0))*(VLOOKUP(SEM!C228,SEM!$C$5:$AC$305,27,0)))</f>
        <v/>
      </c>
      <c r="F227" s="120" t="str">
        <f>IF(D227="","",ROUNDUP(SEM!$AD228*VLOOKUP(RECEITAS!$C227,ESCALA!$B$3:$N$19,8,0),0))</f>
        <v/>
      </c>
      <c r="G227" s="4" t="str">
        <f>IF(B227="","",(SUM((VLOOKUP(C227,ESCALA!$B$3:$N$19,10,0))*(VLOOKUP(SAB!C228,SAB!$C$5:$AC$305,27,0))/VLOOKUP(C227,PERFIL!$B$4:$M$20,8,0))*VLOOKUP(C227,PERFIL!$B$4:$M$20,11,0)))</f>
        <v/>
      </c>
      <c r="H227" s="120" t="str">
        <f>IF(F227="","",ROUNDUP(SAB!$AD228*VLOOKUP(RECEITAS!$C227,ESCALA!$B$3:$N$19,10,0),0))</f>
        <v/>
      </c>
      <c r="I227" s="4" t="str">
        <f>IF(B227="","",SUM(VLOOKUP(C227,ESCALA!$B$3:$N$19,12,0))*(VLOOKUP(DF!C228,DF!$C$5:$AC$305,27,0))/VLOOKUP(C227,PERFIL!$B$4:$M$20,8,0)*VLOOKUP(C227,PERFIL!$B$4:$M$20,12,0))</f>
        <v/>
      </c>
      <c r="J227" s="120" t="str">
        <f>IF(H227="","",ROUNDUP(DF!$AD228*VLOOKUP(RECEITAS!$C227,ESCALA!$B$3:$N$19,12,0),0))</f>
        <v/>
      </c>
      <c r="K227" s="4" t="str">
        <f>IF(FROTA!AA228="","",FROTA!AA228)</f>
        <v/>
      </c>
      <c r="L227" s="4" t="str">
        <f t="shared" si="19"/>
        <v/>
      </c>
      <c r="M227" s="4" t="str">
        <f>IF(FROTA!AC228="","",FROTA!AC228)</f>
        <v/>
      </c>
      <c r="N227" s="4" t="str">
        <f t="shared" si="20"/>
        <v/>
      </c>
      <c r="O227" s="4" t="str">
        <f>IF(FROTA!AE228="","",FROTA!AE228)</f>
        <v/>
      </c>
      <c r="P227" s="4" t="str">
        <f t="shared" si="21"/>
        <v/>
      </c>
      <c r="Q227" s="4" t="str">
        <f>IF(FROTA!AG228="","",FROTA!AG228)</f>
        <v/>
      </c>
      <c r="R227" s="4" t="str">
        <f t="shared" si="22"/>
        <v/>
      </c>
      <c r="S227" s="164">
        <f t="shared" si="23"/>
        <v>0</v>
      </c>
      <c r="T227" s="257">
        <v>43018</v>
      </c>
      <c r="U227" s="256" t="s">
        <v>63</v>
      </c>
    </row>
    <row r="228" spans="2:21" ht="13.5" customHeight="1" x14ac:dyDescent="0.2">
      <c r="B228" s="23" t="str">
        <f>IF(FROTA!B229="","",FROTA!B229)</f>
        <v/>
      </c>
      <c r="C228" s="139" t="str">
        <f>IF(B228="","",VLOOKUP(B228,FROTA!$B$5:$C$306,2,0))</f>
        <v/>
      </c>
      <c r="D228" s="22" t="str">
        <f t="shared" si="18"/>
        <v/>
      </c>
      <c r="E228" s="4" t="str">
        <f>IF(B228="","",SUM(VLOOKUP(C228,ESCALA!$B$3:$N$19,8,0))*(VLOOKUP(SEM!C229,SEM!$C$5:$AC$305,27,0)))</f>
        <v/>
      </c>
      <c r="F228" s="120" t="str">
        <f>IF(D228="","",ROUNDUP(SEM!$AD229*VLOOKUP(RECEITAS!$C228,ESCALA!$B$3:$N$19,8,0),0))</f>
        <v/>
      </c>
      <c r="G228" s="4" t="str">
        <f>IF(B228="","",(SUM((VLOOKUP(C228,ESCALA!$B$3:$N$19,10,0))*(VLOOKUP(SAB!C229,SAB!$C$5:$AC$305,27,0))/VLOOKUP(C228,PERFIL!$B$4:$M$20,8,0))*VLOOKUP(C228,PERFIL!$B$4:$M$20,11,0)))</f>
        <v/>
      </c>
      <c r="H228" s="120" t="str">
        <f>IF(F228="","",ROUNDUP(SAB!$AD229*VLOOKUP(RECEITAS!$C228,ESCALA!$B$3:$N$19,10,0),0))</f>
        <v/>
      </c>
      <c r="I228" s="4" t="str">
        <f>IF(B228="","",SUM(VLOOKUP(C228,ESCALA!$B$3:$N$19,12,0))*(VLOOKUP(DF!C229,DF!$C$5:$AC$305,27,0))/VLOOKUP(C228,PERFIL!$B$4:$M$20,8,0)*VLOOKUP(C228,PERFIL!$B$4:$M$20,12,0))</f>
        <v/>
      </c>
      <c r="J228" s="120" t="str">
        <f>IF(H228="","",ROUNDUP(DF!$AD229*VLOOKUP(RECEITAS!$C228,ESCALA!$B$3:$N$19,12,0),0))</f>
        <v/>
      </c>
      <c r="K228" s="4" t="str">
        <f>IF(FROTA!AA229="","",FROTA!AA229)</f>
        <v/>
      </c>
      <c r="L228" s="4" t="str">
        <f t="shared" si="19"/>
        <v/>
      </c>
      <c r="M228" s="4" t="str">
        <f>IF(FROTA!AC229="","",FROTA!AC229)</f>
        <v/>
      </c>
      <c r="N228" s="4" t="str">
        <f t="shared" si="20"/>
        <v/>
      </c>
      <c r="O228" s="4" t="str">
        <f>IF(FROTA!AE229="","",FROTA!AE229)</f>
        <v/>
      </c>
      <c r="P228" s="4" t="str">
        <f t="shared" si="21"/>
        <v/>
      </c>
      <c r="Q228" s="4" t="str">
        <f>IF(FROTA!AG229="","",FROTA!AG229)</f>
        <v/>
      </c>
      <c r="R228" s="4" t="str">
        <f t="shared" si="22"/>
        <v/>
      </c>
      <c r="S228" s="164">
        <f t="shared" si="23"/>
        <v>0</v>
      </c>
      <c r="T228" s="257">
        <v>43019</v>
      </c>
      <c r="U228" s="256" t="s">
        <v>64</v>
      </c>
    </row>
    <row r="229" spans="2:21" ht="13.5" customHeight="1" x14ac:dyDescent="0.2">
      <c r="B229" s="23" t="str">
        <f>IF(FROTA!B230="","",FROTA!B230)</f>
        <v/>
      </c>
      <c r="C229" s="139" t="str">
        <f>IF(B229="","",VLOOKUP(B229,FROTA!$B$5:$C$306,2,0))</f>
        <v/>
      </c>
      <c r="D229" s="22" t="str">
        <f t="shared" si="18"/>
        <v/>
      </c>
      <c r="E229" s="4" t="str">
        <f>IF(B229="","",SUM(VLOOKUP(C229,ESCALA!$B$3:$N$19,8,0))*(VLOOKUP(SEM!C230,SEM!$C$5:$AC$305,27,0)))</f>
        <v/>
      </c>
      <c r="F229" s="120" t="str">
        <f>IF(D229="","",ROUNDUP(SEM!$AD230*VLOOKUP(RECEITAS!$C229,ESCALA!$B$3:$N$19,8,0),0))</f>
        <v/>
      </c>
      <c r="G229" s="4" t="str">
        <f>IF(B229="","",(SUM((VLOOKUP(C229,ESCALA!$B$3:$N$19,10,0))*(VLOOKUP(SAB!C230,SAB!$C$5:$AC$305,27,0))/VLOOKUP(C229,PERFIL!$B$4:$M$20,8,0))*VLOOKUP(C229,PERFIL!$B$4:$M$20,11,0)))</f>
        <v/>
      </c>
      <c r="H229" s="120" t="str">
        <f>IF(F229="","",ROUNDUP(SAB!$AD230*VLOOKUP(RECEITAS!$C229,ESCALA!$B$3:$N$19,10,0),0))</f>
        <v/>
      </c>
      <c r="I229" s="4" t="str">
        <f>IF(B229="","",SUM(VLOOKUP(C229,ESCALA!$B$3:$N$19,12,0))*(VLOOKUP(DF!C230,DF!$C$5:$AC$305,27,0))/VLOOKUP(C229,PERFIL!$B$4:$M$20,8,0)*VLOOKUP(C229,PERFIL!$B$4:$M$20,12,0))</f>
        <v/>
      </c>
      <c r="J229" s="120" t="str">
        <f>IF(H229="","",ROUNDUP(DF!$AD230*VLOOKUP(RECEITAS!$C229,ESCALA!$B$3:$N$19,12,0),0))</f>
        <v/>
      </c>
      <c r="K229" s="4" t="str">
        <f>IF(FROTA!AA230="","",FROTA!AA230)</f>
        <v/>
      </c>
      <c r="L229" s="4" t="str">
        <f t="shared" si="19"/>
        <v/>
      </c>
      <c r="M229" s="4" t="str">
        <f>IF(FROTA!AC230="","",FROTA!AC230)</f>
        <v/>
      </c>
      <c r="N229" s="4" t="str">
        <f t="shared" si="20"/>
        <v/>
      </c>
      <c r="O229" s="4" t="str">
        <f>IF(FROTA!AE230="","",FROTA!AE230)</f>
        <v/>
      </c>
      <c r="P229" s="4" t="str">
        <f t="shared" si="21"/>
        <v/>
      </c>
      <c r="Q229" s="4" t="str">
        <f>IF(FROTA!AG230="","",FROTA!AG230)</f>
        <v/>
      </c>
      <c r="R229" s="4" t="str">
        <f t="shared" si="22"/>
        <v/>
      </c>
      <c r="S229" s="164">
        <f t="shared" si="23"/>
        <v>0</v>
      </c>
      <c r="T229" s="257">
        <v>43020</v>
      </c>
      <c r="U229" s="256" t="s">
        <v>65</v>
      </c>
    </row>
    <row r="230" spans="2:21" ht="13.5" customHeight="1" x14ac:dyDescent="0.2">
      <c r="B230" s="23" t="str">
        <f>IF(FROTA!B231="","",FROTA!B231)</f>
        <v/>
      </c>
      <c r="C230" s="139" t="str">
        <f>IF(B230="","",VLOOKUP(B230,FROTA!$B$5:$C$306,2,0))</f>
        <v/>
      </c>
      <c r="D230" s="22" t="str">
        <f t="shared" si="18"/>
        <v/>
      </c>
      <c r="E230" s="4" t="str">
        <f>IF(B230="","",SUM(VLOOKUP(C230,ESCALA!$B$3:$N$19,8,0))*(VLOOKUP(SEM!C231,SEM!$C$5:$AC$305,27,0)))</f>
        <v/>
      </c>
      <c r="F230" s="120" t="str">
        <f>IF(D230="","",ROUNDUP(SEM!$AD231*VLOOKUP(RECEITAS!$C230,ESCALA!$B$3:$N$19,8,0),0))</f>
        <v/>
      </c>
      <c r="G230" s="4" t="str">
        <f>IF(B230="","",(SUM((VLOOKUP(C230,ESCALA!$B$3:$N$19,10,0))*(VLOOKUP(SAB!C231,SAB!$C$5:$AC$305,27,0))/VLOOKUP(C230,PERFIL!$B$4:$M$20,8,0))*VLOOKUP(C230,PERFIL!$B$4:$M$20,11,0)))</f>
        <v/>
      </c>
      <c r="H230" s="120" t="str">
        <f>IF(F230="","",ROUNDUP(SAB!$AD231*VLOOKUP(RECEITAS!$C230,ESCALA!$B$3:$N$19,10,0),0))</f>
        <v/>
      </c>
      <c r="I230" s="4" t="str">
        <f>IF(B230="","",SUM(VLOOKUP(C230,ESCALA!$B$3:$N$19,12,0))*(VLOOKUP(DF!C231,DF!$C$5:$AC$305,27,0))/VLOOKUP(C230,PERFIL!$B$4:$M$20,8,0)*VLOOKUP(C230,PERFIL!$B$4:$M$20,12,0))</f>
        <v/>
      </c>
      <c r="J230" s="120" t="str">
        <f>IF(H230="","",ROUNDUP(DF!$AD231*VLOOKUP(RECEITAS!$C230,ESCALA!$B$3:$N$19,12,0),0))</f>
        <v/>
      </c>
      <c r="K230" s="4" t="str">
        <f>IF(FROTA!AA231="","",FROTA!AA231)</f>
        <v/>
      </c>
      <c r="L230" s="4" t="str">
        <f t="shared" si="19"/>
        <v/>
      </c>
      <c r="M230" s="4" t="str">
        <f>IF(FROTA!AC231="","",FROTA!AC231)</f>
        <v/>
      </c>
      <c r="N230" s="4" t="str">
        <f t="shared" si="20"/>
        <v/>
      </c>
      <c r="O230" s="4" t="str">
        <f>IF(FROTA!AE231="","",FROTA!AE231)</f>
        <v/>
      </c>
      <c r="P230" s="4" t="str">
        <f t="shared" si="21"/>
        <v/>
      </c>
      <c r="Q230" s="4" t="str">
        <f>IF(FROTA!AG231="","",FROTA!AG231)</f>
        <v/>
      </c>
      <c r="R230" s="4" t="str">
        <f t="shared" si="22"/>
        <v/>
      </c>
      <c r="S230" s="164">
        <f t="shared" si="23"/>
        <v>0</v>
      </c>
      <c r="T230" s="257">
        <v>43021</v>
      </c>
      <c r="U230" s="256" t="s">
        <v>60</v>
      </c>
    </row>
    <row r="231" spans="2:21" ht="13.5" customHeight="1" x14ac:dyDescent="0.2">
      <c r="B231" s="23" t="str">
        <f>IF(FROTA!B232="","",FROTA!B232)</f>
        <v/>
      </c>
      <c r="C231" s="139" t="str">
        <f>IF(B231="","",VLOOKUP(B231,FROTA!$B$5:$C$306,2,0))</f>
        <v/>
      </c>
      <c r="D231" s="22" t="str">
        <f t="shared" si="18"/>
        <v/>
      </c>
      <c r="E231" s="4" t="str">
        <f>IF(B231="","",SUM(VLOOKUP(C231,ESCALA!$B$3:$N$19,8,0))*(VLOOKUP(SEM!C232,SEM!$C$5:$AC$305,27,0)))</f>
        <v/>
      </c>
      <c r="F231" s="120" t="str">
        <f>IF(D231="","",ROUNDUP(SEM!$AD232*VLOOKUP(RECEITAS!$C231,ESCALA!$B$3:$N$19,8,0),0))</f>
        <v/>
      </c>
      <c r="G231" s="4" t="str">
        <f>IF(B231="","",(SUM((VLOOKUP(C231,ESCALA!$B$3:$N$19,10,0))*(VLOOKUP(SAB!C232,SAB!$C$5:$AC$305,27,0))/VLOOKUP(C231,PERFIL!$B$4:$M$20,8,0))*VLOOKUP(C231,PERFIL!$B$4:$M$20,11,0)))</f>
        <v/>
      </c>
      <c r="H231" s="120" t="str">
        <f>IF(F231="","",ROUNDUP(SAB!$AD232*VLOOKUP(RECEITAS!$C231,ESCALA!$B$3:$N$19,10,0),0))</f>
        <v/>
      </c>
      <c r="I231" s="4" t="str">
        <f>IF(B231="","",SUM(VLOOKUP(C231,ESCALA!$B$3:$N$19,12,0))*(VLOOKUP(DF!C232,DF!$C$5:$AC$305,27,0))/VLOOKUP(C231,PERFIL!$B$4:$M$20,8,0)*VLOOKUP(C231,PERFIL!$B$4:$M$20,12,0))</f>
        <v/>
      </c>
      <c r="J231" s="120" t="str">
        <f>IF(H231="","",ROUNDUP(DF!$AD232*VLOOKUP(RECEITAS!$C231,ESCALA!$B$3:$N$19,12,0),0))</f>
        <v/>
      </c>
      <c r="K231" s="4" t="str">
        <f>IF(FROTA!AA232="","",FROTA!AA232)</f>
        <v/>
      </c>
      <c r="L231" s="4" t="str">
        <f t="shared" si="19"/>
        <v/>
      </c>
      <c r="M231" s="4" t="str">
        <f>IF(FROTA!AC232="","",FROTA!AC232)</f>
        <v/>
      </c>
      <c r="N231" s="4" t="str">
        <f t="shared" si="20"/>
        <v/>
      </c>
      <c r="O231" s="4" t="str">
        <f>IF(FROTA!AE232="","",FROTA!AE232)</f>
        <v/>
      </c>
      <c r="P231" s="4" t="str">
        <f t="shared" si="21"/>
        <v/>
      </c>
      <c r="Q231" s="4" t="str">
        <f>IF(FROTA!AG232="","",FROTA!AG232)</f>
        <v/>
      </c>
      <c r="R231" s="4" t="str">
        <f t="shared" si="22"/>
        <v/>
      </c>
      <c r="S231" s="164">
        <f t="shared" si="23"/>
        <v>0</v>
      </c>
      <c r="T231" s="257">
        <v>43022</v>
      </c>
      <c r="U231" s="256" t="s">
        <v>61</v>
      </c>
    </row>
    <row r="232" spans="2:21" ht="13.5" customHeight="1" x14ac:dyDescent="0.2">
      <c r="B232" s="23" t="str">
        <f>IF(FROTA!B233="","",FROTA!B233)</f>
        <v/>
      </c>
      <c r="C232" s="139" t="str">
        <f>IF(B232="","",VLOOKUP(B232,FROTA!$B$5:$C$306,2,0))</f>
        <v/>
      </c>
      <c r="D232" s="22" t="str">
        <f t="shared" si="18"/>
        <v/>
      </c>
      <c r="E232" s="4" t="str">
        <f>IF(B232="","",SUM(VLOOKUP(C232,ESCALA!$B$3:$N$19,8,0))*(VLOOKUP(SEM!C233,SEM!$C$5:$AC$305,27,0)))</f>
        <v/>
      </c>
      <c r="F232" s="120" t="str">
        <f>IF(D232="","",ROUNDUP(SEM!$AD233*VLOOKUP(RECEITAS!$C232,ESCALA!$B$3:$N$19,8,0),0))</f>
        <v/>
      </c>
      <c r="G232" s="4" t="str">
        <f>IF(B232="","",(SUM((VLOOKUP(C232,ESCALA!$B$3:$N$19,10,0))*(VLOOKUP(SAB!C233,SAB!$C$5:$AC$305,27,0))/VLOOKUP(C232,PERFIL!$B$4:$M$20,8,0))*VLOOKUP(C232,PERFIL!$B$4:$M$20,11,0)))</f>
        <v/>
      </c>
      <c r="H232" s="120" t="str">
        <f>IF(F232="","",ROUNDUP(SAB!$AD233*VLOOKUP(RECEITAS!$C232,ESCALA!$B$3:$N$19,10,0),0))</f>
        <v/>
      </c>
      <c r="I232" s="4" t="str">
        <f>IF(B232="","",SUM(VLOOKUP(C232,ESCALA!$B$3:$N$19,12,0))*(VLOOKUP(DF!C233,DF!$C$5:$AC$305,27,0))/VLOOKUP(C232,PERFIL!$B$4:$M$20,8,0)*VLOOKUP(C232,PERFIL!$B$4:$M$20,12,0))</f>
        <v/>
      </c>
      <c r="J232" s="120" t="str">
        <f>IF(H232="","",ROUNDUP(DF!$AD233*VLOOKUP(RECEITAS!$C232,ESCALA!$B$3:$N$19,12,0),0))</f>
        <v/>
      </c>
      <c r="K232" s="4" t="str">
        <f>IF(FROTA!AA233="","",FROTA!AA233)</f>
        <v/>
      </c>
      <c r="L232" s="4" t="str">
        <f t="shared" si="19"/>
        <v/>
      </c>
      <c r="M232" s="4" t="str">
        <f>IF(FROTA!AC233="","",FROTA!AC233)</f>
        <v/>
      </c>
      <c r="N232" s="4" t="str">
        <f t="shared" si="20"/>
        <v/>
      </c>
      <c r="O232" s="4" t="str">
        <f>IF(FROTA!AE233="","",FROTA!AE233)</f>
        <v/>
      </c>
      <c r="P232" s="4" t="str">
        <f t="shared" si="21"/>
        <v/>
      </c>
      <c r="Q232" s="4" t="str">
        <f>IF(FROTA!AG233="","",FROTA!AG233)</f>
        <v/>
      </c>
      <c r="R232" s="4" t="str">
        <f t="shared" si="22"/>
        <v/>
      </c>
      <c r="S232" s="164">
        <f t="shared" si="23"/>
        <v>0</v>
      </c>
      <c r="T232" s="257">
        <v>43023</v>
      </c>
      <c r="U232" s="256" t="s">
        <v>58</v>
      </c>
    </row>
    <row r="233" spans="2:21" ht="13.5" customHeight="1" x14ac:dyDescent="0.2">
      <c r="B233" s="23" t="str">
        <f>IF(FROTA!B234="","",FROTA!B234)</f>
        <v/>
      </c>
      <c r="C233" s="139" t="str">
        <f>IF(B233="","",VLOOKUP(B233,FROTA!$B$5:$C$306,2,0))</f>
        <v/>
      </c>
      <c r="D233" s="22" t="str">
        <f t="shared" si="18"/>
        <v/>
      </c>
      <c r="E233" s="4" t="str">
        <f>IF(B233="","",SUM(VLOOKUP(C233,ESCALA!$B$3:$N$19,8,0))*(VLOOKUP(SEM!C234,SEM!$C$5:$AC$305,27,0)))</f>
        <v/>
      </c>
      <c r="F233" s="120" t="str">
        <f>IF(D233="","",ROUNDUP(SEM!$AD234*VLOOKUP(RECEITAS!$C233,ESCALA!$B$3:$N$19,8,0),0))</f>
        <v/>
      </c>
      <c r="G233" s="4" t="str">
        <f>IF(B233="","",(SUM((VLOOKUP(C233,ESCALA!$B$3:$N$19,10,0))*(VLOOKUP(SAB!C234,SAB!$C$5:$AC$305,27,0))/VLOOKUP(C233,PERFIL!$B$4:$M$20,8,0))*VLOOKUP(C233,PERFIL!$B$4:$M$20,11,0)))</f>
        <v/>
      </c>
      <c r="H233" s="120" t="str">
        <f>IF(F233="","",ROUNDUP(SAB!$AD234*VLOOKUP(RECEITAS!$C233,ESCALA!$B$3:$N$19,10,0),0))</f>
        <v/>
      </c>
      <c r="I233" s="4" t="str">
        <f>IF(B233="","",SUM(VLOOKUP(C233,ESCALA!$B$3:$N$19,12,0))*(VLOOKUP(DF!C234,DF!$C$5:$AC$305,27,0))/VLOOKUP(C233,PERFIL!$B$4:$M$20,8,0)*VLOOKUP(C233,PERFIL!$B$4:$M$20,12,0))</f>
        <v/>
      </c>
      <c r="J233" s="120" t="str">
        <f>IF(H233="","",ROUNDUP(DF!$AD234*VLOOKUP(RECEITAS!$C233,ESCALA!$B$3:$N$19,12,0),0))</f>
        <v/>
      </c>
      <c r="K233" s="4" t="str">
        <f>IF(FROTA!AA234="","",FROTA!AA234)</f>
        <v/>
      </c>
      <c r="L233" s="4" t="str">
        <f t="shared" si="19"/>
        <v/>
      </c>
      <c r="M233" s="4" t="str">
        <f>IF(FROTA!AC234="","",FROTA!AC234)</f>
        <v/>
      </c>
      <c r="N233" s="4" t="str">
        <f t="shared" si="20"/>
        <v/>
      </c>
      <c r="O233" s="4" t="str">
        <f>IF(FROTA!AE234="","",FROTA!AE234)</f>
        <v/>
      </c>
      <c r="P233" s="4" t="str">
        <f t="shared" si="21"/>
        <v/>
      </c>
      <c r="Q233" s="4" t="str">
        <f>IF(FROTA!AG234="","",FROTA!AG234)</f>
        <v/>
      </c>
      <c r="R233" s="4" t="str">
        <f t="shared" si="22"/>
        <v/>
      </c>
      <c r="S233" s="164">
        <f t="shared" si="23"/>
        <v>0</v>
      </c>
      <c r="T233" s="257">
        <v>43024</v>
      </c>
      <c r="U233" s="256" t="s">
        <v>62</v>
      </c>
    </row>
    <row r="234" spans="2:21" ht="13.5" customHeight="1" x14ac:dyDescent="0.2">
      <c r="B234" s="23" t="str">
        <f>IF(FROTA!B235="","",FROTA!B235)</f>
        <v/>
      </c>
      <c r="C234" s="139" t="str">
        <f>IF(B234="","",VLOOKUP(B234,FROTA!$B$5:$C$306,2,0))</f>
        <v/>
      </c>
      <c r="D234" s="22" t="str">
        <f t="shared" si="18"/>
        <v/>
      </c>
      <c r="E234" s="4" t="str">
        <f>IF(B234="","",SUM(VLOOKUP(C234,ESCALA!$B$3:$N$19,8,0))*(VLOOKUP(SEM!C235,SEM!$C$5:$AC$305,27,0)))</f>
        <v/>
      </c>
      <c r="F234" s="120" t="str">
        <f>IF(D234="","",ROUNDUP(SEM!$AD235*VLOOKUP(RECEITAS!$C234,ESCALA!$B$3:$N$19,8,0),0))</f>
        <v/>
      </c>
      <c r="G234" s="4" t="str">
        <f>IF(B234="","",(SUM((VLOOKUP(C234,ESCALA!$B$3:$N$19,10,0))*(VLOOKUP(SAB!C235,SAB!$C$5:$AC$305,27,0))/VLOOKUP(C234,PERFIL!$B$4:$M$20,8,0))*VLOOKUP(C234,PERFIL!$B$4:$M$20,11,0)))</f>
        <v/>
      </c>
      <c r="H234" s="120" t="str">
        <f>IF(F234="","",ROUNDUP(SAB!$AD235*VLOOKUP(RECEITAS!$C234,ESCALA!$B$3:$N$19,10,0),0))</f>
        <v/>
      </c>
      <c r="I234" s="4" t="str">
        <f>IF(B234="","",SUM(VLOOKUP(C234,ESCALA!$B$3:$N$19,12,0))*(VLOOKUP(DF!C235,DF!$C$5:$AC$305,27,0))/VLOOKUP(C234,PERFIL!$B$4:$M$20,8,0)*VLOOKUP(C234,PERFIL!$B$4:$M$20,12,0))</f>
        <v/>
      </c>
      <c r="J234" s="120" t="str">
        <f>IF(H234="","",ROUNDUP(DF!$AD235*VLOOKUP(RECEITAS!$C234,ESCALA!$B$3:$N$19,12,0),0))</f>
        <v/>
      </c>
      <c r="K234" s="4" t="str">
        <f>IF(FROTA!AA235="","",FROTA!AA235)</f>
        <v/>
      </c>
      <c r="L234" s="4" t="str">
        <f t="shared" si="19"/>
        <v/>
      </c>
      <c r="M234" s="4" t="str">
        <f>IF(FROTA!AC235="","",FROTA!AC235)</f>
        <v/>
      </c>
      <c r="N234" s="4" t="str">
        <f t="shared" si="20"/>
        <v/>
      </c>
      <c r="O234" s="4" t="str">
        <f>IF(FROTA!AE235="","",FROTA!AE235)</f>
        <v/>
      </c>
      <c r="P234" s="4" t="str">
        <f t="shared" si="21"/>
        <v/>
      </c>
      <c r="Q234" s="4" t="str">
        <f>IF(FROTA!AG235="","",FROTA!AG235)</f>
        <v/>
      </c>
      <c r="R234" s="4" t="str">
        <f t="shared" si="22"/>
        <v/>
      </c>
      <c r="S234" s="164">
        <f t="shared" si="23"/>
        <v>0</v>
      </c>
      <c r="T234" s="257">
        <v>43025</v>
      </c>
      <c r="U234" s="256" t="s">
        <v>63</v>
      </c>
    </row>
    <row r="235" spans="2:21" ht="13.5" customHeight="1" x14ac:dyDescent="0.2">
      <c r="B235" s="23" t="str">
        <f>IF(FROTA!B236="","",FROTA!B236)</f>
        <v/>
      </c>
      <c r="C235" s="139" t="str">
        <f>IF(B235="","",VLOOKUP(B235,FROTA!$B$5:$C$306,2,0))</f>
        <v/>
      </c>
      <c r="D235" s="22" t="str">
        <f t="shared" si="18"/>
        <v/>
      </c>
      <c r="E235" s="4" t="str">
        <f>IF(B235="","",SUM(VLOOKUP(C235,ESCALA!$B$3:$N$19,8,0))*(VLOOKUP(SEM!C236,SEM!$C$5:$AC$305,27,0)))</f>
        <v/>
      </c>
      <c r="F235" s="120" t="str">
        <f>IF(D235="","",ROUNDUP(SEM!$AD236*VLOOKUP(RECEITAS!$C235,ESCALA!$B$3:$N$19,8,0),0))</f>
        <v/>
      </c>
      <c r="G235" s="4" t="str">
        <f>IF(B235="","",(SUM((VLOOKUP(C235,ESCALA!$B$3:$N$19,10,0))*(VLOOKUP(SAB!C236,SAB!$C$5:$AC$305,27,0))/VLOOKUP(C235,PERFIL!$B$4:$M$20,8,0))*VLOOKUP(C235,PERFIL!$B$4:$M$20,11,0)))</f>
        <v/>
      </c>
      <c r="H235" s="120" t="str">
        <f>IF(F235="","",ROUNDUP(SAB!$AD236*VLOOKUP(RECEITAS!$C235,ESCALA!$B$3:$N$19,10,0),0))</f>
        <v/>
      </c>
      <c r="I235" s="4" t="str">
        <f>IF(B235="","",SUM(VLOOKUP(C235,ESCALA!$B$3:$N$19,12,0))*(VLOOKUP(DF!C236,DF!$C$5:$AC$305,27,0))/VLOOKUP(C235,PERFIL!$B$4:$M$20,8,0)*VLOOKUP(C235,PERFIL!$B$4:$M$20,12,0))</f>
        <v/>
      </c>
      <c r="J235" s="120" t="str">
        <f>IF(H235="","",ROUNDUP(DF!$AD236*VLOOKUP(RECEITAS!$C235,ESCALA!$B$3:$N$19,12,0),0))</f>
        <v/>
      </c>
      <c r="K235" s="4" t="str">
        <f>IF(FROTA!AA236="","",FROTA!AA236)</f>
        <v/>
      </c>
      <c r="L235" s="4" t="str">
        <f t="shared" si="19"/>
        <v/>
      </c>
      <c r="M235" s="4" t="str">
        <f>IF(FROTA!AC236="","",FROTA!AC236)</f>
        <v/>
      </c>
      <c r="N235" s="4" t="str">
        <f t="shared" si="20"/>
        <v/>
      </c>
      <c r="O235" s="4" t="str">
        <f>IF(FROTA!AE236="","",FROTA!AE236)</f>
        <v/>
      </c>
      <c r="P235" s="4" t="str">
        <f t="shared" si="21"/>
        <v/>
      </c>
      <c r="Q235" s="4" t="str">
        <f>IF(FROTA!AG236="","",FROTA!AG236)</f>
        <v/>
      </c>
      <c r="R235" s="4" t="str">
        <f t="shared" si="22"/>
        <v/>
      </c>
      <c r="S235" s="164">
        <f t="shared" si="23"/>
        <v>0</v>
      </c>
      <c r="T235" s="257">
        <v>43026</v>
      </c>
      <c r="U235" s="256" t="s">
        <v>64</v>
      </c>
    </row>
    <row r="236" spans="2:21" ht="13.5" customHeight="1" x14ac:dyDescent="0.2">
      <c r="B236" s="23" t="str">
        <f>IF(FROTA!B237="","",FROTA!B237)</f>
        <v/>
      </c>
      <c r="C236" s="139" t="str">
        <f>IF(B236="","",VLOOKUP(B236,FROTA!$B$5:$C$306,2,0))</f>
        <v/>
      </c>
      <c r="D236" s="22" t="str">
        <f t="shared" si="18"/>
        <v/>
      </c>
      <c r="E236" s="4" t="str">
        <f>IF(B236="","",SUM(VLOOKUP(C236,ESCALA!$B$3:$N$19,8,0))*(VLOOKUP(SEM!C237,SEM!$C$5:$AC$305,27,0)))</f>
        <v/>
      </c>
      <c r="F236" s="120" t="str">
        <f>IF(D236="","",ROUNDUP(SEM!$AD237*VLOOKUP(RECEITAS!$C236,ESCALA!$B$3:$N$19,8,0),0))</f>
        <v/>
      </c>
      <c r="G236" s="4" t="str">
        <f>IF(B236="","",(SUM((VLOOKUP(C236,ESCALA!$B$3:$N$19,10,0))*(VLOOKUP(SAB!C237,SAB!$C$5:$AC$305,27,0))/VLOOKUP(C236,PERFIL!$B$4:$M$20,8,0))*VLOOKUP(C236,PERFIL!$B$4:$M$20,11,0)))</f>
        <v/>
      </c>
      <c r="H236" s="120" t="str">
        <f>IF(F236="","",ROUNDUP(SAB!$AD237*VLOOKUP(RECEITAS!$C236,ESCALA!$B$3:$N$19,10,0),0))</f>
        <v/>
      </c>
      <c r="I236" s="4" t="str">
        <f>IF(B236="","",SUM(VLOOKUP(C236,ESCALA!$B$3:$N$19,12,0))*(VLOOKUP(DF!C237,DF!$C$5:$AC$305,27,0))/VLOOKUP(C236,PERFIL!$B$4:$M$20,8,0)*VLOOKUP(C236,PERFIL!$B$4:$M$20,12,0))</f>
        <v/>
      </c>
      <c r="J236" s="120" t="str">
        <f>IF(H236="","",ROUNDUP(DF!$AD237*VLOOKUP(RECEITAS!$C236,ESCALA!$B$3:$N$19,12,0),0))</f>
        <v/>
      </c>
      <c r="K236" s="4" t="str">
        <f>IF(FROTA!AA237="","",FROTA!AA237)</f>
        <v/>
      </c>
      <c r="L236" s="4" t="str">
        <f t="shared" si="19"/>
        <v/>
      </c>
      <c r="M236" s="4" t="str">
        <f>IF(FROTA!AC237="","",FROTA!AC237)</f>
        <v/>
      </c>
      <c r="N236" s="4" t="str">
        <f t="shared" si="20"/>
        <v/>
      </c>
      <c r="O236" s="4" t="str">
        <f>IF(FROTA!AE237="","",FROTA!AE237)</f>
        <v/>
      </c>
      <c r="P236" s="4" t="str">
        <f t="shared" si="21"/>
        <v/>
      </c>
      <c r="Q236" s="4" t="str">
        <f>IF(FROTA!AG237="","",FROTA!AG237)</f>
        <v/>
      </c>
      <c r="R236" s="4" t="str">
        <f t="shared" si="22"/>
        <v/>
      </c>
      <c r="S236" s="164">
        <f t="shared" si="23"/>
        <v>0</v>
      </c>
      <c r="T236" s="257">
        <v>43027</v>
      </c>
      <c r="U236" s="256" t="s">
        <v>59</v>
      </c>
    </row>
    <row r="237" spans="2:21" ht="13.5" customHeight="1" x14ac:dyDescent="0.2">
      <c r="B237" s="23" t="str">
        <f>IF(FROTA!B238="","",FROTA!B238)</f>
        <v/>
      </c>
      <c r="C237" s="139" t="str">
        <f>IF(B237="","",VLOOKUP(B237,FROTA!$B$5:$C$306,2,0))</f>
        <v/>
      </c>
      <c r="D237" s="22" t="str">
        <f t="shared" si="18"/>
        <v/>
      </c>
      <c r="E237" s="4" t="str">
        <f>IF(B237="","",SUM(VLOOKUP(C237,ESCALA!$B$3:$N$19,8,0))*(VLOOKUP(SEM!C238,SEM!$C$5:$AC$305,27,0)))</f>
        <v/>
      </c>
      <c r="F237" s="120" t="str">
        <f>IF(D237="","",ROUNDUP(SEM!$AD238*VLOOKUP(RECEITAS!$C237,ESCALA!$B$3:$N$19,8,0),0))</f>
        <v/>
      </c>
      <c r="G237" s="4" t="str">
        <f>IF(B237="","",(SUM((VLOOKUP(C237,ESCALA!$B$3:$N$19,10,0))*(VLOOKUP(SAB!C238,SAB!$C$5:$AC$305,27,0))/VLOOKUP(C237,PERFIL!$B$4:$M$20,8,0))*VLOOKUP(C237,PERFIL!$B$4:$M$20,11,0)))</f>
        <v/>
      </c>
      <c r="H237" s="120" t="str">
        <f>IF(F237="","",ROUNDUP(SAB!$AD238*VLOOKUP(RECEITAS!$C237,ESCALA!$B$3:$N$19,10,0),0))</f>
        <v/>
      </c>
      <c r="I237" s="4" t="str">
        <f>IF(B237="","",SUM(VLOOKUP(C237,ESCALA!$B$3:$N$19,12,0))*(VLOOKUP(DF!C238,DF!$C$5:$AC$305,27,0))/VLOOKUP(C237,PERFIL!$B$4:$M$20,8,0)*VLOOKUP(C237,PERFIL!$B$4:$M$20,12,0))</f>
        <v/>
      </c>
      <c r="J237" s="120" t="str">
        <f>IF(H237="","",ROUNDUP(DF!$AD238*VLOOKUP(RECEITAS!$C237,ESCALA!$B$3:$N$19,12,0),0))</f>
        <v/>
      </c>
      <c r="K237" s="4" t="str">
        <f>IF(FROTA!AA238="","",FROTA!AA238)</f>
        <v/>
      </c>
      <c r="L237" s="4" t="str">
        <f t="shared" si="19"/>
        <v/>
      </c>
      <c r="M237" s="4" t="str">
        <f>IF(FROTA!AC238="","",FROTA!AC238)</f>
        <v/>
      </c>
      <c r="N237" s="4" t="str">
        <f t="shared" si="20"/>
        <v/>
      </c>
      <c r="O237" s="4" t="str">
        <f>IF(FROTA!AE238="","",FROTA!AE238)</f>
        <v/>
      </c>
      <c r="P237" s="4" t="str">
        <f t="shared" si="21"/>
        <v/>
      </c>
      <c r="Q237" s="4" t="str">
        <f>IF(FROTA!AG238="","",FROTA!AG238)</f>
        <v/>
      </c>
      <c r="R237" s="4" t="str">
        <f t="shared" si="22"/>
        <v/>
      </c>
      <c r="S237" s="164">
        <f t="shared" si="23"/>
        <v>0</v>
      </c>
      <c r="T237" s="257">
        <v>43028</v>
      </c>
      <c r="U237" s="256" t="s">
        <v>60</v>
      </c>
    </row>
    <row r="238" spans="2:21" ht="13.5" customHeight="1" x14ac:dyDescent="0.2">
      <c r="B238" s="23" t="str">
        <f>IF(FROTA!B239="","",FROTA!B239)</f>
        <v/>
      </c>
      <c r="C238" s="139" t="str">
        <f>IF(B238="","",VLOOKUP(B238,FROTA!$B$5:$C$306,2,0))</f>
        <v/>
      </c>
      <c r="D238" s="22" t="str">
        <f t="shared" si="18"/>
        <v/>
      </c>
      <c r="E238" s="4" t="str">
        <f>IF(B238="","",SUM(VLOOKUP(C238,ESCALA!$B$3:$N$19,8,0))*(VLOOKUP(SEM!C239,SEM!$C$5:$AC$305,27,0)))</f>
        <v/>
      </c>
      <c r="F238" s="120" t="str">
        <f>IF(D238="","",ROUNDUP(SEM!$AD239*VLOOKUP(RECEITAS!$C238,ESCALA!$B$3:$N$19,8,0),0))</f>
        <v/>
      </c>
      <c r="G238" s="4" t="str">
        <f>IF(B238="","",(SUM((VLOOKUP(C238,ESCALA!$B$3:$N$19,10,0))*(VLOOKUP(SAB!C239,SAB!$C$5:$AC$305,27,0))/VLOOKUP(C238,PERFIL!$B$4:$M$20,8,0))*VLOOKUP(C238,PERFIL!$B$4:$M$20,11,0)))</f>
        <v/>
      </c>
      <c r="H238" s="120" t="str">
        <f>IF(F238="","",ROUNDUP(SAB!$AD239*VLOOKUP(RECEITAS!$C238,ESCALA!$B$3:$N$19,10,0),0))</f>
        <v/>
      </c>
      <c r="I238" s="4" t="str">
        <f>IF(B238="","",SUM(VLOOKUP(C238,ESCALA!$B$3:$N$19,12,0))*(VLOOKUP(DF!C239,DF!$C$5:$AC$305,27,0))/VLOOKUP(C238,PERFIL!$B$4:$M$20,8,0)*VLOOKUP(C238,PERFIL!$B$4:$M$20,12,0))</f>
        <v/>
      </c>
      <c r="J238" s="120" t="str">
        <f>IF(H238="","",ROUNDUP(DF!$AD239*VLOOKUP(RECEITAS!$C238,ESCALA!$B$3:$N$19,12,0),0))</f>
        <v/>
      </c>
      <c r="K238" s="4" t="str">
        <f>IF(FROTA!AA239="","",FROTA!AA239)</f>
        <v/>
      </c>
      <c r="L238" s="4" t="str">
        <f t="shared" si="19"/>
        <v/>
      </c>
      <c r="M238" s="4" t="str">
        <f>IF(FROTA!AC239="","",FROTA!AC239)</f>
        <v/>
      </c>
      <c r="N238" s="4" t="str">
        <f t="shared" si="20"/>
        <v/>
      </c>
      <c r="O238" s="4" t="str">
        <f>IF(FROTA!AE239="","",FROTA!AE239)</f>
        <v/>
      </c>
      <c r="P238" s="4" t="str">
        <f t="shared" si="21"/>
        <v/>
      </c>
      <c r="Q238" s="4" t="str">
        <f>IF(FROTA!AG239="","",FROTA!AG239)</f>
        <v/>
      </c>
      <c r="R238" s="4" t="str">
        <f t="shared" si="22"/>
        <v/>
      </c>
      <c r="S238" s="164">
        <f t="shared" si="23"/>
        <v>0</v>
      </c>
      <c r="T238" s="257">
        <v>43029</v>
      </c>
      <c r="U238" s="256" t="s">
        <v>61</v>
      </c>
    </row>
    <row r="239" spans="2:21" ht="13.5" customHeight="1" x14ac:dyDescent="0.2">
      <c r="B239" s="23" t="str">
        <f>IF(FROTA!B240="","",FROTA!B240)</f>
        <v/>
      </c>
      <c r="C239" s="139" t="str">
        <f>IF(B239="","",VLOOKUP(B239,FROTA!$B$5:$C$306,2,0))</f>
        <v/>
      </c>
      <c r="D239" s="22" t="str">
        <f t="shared" si="18"/>
        <v/>
      </c>
      <c r="E239" s="4" t="str">
        <f>IF(B239="","",SUM(VLOOKUP(C239,ESCALA!$B$3:$N$19,8,0))*(VLOOKUP(SEM!C240,SEM!$C$5:$AC$305,27,0)))</f>
        <v/>
      </c>
      <c r="F239" s="120" t="str">
        <f>IF(D239="","",ROUNDUP(SEM!$AD240*VLOOKUP(RECEITAS!$C239,ESCALA!$B$3:$N$19,8,0),0))</f>
        <v/>
      </c>
      <c r="G239" s="4" t="str">
        <f>IF(B239="","",(SUM((VLOOKUP(C239,ESCALA!$B$3:$N$19,10,0))*(VLOOKUP(SAB!C240,SAB!$C$5:$AC$305,27,0))/VLOOKUP(C239,PERFIL!$B$4:$M$20,8,0))*VLOOKUP(C239,PERFIL!$B$4:$M$20,11,0)))</f>
        <v/>
      </c>
      <c r="H239" s="120" t="str">
        <f>IF(F239="","",ROUNDUP(SAB!$AD240*VLOOKUP(RECEITAS!$C239,ESCALA!$B$3:$N$19,10,0),0))</f>
        <v/>
      </c>
      <c r="I239" s="4" t="str">
        <f>IF(B239="","",SUM(VLOOKUP(C239,ESCALA!$B$3:$N$19,12,0))*(VLOOKUP(DF!C240,DF!$C$5:$AC$305,27,0))/VLOOKUP(C239,PERFIL!$B$4:$M$20,8,0)*VLOOKUP(C239,PERFIL!$B$4:$M$20,12,0))</f>
        <v/>
      </c>
      <c r="J239" s="120" t="str">
        <f>IF(H239="","",ROUNDUP(DF!$AD240*VLOOKUP(RECEITAS!$C239,ESCALA!$B$3:$N$19,12,0),0))</f>
        <v/>
      </c>
      <c r="K239" s="4" t="str">
        <f>IF(FROTA!AA240="","",FROTA!AA240)</f>
        <v/>
      </c>
      <c r="L239" s="4" t="str">
        <f t="shared" si="19"/>
        <v/>
      </c>
      <c r="M239" s="4" t="str">
        <f>IF(FROTA!AC240="","",FROTA!AC240)</f>
        <v/>
      </c>
      <c r="N239" s="4" t="str">
        <f t="shared" si="20"/>
        <v/>
      </c>
      <c r="O239" s="4" t="str">
        <f>IF(FROTA!AE240="","",FROTA!AE240)</f>
        <v/>
      </c>
      <c r="P239" s="4" t="str">
        <f t="shared" si="21"/>
        <v/>
      </c>
      <c r="Q239" s="4" t="str">
        <f>IF(FROTA!AG240="","",FROTA!AG240)</f>
        <v/>
      </c>
      <c r="R239" s="4" t="str">
        <f t="shared" si="22"/>
        <v/>
      </c>
      <c r="S239" s="164">
        <f t="shared" si="23"/>
        <v>0</v>
      </c>
      <c r="T239" s="257">
        <v>43030</v>
      </c>
      <c r="U239" s="256" t="s">
        <v>58</v>
      </c>
    </row>
    <row r="240" spans="2:21" ht="13.5" customHeight="1" x14ac:dyDescent="0.2">
      <c r="B240" s="23" t="str">
        <f>IF(FROTA!B241="","",FROTA!B241)</f>
        <v/>
      </c>
      <c r="C240" s="139" t="str">
        <f>IF(B240="","",VLOOKUP(B240,FROTA!$B$5:$C$306,2,0))</f>
        <v/>
      </c>
      <c r="D240" s="22" t="str">
        <f t="shared" si="18"/>
        <v/>
      </c>
      <c r="E240" s="4" t="str">
        <f>IF(B240="","",SUM(VLOOKUP(C240,ESCALA!$B$3:$N$19,8,0))*(VLOOKUP(SEM!C241,SEM!$C$5:$AC$305,27,0)))</f>
        <v/>
      </c>
      <c r="F240" s="120" t="str">
        <f>IF(D240="","",ROUNDUP(SEM!$AD241*VLOOKUP(RECEITAS!$C240,ESCALA!$B$3:$N$19,8,0),0))</f>
        <v/>
      </c>
      <c r="G240" s="4" t="str">
        <f>IF(B240="","",(SUM((VLOOKUP(C240,ESCALA!$B$3:$N$19,10,0))*(VLOOKUP(SAB!C241,SAB!$C$5:$AC$305,27,0))/VLOOKUP(C240,PERFIL!$B$4:$M$20,8,0))*VLOOKUP(C240,PERFIL!$B$4:$M$20,11,0)))</f>
        <v/>
      </c>
      <c r="H240" s="120" t="str">
        <f>IF(F240="","",ROUNDUP(SAB!$AD241*VLOOKUP(RECEITAS!$C240,ESCALA!$B$3:$N$19,10,0),0))</f>
        <v/>
      </c>
      <c r="I240" s="4" t="str">
        <f>IF(B240="","",SUM(VLOOKUP(C240,ESCALA!$B$3:$N$19,12,0))*(VLOOKUP(DF!C241,DF!$C$5:$AC$305,27,0))/VLOOKUP(C240,PERFIL!$B$4:$M$20,8,0)*VLOOKUP(C240,PERFIL!$B$4:$M$20,12,0))</f>
        <v/>
      </c>
      <c r="J240" s="120" t="str">
        <f>IF(H240="","",ROUNDUP(DF!$AD241*VLOOKUP(RECEITAS!$C240,ESCALA!$B$3:$N$19,12,0),0))</f>
        <v/>
      </c>
      <c r="K240" s="4" t="str">
        <f>IF(FROTA!AA241="","",FROTA!AA241)</f>
        <v/>
      </c>
      <c r="L240" s="4" t="str">
        <f t="shared" si="19"/>
        <v/>
      </c>
      <c r="M240" s="4" t="str">
        <f>IF(FROTA!AC241="","",FROTA!AC241)</f>
        <v/>
      </c>
      <c r="N240" s="4" t="str">
        <f t="shared" si="20"/>
        <v/>
      </c>
      <c r="O240" s="4" t="str">
        <f>IF(FROTA!AE241="","",FROTA!AE241)</f>
        <v/>
      </c>
      <c r="P240" s="4" t="str">
        <f t="shared" si="21"/>
        <v/>
      </c>
      <c r="Q240" s="4" t="str">
        <f>IF(FROTA!AG241="","",FROTA!AG241)</f>
        <v/>
      </c>
      <c r="R240" s="4" t="str">
        <f t="shared" si="22"/>
        <v/>
      </c>
      <c r="S240" s="164">
        <f t="shared" si="23"/>
        <v>0</v>
      </c>
      <c r="T240" s="257">
        <v>43031</v>
      </c>
      <c r="U240" s="256" t="s">
        <v>62</v>
      </c>
    </row>
    <row r="241" spans="2:21" ht="13.5" customHeight="1" x14ac:dyDescent="0.2">
      <c r="B241" s="23" t="str">
        <f>IF(FROTA!B242="","",FROTA!B242)</f>
        <v/>
      </c>
      <c r="C241" s="139" t="str">
        <f>IF(B241="","",VLOOKUP(B241,FROTA!$B$5:$C$306,2,0))</f>
        <v/>
      </c>
      <c r="D241" s="22" t="str">
        <f t="shared" si="18"/>
        <v/>
      </c>
      <c r="E241" s="4" t="str">
        <f>IF(B241="","",SUM(VLOOKUP(C241,ESCALA!$B$3:$N$19,8,0))*(VLOOKUP(SEM!C242,SEM!$C$5:$AC$305,27,0)))</f>
        <v/>
      </c>
      <c r="F241" s="120" t="str">
        <f>IF(D241="","",ROUNDUP(SEM!$AD242*VLOOKUP(RECEITAS!$C241,ESCALA!$B$3:$N$19,8,0),0))</f>
        <v/>
      </c>
      <c r="G241" s="4" t="str">
        <f>IF(B241="","",(SUM((VLOOKUP(C241,ESCALA!$B$3:$N$19,10,0))*(VLOOKUP(SAB!C242,SAB!$C$5:$AC$305,27,0))/VLOOKUP(C241,PERFIL!$B$4:$M$20,8,0))*VLOOKUP(C241,PERFIL!$B$4:$M$20,11,0)))</f>
        <v/>
      </c>
      <c r="H241" s="120" t="str">
        <f>IF(F241="","",ROUNDUP(SAB!$AD242*VLOOKUP(RECEITAS!$C241,ESCALA!$B$3:$N$19,10,0),0))</f>
        <v/>
      </c>
      <c r="I241" s="4" t="str">
        <f>IF(B241="","",SUM(VLOOKUP(C241,ESCALA!$B$3:$N$19,12,0))*(VLOOKUP(DF!C242,DF!$C$5:$AC$305,27,0))/VLOOKUP(C241,PERFIL!$B$4:$M$20,8,0)*VLOOKUP(C241,PERFIL!$B$4:$M$20,12,0))</f>
        <v/>
      </c>
      <c r="J241" s="120" t="str">
        <f>IF(H241="","",ROUNDUP(DF!$AD242*VLOOKUP(RECEITAS!$C241,ESCALA!$B$3:$N$19,12,0),0))</f>
        <v/>
      </c>
      <c r="K241" s="4" t="str">
        <f>IF(FROTA!AA242="","",FROTA!AA242)</f>
        <v/>
      </c>
      <c r="L241" s="4" t="str">
        <f t="shared" si="19"/>
        <v/>
      </c>
      <c r="M241" s="4" t="str">
        <f>IF(FROTA!AC242="","",FROTA!AC242)</f>
        <v/>
      </c>
      <c r="N241" s="4" t="str">
        <f t="shared" si="20"/>
        <v/>
      </c>
      <c r="O241" s="4" t="str">
        <f>IF(FROTA!AE242="","",FROTA!AE242)</f>
        <v/>
      </c>
      <c r="P241" s="4" t="str">
        <f t="shared" si="21"/>
        <v/>
      </c>
      <c r="Q241" s="4" t="str">
        <f>IF(FROTA!AG242="","",FROTA!AG242)</f>
        <v/>
      </c>
      <c r="R241" s="4" t="str">
        <f t="shared" si="22"/>
        <v/>
      </c>
      <c r="S241" s="164">
        <f t="shared" si="23"/>
        <v>0</v>
      </c>
      <c r="T241" s="257">
        <v>43032</v>
      </c>
      <c r="U241" s="256" t="s">
        <v>63</v>
      </c>
    </row>
    <row r="242" spans="2:21" ht="13.5" customHeight="1" x14ac:dyDescent="0.2">
      <c r="B242" s="23" t="str">
        <f>IF(FROTA!B243="","",FROTA!B243)</f>
        <v/>
      </c>
      <c r="C242" s="139" t="str">
        <f>IF(B242="","",VLOOKUP(B242,FROTA!$B$5:$C$306,2,0))</f>
        <v/>
      </c>
      <c r="D242" s="22" t="str">
        <f t="shared" si="18"/>
        <v/>
      </c>
      <c r="E242" s="4" t="str">
        <f>IF(B242="","",SUM(VLOOKUP(C242,ESCALA!$B$3:$N$19,8,0))*(VLOOKUP(SEM!C243,SEM!$C$5:$AC$305,27,0)))</f>
        <v/>
      </c>
      <c r="F242" s="120" t="str">
        <f>IF(D242="","",ROUNDUP(SEM!$AD243*VLOOKUP(RECEITAS!$C242,ESCALA!$B$3:$N$19,8,0),0))</f>
        <v/>
      </c>
      <c r="G242" s="4" t="str">
        <f>IF(B242="","",(SUM((VLOOKUP(C242,ESCALA!$B$3:$N$19,10,0))*(VLOOKUP(SAB!C243,SAB!$C$5:$AC$305,27,0))/VLOOKUP(C242,PERFIL!$B$4:$M$20,8,0))*VLOOKUP(C242,PERFIL!$B$4:$M$20,11,0)))</f>
        <v/>
      </c>
      <c r="H242" s="120" t="str">
        <f>IF(F242="","",ROUNDUP(SAB!$AD243*VLOOKUP(RECEITAS!$C242,ESCALA!$B$3:$N$19,10,0),0))</f>
        <v/>
      </c>
      <c r="I242" s="4" t="str">
        <f>IF(B242="","",SUM(VLOOKUP(C242,ESCALA!$B$3:$N$19,12,0))*(VLOOKUP(DF!C243,DF!$C$5:$AC$305,27,0))/VLOOKUP(C242,PERFIL!$B$4:$M$20,8,0)*VLOOKUP(C242,PERFIL!$B$4:$M$20,12,0))</f>
        <v/>
      </c>
      <c r="J242" s="120" t="str">
        <f>IF(H242="","",ROUNDUP(DF!$AD243*VLOOKUP(RECEITAS!$C242,ESCALA!$B$3:$N$19,12,0),0))</f>
        <v/>
      </c>
      <c r="K242" s="4" t="str">
        <f>IF(FROTA!AA243="","",FROTA!AA243)</f>
        <v/>
      </c>
      <c r="L242" s="4" t="str">
        <f t="shared" si="19"/>
        <v/>
      </c>
      <c r="M242" s="4" t="str">
        <f>IF(FROTA!AC243="","",FROTA!AC243)</f>
        <v/>
      </c>
      <c r="N242" s="4" t="str">
        <f t="shared" si="20"/>
        <v/>
      </c>
      <c r="O242" s="4" t="str">
        <f>IF(FROTA!AE243="","",FROTA!AE243)</f>
        <v/>
      </c>
      <c r="P242" s="4" t="str">
        <f t="shared" si="21"/>
        <v/>
      </c>
      <c r="Q242" s="4" t="str">
        <f>IF(FROTA!AG243="","",FROTA!AG243)</f>
        <v/>
      </c>
      <c r="R242" s="4" t="str">
        <f t="shared" si="22"/>
        <v/>
      </c>
      <c r="S242" s="164">
        <f t="shared" si="23"/>
        <v>0</v>
      </c>
      <c r="T242" s="257">
        <v>43033</v>
      </c>
      <c r="U242" s="256" t="s">
        <v>64</v>
      </c>
    </row>
    <row r="243" spans="2:21" ht="13.5" customHeight="1" x14ac:dyDescent="0.2">
      <c r="B243" s="23" t="str">
        <f>IF(FROTA!B244="","",FROTA!B244)</f>
        <v/>
      </c>
      <c r="C243" s="139" t="str">
        <f>IF(B243="","",VLOOKUP(B243,FROTA!$B$5:$C$306,2,0))</f>
        <v/>
      </c>
      <c r="D243" s="22" t="str">
        <f t="shared" si="18"/>
        <v/>
      </c>
      <c r="E243" s="4" t="str">
        <f>IF(B243="","",SUM(VLOOKUP(C243,ESCALA!$B$3:$N$19,8,0))*(VLOOKUP(SEM!C244,SEM!$C$5:$AC$305,27,0)))</f>
        <v/>
      </c>
      <c r="F243" s="120" t="str">
        <f>IF(D243="","",ROUNDUP(SEM!$AD244*VLOOKUP(RECEITAS!$C243,ESCALA!$B$3:$N$19,8,0),0))</f>
        <v/>
      </c>
      <c r="G243" s="4" t="str">
        <f>IF(B243="","",(SUM((VLOOKUP(C243,ESCALA!$B$3:$N$19,10,0))*(VLOOKUP(SAB!C244,SAB!$C$5:$AC$305,27,0))/VLOOKUP(C243,PERFIL!$B$4:$M$20,8,0))*VLOOKUP(C243,PERFIL!$B$4:$M$20,11,0)))</f>
        <v/>
      </c>
      <c r="H243" s="120" t="str">
        <f>IF(F243="","",ROUNDUP(SAB!$AD244*VLOOKUP(RECEITAS!$C243,ESCALA!$B$3:$N$19,10,0),0))</f>
        <v/>
      </c>
      <c r="I243" s="4" t="str">
        <f>IF(B243="","",SUM(VLOOKUP(C243,ESCALA!$B$3:$N$19,12,0))*(VLOOKUP(DF!C244,DF!$C$5:$AC$305,27,0))/VLOOKUP(C243,PERFIL!$B$4:$M$20,8,0)*VLOOKUP(C243,PERFIL!$B$4:$M$20,12,0))</f>
        <v/>
      </c>
      <c r="J243" s="120" t="str">
        <f>IF(H243="","",ROUNDUP(DF!$AD244*VLOOKUP(RECEITAS!$C243,ESCALA!$B$3:$N$19,12,0),0))</f>
        <v/>
      </c>
      <c r="K243" s="4" t="str">
        <f>IF(FROTA!AA244="","",FROTA!AA244)</f>
        <v/>
      </c>
      <c r="L243" s="4" t="str">
        <f t="shared" si="19"/>
        <v/>
      </c>
      <c r="M243" s="4" t="str">
        <f>IF(FROTA!AC244="","",FROTA!AC244)</f>
        <v/>
      </c>
      <c r="N243" s="4" t="str">
        <f t="shared" si="20"/>
        <v/>
      </c>
      <c r="O243" s="4" t="str">
        <f>IF(FROTA!AE244="","",FROTA!AE244)</f>
        <v/>
      </c>
      <c r="P243" s="4" t="str">
        <f t="shared" si="21"/>
        <v/>
      </c>
      <c r="Q243" s="4" t="str">
        <f>IF(FROTA!AG244="","",FROTA!AG244)</f>
        <v/>
      </c>
      <c r="R243" s="4" t="str">
        <f t="shared" si="22"/>
        <v/>
      </c>
      <c r="S243" s="164">
        <f t="shared" si="23"/>
        <v>0</v>
      </c>
      <c r="T243" s="257">
        <v>43034</v>
      </c>
      <c r="U243" s="256" t="s">
        <v>59</v>
      </c>
    </row>
    <row r="244" spans="2:21" ht="13.5" customHeight="1" x14ac:dyDescent="0.2">
      <c r="B244" s="23" t="str">
        <f>IF(FROTA!B245="","",FROTA!B245)</f>
        <v/>
      </c>
      <c r="C244" s="139" t="str">
        <f>IF(B244="","",VLOOKUP(B244,FROTA!$B$5:$C$306,2,0))</f>
        <v/>
      </c>
      <c r="D244" s="22" t="str">
        <f t="shared" si="18"/>
        <v/>
      </c>
      <c r="E244" s="4" t="str">
        <f>IF(B244="","",SUM(VLOOKUP(C244,ESCALA!$B$3:$N$19,8,0))*(VLOOKUP(SEM!C245,SEM!$C$5:$AC$305,27,0)))</f>
        <v/>
      </c>
      <c r="F244" s="120" t="str">
        <f>IF(D244="","",ROUNDUP(SEM!$AD245*VLOOKUP(RECEITAS!$C244,ESCALA!$B$3:$N$19,8,0),0))</f>
        <v/>
      </c>
      <c r="G244" s="4" t="str">
        <f>IF(B244="","",(SUM((VLOOKUP(C244,ESCALA!$B$3:$N$19,10,0))*(VLOOKUP(SAB!C245,SAB!$C$5:$AC$305,27,0))/VLOOKUP(C244,PERFIL!$B$4:$M$20,8,0))*VLOOKUP(C244,PERFIL!$B$4:$M$20,11,0)))</f>
        <v/>
      </c>
      <c r="H244" s="120" t="str">
        <f>IF(F244="","",ROUNDUP(SAB!$AD245*VLOOKUP(RECEITAS!$C244,ESCALA!$B$3:$N$19,10,0),0))</f>
        <v/>
      </c>
      <c r="I244" s="4" t="str">
        <f>IF(B244="","",SUM(VLOOKUP(C244,ESCALA!$B$3:$N$19,12,0))*(VLOOKUP(DF!C245,DF!$C$5:$AC$305,27,0))/VLOOKUP(C244,PERFIL!$B$4:$M$20,8,0)*VLOOKUP(C244,PERFIL!$B$4:$M$20,12,0))</f>
        <v/>
      </c>
      <c r="J244" s="120" t="str">
        <f>IF(H244="","",ROUNDUP(DF!$AD245*VLOOKUP(RECEITAS!$C244,ESCALA!$B$3:$N$19,12,0),0))</f>
        <v/>
      </c>
      <c r="K244" s="4" t="str">
        <f>IF(FROTA!AA245="","",FROTA!AA245)</f>
        <v/>
      </c>
      <c r="L244" s="4" t="str">
        <f t="shared" si="19"/>
        <v/>
      </c>
      <c r="M244" s="4" t="str">
        <f>IF(FROTA!AC245="","",FROTA!AC245)</f>
        <v/>
      </c>
      <c r="N244" s="4" t="str">
        <f t="shared" si="20"/>
        <v/>
      </c>
      <c r="O244" s="4" t="str">
        <f>IF(FROTA!AE245="","",FROTA!AE245)</f>
        <v/>
      </c>
      <c r="P244" s="4" t="str">
        <f t="shared" si="21"/>
        <v/>
      </c>
      <c r="Q244" s="4" t="str">
        <f>IF(FROTA!AG245="","",FROTA!AG245)</f>
        <v/>
      </c>
      <c r="R244" s="4" t="str">
        <f t="shared" si="22"/>
        <v/>
      </c>
      <c r="S244" s="164">
        <f t="shared" si="23"/>
        <v>0</v>
      </c>
      <c r="T244" s="257">
        <v>43035</v>
      </c>
      <c r="U244" s="256" t="s">
        <v>60</v>
      </c>
    </row>
    <row r="245" spans="2:21" ht="13.5" customHeight="1" x14ac:dyDescent="0.2">
      <c r="B245" s="23" t="str">
        <f>IF(FROTA!B246="","",FROTA!B246)</f>
        <v/>
      </c>
      <c r="C245" s="139" t="str">
        <f>IF(B245="","",VLOOKUP(B245,FROTA!$B$5:$C$306,2,0))</f>
        <v/>
      </c>
      <c r="D245" s="22" t="str">
        <f t="shared" si="18"/>
        <v/>
      </c>
      <c r="E245" s="4" t="str">
        <f>IF(B245="","",SUM(VLOOKUP(C245,ESCALA!$B$3:$N$19,8,0))*(VLOOKUP(SEM!C246,SEM!$C$5:$AC$305,27,0)))</f>
        <v/>
      </c>
      <c r="F245" s="120" t="str">
        <f>IF(D245="","",ROUNDUP(SEM!$AD246*VLOOKUP(RECEITAS!$C245,ESCALA!$B$3:$N$19,8,0),0))</f>
        <v/>
      </c>
      <c r="G245" s="4" t="str">
        <f>IF(B245="","",(SUM((VLOOKUP(C245,ESCALA!$B$3:$N$19,10,0))*(VLOOKUP(SAB!C246,SAB!$C$5:$AC$305,27,0))/VLOOKUP(C245,PERFIL!$B$4:$M$20,8,0))*VLOOKUP(C245,PERFIL!$B$4:$M$20,11,0)))</f>
        <v/>
      </c>
      <c r="H245" s="120" t="str">
        <f>IF(F245="","",ROUNDUP(SAB!$AD246*VLOOKUP(RECEITAS!$C245,ESCALA!$B$3:$N$19,10,0),0))</f>
        <v/>
      </c>
      <c r="I245" s="4" t="str">
        <f>IF(B245="","",SUM(VLOOKUP(C245,ESCALA!$B$3:$N$19,12,0))*(VLOOKUP(DF!C246,DF!$C$5:$AC$305,27,0))/VLOOKUP(C245,PERFIL!$B$4:$M$20,8,0)*VLOOKUP(C245,PERFIL!$B$4:$M$20,12,0))</f>
        <v/>
      </c>
      <c r="J245" s="120" t="str">
        <f>IF(H245="","",ROUNDUP(DF!$AD246*VLOOKUP(RECEITAS!$C245,ESCALA!$B$3:$N$19,12,0),0))</f>
        <v/>
      </c>
      <c r="K245" s="4" t="str">
        <f>IF(FROTA!AA246="","",FROTA!AA246)</f>
        <v/>
      </c>
      <c r="L245" s="4" t="str">
        <f t="shared" si="19"/>
        <v/>
      </c>
      <c r="M245" s="4" t="str">
        <f>IF(FROTA!AC246="","",FROTA!AC246)</f>
        <v/>
      </c>
      <c r="N245" s="4" t="str">
        <f t="shared" si="20"/>
        <v/>
      </c>
      <c r="O245" s="4" t="str">
        <f>IF(FROTA!AE246="","",FROTA!AE246)</f>
        <v/>
      </c>
      <c r="P245" s="4" t="str">
        <f t="shared" si="21"/>
        <v/>
      </c>
      <c r="Q245" s="4" t="str">
        <f>IF(FROTA!AG246="","",FROTA!AG246)</f>
        <v/>
      </c>
      <c r="R245" s="4" t="str">
        <f t="shared" si="22"/>
        <v/>
      </c>
      <c r="S245" s="164">
        <f t="shared" si="23"/>
        <v>0</v>
      </c>
      <c r="T245" s="257">
        <v>43036</v>
      </c>
      <c r="U245" s="256" t="s">
        <v>61</v>
      </c>
    </row>
    <row r="246" spans="2:21" ht="13.5" customHeight="1" x14ac:dyDescent="0.2">
      <c r="B246" s="23" t="str">
        <f>IF(FROTA!B247="","",FROTA!B247)</f>
        <v/>
      </c>
      <c r="C246" s="139" t="str">
        <f>IF(B246="","",VLOOKUP(B246,FROTA!$B$5:$C$306,2,0))</f>
        <v/>
      </c>
      <c r="D246" s="22" t="str">
        <f t="shared" si="18"/>
        <v/>
      </c>
      <c r="E246" s="4" t="str">
        <f>IF(B246="","",SUM(VLOOKUP(C246,ESCALA!$B$3:$N$19,8,0))*(VLOOKUP(SEM!C247,SEM!$C$5:$AC$305,27,0)))</f>
        <v/>
      </c>
      <c r="F246" s="120" t="str">
        <f>IF(D246="","",ROUNDUP(SEM!$AD247*VLOOKUP(RECEITAS!$C246,ESCALA!$B$3:$N$19,8,0),0))</f>
        <v/>
      </c>
      <c r="G246" s="4" t="str">
        <f>IF(B246="","",(SUM((VLOOKUP(C246,ESCALA!$B$3:$N$19,10,0))*(VLOOKUP(SAB!C247,SAB!$C$5:$AC$305,27,0))/VLOOKUP(C246,PERFIL!$B$4:$M$20,8,0))*VLOOKUP(C246,PERFIL!$B$4:$M$20,11,0)))</f>
        <v/>
      </c>
      <c r="H246" s="120" t="str">
        <f>IF(F246="","",ROUNDUP(SAB!$AD247*VLOOKUP(RECEITAS!$C246,ESCALA!$B$3:$N$19,10,0),0))</f>
        <v/>
      </c>
      <c r="I246" s="4" t="str">
        <f>IF(B246="","",SUM(VLOOKUP(C246,ESCALA!$B$3:$N$19,12,0))*(VLOOKUP(DF!C247,DF!$C$5:$AC$305,27,0))/VLOOKUP(C246,PERFIL!$B$4:$M$20,8,0)*VLOOKUP(C246,PERFIL!$B$4:$M$20,12,0))</f>
        <v/>
      </c>
      <c r="J246" s="120" t="str">
        <f>IF(H246="","",ROUNDUP(DF!$AD247*VLOOKUP(RECEITAS!$C246,ESCALA!$B$3:$N$19,12,0),0))</f>
        <v/>
      </c>
      <c r="K246" s="4" t="str">
        <f>IF(FROTA!AA247="","",FROTA!AA247)</f>
        <v/>
      </c>
      <c r="L246" s="4" t="str">
        <f t="shared" si="19"/>
        <v/>
      </c>
      <c r="M246" s="4" t="str">
        <f>IF(FROTA!AC247="","",FROTA!AC247)</f>
        <v/>
      </c>
      <c r="N246" s="4" t="str">
        <f t="shared" si="20"/>
        <v/>
      </c>
      <c r="O246" s="4" t="str">
        <f>IF(FROTA!AE247="","",FROTA!AE247)</f>
        <v/>
      </c>
      <c r="P246" s="4" t="str">
        <f t="shared" si="21"/>
        <v/>
      </c>
      <c r="Q246" s="4" t="str">
        <f>IF(FROTA!AG247="","",FROTA!AG247)</f>
        <v/>
      </c>
      <c r="R246" s="4" t="str">
        <f t="shared" si="22"/>
        <v/>
      </c>
      <c r="S246" s="164">
        <f t="shared" si="23"/>
        <v>0</v>
      </c>
      <c r="T246" s="257">
        <v>43037</v>
      </c>
      <c r="U246" s="256" t="s">
        <v>58</v>
      </c>
    </row>
    <row r="247" spans="2:21" ht="13.5" customHeight="1" x14ac:dyDescent="0.2">
      <c r="B247" s="23" t="str">
        <f>IF(FROTA!B248="","",FROTA!B248)</f>
        <v/>
      </c>
      <c r="C247" s="139" t="str">
        <f>IF(B247="","",VLOOKUP(B247,FROTA!$B$5:$C$306,2,0))</f>
        <v/>
      </c>
      <c r="D247" s="22" t="str">
        <f t="shared" si="18"/>
        <v/>
      </c>
      <c r="E247" s="4" t="str">
        <f>IF(B247="","",SUM(VLOOKUP(C247,ESCALA!$B$3:$N$19,8,0))*(VLOOKUP(SEM!C248,SEM!$C$5:$AC$305,27,0)))</f>
        <v/>
      </c>
      <c r="F247" s="120" t="str">
        <f>IF(D247="","",ROUNDUP(SEM!$AD248*VLOOKUP(RECEITAS!$C247,ESCALA!$B$3:$N$19,8,0),0))</f>
        <v/>
      </c>
      <c r="G247" s="4" t="str">
        <f>IF(B247="","",(SUM((VLOOKUP(C247,ESCALA!$B$3:$N$19,10,0))*(VLOOKUP(SAB!C248,SAB!$C$5:$AC$305,27,0))/VLOOKUP(C247,PERFIL!$B$4:$M$20,8,0))*VLOOKUP(C247,PERFIL!$B$4:$M$20,11,0)))</f>
        <v/>
      </c>
      <c r="H247" s="120" t="str">
        <f>IF(F247="","",ROUNDUP(SAB!$AD248*VLOOKUP(RECEITAS!$C247,ESCALA!$B$3:$N$19,10,0),0))</f>
        <v/>
      </c>
      <c r="I247" s="4" t="str">
        <f>IF(B247="","",SUM(VLOOKUP(C247,ESCALA!$B$3:$N$19,12,0))*(VLOOKUP(DF!C248,DF!$C$5:$AC$305,27,0))/VLOOKUP(C247,PERFIL!$B$4:$M$20,8,0)*VLOOKUP(C247,PERFIL!$B$4:$M$20,12,0))</f>
        <v/>
      </c>
      <c r="J247" s="120" t="str">
        <f>IF(H247="","",ROUNDUP(DF!$AD248*VLOOKUP(RECEITAS!$C247,ESCALA!$B$3:$N$19,12,0),0))</f>
        <v/>
      </c>
      <c r="K247" s="4" t="str">
        <f>IF(FROTA!AA248="","",FROTA!AA248)</f>
        <v/>
      </c>
      <c r="L247" s="4" t="str">
        <f t="shared" si="19"/>
        <v/>
      </c>
      <c r="M247" s="4" t="str">
        <f>IF(FROTA!AC248="","",FROTA!AC248)</f>
        <v/>
      </c>
      <c r="N247" s="4" t="str">
        <f t="shared" si="20"/>
        <v/>
      </c>
      <c r="O247" s="4" t="str">
        <f>IF(FROTA!AE248="","",FROTA!AE248)</f>
        <v/>
      </c>
      <c r="P247" s="4" t="str">
        <f t="shared" si="21"/>
        <v/>
      </c>
      <c r="Q247" s="4" t="str">
        <f>IF(FROTA!AG248="","",FROTA!AG248)</f>
        <v/>
      </c>
      <c r="R247" s="4" t="str">
        <f t="shared" si="22"/>
        <v/>
      </c>
      <c r="S247" s="164">
        <f t="shared" si="23"/>
        <v>0</v>
      </c>
      <c r="T247" s="257">
        <v>43038</v>
      </c>
      <c r="U247" s="256" t="s">
        <v>62</v>
      </c>
    </row>
    <row r="248" spans="2:21" ht="13.5" customHeight="1" x14ac:dyDescent="0.2">
      <c r="B248" s="23" t="str">
        <f>IF(FROTA!B249="","",FROTA!B249)</f>
        <v/>
      </c>
      <c r="C248" s="139" t="str">
        <f>IF(B248="","",VLOOKUP(B248,FROTA!$B$5:$C$306,2,0))</f>
        <v/>
      </c>
      <c r="D248" s="22" t="str">
        <f t="shared" si="18"/>
        <v/>
      </c>
      <c r="E248" s="4" t="str">
        <f>IF(B248="","",SUM(VLOOKUP(C248,ESCALA!$B$3:$N$19,8,0))*(VLOOKUP(SEM!C249,SEM!$C$5:$AC$305,27,0)))</f>
        <v/>
      </c>
      <c r="F248" s="120" t="str">
        <f>IF(D248="","",ROUNDUP(SEM!$AD249*VLOOKUP(RECEITAS!$C248,ESCALA!$B$3:$N$19,8,0),0))</f>
        <v/>
      </c>
      <c r="G248" s="4" t="str">
        <f>IF(B248="","",(SUM((VLOOKUP(C248,ESCALA!$B$3:$N$19,10,0))*(VLOOKUP(SAB!C249,SAB!$C$5:$AC$305,27,0))/VLOOKUP(C248,PERFIL!$B$4:$M$20,8,0))*VLOOKUP(C248,PERFIL!$B$4:$M$20,11,0)))</f>
        <v/>
      </c>
      <c r="H248" s="120" t="str">
        <f>IF(F248="","",ROUNDUP(SAB!$AD249*VLOOKUP(RECEITAS!$C248,ESCALA!$B$3:$N$19,10,0),0))</f>
        <v/>
      </c>
      <c r="I248" s="4" t="str">
        <f>IF(B248="","",SUM(VLOOKUP(C248,ESCALA!$B$3:$N$19,12,0))*(VLOOKUP(DF!C249,DF!$C$5:$AC$305,27,0))/VLOOKUP(C248,PERFIL!$B$4:$M$20,8,0)*VLOOKUP(C248,PERFIL!$B$4:$M$20,12,0))</f>
        <v/>
      </c>
      <c r="J248" s="120" t="str">
        <f>IF(H248="","",ROUNDUP(DF!$AD249*VLOOKUP(RECEITAS!$C248,ESCALA!$B$3:$N$19,12,0),0))</f>
        <v/>
      </c>
      <c r="K248" s="4" t="str">
        <f>IF(FROTA!AA249="","",FROTA!AA249)</f>
        <v/>
      </c>
      <c r="L248" s="4" t="str">
        <f t="shared" si="19"/>
        <v/>
      </c>
      <c r="M248" s="4" t="str">
        <f>IF(FROTA!AC249="","",FROTA!AC249)</f>
        <v/>
      </c>
      <c r="N248" s="4" t="str">
        <f t="shared" si="20"/>
        <v/>
      </c>
      <c r="O248" s="4" t="str">
        <f>IF(FROTA!AE249="","",FROTA!AE249)</f>
        <v/>
      </c>
      <c r="P248" s="4" t="str">
        <f t="shared" si="21"/>
        <v/>
      </c>
      <c r="Q248" s="4" t="str">
        <f>IF(FROTA!AG249="","",FROTA!AG249)</f>
        <v/>
      </c>
      <c r="R248" s="4" t="str">
        <f t="shared" si="22"/>
        <v/>
      </c>
      <c r="S248" s="164">
        <f t="shared" si="23"/>
        <v>0</v>
      </c>
      <c r="T248" s="257">
        <v>43039</v>
      </c>
      <c r="U248" s="256" t="s">
        <v>63</v>
      </c>
    </row>
    <row r="249" spans="2:21" ht="13.5" customHeight="1" x14ac:dyDescent="0.2">
      <c r="B249" s="23" t="str">
        <f>IF(FROTA!B250="","",FROTA!B250)</f>
        <v/>
      </c>
      <c r="C249" s="139" t="str">
        <f>IF(B249="","",VLOOKUP(B249,FROTA!$B$5:$C$306,2,0))</f>
        <v/>
      </c>
      <c r="D249" s="22" t="str">
        <f t="shared" si="18"/>
        <v/>
      </c>
      <c r="E249" s="4" t="str">
        <f>IF(B249="","",SUM(VLOOKUP(C249,ESCALA!$B$3:$N$19,8,0))*(VLOOKUP(SEM!C250,SEM!$C$5:$AC$305,27,0)))</f>
        <v/>
      </c>
      <c r="F249" s="120" t="str">
        <f>IF(D249="","",ROUNDUP(SEM!$AD250*VLOOKUP(RECEITAS!$C249,ESCALA!$B$3:$N$19,8,0),0))</f>
        <v/>
      </c>
      <c r="G249" s="4" t="str">
        <f>IF(B249="","",(SUM((VLOOKUP(C249,ESCALA!$B$3:$N$19,10,0))*(VLOOKUP(SAB!C250,SAB!$C$5:$AC$305,27,0))/VLOOKUP(C249,PERFIL!$B$4:$M$20,8,0))*VLOOKUP(C249,PERFIL!$B$4:$M$20,11,0)))</f>
        <v/>
      </c>
      <c r="H249" s="120" t="str">
        <f>IF(F249="","",ROUNDUP(SAB!$AD250*VLOOKUP(RECEITAS!$C249,ESCALA!$B$3:$N$19,10,0),0))</f>
        <v/>
      </c>
      <c r="I249" s="4" t="str">
        <f>IF(B249="","",SUM(VLOOKUP(C249,ESCALA!$B$3:$N$19,12,0))*(VLOOKUP(DF!C250,DF!$C$5:$AC$305,27,0))/VLOOKUP(C249,PERFIL!$B$4:$M$20,8,0)*VLOOKUP(C249,PERFIL!$B$4:$M$20,12,0))</f>
        <v/>
      </c>
      <c r="J249" s="120" t="str">
        <f>IF(H249="","",ROUNDUP(DF!$AD250*VLOOKUP(RECEITAS!$C249,ESCALA!$B$3:$N$19,12,0),0))</f>
        <v/>
      </c>
      <c r="K249" s="4" t="str">
        <f>IF(FROTA!AA250="","",FROTA!AA250)</f>
        <v/>
      </c>
      <c r="L249" s="4" t="str">
        <f t="shared" si="19"/>
        <v/>
      </c>
      <c r="M249" s="4" t="str">
        <f>IF(FROTA!AC250="","",FROTA!AC250)</f>
        <v/>
      </c>
      <c r="N249" s="4" t="str">
        <f t="shared" si="20"/>
        <v/>
      </c>
      <c r="O249" s="4" t="str">
        <f>IF(FROTA!AE250="","",FROTA!AE250)</f>
        <v/>
      </c>
      <c r="P249" s="4" t="str">
        <f t="shared" si="21"/>
        <v/>
      </c>
      <c r="Q249" s="4" t="str">
        <f>IF(FROTA!AG250="","",FROTA!AG250)</f>
        <v/>
      </c>
      <c r="R249" s="4" t="str">
        <f t="shared" si="22"/>
        <v/>
      </c>
      <c r="S249" s="164">
        <f t="shared" si="23"/>
        <v>0</v>
      </c>
      <c r="T249" s="257">
        <v>43040</v>
      </c>
      <c r="U249" s="256" t="s">
        <v>64</v>
      </c>
    </row>
    <row r="250" spans="2:21" ht="13.5" customHeight="1" x14ac:dyDescent="0.2">
      <c r="B250" s="23" t="str">
        <f>IF(FROTA!B251="","",FROTA!B251)</f>
        <v/>
      </c>
      <c r="C250" s="139" t="str">
        <f>IF(B250="","",VLOOKUP(B250,FROTA!$B$5:$C$306,2,0))</f>
        <v/>
      </c>
      <c r="D250" s="22" t="str">
        <f t="shared" si="18"/>
        <v/>
      </c>
      <c r="E250" s="4" t="str">
        <f>IF(B250="","",SUM(VLOOKUP(C250,ESCALA!$B$3:$N$19,8,0))*(VLOOKUP(SEM!C251,SEM!$C$5:$AC$305,27,0)))</f>
        <v/>
      </c>
      <c r="F250" s="120" t="str">
        <f>IF(D250="","",ROUNDUP(SEM!$AD251*VLOOKUP(RECEITAS!$C250,ESCALA!$B$3:$N$19,8,0),0))</f>
        <v/>
      </c>
      <c r="G250" s="4" t="str">
        <f>IF(B250="","",(SUM((VLOOKUP(C250,ESCALA!$B$3:$N$19,10,0))*(VLOOKUP(SAB!C251,SAB!$C$5:$AC$305,27,0))/VLOOKUP(C250,PERFIL!$B$4:$M$20,8,0))*VLOOKUP(C250,PERFIL!$B$4:$M$20,11,0)))</f>
        <v/>
      </c>
      <c r="H250" s="120" t="str">
        <f>IF(F250="","",ROUNDUP(SAB!$AD251*VLOOKUP(RECEITAS!$C250,ESCALA!$B$3:$N$19,10,0),0))</f>
        <v/>
      </c>
      <c r="I250" s="4" t="str">
        <f>IF(B250="","",SUM(VLOOKUP(C250,ESCALA!$B$3:$N$19,12,0))*(VLOOKUP(DF!C251,DF!$C$5:$AC$305,27,0))/VLOOKUP(C250,PERFIL!$B$4:$M$20,8,0)*VLOOKUP(C250,PERFIL!$B$4:$M$20,12,0))</f>
        <v/>
      </c>
      <c r="J250" s="120" t="str">
        <f>IF(H250="","",ROUNDUP(DF!$AD251*VLOOKUP(RECEITAS!$C250,ESCALA!$B$3:$N$19,12,0),0))</f>
        <v/>
      </c>
      <c r="K250" s="4" t="str">
        <f>IF(FROTA!AA251="","",FROTA!AA251)</f>
        <v/>
      </c>
      <c r="L250" s="4" t="str">
        <f t="shared" si="19"/>
        <v/>
      </c>
      <c r="M250" s="4" t="str">
        <f>IF(FROTA!AC251="","",FROTA!AC251)</f>
        <v/>
      </c>
      <c r="N250" s="4" t="str">
        <f t="shared" si="20"/>
        <v/>
      </c>
      <c r="O250" s="4" t="str">
        <f>IF(FROTA!AE251="","",FROTA!AE251)</f>
        <v/>
      </c>
      <c r="P250" s="4" t="str">
        <f t="shared" si="21"/>
        <v/>
      </c>
      <c r="Q250" s="4" t="str">
        <f>IF(FROTA!AG251="","",FROTA!AG251)</f>
        <v/>
      </c>
      <c r="R250" s="4" t="str">
        <f t="shared" si="22"/>
        <v/>
      </c>
      <c r="S250" s="164">
        <f t="shared" si="23"/>
        <v>0</v>
      </c>
      <c r="T250" s="257">
        <v>43041</v>
      </c>
      <c r="U250" s="256" t="s">
        <v>65</v>
      </c>
    </row>
    <row r="251" spans="2:21" ht="13.5" customHeight="1" x14ac:dyDescent="0.2">
      <c r="B251" s="23" t="str">
        <f>IF(FROTA!B252="","",FROTA!B252)</f>
        <v/>
      </c>
      <c r="C251" s="139" t="str">
        <f>IF(B251="","",VLOOKUP(B251,FROTA!$B$5:$C$306,2,0))</f>
        <v/>
      </c>
      <c r="D251" s="22" t="str">
        <f t="shared" si="18"/>
        <v/>
      </c>
      <c r="E251" s="4" t="str">
        <f>IF(B251="","",SUM(VLOOKUP(C251,ESCALA!$B$3:$N$19,8,0))*(VLOOKUP(SEM!C252,SEM!$C$5:$AC$305,27,0)))</f>
        <v/>
      </c>
      <c r="F251" s="120" t="str">
        <f>IF(D251="","",ROUNDUP(SEM!$AD252*VLOOKUP(RECEITAS!$C251,ESCALA!$B$3:$N$19,8,0),0))</f>
        <v/>
      </c>
      <c r="G251" s="4" t="str">
        <f>IF(B251="","",(SUM((VLOOKUP(C251,ESCALA!$B$3:$N$19,10,0))*(VLOOKUP(SAB!C252,SAB!$C$5:$AC$305,27,0))/VLOOKUP(C251,PERFIL!$B$4:$M$20,8,0))*VLOOKUP(C251,PERFIL!$B$4:$M$20,11,0)))</f>
        <v/>
      </c>
      <c r="H251" s="120" t="str">
        <f>IF(F251="","",ROUNDUP(SAB!$AD252*VLOOKUP(RECEITAS!$C251,ESCALA!$B$3:$N$19,10,0),0))</f>
        <v/>
      </c>
      <c r="I251" s="4" t="str">
        <f>IF(B251="","",SUM(VLOOKUP(C251,ESCALA!$B$3:$N$19,12,0))*(VLOOKUP(DF!C252,DF!$C$5:$AC$305,27,0))/VLOOKUP(C251,PERFIL!$B$4:$M$20,8,0)*VLOOKUP(C251,PERFIL!$B$4:$M$20,12,0))</f>
        <v/>
      </c>
      <c r="J251" s="120" t="str">
        <f>IF(H251="","",ROUNDUP(DF!$AD252*VLOOKUP(RECEITAS!$C251,ESCALA!$B$3:$N$19,12,0),0))</f>
        <v/>
      </c>
      <c r="K251" s="4" t="str">
        <f>IF(FROTA!AA252="","",FROTA!AA252)</f>
        <v/>
      </c>
      <c r="L251" s="4" t="str">
        <f t="shared" si="19"/>
        <v/>
      </c>
      <c r="M251" s="4" t="str">
        <f>IF(FROTA!AC252="","",FROTA!AC252)</f>
        <v/>
      </c>
      <c r="N251" s="4" t="str">
        <f t="shared" si="20"/>
        <v/>
      </c>
      <c r="O251" s="4" t="str">
        <f>IF(FROTA!AE252="","",FROTA!AE252)</f>
        <v/>
      </c>
      <c r="P251" s="4" t="str">
        <f t="shared" si="21"/>
        <v/>
      </c>
      <c r="Q251" s="4" t="str">
        <f>IF(FROTA!AG252="","",FROTA!AG252)</f>
        <v/>
      </c>
      <c r="R251" s="4" t="str">
        <f t="shared" si="22"/>
        <v/>
      </c>
      <c r="S251" s="164">
        <f t="shared" si="23"/>
        <v>0</v>
      </c>
      <c r="T251" s="257">
        <v>43042</v>
      </c>
      <c r="U251" s="256" t="s">
        <v>60</v>
      </c>
    </row>
    <row r="252" spans="2:21" ht="13.5" customHeight="1" x14ac:dyDescent="0.2">
      <c r="B252" s="23" t="str">
        <f>IF(FROTA!B253="","",FROTA!B253)</f>
        <v/>
      </c>
      <c r="C252" s="139" t="str">
        <f>IF(B252="","",VLOOKUP(B252,FROTA!$B$5:$C$306,2,0))</f>
        <v/>
      </c>
      <c r="D252" s="22" t="str">
        <f t="shared" si="18"/>
        <v/>
      </c>
      <c r="E252" s="4" t="str">
        <f>IF(B252="","",SUM(VLOOKUP(C252,ESCALA!$B$3:$N$19,8,0))*(VLOOKUP(SEM!C253,SEM!$C$5:$AC$305,27,0)))</f>
        <v/>
      </c>
      <c r="F252" s="120" t="str">
        <f>IF(D252="","",ROUNDUP(SEM!$AD253*VLOOKUP(RECEITAS!$C252,ESCALA!$B$3:$N$19,8,0),0))</f>
        <v/>
      </c>
      <c r="G252" s="4" t="str">
        <f>IF(B252="","",(SUM((VLOOKUP(C252,ESCALA!$B$3:$N$19,10,0))*(VLOOKUP(SAB!C253,SAB!$C$5:$AC$305,27,0))/VLOOKUP(C252,PERFIL!$B$4:$M$20,8,0))*VLOOKUP(C252,PERFIL!$B$4:$M$20,11,0)))</f>
        <v/>
      </c>
      <c r="H252" s="120" t="str">
        <f>IF(F252="","",ROUNDUP(SAB!$AD253*VLOOKUP(RECEITAS!$C252,ESCALA!$B$3:$N$19,10,0),0))</f>
        <v/>
      </c>
      <c r="I252" s="4" t="str">
        <f>IF(B252="","",SUM(VLOOKUP(C252,ESCALA!$B$3:$N$19,12,0))*(VLOOKUP(DF!C253,DF!$C$5:$AC$305,27,0))/VLOOKUP(C252,PERFIL!$B$4:$M$20,8,0)*VLOOKUP(C252,PERFIL!$B$4:$M$20,12,0))</f>
        <v/>
      </c>
      <c r="J252" s="120" t="str">
        <f>IF(H252="","",ROUNDUP(DF!$AD253*VLOOKUP(RECEITAS!$C252,ESCALA!$B$3:$N$19,12,0),0))</f>
        <v/>
      </c>
      <c r="K252" s="4" t="str">
        <f>IF(FROTA!AA253="","",FROTA!AA253)</f>
        <v/>
      </c>
      <c r="L252" s="4" t="str">
        <f t="shared" si="19"/>
        <v/>
      </c>
      <c r="M252" s="4" t="str">
        <f>IF(FROTA!AC253="","",FROTA!AC253)</f>
        <v/>
      </c>
      <c r="N252" s="4" t="str">
        <f t="shared" si="20"/>
        <v/>
      </c>
      <c r="O252" s="4" t="str">
        <f>IF(FROTA!AE253="","",FROTA!AE253)</f>
        <v/>
      </c>
      <c r="P252" s="4" t="str">
        <f t="shared" si="21"/>
        <v/>
      </c>
      <c r="Q252" s="4" t="str">
        <f>IF(FROTA!AG253="","",FROTA!AG253)</f>
        <v/>
      </c>
      <c r="R252" s="4" t="str">
        <f t="shared" si="22"/>
        <v/>
      </c>
      <c r="S252" s="164">
        <f t="shared" si="23"/>
        <v>0</v>
      </c>
      <c r="T252" s="257">
        <v>43043</v>
      </c>
      <c r="U252" s="256" t="s">
        <v>61</v>
      </c>
    </row>
    <row r="253" spans="2:21" ht="13.5" customHeight="1" x14ac:dyDescent="0.2">
      <c r="B253" s="23" t="str">
        <f>IF(FROTA!B254="","",FROTA!B254)</f>
        <v/>
      </c>
      <c r="C253" s="139" t="str">
        <f>IF(B253="","",VLOOKUP(B253,FROTA!$B$5:$C$306,2,0))</f>
        <v/>
      </c>
      <c r="D253" s="22" t="str">
        <f t="shared" si="18"/>
        <v/>
      </c>
      <c r="E253" s="4" t="str">
        <f>IF(B253="","",SUM(VLOOKUP(C253,ESCALA!$B$3:$N$19,8,0))*(VLOOKUP(SEM!C254,SEM!$C$5:$AC$305,27,0)))</f>
        <v/>
      </c>
      <c r="F253" s="120" t="str">
        <f>IF(D253="","",ROUNDUP(SEM!$AD254*VLOOKUP(RECEITAS!$C253,ESCALA!$B$3:$N$19,8,0),0))</f>
        <v/>
      </c>
      <c r="G253" s="4" t="str">
        <f>IF(B253="","",(SUM((VLOOKUP(C253,ESCALA!$B$3:$N$19,10,0))*(VLOOKUP(SAB!C254,SAB!$C$5:$AC$305,27,0))/VLOOKUP(C253,PERFIL!$B$4:$M$20,8,0))*VLOOKUP(C253,PERFIL!$B$4:$M$20,11,0)))</f>
        <v/>
      </c>
      <c r="H253" s="120" t="str">
        <f>IF(F253="","",ROUNDUP(SAB!$AD254*VLOOKUP(RECEITAS!$C253,ESCALA!$B$3:$N$19,10,0),0))</f>
        <v/>
      </c>
      <c r="I253" s="4" t="str">
        <f>IF(B253="","",SUM(VLOOKUP(C253,ESCALA!$B$3:$N$19,12,0))*(VLOOKUP(DF!C254,DF!$C$5:$AC$305,27,0))/VLOOKUP(C253,PERFIL!$B$4:$M$20,8,0)*VLOOKUP(C253,PERFIL!$B$4:$M$20,12,0))</f>
        <v/>
      </c>
      <c r="J253" s="120" t="str">
        <f>IF(H253="","",ROUNDUP(DF!$AD254*VLOOKUP(RECEITAS!$C253,ESCALA!$B$3:$N$19,12,0),0))</f>
        <v/>
      </c>
      <c r="K253" s="4" t="str">
        <f>IF(FROTA!AA254="","",FROTA!AA254)</f>
        <v/>
      </c>
      <c r="L253" s="4" t="str">
        <f t="shared" si="19"/>
        <v/>
      </c>
      <c r="M253" s="4" t="str">
        <f>IF(FROTA!AC254="","",FROTA!AC254)</f>
        <v/>
      </c>
      <c r="N253" s="4" t="str">
        <f t="shared" si="20"/>
        <v/>
      </c>
      <c r="O253" s="4" t="str">
        <f>IF(FROTA!AE254="","",FROTA!AE254)</f>
        <v/>
      </c>
      <c r="P253" s="4" t="str">
        <f t="shared" si="21"/>
        <v/>
      </c>
      <c r="Q253" s="4" t="str">
        <f>IF(FROTA!AG254="","",FROTA!AG254)</f>
        <v/>
      </c>
      <c r="R253" s="4" t="str">
        <f t="shared" si="22"/>
        <v/>
      </c>
      <c r="S253" s="164">
        <f t="shared" si="23"/>
        <v>0</v>
      </c>
      <c r="T253" s="257">
        <v>43044</v>
      </c>
      <c r="U253" s="256" t="s">
        <v>58</v>
      </c>
    </row>
    <row r="254" spans="2:21" ht="13.5" customHeight="1" x14ac:dyDescent="0.2">
      <c r="B254" s="23" t="str">
        <f>IF(FROTA!B255="","",FROTA!B255)</f>
        <v/>
      </c>
      <c r="C254" s="139" t="str">
        <f>IF(B254="","",VLOOKUP(B254,FROTA!$B$5:$C$306,2,0))</f>
        <v/>
      </c>
      <c r="D254" s="22" t="str">
        <f t="shared" si="18"/>
        <v/>
      </c>
      <c r="E254" s="4" t="str">
        <f>IF(B254="","",SUM(VLOOKUP(C254,ESCALA!$B$3:$N$19,8,0))*(VLOOKUP(SEM!C255,SEM!$C$5:$AC$305,27,0)))</f>
        <v/>
      </c>
      <c r="F254" s="120" t="str">
        <f>IF(D254="","",ROUNDUP(SEM!$AD255*VLOOKUP(RECEITAS!$C254,ESCALA!$B$3:$N$19,8,0),0))</f>
        <v/>
      </c>
      <c r="G254" s="4" t="str">
        <f>IF(B254="","",(SUM((VLOOKUP(C254,ESCALA!$B$3:$N$19,10,0))*(VLOOKUP(SAB!C255,SAB!$C$5:$AC$305,27,0))/VLOOKUP(C254,PERFIL!$B$4:$M$20,8,0))*VLOOKUP(C254,PERFIL!$B$4:$M$20,11,0)))</f>
        <v/>
      </c>
      <c r="H254" s="120" t="str">
        <f>IF(F254="","",ROUNDUP(SAB!$AD255*VLOOKUP(RECEITAS!$C254,ESCALA!$B$3:$N$19,10,0),0))</f>
        <v/>
      </c>
      <c r="I254" s="4" t="str">
        <f>IF(B254="","",SUM(VLOOKUP(C254,ESCALA!$B$3:$N$19,12,0))*(VLOOKUP(DF!C255,DF!$C$5:$AC$305,27,0))/VLOOKUP(C254,PERFIL!$B$4:$M$20,8,0)*VLOOKUP(C254,PERFIL!$B$4:$M$20,12,0))</f>
        <v/>
      </c>
      <c r="J254" s="120" t="str">
        <f>IF(H254="","",ROUNDUP(DF!$AD255*VLOOKUP(RECEITAS!$C254,ESCALA!$B$3:$N$19,12,0),0))</f>
        <v/>
      </c>
      <c r="K254" s="4" t="str">
        <f>IF(FROTA!AA255="","",FROTA!AA255)</f>
        <v/>
      </c>
      <c r="L254" s="4" t="str">
        <f t="shared" si="19"/>
        <v/>
      </c>
      <c r="M254" s="4" t="str">
        <f>IF(FROTA!AC255="","",FROTA!AC255)</f>
        <v/>
      </c>
      <c r="N254" s="4" t="str">
        <f t="shared" si="20"/>
        <v/>
      </c>
      <c r="O254" s="4" t="str">
        <f>IF(FROTA!AE255="","",FROTA!AE255)</f>
        <v/>
      </c>
      <c r="P254" s="4" t="str">
        <f t="shared" si="21"/>
        <v/>
      </c>
      <c r="Q254" s="4" t="str">
        <f>IF(FROTA!AG255="","",FROTA!AG255)</f>
        <v/>
      </c>
      <c r="R254" s="4" t="str">
        <f t="shared" si="22"/>
        <v/>
      </c>
      <c r="S254" s="164">
        <f t="shared" si="23"/>
        <v>0</v>
      </c>
      <c r="T254" s="257">
        <v>43045</v>
      </c>
      <c r="U254" s="256" t="s">
        <v>62</v>
      </c>
    </row>
    <row r="255" spans="2:21" ht="13.5" customHeight="1" x14ac:dyDescent="0.2">
      <c r="B255" s="23" t="str">
        <f>IF(FROTA!B256="","",FROTA!B256)</f>
        <v/>
      </c>
      <c r="C255" s="139" t="str">
        <f>IF(B255="","",VLOOKUP(B255,FROTA!$B$5:$C$306,2,0))</f>
        <v/>
      </c>
      <c r="D255" s="22" t="str">
        <f t="shared" si="18"/>
        <v/>
      </c>
      <c r="E255" s="4" t="str">
        <f>IF(B255="","",SUM(VLOOKUP(C255,ESCALA!$B$3:$N$19,8,0))*(VLOOKUP(SEM!C256,SEM!$C$5:$AC$305,27,0)))</f>
        <v/>
      </c>
      <c r="F255" s="120" t="str">
        <f>IF(D255="","",ROUNDUP(SEM!$AD256*VLOOKUP(RECEITAS!$C255,ESCALA!$B$3:$N$19,8,0),0))</f>
        <v/>
      </c>
      <c r="G255" s="4" t="str">
        <f>IF(B255="","",(SUM((VLOOKUP(C255,ESCALA!$B$3:$N$19,10,0))*(VLOOKUP(SAB!C256,SAB!$C$5:$AC$305,27,0))/VLOOKUP(C255,PERFIL!$B$4:$M$20,8,0))*VLOOKUP(C255,PERFIL!$B$4:$M$20,11,0)))</f>
        <v/>
      </c>
      <c r="H255" s="120" t="str">
        <f>IF(F255="","",ROUNDUP(SAB!$AD256*VLOOKUP(RECEITAS!$C255,ESCALA!$B$3:$N$19,10,0),0))</f>
        <v/>
      </c>
      <c r="I255" s="4" t="str">
        <f>IF(B255="","",SUM(VLOOKUP(C255,ESCALA!$B$3:$N$19,12,0))*(VLOOKUP(DF!C256,DF!$C$5:$AC$305,27,0))/VLOOKUP(C255,PERFIL!$B$4:$M$20,8,0)*VLOOKUP(C255,PERFIL!$B$4:$M$20,12,0))</f>
        <v/>
      </c>
      <c r="J255" s="120" t="str">
        <f>IF(H255="","",ROUNDUP(DF!$AD256*VLOOKUP(RECEITAS!$C255,ESCALA!$B$3:$N$19,12,0),0))</f>
        <v/>
      </c>
      <c r="K255" s="4" t="str">
        <f>IF(FROTA!AA256="","",FROTA!AA256)</f>
        <v/>
      </c>
      <c r="L255" s="4" t="str">
        <f t="shared" si="19"/>
        <v/>
      </c>
      <c r="M255" s="4" t="str">
        <f>IF(FROTA!AC256="","",FROTA!AC256)</f>
        <v/>
      </c>
      <c r="N255" s="4" t="str">
        <f t="shared" si="20"/>
        <v/>
      </c>
      <c r="O255" s="4" t="str">
        <f>IF(FROTA!AE256="","",FROTA!AE256)</f>
        <v/>
      </c>
      <c r="P255" s="4" t="str">
        <f t="shared" si="21"/>
        <v/>
      </c>
      <c r="Q255" s="4" t="str">
        <f>IF(FROTA!AG256="","",FROTA!AG256)</f>
        <v/>
      </c>
      <c r="R255" s="4" t="str">
        <f t="shared" si="22"/>
        <v/>
      </c>
      <c r="S255" s="164">
        <f t="shared" si="23"/>
        <v>0</v>
      </c>
      <c r="T255" s="257">
        <v>43046</v>
      </c>
      <c r="U255" s="256" t="s">
        <v>63</v>
      </c>
    </row>
    <row r="256" spans="2:21" ht="13.5" customHeight="1" x14ac:dyDescent="0.2">
      <c r="B256" s="23" t="str">
        <f>IF(FROTA!B257="","",FROTA!B257)</f>
        <v/>
      </c>
      <c r="C256" s="139" t="str">
        <f>IF(B256="","",VLOOKUP(B256,FROTA!$B$5:$C$306,2,0))</f>
        <v/>
      </c>
      <c r="D256" s="22" t="str">
        <f t="shared" si="18"/>
        <v/>
      </c>
      <c r="E256" s="4" t="str">
        <f>IF(B256="","",SUM(VLOOKUP(C256,ESCALA!$B$3:$N$19,8,0))*(VLOOKUP(SEM!C257,SEM!$C$5:$AC$305,27,0)))</f>
        <v/>
      </c>
      <c r="F256" s="120" t="str">
        <f>IF(D256="","",ROUNDUP(SEM!$AD257*VLOOKUP(RECEITAS!$C256,ESCALA!$B$3:$N$19,8,0),0))</f>
        <v/>
      </c>
      <c r="G256" s="4" t="str">
        <f>IF(B256="","",(SUM((VLOOKUP(C256,ESCALA!$B$3:$N$19,10,0))*(VLOOKUP(SAB!C257,SAB!$C$5:$AC$305,27,0))/VLOOKUP(C256,PERFIL!$B$4:$M$20,8,0))*VLOOKUP(C256,PERFIL!$B$4:$M$20,11,0)))</f>
        <v/>
      </c>
      <c r="H256" s="120" t="str">
        <f>IF(F256="","",ROUNDUP(SAB!$AD257*VLOOKUP(RECEITAS!$C256,ESCALA!$B$3:$N$19,10,0),0))</f>
        <v/>
      </c>
      <c r="I256" s="4" t="str">
        <f>IF(B256="","",SUM(VLOOKUP(C256,ESCALA!$B$3:$N$19,12,0))*(VLOOKUP(DF!C257,DF!$C$5:$AC$305,27,0))/VLOOKUP(C256,PERFIL!$B$4:$M$20,8,0)*VLOOKUP(C256,PERFIL!$B$4:$M$20,12,0))</f>
        <v/>
      </c>
      <c r="J256" s="120" t="str">
        <f>IF(H256="","",ROUNDUP(DF!$AD257*VLOOKUP(RECEITAS!$C256,ESCALA!$B$3:$N$19,12,0),0))</f>
        <v/>
      </c>
      <c r="K256" s="4" t="str">
        <f>IF(FROTA!AA257="","",FROTA!AA257)</f>
        <v/>
      </c>
      <c r="L256" s="4" t="str">
        <f t="shared" si="19"/>
        <v/>
      </c>
      <c r="M256" s="4" t="str">
        <f>IF(FROTA!AC257="","",FROTA!AC257)</f>
        <v/>
      </c>
      <c r="N256" s="4" t="str">
        <f t="shared" si="20"/>
        <v/>
      </c>
      <c r="O256" s="4" t="str">
        <f>IF(FROTA!AE257="","",FROTA!AE257)</f>
        <v/>
      </c>
      <c r="P256" s="4" t="str">
        <f t="shared" si="21"/>
        <v/>
      </c>
      <c r="Q256" s="4" t="str">
        <f>IF(FROTA!AG257="","",FROTA!AG257)</f>
        <v/>
      </c>
      <c r="R256" s="4" t="str">
        <f t="shared" si="22"/>
        <v/>
      </c>
      <c r="S256" s="164">
        <f t="shared" si="23"/>
        <v>0</v>
      </c>
      <c r="T256" s="257">
        <v>43047</v>
      </c>
      <c r="U256" s="256" t="s">
        <v>64</v>
      </c>
    </row>
    <row r="257" spans="2:21" ht="13.5" customHeight="1" x14ac:dyDescent="0.2">
      <c r="B257" s="23" t="str">
        <f>IF(FROTA!B258="","",FROTA!B258)</f>
        <v/>
      </c>
      <c r="C257" s="139" t="str">
        <f>IF(B257="","",VLOOKUP(B257,FROTA!$B$5:$C$306,2,0))</f>
        <v/>
      </c>
      <c r="D257" s="22" t="str">
        <f t="shared" si="18"/>
        <v/>
      </c>
      <c r="E257" s="4" t="str">
        <f>IF(B257="","",SUM(VLOOKUP(C257,ESCALA!$B$3:$N$19,8,0))*(VLOOKUP(SEM!C258,SEM!$C$5:$AC$305,27,0)))</f>
        <v/>
      </c>
      <c r="F257" s="120" t="str">
        <f>IF(D257="","",ROUNDUP(SEM!$AD258*VLOOKUP(RECEITAS!$C257,ESCALA!$B$3:$N$19,8,0),0))</f>
        <v/>
      </c>
      <c r="G257" s="4" t="str">
        <f>IF(B257="","",(SUM((VLOOKUP(C257,ESCALA!$B$3:$N$19,10,0))*(VLOOKUP(SAB!C258,SAB!$C$5:$AC$305,27,0))/VLOOKUP(C257,PERFIL!$B$4:$M$20,8,0))*VLOOKUP(C257,PERFIL!$B$4:$M$20,11,0)))</f>
        <v/>
      </c>
      <c r="H257" s="120" t="str">
        <f>IF(F257="","",ROUNDUP(SAB!$AD258*VLOOKUP(RECEITAS!$C257,ESCALA!$B$3:$N$19,10,0),0))</f>
        <v/>
      </c>
      <c r="I257" s="4" t="str">
        <f>IF(B257="","",SUM(VLOOKUP(C257,ESCALA!$B$3:$N$19,12,0))*(VLOOKUP(DF!C258,DF!$C$5:$AC$305,27,0))/VLOOKUP(C257,PERFIL!$B$4:$M$20,8,0)*VLOOKUP(C257,PERFIL!$B$4:$M$20,12,0))</f>
        <v/>
      </c>
      <c r="J257" s="120" t="str">
        <f>IF(H257="","",ROUNDUP(DF!$AD258*VLOOKUP(RECEITAS!$C257,ESCALA!$B$3:$N$19,12,0),0))</f>
        <v/>
      </c>
      <c r="K257" s="4" t="str">
        <f>IF(FROTA!AA258="","",FROTA!AA258)</f>
        <v/>
      </c>
      <c r="L257" s="4" t="str">
        <f t="shared" si="19"/>
        <v/>
      </c>
      <c r="M257" s="4" t="str">
        <f>IF(FROTA!AC258="","",FROTA!AC258)</f>
        <v/>
      </c>
      <c r="N257" s="4" t="str">
        <f t="shared" si="20"/>
        <v/>
      </c>
      <c r="O257" s="4" t="str">
        <f>IF(FROTA!AE258="","",FROTA!AE258)</f>
        <v/>
      </c>
      <c r="P257" s="4" t="str">
        <f t="shared" si="21"/>
        <v/>
      </c>
      <c r="Q257" s="4" t="str">
        <f>IF(FROTA!AG258="","",FROTA!AG258)</f>
        <v/>
      </c>
      <c r="R257" s="4" t="str">
        <f t="shared" si="22"/>
        <v/>
      </c>
      <c r="S257" s="164">
        <f t="shared" si="23"/>
        <v>0</v>
      </c>
      <c r="T257" s="257">
        <v>43048</v>
      </c>
      <c r="U257" s="256" t="s">
        <v>59</v>
      </c>
    </row>
    <row r="258" spans="2:21" ht="13.5" customHeight="1" x14ac:dyDescent="0.2">
      <c r="B258" s="23" t="str">
        <f>IF(FROTA!B259="","",FROTA!B259)</f>
        <v/>
      </c>
      <c r="C258" s="139" t="str">
        <f>IF(B258="","",VLOOKUP(B258,FROTA!$B$5:$C$306,2,0))</f>
        <v/>
      </c>
      <c r="D258" s="22" t="str">
        <f t="shared" si="18"/>
        <v/>
      </c>
      <c r="E258" s="4" t="str">
        <f>IF(B258="","",SUM(VLOOKUP(C258,ESCALA!$B$3:$N$19,8,0))*(VLOOKUP(SEM!C259,SEM!$C$5:$AC$305,27,0)))</f>
        <v/>
      </c>
      <c r="F258" s="120" t="str">
        <f>IF(D258="","",ROUNDUP(SEM!$AD259*VLOOKUP(RECEITAS!$C258,ESCALA!$B$3:$N$19,8,0),0))</f>
        <v/>
      </c>
      <c r="G258" s="4" t="str">
        <f>IF(B258="","",(SUM((VLOOKUP(C258,ESCALA!$B$3:$N$19,10,0))*(VLOOKUP(SAB!C259,SAB!$C$5:$AC$305,27,0))/VLOOKUP(C258,PERFIL!$B$4:$M$20,8,0))*VLOOKUP(C258,PERFIL!$B$4:$M$20,11,0)))</f>
        <v/>
      </c>
      <c r="H258" s="120" t="str">
        <f>IF(F258="","",ROUNDUP(SAB!$AD259*VLOOKUP(RECEITAS!$C258,ESCALA!$B$3:$N$19,10,0),0))</f>
        <v/>
      </c>
      <c r="I258" s="4" t="str">
        <f>IF(B258="","",SUM(VLOOKUP(C258,ESCALA!$B$3:$N$19,12,0))*(VLOOKUP(DF!C259,DF!$C$5:$AC$305,27,0))/VLOOKUP(C258,PERFIL!$B$4:$M$20,8,0)*VLOOKUP(C258,PERFIL!$B$4:$M$20,12,0))</f>
        <v/>
      </c>
      <c r="J258" s="120" t="str">
        <f>IF(H258="","",ROUNDUP(DF!$AD259*VLOOKUP(RECEITAS!$C258,ESCALA!$B$3:$N$19,12,0),0))</f>
        <v/>
      </c>
      <c r="K258" s="4" t="str">
        <f>IF(FROTA!AA259="","",FROTA!AA259)</f>
        <v/>
      </c>
      <c r="L258" s="4" t="str">
        <f t="shared" si="19"/>
        <v/>
      </c>
      <c r="M258" s="4" t="str">
        <f>IF(FROTA!AC259="","",FROTA!AC259)</f>
        <v/>
      </c>
      <c r="N258" s="4" t="str">
        <f t="shared" si="20"/>
        <v/>
      </c>
      <c r="O258" s="4" t="str">
        <f>IF(FROTA!AE259="","",FROTA!AE259)</f>
        <v/>
      </c>
      <c r="P258" s="4" t="str">
        <f t="shared" si="21"/>
        <v/>
      </c>
      <c r="Q258" s="4" t="str">
        <f>IF(FROTA!AG259="","",FROTA!AG259)</f>
        <v/>
      </c>
      <c r="R258" s="4" t="str">
        <f t="shared" si="22"/>
        <v/>
      </c>
      <c r="S258" s="164">
        <f t="shared" si="23"/>
        <v>0</v>
      </c>
      <c r="T258" s="257">
        <v>43049</v>
      </c>
      <c r="U258" s="256" t="s">
        <v>60</v>
      </c>
    </row>
    <row r="259" spans="2:21" ht="13.5" customHeight="1" x14ac:dyDescent="0.2">
      <c r="B259" s="23" t="str">
        <f>IF(FROTA!B260="","",FROTA!B260)</f>
        <v/>
      </c>
      <c r="C259" s="139" t="str">
        <f>IF(B259="","",VLOOKUP(B259,FROTA!$B$5:$C$306,2,0))</f>
        <v/>
      </c>
      <c r="D259" s="22" t="str">
        <f t="shared" si="18"/>
        <v/>
      </c>
      <c r="E259" s="4" t="str">
        <f>IF(B259="","",SUM(VLOOKUP(C259,ESCALA!$B$3:$N$19,8,0))*(VLOOKUP(SEM!C260,SEM!$C$5:$AC$305,27,0)))</f>
        <v/>
      </c>
      <c r="F259" s="120" t="str">
        <f>IF(D259="","",ROUNDUP(SEM!$AD260*VLOOKUP(RECEITAS!$C259,ESCALA!$B$3:$N$19,8,0),0))</f>
        <v/>
      </c>
      <c r="G259" s="4" t="str">
        <f>IF(B259="","",(SUM((VLOOKUP(C259,ESCALA!$B$3:$N$19,10,0))*(VLOOKUP(SAB!C260,SAB!$C$5:$AC$305,27,0))/VLOOKUP(C259,PERFIL!$B$4:$M$20,8,0))*VLOOKUP(C259,PERFIL!$B$4:$M$20,11,0)))</f>
        <v/>
      </c>
      <c r="H259" s="120" t="str">
        <f>IF(F259="","",ROUNDUP(SAB!$AD260*VLOOKUP(RECEITAS!$C259,ESCALA!$B$3:$N$19,10,0),0))</f>
        <v/>
      </c>
      <c r="I259" s="4" t="str">
        <f>IF(B259="","",SUM(VLOOKUP(C259,ESCALA!$B$3:$N$19,12,0))*(VLOOKUP(DF!C260,DF!$C$5:$AC$305,27,0))/VLOOKUP(C259,PERFIL!$B$4:$M$20,8,0)*VLOOKUP(C259,PERFIL!$B$4:$M$20,12,0))</f>
        <v/>
      </c>
      <c r="J259" s="120" t="str">
        <f>IF(H259="","",ROUNDUP(DF!$AD260*VLOOKUP(RECEITAS!$C259,ESCALA!$B$3:$N$19,12,0),0))</f>
        <v/>
      </c>
      <c r="K259" s="4" t="str">
        <f>IF(FROTA!AA260="","",FROTA!AA260)</f>
        <v/>
      </c>
      <c r="L259" s="4" t="str">
        <f t="shared" si="19"/>
        <v/>
      </c>
      <c r="M259" s="4" t="str">
        <f>IF(FROTA!AC260="","",FROTA!AC260)</f>
        <v/>
      </c>
      <c r="N259" s="4" t="str">
        <f t="shared" si="20"/>
        <v/>
      </c>
      <c r="O259" s="4" t="str">
        <f>IF(FROTA!AE260="","",FROTA!AE260)</f>
        <v/>
      </c>
      <c r="P259" s="4" t="str">
        <f t="shared" si="21"/>
        <v/>
      </c>
      <c r="Q259" s="4" t="str">
        <f>IF(FROTA!AG260="","",FROTA!AG260)</f>
        <v/>
      </c>
      <c r="R259" s="4" t="str">
        <f t="shared" si="22"/>
        <v/>
      </c>
      <c r="S259" s="164">
        <f t="shared" si="23"/>
        <v>0</v>
      </c>
      <c r="T259" s="257">
        <v>43050</v>
      </c>
      <c r="U259" s="256" t="s">
        <v>61</v>
      </c>
    </row>
    <row r="260" spans="2:21" ht="13.5" customHeight="1" x14ac:dyDescent="0.2">
      <c r="B260" s="23" t="str">
        <f>IF(FROTA!B261="","",FROTA!B261)</f>
        <v/>
      </c>
      <c r="C260" s="139" t="str">
        <f>IF(B260="","",VLOOKUP(B260,FROTA!$B$5:$C$306,2,0))</f>
        <v/>
      </c>
      <c r="D260" s="22" t="str">
        <f t="shared" si="18"/>
        <v/>
      </c>
      <c r="E260" s="4" t="str">
        <f>IF(B260="","",SUM(VLOOKUP(C260,ESCALA!$B$3:$N$19,8,0))*(VLOOKUP(SEM!C261,SEM!$C$5:$AC$305,27,0)))</f>
        <v/>
      </c>
      <c r="F260" s="120" t="str">
        <f>IF(D260="","",ROUNDUP(SEM!$AD261*VLOOKUP(RECEITAS!$C260,ESCALA!$B$3:$N$19,8,0),0))</f>
        <v/>
      </c>
      <c r="G260" s="4" t="str">
        <f>IF(B260="","",(SUM((VLOOKUP(C260,ESCALA!$B$3:$N$19,10,0))*(VLOOKUP(SAB!C261,SAB!$C$5:$AC$305,27,0))/VLOOKUP(C260,PERFIL!$B$4:$M$20,8,0))*VLOOKUP(C260,PERFIL!$B$4:$M$20,11,0)))</f>
        <v/>
      </c>
      <c r="H260" s="120" t="str">
        <f>IF(F260="","",ROUNDUP(SAB!$AD261*VLOOKUP(RECEITAS!$C260,ESCALA!$B$3:$N$19,10,0),0))</f>
        <v/>
      </c>
      <c r="I260" s="4" t="str">
        <f>IF(B260="","",SUM(VLOOKUP(C260,ESCALA!$B$3:$N$19,12,0))*(VLOOKUP(DF!C261,DF!$C$5:$AC$305,27,0))/VLOOKUP(C260,PERFIL!$B$4:$M$20,8,0)*VLOOKUP(C260,PERFIL!$B$4:$M$20,12,0))</f>
        <v/>
      </c>
      <c r="J260" s="120" t="str">
        <f>IF(H260="","",ROUNDUP(DF!$AD261*VLOOKUP(RECEITAS!$C260,ESCALA!$B$3:$N$19,12,0),0))</f>
        <v/>
      </c>
      <c r="K260" s="4" t="str">
        <f>IF(FROTA!AA261="","",FROTA!AA261)</f>
        <v/>
      </c>
      <c r="L260" s="4" t="str">
        <f t="shared" si="19"/>
        <v/>
      </c>
      <c r="M260" s="4" t="str">
        <f>IF(FROTA!AC261="","",FROTA!AC261)</f>
        <v/>
      </c>
      <c r="N260" s="4" t="str">
        <f t="shared" si="20"/>
        <v/>
      </c>
      <c r="O260" s="4" t="str">
        <f>IF(FROTA!AE261="","",FROTA!AE261)</f>
        <v/>
      </c>
      <c r="P260" s="4" t="str">
        <f t="shared" si="21"/>
        <v/>
      </c>
      <c r="Q260" s="4" t="str">
        <f>IF(FROTA!AG261="","",FROTA!AG261)</f>
        <v/>
      </c>
      <c r="R260" s="4" t="str">
        <f t="shared" si="22"/>
        <v/>
      </c>
      <c r="S260" s="164">
        <f t="shared" si="23"/>
        <v>0</v>
      </c>
      <c r="T260" s="257">
        <v>43051</v>
      </c>
      <c r="U260" s="256" t="s">
        <v>58</v>
      </c>
    </row>
    <row r="261" spans="2:21" ht="13.5" customHeight="1" x14ac:dyDescent="0.2">
      <c r="B261" s="23" t="str">
        <f>IF(FROTA!B262="","",FROTA!B262)</f>
        <v/>
      </c>
      <c r="C261" s="139" t="str">
        <f>IF(B261="","",VLOOKUP(B261,FROTA!$B$5:$C$306,2,0))</f>
        <v/>
      </c>
      <c r="D261" s="22" t="str">
        <f t="shared" si="18"/>
        <v/>
      </c>
      <c r="E261" s="4" t="str">
        <f>IF(B261="","",SUM(VLOOKUP(C261,ESCALA!$B$3:$N$19,8,0))*(VLOOKUP(SEM!C262,SEM!$C$5:$AC$305,27,0)))</f>
        <v/>
      </c>
      <c r="F261" s="120" t="str">
        <f>IF(D261="","",ROUNDUP(SEM!$AD262*VLOOKUP(RECEITAS!$C261,ESCALA!$B$3:$N$19,8,0),0))</f>
        <v/>
      </c>
      <c r="G261" s="4" t="str">
        <f>IF(B261="","",(SUM((VLOOKUP(C261,ESCALA!$B$3:$N$19,10,0))*(VLOOKUP(SAB!C262,SAB!$C$5:$AC$305,27,0))/VLOOKUP(C261,PERFIL!$B$4:$M$20,8,0))*VLOOKUP(C261,PERFIL!$B$4:$M$20,11,0)))</f>
        <v/>
      </c>
      <c r="H261" s="120" t="str">
        <f>IF(F261="","",ROUNDUP(SAB!$AD262*VLOOKUP(RECEITAS!$C261,ESCALA!$B$3:$N$19,10,0),0))</f>
        <v/>
      </c>
      <c r="I261" s="4" t="str">
        <f>IF(B261="","",SUM(VLOOKUP(C261,ESCALA!$B$3:$N$19,12,0))*(VLOOKUP(DF!C262,DF!$C$5:$AC$305,27,0))/VLOOKUP(C261,PERFIL!$B$4:$M$20,8,0)*VLOOKUP(C261,PERFIL!$B$4:$M$20,12,0))</f>
        <v/>
      </c>
      <c r="J261" s="120" t="str">
        <f>IF(H261="","",ROUNDUP(DF!$AD262*VLOOKUP(RECEITAS!$C261,ESCALA!$B$3:$N$19,12,0),0))</f>
        <v/>
      </c>
      <c r="K261" s="4" t="str">
        <f>IF(FROTA!AA262="","",FROTA!AA262)</f>
        <v/>
      </c>
      <c r="L261" s="4" t="str">
        <f t="shared" si="19"/>
        <v/>
      </c>
      <c r="M261" s="4" t="str">
        <f>IF(FROTA!AC262="","",FROTA!AC262)</f>
        <v/>
      </c>
      <c r="N261" s="4" t="str">
        <f t="shared" si="20"/>
        <v/>
      </c>
      <c r="O261" s="4" t="str">
        <f>IF(FROTA!AE262="","",FROTA!AE262)</f>
        <v/>
      </c>
      <c r="P261" s="4" t="str">
        <f t="shared" si="21"/>
        <v/>
      </c>
      <c r="Q261" s="4" t="str">
        <f>IF(FROTA!AG262="","",FROTA!AG262)</f>
        <v/>
      </c>
      <c r="R261" s="4" t="str">
        <f t="shared" si="22"/>
        <v/>
      </c>
      <c r="S261" s="164">
        <f t="shared" si="23"/>
        <v>0</v>
      </c>
      <c r="T261" s="257">
        <v>43052</v>
      </c>
      <c r="U261" s="256" t="s">
        <v>62</v>
      </c>
    </row>
    <row r="262" spans="2:21" ht="13.5" customHeight="1" x14ac:dyDescent="0.2">
      <c r="B262" s="23" t="str">
        <f>IF(FROTA!B263="","",FROTA!B263)</f>
        <v/>
      </c>
      <c r="C262" s="139" t="str">
        <f>IF(B262="","",VLOOKUP(B262,FROTA!$B$5:$C$306,2,0))</f>
        <v/>
      </c>
      <c r="D262" s="22" t="str">
        <f t="shared" ref="D262:D304" si="24">IF(B262="","",SUM(E262,G262,I262,L262,N262,P262,R262))</f>
        <v/>
      </c>
      <c r="E262" s="4" t="str">
        <f>IF(B262="","",SUM(VLOOKUP(C262,ESCALA!$B$3:$N$19,8,0))*(VLOOKUP(SEM!C263,SEM!$C$5:$AC$305,27,0)))</f>
        <v/>
      </c>
      <c r="F262" s="120" t="str">
        <f>IF(D262="","",ROUNDUP(SEM!$AD263*VLOOKUP(RECEITAS!$C262,ESCALA!$B$3:$N$19,8,0),0))</f>
        <v/>
      </c>
      <c r="G262" s="4" t="str">
        <f>IF(B262="","",(SUM((VLOOKUP(C262,ESCALA!$B$3:$N$19,10,0))*(VLOOKUP(SAB!C263,SAB!$C$5:$AC$305,27,0))/VLOOKUP(C262,PERFIL!$B$4:$M$20,8,0))*VLOOKUP(C262,PERFIL!$B$4:$M$20,11,0)))</f>
        <v/>
      </c>
      <c r="H262" s="120" t="str">
        <f>IF(F262="","",ROUNDUP(SAB!$AD263*VLOOKUP(RECEITAS!$C262,ESCALA!$B$3:$N$19,10,0),0))</f>
        <v/>
      </c>
      <c r="I262" s="4" t="str">
        <f>IF(B262="","",SUM(VLOOKUP(C262,ESCALA!$B$3:$N$19,12,0))*(VLOOKUP(DF!C263,DF!$C$5:$AC$305,27,0))/VLOOKUP(C262,PERFIL!$B$4:$M$20,8,0)*VLOOKUP(C262,PERFIL!$B$4:$M$20,12,0))</f>
        <v/>
      </c>
      <c r="J262" s="120" t="str">
        <f>IF(H262="","",ROUNDUP(DF!$AD263*VLOOKUP(RECEITAS!$C262,ESCALA!$B$3:$N$19,12,0),0))</f>
        <v/>
      </c>
      <c r="K262" s="4" t="str">
        <f>IF(FROTA!AA263="","",FROTA!AA263)</f>
        <v/>
      </c>
      <c r="L262" s="4" t="str">
        <f t="shared" ref="L262:L304" si="25">IF(K262="sim",SUM($E262,$G262,$I262)*0,"")</f>
        <v/>
      </c>
      <c r="M262" s="4" t="str">
        <f>IF(FROTA!AC263="","",FROTA!AC263)</f>
        <v/>
      </c>
      <c r="N262" s="4" t="str">
        <f t="shared" ref="N262:N304" si="26">IF(M262="sim",SUM($E262,$G262,$I262)*0.0085,"")</f>
        <v/>
      </c>
      <c r="O262" s="4" t="str">
        <f>IF(FROTA!AE263="","",FROTA!AE263)</f>
        <v/>
      </c>
      <c r="P262" s="4" t="str">
        <f t="shared" ref="P262:P304" si="27">IF(O262="sim",SUM($E262,$G262,$I262)*0.0085,"")</f>
        <v/>
      </c>
      <c r="Q262" s="4" t="str">
        <f>IF(FROTA!AG263="","",FROTA!AG263)</f>
        <v/>
      </c>
      <c r="R262" s="4" t="str">
        <f t="shared" ref="R262:R304" si="28">IF(Q262="sim",SUM($E262,$G262,$I262)*0.0085,"")</f>
        <v/>
      </c>
      <c r="S262" s="164">
        <f t="shared" si="23"/>
        <v>0</v>
      </c>
      <c r="T262" s="257">
        <v>43053</v>
      </c>
      <c r="U262" s="256" t="s">
        <v>63</v>
      </c>
    </row>
    <row r="263" spans="2:21" ht="13.5" customHeight="1" x14ac:dyDescent="0.2">
      <c r="B263" s="23" t="str">
        <f>IF(FROTA!B264="","",FROTA!B264)</f>
        <v/>
      </c>
      <c r="C263" s="139" t="str">
        <f>IF(B263="","",VLOOKUP(B263,FROTA!$B$5:$C$306,2,0))</f>
        <v/>
      </c>
      <c r="D263" s="22" t="str">
        <f t="shared" si="24"/>
        <v/>
      </c>
      <c r="E263" s="4" t="str">
        <f>IF(B263="","",SUM(VLOOKUP(C263,ESCALA!$B$3:$N$19,8,0))*(VLOOKUP(SEM!C264,SEM!$C$5:$AC$305,27,0)))</f>
        <v/>
      </c>
      <c r="F263" s="120" t="str">
        <f>IF(D263="","",ROUNDUP(SEM!$AD264*VLOOKUP(RECEITAS!$C263,ESCALA!$B$3:$N$19,8,0),0))</f>
        <v/>
      </c>
      <c r="G263" s="4" t="str">
        <f>IF(B263="","",(SUM((VLOOKUP(C263,ESCALA!$B$3:$N$19,10,0))*(VLOOKUP(SAB!C264,SAB!$C$5:$AC$305,27,0))/VLOOKUP(C263,PERFIL!$B$4:$M$20,8,0))*VLOOKUP(C263,PERFIL!$B$4:$M$20,11,0)))</f>
        <v/>
      </c>
      <c r="H263" s="120" t="str">
        <f>IF(F263="","",ROUNDUP(SAB!$AD264*VLOOKUP(RECEITAS!$C263,ESCALA!$B$3:$N$19,10,0),0))</f>
        <v/>
      </c>
      <c r="I263" s="4" t="str">
        <f>IF(B263="","",SUM(VLOOKUP(C263,ESCALA!$B$3:$N$19,12,0))*(VLOOKUP(DF!C264,DF!$C$5:$AC$305,27,0))/VLOOKUP(C263,PERFIL!$B$4:$M$20,8,0)*VLOOKUP(C263,PERFIL!$B$4:$M$20,12,0))</f>
        <v/>
      </c>
      <c r="J263" s="120" t="str">
        <f>IF(H263="","",ROUNDUP(DF!$AD264*VLOOKUP(RECEITAS!$C263,ESCALA!$B$3:$N$19,12,0),0))</f>
        <v/>
      </c>
      <c r="K263" s="4" t="str">
        <f>IF(FROTA!AA264="","",FROTA!AA264)</f>
        <v/>
      </c>
      <c r="L263" s="4" t="str">
        <f t="shared" si="25"/>
        <v/>
      </c>
      <c r="M263" s="4" t="str">
        <f>IF(FROTA!AC264="","",FROTA!AC264)</f>
        <v/>
      </c>
      <c r="N263" s="4" t="str">
        <f t="shared" si="26"/>
        <v/>
      </c>
      <c r="O263" s="4" t="str">
        <f>IF(FROTA!AE264="","",FROTA!AE264)</f>
        <v/>
      </c>
      <c r="P263" s="4" t="str">
        <f t="shared" si="27"/>
        <v/>
      </c>
      <c r="Q263" s="4" t="str">
        <f>IF(FROTA!AG264="","",FROTA!AG264)</f>
        <v/>
      </c>
      <c r="R263" s="4" t="str">
        <f t="shared" si="28"/>
        <v/>
      </c>
      <c r="S263" s="164">
        <f t="shared" ref="S263:S304" si="29">SUM(E263,G263,I263,L263,N263,P263,R263)</f>
        <v>0</v>
      </c>
      <c r="T263" s="257">
        <v>43054</v>
      </c>
      <c r="U263" s="256" t="s">
        <v>65</v>
      </c>
    </row>
    <row r="264" spans="2:21" ht="13.5" customHeight="1" x14ac:dyDescent="0.2">
      <c r="B264" s="23" t="str">
        <f>IF(FROTA!B265="","",FROTA!B265)</f>
        <v/>
      </c>
      <c r="C264" s="139" t="str">
        <f>IF(B264="","",VLOOKUP(B264,FROTA!$B$5:$C$306,2,0))</f>
        <v/>
      </c>
      <c r="D264" s="22" t="str">
        <f t="shared" si="24"/>
        <v/>
      </c>
      <c r="E264" s="4" t="str">
        <f>IF(B264="","",SUM(VLOOKUP(C264,ESCALA!$B$3:$N$19,8,0))*(VLOOKUP(SEM!C265,SEM!$C$5:$AC$305,27,0)))</f>
        <v/>
      </c>
      <c r="F264" s="120" t="str">
        <f>IF(D264="","",ROUNDUP(SEM!$AD265*VLOOKUP(RECEITAS!$C264,ESCALA!$B$3:$N$19,8,0),0))</f>
        <v/>
      </c>
      <c r="G264" s="4" t="str">
        <f>IF(B264="","",(SUM((VLOOKUP(C264,ESCALA!$B$3:$N$19,10,0))*(VLOOKUP(SAB!C265,SAB!$C$5:$AC$305,27,0))/VLOOKUP(C264,PERFIL!$B$4:$M$20,8,0))*VLOOKUP(C264,PERFIL!$B$4:$M$20,11,0)))</f>
        <v/>
      </c>
      <c r="H264" s="120" t="str">
        <f>IF(F264="","",ROUNDUP(SAB!$AD265*VLOOKUP(RECEITAS!$C264,ESCALA!$B$3:$N$19,10,0),0))</f>
        <v/>
      </c>
      <c r="I264" s="4" t="str">
        <f>IF(B264="","",SUM(VLOOKUP(C264,ESCALA!$B$3:$N$19,12,0))*(VLOOKUP(DF!C265,DF!$C$5:$AC$305,27,0))/VLOOKUP(C264,PERFIL!$B$4:$M$20,8,0)*VLOOKUP(C264,PERFIL!$B$4:$M$20,12,0))</f>
        <v/>
      </c>
      <c r="J264" s="120" t="str">
        <f>IF(H264="","",ROUNDUP(DF!$AD265*VLOOKUP(RECEITAS!$C264,ESCALA!$B$3:$N$19,12,0),0))</f>
        <v/>
      </c>
      <c r="K264" s="4" t="str">
        <f>IF(FROTA!AA265="","",FROTA!AA265)</f>
        <v/>
      </c>
      <c r="L264" s="4" t="str">
        <f t="shared" si="25"/>
        <v/>
      </c>
      <c r="M264" s="4" t="str">
        <f>IF(FROTA!AC265="","",FROTA!AC265)</f>
        <v/>
      </c>
      <c r="N264" s="4" t="str">
        <f t="shared" si="26"/>
        <v/>
      </c>
      <c r="O264" s="4" t="str">
        <f>IF(FROTA!AE265="","",FROTA!AE265)</f>
        <v/>
      </c>
      <c r="P264" s="4" t="str">
        <f t="shared" si="27"/>
        <v/>
      </c>
      <c r="Q264" s="4" t="str">
        <f>IF(FROTA!AG265="","",FROTA!AG265)</f>
        <v/>
      </c>
      <c r="R264" s="4" t="str">
        <f t="shared" si="28"/>
        <v/>
      </c>
      <c r="S264" s="164">
        <f t="shared" si="29"/>
        <v>0</v>
      </c>
      <c r="T264" s="257">
        <v>43055</v>
      </c>
      <c r="U264" s="256" t="s">
        <v>59</v>
      </c>
    </row>
    <row r="265" spans="2:21" ht="13.5" customHeight="1" x14ac:dyDescent="0.2">
      <c r="B265" s="23" t="str">
        <f>IF(FROTA!B266="","",FROTA!B266)</f>
        <v/>
      </c>
      <c r="C265" s="139" t="str">
        <f>IF(B265="","",VLOOKUP(B265,FROTA!$B$5:$C$306,2,0))</f>
        <v/>
      </c>
      <c r="D265" s="22" t="str">
        <f t="shared" si="24"/>
        <v/>
      </c>
      <c r="E265" s="4" t="str">
        <f>IF(B265="","",SUM(VLOOKUP(C265,ESCALA!$B$3:$N$19,8,0))*(VLOOKUP(SEM!C266,SEM!$C$5:$AC$305,27,0)))</f>
        <v/>
      </c>
      <c r="F265" s="120" t="str">
        <f>IF(D265="","",ROUNDUP(SEM!$AD266*VLOOKUP(RECEITAS!$C265,ESCALA!$B$3:$N$19,8,0),0))</f>
        <v/>
      </c>
      <c r="G265" s="4" t="str">
        <f>IF(B265="","",(SUM((VLOOKUP(C265,ESCALA!$B$3:$N$19,10,0))*(VLOOKUP(SAB!C266,SAB!$C$5:$AC$305,27,0))/VLOOKUP(C265,PERFIL!$B$4:$M$20,8,0))*VLOOKUP(C265,PERFIL!$B$4:$M$20,11,0)))</f>
        <v/>
      </c>
      <c r="H265" s="120" t="str">
        <f>IF(F265="","",ROUNDUP(SAB!$AD266*VLOOKUP(RECEITAS!$C265,ESCALA!$B$3:$N$19,10,0),0))</f>
        <v/>
      </c>
      <c r="I265" s="4" t="str">
        <f>IF(B265="","",SUM(VLOOKUP(C265,ESCALA!$B$3:$N$19,12,0))*(VLOOKUP(DF!C266,DF!$C$5:$AC$305,27,0))/VLOOKUP(C265,PERFIL!$B$4:$M$20,8,0)*VLOOKUP(C265,PERFIL!$B$4:$M$20,12,0))</f>
        <v/>
      </c>
      <c r="J265" s="120" t="str">
        <f>IF(H265="","",ROUNDUP(DF!$AD266*VLOOKUP(RECEITAS!$C265,ESCALA!$B$3:$N$19,12,0),0))</f>
        <v/>
      </c>
      <c r="K265" s="4" t="str">
        <f>IF(FROTA!AA266="","",FROTA!AA266)</f>
        <v/>
      </c>
      <c r="L265" s="4" t="str">
        <f t="shared" si="25"/>
        <v/>
      </c>
      <c r="M265" s="4" t="str">
        <f>IF(FROTA!AC266="","",FROTA!AC266)</f>
        <v/>
      </c>
      <c r="N265" s="4" t="str">
        <f t="shared" si="26"/>
        <v/>
      </c>
      <c r="O265" s="4" t="str">
        <f>IF(FROTA!AE266="","",FROTA!AE266)</f>
        <v/>
      </c>
      <c r="P265" s="4" t="str">
        <f t="shared" si="27"/>
        <v/>
      </c>
      <c r="Q265" s="4" t="str">
        <f>IF(FROTA!AG266="","",FROTA!AG266)</f>
        <v/>
      </c>
      <c r="R265" s="4" t="str">
        <f t="shared" si="28"/>
        <v/>
      </c>
      <c r="S265" s="164">
        <f t="shared" si="29"/>
        <v>0</v>
      </c>
      <c r="T265" s="257">
        <v>43056</v>
      </c>
      <c r="U265" s="256" t="s">
        <v>60</v>
      </c>
    </row>
    <row r="266" spans="2:21" ht="13.5" customHeight="1" x14ac:dyDescent="0.2">
      <c r="B266" s="23" t="str">
        <f>IF(FROTA!B267="","",FROTA!B267)</f>
        <v/>
      </c>
      <c r="C266" s="139" t="str">
        <f>IF(B266="","",VLOOKUP(B266,FROTA!$B$5:$C$306,2,0))</f>
        <v/>
      </c>
      <c r="D266" s="22" t="str">
        <f t="shared" si="24"/>
        <v/>
      </c>
      <c r="E266" s="4" t="str">
        <f>IF(B266="","",SUM(VLOOKUP(C266,ESCALA!$B$3:$N$19,8,0))*(VLOOKUP(SEM!C267,SEM!$C$5:$AC$305,27,0)))</f>
        <v/>
      </c>
      <c r="F266" s="120" t="str">
        <f>IF(D266="","",ROUNDUP(SEM!$AD267*VLOOKUP(RECEITAS!$C266,ESCALA!$B$3:$N$19,8,0),0))</f>
        <v/>
      </c>
      <c r="G266" s="4" t="str">
        <f>IF(B266="","",(SUM((VLOOKUP(C266,ESCALA!$B$3:$N$19,10,0))*(VLOOKUP(SAB!C267,SAB!$C$5:$AC$305,27,0))/VLOOKUP(C266,PERFIL!$B$4:$M$20,8,0))*VLOOKUP(C266,PERFIL!$B$4:$M$20,11,0)))</f>
        <v/>
      </c>
      <c r="H266" s="120" t="str">
        <f>IF(F266="","",ROUNDUP(SAB!$AD267*VLOOKUP(RECEITAS!$C266,ESCALA!$B$3:$N$19,10,0),0))</f>
        <v/>
      </c>
      <c r="I266" s="4" t="str">
        <f>IF(B266="","",SUM(VLOOKUP(C266,ESCALA!$B$3:$N$19,12,0))*(VLOOKUP(DF!C267,DF!$C$5:$AC$305,27,0))/VLOOKUP(C266,PERFIL!$B$4:$M$20,8,0)*VLOOKUP(C266,PERFIL!$B$4:$M$20,12,0))</f>
        <v/>
      </c>
      <c r="J266" s="120" t="str">
        <f>IF(H266="","",ROUNDUP(DF!$AD267*VLOOKUP(RECEITAS!$C266,ESCALA!$B$3:$N$19,12,0),0))</f>
        <v/>
      </c>
      <c r="K266" s="4" t="str">
        <f>IF(FROTA!AA267="","",FROTA!AA267)</f>
        <v/>
      </c>
      <c r="L266" s="4" t="str">
        <f t="shared" si="25"/>
        <v/>
      </c>
      <c r="M266" s="4" t="str">
        <f>IF(FROTA!AC267="","",FROTA!AC267)</f>
        <v/>
      </c>
      <c r="N266" s="4" t="str">
        <f t="shared" si="26"/>
        <v/>
      </c>
      <c r="O266" s="4" t="str">
        <f>IF(FROTA!AE267="","",FROTA!AE267)</f>
        <v/>
      </c>
      <c r="P266" s="4" t="str">
        <f t="shared" si="27"/>
        <v/>
      </c>
      <c r="Q266" s="4" t="str">
        <f>IF(FROTA!AG267="","",FROTA!AG267)</f>
        <v/>
      </c>
      <c r="R266" s="4" t="str">
        <f t="shared" si="28"/>
        <v/>
      </c>
      <c r="S266" s="164">
        <f t="shared" si="29"/>
        <v>0</v>
      </c>
      <c r="T266" s="257">
        <v>43057</v>
      </c>
      <c r="U266" s="256" t="s">
        <v>61</v>
      </c>
    </row>
    <row r="267" spans="2:21" ht="13.5" customHeight="1" x14ac:dyDescent="0.2">
      <c r="B267" s="23" t="str">
        <f>IF(FROTA!B268="","",FROTA!B268)</f>
        <v/>
      </c>
      <c r="C267" s="139" t="str">
        <f>IF(B267="","",VLOOKUP(B267,FROTA!$B$5:$C$306,2,0))</f>
        <v/>
      </c>
      <c r="D267" s="22" t="str">
        <f t="shared" si="24"/>
        <v/>
      </c>
      <c r="E267" s="4" t="str">
        <f>IF(B267="","",SUM(VLOOKUP(C267,ESCALA!$B$3:$N$19,8,0))*(VLOOKUP(SEM!C268,SEM!$C$5:$AC$305,27,0)))</f>
        <v/>
      </c>
      <c r="F267" s="120" t="str">
        <f>IF(D267="","",ROUNDUP(SEM!$AD268*VLOOKUP(RECEITAS!$C267,ESCALA!$B$3:$N$19,8,0),0))</f>
        <v/>
      </c>
      <c r="G267" s="4" t="str">
        <f>IF(B267="","",(SUM((VLOOKUP(C267,ESCALA!$B$3:$N$19,10,0))*(VLOOKUP(SAB!C268,SAB!$C$5:$AC$305,27,0))/VLOOKUP(C267,PERFIL!$B$4:$M$20,8,0))*VLOOKUP(C267,PERFIL!$B$4:$M$20,11,0)))</f>
        <v/>
      </c>
      <c r="H267" s="120" t="str">
        <f>IF(F267="","",ROUNDUP(SAB!$AD268*VLOOKUP(RECEITAS!$C267,ESCALA!$B$3:$N$19,10,0),0))</f>
        <v/>
      </c>
      <c r="I267" s="4" t="str">
        <f>IF(B267="","",SUM(VLOOKUP(C267,ESCALA!$B$3:$N$19,12,0))*(VLOOKUP(DF!C268,DF!$C$5:$AC$305,27,0))/VLOOKUP(C267,PERFIL!$B$4:$M$20,8,0)*VLOOKUP(C267,PERFIL!$B$4:$M$20,12,0))</f>
        <v/>
      </c>
      <c r="J267" s="120" t="str">
        <f>IF(H267="","",ROUNDUP(DF!$AD268*VLOOKUP(RECEITAS!$C267,ESCALA!$B$3:$N$19,12,0),0))</f>
        <v/>
      </c>
      <c r="K267" s="4" t="str">
        <f>IF(FROTA!AA268="","",FROTA!AA268)</f>
        <v/>
      </c>
      <c r="L267" s="4" t="str">
        <f t="shared" si="25"/>
        <v/>
      </c>
      <c r="M267" s="4" t="str">
        <f>IF(FROTA!AC268="","",FROTA!AC268)</f>
        <v/>
      </c>
      <c r="N267" s="4" t="str">
        <f t="shared" si="26"/>
        <v/>
      </c>
      <c r="O267" s="4" t="str">
        <f>IF(FROTA!AE268="","",FROTA!AE268)</f>
        <v/>
      </c>
      <c r="P267" s="4" t="str">
        <f t="shared" si="27"/>
        <v/>
      </c>
      <c r="Q267" s="4" t="str">
        <f>IF(FROTA!AG268="","",FROTA!AG268)</f>
        <v/>
      </c>
      <c r="R267" s="4" t="str">
        <f t="shared" si="28"/>
        <v/>
      </c>
      <c r="S267" s="164">
        <f t="shared" si="29"/>
        <v>0</v>
      </c>
      <c r="T267" s="257">
        <v>43058</v>
      </c>
      <c r="U267" s="256" t="s">
        <v>58</v>
      </c>
    </row>
    <row r="268" spans="2:21" ht="13.5" customHeight="1" x14ac:dyDescent="0.2">
      <c r="B268" s="23" t="str">
        <f>IF(FROTA!B269="","",FROTA!B269)</f>
        <v/>
      </c>
      <c r="C268" s="139" t="str">
        <f>IF(B268="","",VLOOKUP(B268,FROTA!$B$5:$C$306,2,0))</f>
        <v/>
      </c>
      <c r="D268" s="22" t="str">
        <f t="shared" si="24"/>
        <v/>
      </c>
      <c r="E268" s="4" t="str">
        <f>IF(B268="","",SUM(VLOOKUP(C268,ESCALA!$B$3:$N$19,8,0))*(VLOOKUP(SEM!C269,SEM!$C$5:$AC$305,27,0)))</f>
        <v/>
      </c>
      <c r="F268" s="120" t="str">
        <f>IF(D268="","",ROUNDUP(SEM!$AD269*VLOOKUP(RECEITAS!$C268,ESCALA!$B$3:$N$19,8,0),0))</f>
        <v/>
      </c>
      <c r="G268" s="4" t="str">
        <f>IF(B268="","",(SUM((VLOOKUP(C268,ESCALA!$B$3:$N$19,10,0))*(VLOOKUP(SAB!C269,SAB!$C$5:$AC$305,27,0))/VLOOKUP(C268,PERFIL!$B$4:$M$20,8,0))*VLOOKUP(C268,PERFIL!$B$4:$M$20,11,0)))</f>
        <v/>
      </c>
      <c r="H268" s="120" t="str">
        <f>IF(F268="","",ROUNDUP(SAB!$AD269*VLOOKUP(RECEITAS!$C268,ESCALA!$B$3:$N$19,10,0),0))</f>
        <v/>
      </c>
      <c r="I268" s="4" t="str">
        <f>IF(B268="","",SUM(VLOOKUP(C268,ESCALA!$B$3:$N$19,12,0))*(VLOOKUP(DF!C269,DF!$C$5:$AC$305,27,0))/VLOOKUP(C268,PERFIL!$B$4:$M$20,8,0)*VLOOKUP(C268,PERFIL!$B$4:$M$20,12,0))</f>
        <v/>
      </c>
      <c r="J268" s="120" t="str">
        <f>IF(H268="","",ROUNDUP(DF!$AD269*VLOOKUP(RECEITAS!$C268,ESCALA!$B$3:$N$19,12,0),0))</f>
        <v/>
      </c>
      <c r="K268" s="4" t="str">
        <f>IF(FROTA!AA269="","",FROTA!AA269)</f>
        <v/>
      </c>
      <c r="L268" s="4" t="str">
        <f t="shared" si="25"/>
        <v/>
      </c>
      <c r="M268" s="4" t="str">
        <f>IF(FROTA!AC269="","",FROTA!AC269)</f>
        <v/>
      </c>
      <c r="N268" s="4" t="str">
        <f t="shared" si="26"/>
        <v/>
      </c>
      <c r="O268" s="4" t="str">
        <f>IF(FROTA!AE269="","",FROTA!AE269)</f>
        <v/>
      </c>
      <c r="P268" s="4" t="str">
        <f t="shared" si="27"/>
        <v/>
      </c>
      <c r="Q268" s="4" t="str">
        <f>IF(FROTA!AG269="","",FROTA!AG269)</f>
        <v/>
      </c>
      <c r="R268" s="4" t="str">
        <f t="shared" si="28"/>
        <v/>
      </c>
      <c r="S268" s="164">
        <f t="shared" si="29"/>
        <v>0</v>
      </c>
      <c r="T268" s="257">
        <v>43059</v>
      </c>
      <c r="U268" s="256" t="s">
        <v>65</v>
      </c>
    </row>
    <row r="269" spans="2:21" ht="13.5" customHeight="1" x14ac:dyDescent="0.2">
      <c r="B269" s="23" t="str">
        <f>IF(FROTA!B270="","",FROTA!B270)</f>
        <v/>
      </c>
      <c r="C269" s="139" t="str">
        <f>IF(B269="","",VLOOKUP(B269,FROTA!$B$5:$C$306,2,0))</f>
        <v/>
      </c>
      <c r="D269" s="22" t="str">
        <f t="shared" si="24"/>
        <v/>
      </c>
      <c r="E269" s="4" t="str">
        <f>IF(B269="","",SUM(VLOOKUP(C269,ESCALA!$B$3:$N$19,8,0))*(VLOOKUP(SEM!C270,SEM!$C$5:$AC$305,27,0)))</f>
        <v/>
      </c>
      <c r="F269" s="120" t="str">
        <f>IF(D269="","",ROUNDUP(SEM!$AD270*VLOOKUP(RECEITAS!$C269,ESCALA!$B$3:$N$19,8,0),0))</f>
        <v/>
      </c>
      <c r="G269" s="4" t="str">
        <f>IF(B269="","",(SUM((VLOOKUP(C269,ESCALA!$B$3:$N$19,10,0))*(VLOOKUP(SAB!C270,SAB!$C$5:$AC$305,27,0))/VLOOKUP(C269,PERFIL!$B$4:$M$20,8,0))*VLOOKUP(C269,PERFIL!$B$4:$M$20,11,0)))</f>
        <v/>
      </c>
      <c r="H269" s="120" t="str">
        <f>IF(F269="","",ROUNDUP(SAB!$AD270*VLOOKUP(RECEITAS!$C269,ESCALA!$B$3:$N$19,10,0),0))</f>
        <v/>
      </c>
      <c r="I269" s="4" t="str">
        <f>IF(B269="","",SUM(VLOOKUP(C269,ESCALA!$B$3:$N$19,12,0))*(VLOOKUP(DF!C270,DF!$C$5:$AC$305,27,0))/VLOOKUP(C269,PERFIL!$B$4:$M$20,8,0)*VLOOKUP(C269,PERFIL!$B$4:$M$20,12,0))</f>
        <v/>
      </c>
      <c r="J269" s="120" t="str">
        <f>IF(H269="","",ROUNDUP(DF!$AD270*VLOOKUP(RECEITAS!$C269,ESCALA!$B$3:$N$19,12,0),0))</f>
        <v/>
      </c>
      <c r="K269" s="4" t="str">
        <f>IF(FROTA!AA270="","",FROTA!AA270)</f>
        <v/>
      </c>
      <c r="L269" s="4" t="str">
        <f t="shared" si="25"/>
        <v/>
      </c>
      <c r="M269" s="4" t="str">
        <f>IF(FROTA!AC270="","",FROTA!AC270)</f>
        <v/>
      </c>
      <c r="N269" s="4" t="str">
        <f t="shared" si="26"/>
        <v/>
      </c>
      <c r="O269" s="4" t="str">
        <f>IF(FROTA!AE270="","",FROTA!AE270)</f>
        <v/>
      </c>
      <c r="P269" s="4" t="str">
        <f t="shared" si="27"/>
        <v/>
      </c>
      <c r="Q269" s="4" t="str">
        <f>IF(FROTA!AG270="","",FROTA!AG270)</f>
        <v/>
      </c>
      <c r="R269" s="4" t="str">
        <f t="shared" si="28"/>
        <v/>
      </c>
      <c r="S269" s="164">
        <f t="shared" si="29"/>
        <v>0</v>
      </c>
      <c r="T269" s="257">
        <v>43060</v>
      </c>
      <c r="U269" s="256" t="s">
        <v>63</v>
      </c>
    </row>
    <row r="270" spans="2:21" ht="13.5" customHeight="1" x14ac:dyDescent="0.2">
      <c r="B270" s="23" t="str">
        <f>IF(FROTA!B271="","",FROTA!B271)</f>
        <v/>
      </c>
      <c r="C270" s="139" t="str">
        <f>IF(B270="","",VLOOKUP(B270,FROTA!$B$5:$C$306,2,0))</f>
        <v/>
      </c>
      <c r="D270" s="22" t="str">
        <f t="shared" si="24"/>
        <v/>
      </c>
      <c r="E270" s="4" t="str">
        <f>IF(B270="","",SUM(VLOOKUP(C270,ESCALA!$B$3:$N$19,8,0))*(VLOOKUP(SEM!C271,SEM!$C$5:$AC$305,27,0)))</f>
        <v/>
      </c>
      <c r="F270" s="120" t="str">
        <f>IF(D270="","",ROUNDUP(SEM!$AD271*VLOOKUP(RECEITAS!$C270,ESCALA!$B$3:$N$19,8,0),0))</f>
        <v/>
      </c>
      <c r="G270" s="4" t="str">
        <f>IF(B270="","",(SUM((VLOOKUP(C270,ESCALA!$B$3:$N$19,10,0))*(VLOOKUP(SAB!C271,SAB!$C$5:$AC$305,27,0))/VLOOKUP(C270,PERFIL!$B$4:$M$20,8,0))*VLOOKUP(C270,PERFIL!$B$4:$M$20,11,0)))</f>
        <v/>
      </c>
      <c r="H270" s="120" t="str">
        <f>IF(F270="","",ROUNDUP(SAB!$AD271*VLOOKUP(RECEITAS!$C270,ESCALA!$B$3:$N$19,10,0),0))</f>
        <v/>
      </c>
      <c r="I270" s="4" t="str">
        <f>IF(B270="","",SUM(VLOOKUP(C270,ESCALA!$B$3:$N$19,12,0))*(VLOOKUP(DF!C271,DF!$C$5:$AC$305,27,0))/VLOOKUP(C270,PERFIL!$B$4:$M$20,8,0)*VLOOKUP(C270,PERFIL!$B$4:$M$20,12,0))</f>
        <v/>
      </c>
      <c r="J270" s="120" t="str">
        <f>IF(H270="","",ROUNDUP(DF!$AD271*VLOOKUP(RECEITAS!$C270,ESCALA!$B$3:$N$19,12,0),0))</f>
        <v/>
      </c>
      <c r="K270" s="4" t="str">
        <f>IF(FROTA!AA271="","",FROTA!AA271)</f>
        <v/>
      </c>
      <c r="L270" s="4" t="str">
        <f t="shared" si="25"/>
        <v/>
      </c>
      <c r="M270" s="4" t="str">
        <f>IF(FROTA!AC271="","",FROTA!AC271)</f>
        <v/>
      </c>
      <c r="N270" s="4" t="str">
        <f t="shared" si="26"/>
        <v/>
      </c>
      <c r="O270" s="4" t="str">
        <f>IF(FROTA!AE271="","",FROTA!AE271)</f>
        <v/>
      </c>
      <c r="P270" s="4" t="str">
        <f t="shared" si="27"/>
        <v/>
      </c>
      <c r="Q270" s="4" t="str">
        <f>IF(FROTA!AG271="","",FROTA!AG271)</f>
        <v/>
      </c>
      <c r="R270" s="4" t="str">
        <f t="shared" si="28"/>
        <v/>
      </c>
      <c r="S270" s="164">
        <f t="shared" si="29"/>
        <v>0</v>
      </c>
      <c r="T270" s="257">
        <v>43061</v>
      </c>
      <c r="U270" s="256" t="s">
        <v>64</v>
      </c>
    </row>
    <row r="271" spans="2:21" ht="13.5" customHeight="1" x14ac:dyDescent="0.2">
      <c r="B271" s="23" t="str">
        <f>IF(FROTA!B272="","",FROTA!B272)</f>
        <v/>
      </c>
      <c r="C271" s="139" t="str">
        <f>IF(B271="","",VLOOKUP(B271,FROTA!$B$5:$C$306,2,0))</f>
        <v/>
      </c>
      <c r="D271" s="22" t="str">
        <f t="shared" si="24"/>
        <v/>
      </c>
      <c r="E271" s="4" t="str">
        <f>IF(B271="","",SUM(VLOOKUP(C271,ESCALA!$B$3:$N$19,8,0))*(VLOOKUP(SEM!C272,SEM!$C$5:$AC$305,27,0)))</f>
        <v/>
      </c>
      <c r="F271" s="120" t="str">
        <f>IF(D271="","",ROUNDUP(SEM!$AD272*VLOOKUP(RECEITAS!$C271,ESCALA!$B$3:$N$19,8,0),0))</f>
        <v/>
      </c>
      <c r="G271" s="4" t="str">
        <f>IF(B271="","",(SUM((VLOOKUP(C271,ESCALA!$B$3:$N$19,10,0))*(VLOOKUP(SAB!C272,SAB!$C$5:$AC$305,27,0))/VLOOKUP(C271,PERFIL!$B$4:$M$20,8,0))*VLOOKUP(C271,PERFIL!$B$4:$M$20,11,0)))</f>
        <v/>
      </c>
      <c r="H271" s="120" t="str">
        <f>IF(F271="","",ROUNDUP(SAB!$AD272*VLOOKUP(RECEITAS!$C271,ESCALA!$B$3:$N$19,10,0),0))</f>
        <v/>
      </c>
      <c r="I271" s="4" t="str">
        <f>IF(B271="","",SUM(VLOOKUP(C271,ESCALA!$B$3:$N$19,12,0))*(VLOOKUP(DF!C272,DF!$C$5:$AC$305,27,0))/VLOOKUP(C271,PERFIL!$B$4:$M$20,8,0)*VLOOKUP(C271,PERFIL!$B$4:$M$20,12,0))</f>
        <v/>
      </c>
      <c r="J271" s="120" t="str">
        <f>IF(H271="","",ROUNDUP(DF!$AD272*VLOOKUP(RECEITAS!$C271,ESCALA!$B$3:$N$19,12,0),0))</f>
        <v/>
      </c>
      <c r="K271" s="4" t="str">
        <f>IF(FROTA!AA272="","",FROTA!AA272)</f>
        <v/>
      </c>
      <c r="L271" s="4" t="str">
        <f t="shared" si="25"/>
        <v/>
      </c>
      <c r="M271" s="4" t="str">
        <f>IF(FROTA!AC272="","",FROTA!AC272)</f>
        <v/>
      </c>
      <c r="N271" s="4" t="str">
        <f t="shared" si="26"/>
        <v/>
      </c>
      <c r="O271" s="4" t="str">
        <f>IF(FROTA!AE272="","",FROTA!AE272)</f>
        <v/>
      </c>
      <c r="P271" s="4" t="str">
        <f t="shared" si="27"/>
        <v/>
      </c>
      <c r="Q271" s="4" t="str">
        <f>IF(FROTA!AG272="","",FROTA!AG272)</f>
        <v/>
      </c>
      <c r="R271" s="4" t="str">
        <f t="shared" si="28"/>
        <v/>
      </c>
      <c r="S271" s="164">
        <f t="shared" si="29"/>
        <v>0</v>
      </c>
      <c r="T271" s="257">
        <v>43062</v>
      </c>
      <c r="U271" s="256" t="s">
        <v>59</v>
      </c>
    </row>
    <row r="272" spans="2:21" ht="13.5" customHeight="1" x14ac:dyDescent="0.2">
      <c r="B272" s="23" t="str">
        <f>IF(FROTA!B273="","",FROTA!B273)</f>
        <v/>
      </c>
      <c r="C272" s="139" t="str">
        <f>IF(B272="","",VLOOKUP(B272,FROTA!$B$5:$C$306,2,0))</f>
        <v/>
      </c>
      <c r="D272" s="22" t="str">
        <f t="shared" si="24"/>
        <v/>
      </c>
      <c r="E272" s="4" t="str">
        <f>IF(B272="","",SUM(VLOOKUP(C272,ESCALA!$B$3:$N$19,8,0))*(VLOOKUP(SEM!C273,SEM!$C$5:$AC$305,27,0)))</f>
        <v/>
      </c>
      <c r="F272" s="120" t="str">
        <f>IF(D272="","",ROUNDUP(SEM!$AD273*VLOOKUP(RECEITAS!$C272,ESCALA!$B$3:$N$19,8,0),0))</f>
        <v/>
      </c>
      <c r="G272" s="4" t="str">
        <f>IF(B272="","",(SUM((VLOOKUP(C272,ESCALA!$B$3:$N$19,10,0))*(VLOOKUP(SAB!C273,SAB!$C$5:$AC$305,27,0))/VLOOKUP(C272,PERFIL!$B$4:$M$20,8,0))*VLOOKUP(C272,PERFIL!$B$4:$M$20,11,0)))</f>
        <v/>
      </c>
      <c r="H272" s="120" t="str">
        <f>IF(F272="","",ROUNDUP(SAB!$AD273*VLOOKUP(RECEITAS!$C272,ESCALA!$B$3:$N$19,10,0),0))</f>
        <v/>
      </c>
      <c r="I272" s="4" t="str">
        <f>IF(B272="","",SUM(VLOOKUP(C272,ESCALA!$B$3:$N$19,12,0))*(VLOOKUP(DF!C273,DF!$C$5:$AC$305,27,0))/VLOOKUP(C272,PERFIL!$B$4:$M$20,8,0)*VLOOKUP(C272,PERFIL!$B$4:$M$20,12,0))</f>
        <v/>
      </c>
      <c r="J272" s="120" t="str">
        <f>IF(H272="","",ROUNDUP(DF!$AD273*VLOOKUP(RECEITAS!$C272,ESCALA!$B$3:$N$19,12,0),0))</f>
        <v/>
      </c>
      <c r="K272" s="4" t="str">
        <f>IF(FROTA!AA273="","",FROTA!AA273)</f>
        <v/>
      </c>
      <c r="L272" s="4" t="str">
        <f t="shared" si="25"/>
        <v/>
      </c>
      <c r="M272" s="4" t="str">
        <f>IF(FROTA!AC273="","",FROTA!AC273)</f>
        <v/>
      </c>
      <c r="N272" s="4" t="str">
        <f t="shared" si="26"/>
        <v/>
      </c>
      <c r="O272" s="4" t="str">
        <f>IF(FROTA!AE273="","",FROTA!AE273)</f>
        <v/>
      </c>
      <c r="P272" s="4" t="str">
        <f t="shared" si="27"/>
        <v/>
      </c>
      <c r="Q272" s="4" t="str">
        <f>IF(FROTA!AG273="","",FROTA!AG273)</f>
        <v/>
      </c>
      <c r="R272" s="4" t="str">
        <f t="shared" si="28"/>
        <v/>
      </c>
      <c r="S272" s="164">
        <f t="shared" si="29"/>
        <v>0</v>
      </c>
      <c r="T272" s="257">
        <v>43063</v>
      </c>
      <c r="U272" s="256" t="s">
        <v>60</v>
      </c>
    </row>
    <row r="273" spans="2:21" ht="13.5" customHeight="1" x14ac:dyDescent="0.2">
      <c r="B273" s="23" t="str">
        <f>IF(FROTA!B274="","",FROTA!B274)</f>
        <v/>
      </c>
      <c r="C273" s="139" t="str">
        <f>IF(B273="","",VLOOKUP(B273,FROTA!$B$5:$C$306,2,0))</f>
        <v/>
      </c>
      <c r="D273" s="22" t="str">
        <f t="shared" si="24"/>
        <v/>
      </c>
      <c r="E273" s="4" t="str">
        <f>IF(B273="","",SUM(VLOOKUP(C273,ESCALA!$B$3:$N$19,8,0))*(VLOOKUP(SEM!C274,SEM!$C$5:$AC$305,27,0)))</f>
        <v/>
      </c>
      <c r="F273" s="120" t="str">
        <f>IF(D273="","",ROUNDUP(SEM!$AD274*VLOOKUP(RECEITAS!$C273,ESCALA!$B$3:$N$19,8,0),0))</f>
        <v/>
      </c>
      <c r="G273" s="4" t="str">
        <f>IF(B273="","",(SUM((VLOOKUP(C273,ESCALA!$B$3:$N$19,10,0))*(VLOOKUP(SAB!C274,SAB!$C$5:$AC$305,27,0))/VLOOKUP(C273,PERFIL!$B$4:$M$20,8,0))*VLOOKUP(C273,PERFIL!$B$4:$M$20,11,0)))</f>
        <v/>
      </c>
      <c r="H273" s="120" t="str">
        <f>IF(F273="","",ROUNDUP(SAB!$AD274*VLOOKUP(RECEITAS!$C273,ESCALA!$B$3:$N$19,10,0),0))</f>
        <v/>
      </c>
      <c r="I273" s="4" t="str">
        <f>IF(B273="","",SUM(VLOOKUP(C273,ESCALA!$B$3:$N$19,12,0))*(VLOOKUP(DF!C274,DF!$C$5:$AC$305,27,0))/VLOOKUP(C273,PERFIL!$B$4:$M$20,8,0)*VLOOKUP(C273,PERFIL!$B$4:$M$20,12,0))</f>
        <v/>
      </c>
      <c r="J273" s="120" t="str">
        <f>IF(H273="","",ROUNDUP(DF!$AD274*VLOOKUP(RECEITAS!$C273,ESCALA!$B$3:$N$19,12,0),0))</f>
        <v/>
      </c>
      <c r="K273" s="4" t="str">
        <f>IF(FROTA!AA274="","",FROTA!AA274)</f>
        <v/>
      </c>
      <c r="L273" s="4" t="str">
        <f t="shared" si="25"/>
        <v/>
      </c>
      <c r="M273" s="4" t="str">
        <f>IF(FROTA!AC274="","",FROTA!AC274)</f>
        <v/>
      </c>
      <c r="N273" s="4" t="str">
        <f t="shared" si="26"/>
        <v/>
      </c>
      <c r="O273" s="4" t="str">
        <f>IF(FROTA!AE274="","",FROTA!AE274)</f>
        <v/>
      </c>
      <c r="P273" s="4" t="str">
        <f t="shared" si="27"/>
        <v/>
      </c>
      <c r="Q273" s="4" t="str">
        <f>IF(FROTA!AG274="","",FROTA!AG274)</f>
        <v/>
      </c>
      <c r="R273" s="4" t="str">
        <f t="shared" si="28"/>
        <v/>
      </c>
      <c r="S273" s="164">
        <f t="shared" si="29"/>
        <v>0</v>
      </c>
      <c r="T273" s="257">
        <v>43064</v>
      </c>
      <c r="U273" s="256" t="s">
        <v>61</v>
      </c>
    </row>
    <row r="274" spans="2:21" ht="13.5" customHeight="1" x14ac:dyDescent="0.2">
      <c r="B274" s="23" t="str">
        <f>IF(FROTA!B275="","",FROTA!B275)</f>
        <v/>
      </c>
      <c r="C274" s="139" t="str">
        <f>IF(B274="","",VLOOKUP(B274,FROTA!$B$5:$C$306,2,0))</f>
        <v/>
      </c>
      <c r="D274" s="22" t="str">
        <f t="shared" si="24"/>
        <v/>
      </c>
      <c r="E274" s="4" t="str">
        <f>IF(B274="","",SUM(VLOOKUP(C274,ESCALA!$B$3:$N$19,8,0))*(VLOOKUP(SEM!C275,SEM!$C$5:$AC$305,27,0)))</f>
        <v/>
      </c>
      <c r="F274" s="120" t="str">
        <f>IF(D274="","",ROUNDUP(SEM!$AD275*VLOOKUP(RECEITAS!$C274,ESCALA!$B$3:$N$19,8,0),0))</f>
        <v/>
      </c>
      <c r="G274" s="4" t="str">
        <f>IF(B274="","",(SUM((VLOOKUP(C274,ESCALA!$B$3:$N$19,10,0))*(VLOOKUP(SAB!C275,SAB!$C$5:$AC$305,27,0))/VLOOKUP(C274,PERFIL!$B$4:$M$20,8,0))*VLOOKUP(C274,PERFIL!$B$4:$M$20,11,0)))</f>
        <v/>
      </c>
      <c r="H274" s="120" t="str">
        <f>IF(F274="","",ROUNDUP(SAB!$AD275*VLOOKUP(RECEITAS!$C274,ESCALA!$B$3:$N$19,10,0),0))</f>
        <v/>
      </c>
      <c r="I274" s="4" t="str">
        <f>IF(B274="","",SUM(VLOOKUP(C274,ESCALA!$B$3:$N$19,12,0))*(VLOOKUP(DF!C275,DF!$C$5:$AC$305,27,0))/VLOOKUP(C274,PERFIL!$B$4:$M$20,8,0)*VLOOKUP(C274,PERFIL!$B$4:$M$20,12,0))</f>
        <v/>
      </c>
      <c r="J274" s="120" t="str">
        <f>IF(H274="","",ROUNDUP(DF!$AD275*VLOOKUP(RECEITAS!$C274,ESCALA!$B$3:$N$19,12,0),0))</f>
        <v/>
      </c>
      <c r="K274" s="4" t="str">
        <f>IF(FROTA!AA275="","",FROTA!AA275)</f>
        <v/>
      </c>
      <c r="L274" s="4" t="str">
        <f t="shared" si="25"/>
        <v/>
      </c>
      <c r="M274" s="4" t="str">
        <f>IF(FROTA!AC275="","",FROTA!AC275)</f>
        <v/>
      </c>
      <c r="N274" s="4" t="str">
        <f t="shared" si="26"/>
        <v/>
      </c>
      <c r="O274" s="4" t="str">
        <f>IF(FROTA!AE275="","",FROTA!AE275)</f>
        <v/>
      </c>
      <c r="P274" s="4" t="str">
        <f t="shared" si="27"/>
        <v/>
      </c>
      <c r="Q274" s="4" t="str">
        <f>IF(FROTA!AG275="","",FROTA!AG275)</f>
        <v/>
      </c>
      <c r="R274" s="4" t="str">
        <f t="shared" si="28"/>
        <v/>
      </c>
      <c r="S274" s="164">
        <f t="shared" si="29"/>
        <v>0</v>
      </c>
      <c r="T274" s="257">
        <v>43065</v>
      </c>
      <c r="U274" s="256" t="s">
        <v>58</v>
      </c>
    </row>
    <row r="275" spans="2:21" ht="13.5" customHeight="1" x14ac:dyDescent="0.2">
      <c r="B275" s="23" t="str">
        <f>IF(FROTA!B276="","",FROTA!B276)</f>
        <v/>
      </c>
      <c r="C275" s="139" t="str">
        <f>IF(B275="","",VLOOKUP(B275,FROTA!$B$5:$C$306,2,0))</f>
        <v/>
      </c>
      <c r="D275" s="22" t="str">
        <f t="shared" si="24"/>
        <v/>
      </c>
      <c r="E275" s="4" t="str">
        <f>IF(B275="","",SUM(VLOOKUP(C275,ESCALA!$B$3:$N$19,8,0))*(VLOOKUP(SEM!C276,SEM!$C$5:$AC$305,27,0)))</f>
        <v/>
      </c>
      <c r="F275" s="120" t="str">
        <f>IF(D275="","",ROUNDUP(SEM!$AD276*VLOOKUP(RECEITAS!$C275,ESCALA!$B$3:$N$19,8,0),0))</f>
        <v/>
      </c>
      <c r="G275" s="4" t="str">
        <f>IF(B275="","",(SUM((VLOOKUP(C275,ESCALA!$B$3:$N$19,10,0))*(VLOOKUP(SAB!C276,SAB!$C$5:$AC$305,27,0))/VLOOKUP(C275,PERFIL!$B$4:$M$20,8,0))*VLOOKUP(C275,PERFIL!$B$4:$M$20,11,0)))</f>
        <v/>
      </c>
      <c r="H275" s="120" t="str">
        <f>IF(F275="","",ROUNDUP(SAB!$AD276*VLOOKUP(RECEITAS!$C275,ESCALA!$B$3:$N$19,10,0),0))</f>
        <v/>
      </c>
      <c r="I275" s="4" t="str">
        <f>IF(B275="","",SUM(VLOOKUP(C275,ESCALA!$B$3:$N$19,12,0))*(VLOOKUP(DF!C276,DF!$C$5:$AC$305,27,0))/VLOOKUP(C275,PERFIL!$B$4:$M$20,8,0)*VLOOKUP(C275,PERFIL!$B$4:$M$20,12,0))</f>
        <v/>
      </c>
      <c r="J275" s="120" t="str">
        <f>IF(H275="","",ROUNDUP(DF!$AD276*VLOOKUP(RECEITAS!$C275,ESCALA!$B$3:$N$19,12,0),0))</f>
        <v/>
      </c>
      <c r="K275" s="4" t="str">
        <f>IF(FROTA!AA276="","",FROTA!AA276)</f>
        <v/>
      </c>
      <c r="L275" s="4" t="str">
        <f t="shared" si="25"/>
        <v/>
      </c>
      <c r="M275" s="4" t="str">
        <f>IF(FROTA!AC276="","",FROTA!AC276)</f>
        <v/>
      </c>
      <c r="N275" s="4" t="str">
        <f t="shared" si="26"/>
        <v/>
      </c>
      <c r="O275" s="4" t="str">
        <f>IF(FROTA!AE276="","",FROTA!AE276)</f>
        <v/>
      </c>
      <c r="P275" s="4" t="str">
        <f t="shared" si="27"/>
        <v/>
      </c>
      <c r="Q275" s="4" t="str">
        <f>IF(FROTA!AG276="","",FROTA!AG276)</f>
        <v/>
      </c>
      <c r="R275" s="4" t="str">
        <f t="shared" si="28"/>
        <v/>
      </c>
      <c r="S275" s="164">
        <f t="shared" si="29"/>
        <v>0</v>
      </c>
      <c r="T275" s="257">
        <v>43066</v>
      </c>
      <c r="U275" s="256" t="s">
        <v>62</v>
      </c>
    </row>
    <row r="276" spans="2:21" ht="13.5" customHeight="1" x14ac:dyDescent="0.2">
      <c r="B276" s="23" t="str">
        <f>IF(FROTA!B277="","",FROTA!B277)</f>
        <v/>
      </c>
      <c r="C276" s="139" t="str">
        <f>IF(B276="","",VLOOKUP(B276,FROTA!$B$5:$C$306,2,0))</f>
        <v/>
      </c>
      <c r="D276" s="22" t="str">
        <f t="shared" si="24"/>
        <v/>
      </c>
      <c r="E276" s="4" t="str">
        <f>IF(B276="","",SUM(VLOOKUP(C276,ESCALA!$B$3:$N$19,8,0))*(VLOOKUP(SEM!C277,SEM!$C$5:$AC$305,27,0)))</f>
        <v/>
      </c>
      <c r="F276" s="120" t="str">
        <f>IF(D276="","",ROUNDUP(SEM!$AD277*VLOOKUP(RECEITAS!$C276,ESCALA!$B$3:$N$19,8,0),0))</f>
        <v/>
      </c>
      <c r="G276" s="4" t="str">
        <f>IF(B276="","",(SUM((VLOOKUP(C276,ESCALA!$B$3:$N$19,10,0))*(VLOOKUP(SAB!C277,SAB!$C$5:$AC$305,27,0))/VLOOKUP(C276,PERFIL!$B$4:$M$20,8,0))*VLOOKUP(C276,PERFIL!$B$4:$M$20,11,0)))</f>
        <v/>
      </c>
      <c r="H276" s="120" t="str">
        <f>IF(F276="","",ROUNDUP(SAB!$AD277*VLOOKUP(RECEITAS!$C276,ESCALA!$B$3:$N$19,10,0),0))</f>
        <v/>
      </c>
      <c r="I276" s="4" t="str">
        <f>IF(B276="","",SUM(VLOOKUP(C276,ESCALA!$B$3:$N$19,12,0))*(VLOOKUP(DF!C277,DF!$C$5:$AC$305,27,0))/VLOOKUP(C276,PERFIL!$B$4:$M$20,8,0)*VLOOKUP(C276,PERFIL!$B$4:$M$20,12,0))</f>
        <v/>
      </c>
      <c r="J276" s="120" t="str">
        <f>IF(H276="","",ROUNDUP(DF!$AD277*VLOOKUP(RECEITAS!$C276,ESCALA!$B$3:$N$19,12,0),0))</f>
        <v/>
      </c>
      <c r="K276" s="4" t="str">
        <f>IF(FROTA!AA277="","",FROTA!AA277)</f>
        <v/>
      </c>
      <c r="L276" s="4" t="str">
        <f t="shared" si="25"/>
        <v/>
      </c>
      <c r="M276" s="4" t="str">
        <f>IF(FROTA!AC277="","",FROTA!AC277)</f>
        <v/>
      </c>
      <c r="N276" s="4" t="str">
        <f t="shared" si="26"/>
        <v/>
      </c>
      <c r="O276" s="4" t="str">
        <f>IF(FROTA!AE277="","",FROTA!AE277)</f>
        <v/>
      </c>
      <c r="P276" s="4" t="str">
        <f t="shared" si="27"/>
        <v/>
      </c>
      <c r="Q276" s="4" t="str">
        <f>IF(FROTA!AG277="","",FROTA!AG277)</f>
        <v/>
      </c>
      <c r="R276" s="4" t="str">
        <f t="shared" si="28"/>
        <v/>
      </c>
      <c r="S276" s="164">
        <f t="shared" si="29"/>
        <v>0</v>
      </c>
      <c r="T276" s="257">
        <v>43067</v>
      </c>
      <c r="U276" s="256" t="s">
        <v>63</v>
      </c>
    </row>
    <row r="277" spans="2:21" ht="13.5" customHeight="1" x14ac:dyDescent="0.2">
      <c r="B277" s="23" t="str">
        <f>IF(FROTA!B278="","",FROTA!B278)</f>
        <v/>
      </c>
      <c r="C277" s="139" t="str">
        <f>IF(B277="","",VLOOKUP(B277,FROTA!$B$5:$C$306,2,0))</f>
        <v/>
      </c>
      <c r="D277" s="22" t="str">
        <f t="shared" si="24"/>
        <v/>
      </c>
      <c r="E277" s="4" t="str">
        <f>IF(B277="","",SUM(VLOOKUP(C277,ESCALA!$B$3:$N$19,8,0))*(VLOOKUP(SEM!C278,SEM!$C$5:$AC$305,27,0)))</f>
        <v/>
      </c>
      <c r="F277" s="120" t="str">
        <f>IF(D277="","",ROUNDUP(SEM!$AD278*VLOOKUP(RECEITAS!$C277,ESCALA!$B$3:$N$19,8,0),0))</f>
        <v/>
      </c>
      <c r="G277" s="4" t="str">
        <f>IF(B277="","",(SUM((VLOOKUP(C277,ESCALA!$B$3:$N$19,10,0))*(VLOOKUP(SAB!C278,SAB!$C$5:$AC$305,27,0))/VLOOKUP(C277,PERFIL!$B$4:$M$20,8,0))*VLOOKUP(C277,PERFIL!$B$4:$M$20,11,0)))</f>
        <v/>
      </c>
      <c r="H277" s="120" t="str">
        <f>IF(F277="","",ROUNDUP(SAB!$AD278*VLOOKUP(RECEITAS!$C277,ESCALA!$B$3:$N$19,10,0),0))</f>
        <v/>
      </c>
      <c r="I277" s="4" t="str">
        <f>IF(B277="","",SUM(VLOOKUP(C277,ESCALA!$B$3:$N$19,12,0))*(VLOOKUP(DF!C278,DF!$C$5:$AC$305,27,0))/VLOOKUP(C277,PERFIL!$B$4:$M$20,8,0)*VLOOKUP(C277,PERFIL!$B$4:$M$20,12,0))</f>
        <v/>
      </c>
      <c r="J277" s="120" t="str">
        <f>IF(H277="","",ROUNDUP(DF!$AD278*VLOOKUP(RECEITAS!$C277,ESCALA!$B$3:$N$19,12,0),0))</f>
        <v/>
      </c>
      <c r="K277" s="4" t="str">
        <f>IF(FROTA!AA278="","",FROTA!AA278)</f>
        <v/>
      </c>
      <c r="L277" s="4" t="str">
        <f t="shared" si="25"/>
        <v/>
      </c>
      <c r="M277" s="4" t="str">
        <f>IF(FROTA!AC278="","",FROTA!AC278)</f>
        <v/>
      </c>
      <c r="N277" s="4" t="str">
        <f t="shared" si="26"/>
        <v/>
      </c>
      <c r="O277" s="4" t="str">
        <f>IF(FROTA!AE278="","",FROTA!AE278)</f>
        <v/>
      </c>
      <c r="P277" s="4" t="str">
        <f t="shared" si="27"/>
        <v/>
      </c>
      <c r="Q277" s="4" t="str">
        <f>IF(FROTA!AG278="","",FROTA!AG278)</f>
        <v/>
      </c>
      <c r="R277" s="4" t="str">
        <f t="shared" si="28"/>
        <v/>
      </c>
      <c r="S277" s="164">
        <f t="shared" si="29"/>
        <v>0</v>
      </c>
      <c r="T277" s="257">
        <v>43068</v>
      </c>
      <c r="U277" s="256" t="s">
        <v>64</v>
      </c>
    </row>
    <row r="278" spans="2:21" ht="13.5" customHeight="1" x14ac:dyDescent="0.2">
      <c r="B278" s="23" t="str">
        <f>IF(FROTA!B279="","",FROTA!B279)</f>
        <v/>
      </c>
      <c r="C278" s="139" t="str">
        <f>IF(B278="","",VLOOKUP(B278,FROTA!$B$5:$C$306,2,0))</f>
        <v/>
      </c>
      <c r="D278" s="22" t="str">
        <f t="shared" si="24"/>
        <v/>
      </c>
      <c r="E278" s="4" t="str">
        <f>IF(B278="","",SUM(VLOOKUP(C278,ESCALA!$B$3:$N$19,8,0))*(VLOOKUP(SEM!C279,SEM!$C$5:$AC$305,27,0)))</f>
        <v/>
      </c>
      <c r="F278" s="120" t="str">
        <f>IF(D278="","",ROUNDUP(SEM!$AD279*VLOOKUP(RECEITAS!$C278,ESCALA!$B$3:$N$19,8,0),0))</f>
        <v/>
      </c>
      <c r="G278" s="4" t="str">
        <f>IF(B278="","",(SUM((VLOOKUP(C278,ESCALA!$B$3:$N$19,10,0))*(VLOOKUP(SAB!C279,SAB!$C$5:$AC$305,27,0))/VLOOKUP(C278,PERFIL!$B$4:$M$20,8,0))*VLOOKUP(C278,PERFIL!$B$4:$M$20,11,0)))</f>
        <v/>
      </c>
      <c r="H278" s="120" t="str">
        <f>IF(F278="","",ROUNDUP(SAB!$AD279*VLOOKUP(RECEITAS!$C278,ESCALA!$B$3:$N$19,10,0),0))</f>
        <v/>
      </c>
      <c r="I278" s="4" t="str">
        <f>IF(B278="","",SUM(VLOOKUP(C278,ESCALA!$B$3:$N$19,12,0))*(VLOOKUP(DF!C279,DF!$C$5:$AC$305,27,0))/VLOOKUP(C278,PERFIL!$B$4:$M$20,8,0)*VLOOKUP(C278,PERFIL!$B$4:$M$20,12,0))</f>
        <v/>
      </c>
      <c r="J278" s="120" t="str">
        <f>IF(H278="","",ROUNDUP(DF!$AD279*VLOOKUP(RECEITAS!$C278,ESCALA!$B$3:$N$19,12,0),0))</f>
        <v/>
      </c>
      <c r="K278" s="4" t="str">
        <f>IF(FROTA!AA279="","",FROTA!AA279)</f>
        <v/>
      </c>
      <c r="L278" s="4" t="str">
        <f t="shared" si="25"/>
        <v/>
      </c>
      <c r="M278" s="4" t="str">
        <f>IF(FROTA!AC279="","",FROTA!AC279)</f>
        <v/>
      </c>
      <c r="N278" s="4" t="str">
        <f t="shared" si="26"/>
        <v/>
      </c>
      <c r="O278" s="4" t="str">
        <f>IF(FROTA!AE279="","",FROTA!AE279)</f>
        <v/>
      </c>
      <c r="P278" s="4" t="str">
        <f t="shared" si="27"/>
        <v/>
      </c>
      <c r="Q278" s="4" t="str">
        <f>IF(FROTA!AG279="","",FROTA!AG279)</f>
        <v/>
      </c>
      <c r="R278" s="4" t="str">
        <f t="shared" si="28"/>
        <v/>
      </c>
      <c r="S278" s="164">
        <f t="shared" si="29"/>
        <v>0</v>
      </c>
      <c r="T278" s="257">
        <v>43069</v>
      </c>
      <c r="U278" s="256" t="s">
        <v>59</v>
      </c>
    </row>
    <row r="279" spans="2:21" ht="13.5" customHeight="1" x14ac:dyDescent="0.2">
      <c r="B279" s="23" t="str">
        <f>IF(FROTA!B280="","",FROTA!B280)</f>
        <v/>
      </c>
      <c r="C279" s="139" t="str">
        <f>IF(B279="","",VLOOKUP(B279,FROTA!$B$5:$C$306,2,0))</f>
        <v/>
      </c>
      <c r="D279" s="22" t="str">
        <f t="shared" si="24"/>
        <v/>
      </c>
      <c r="E279" s="4" t="str">
        <f>IF(B279="","",SUM(VLOOKUP(C279,ESCALA!$B$3:$N$19,8,0))*(VLOOKUP(SEM!C280,SEM!$C$5:$AC$305,27,0)))</f>
        <v/>
      </c>
      <c r="F279" s="120" t="str">
        <f>IF(D279="","",ROUNDUP(SEM!$AD280*VLOOKUP(RECEITAS!$C279,ESCALA!$B$3:$N$19,8,0),0))</f>
        <v/>
      </c>
      <c r="G279" s="4" t="str">
        <f>IF(B279="","",(SUM((VLOOKUP(C279,ESCALA!$B$3:$N$19,10,0))*(VLOOKUP(SAB!C280,SAB!$C$5:$AC$305,27,0))/VLOOKUP(C279,PERFIL!$B$4:$M$20,8,0))*VLOOKUP(C279,PERFIL!$B$4:$M$20,11,0)))</f>
        <v/>
      </c>
      <c r="H279" s="120" t="str">
        <f>IF(F279="","",ROUNDUP(SAB!$AD280*VLOOKUP(RECEITAS!$C279,ESCALA!$B$3:$N$19,10,0),0))</f>
        <v/>
      </c>
      <c r="I279" s="4" t="str">
        <f>IF(B279="","",SUM(VLOOKUP(C279,ESCALA!$B$3:$N$19,12,0))*(VLOOKUP(DF!C280,DF!$C$5:$AC$305,27,0))/VLOOKUP(C279,PERFIL!$B$4:$M$20,8,0)*VLOOKUP(C279,PERFIL!$B$4:$M$20,12,0))</f>
        <v/>
      </c>
      <c r="J279" s="120" t="str">
        <f>IF(H279="","",ROUNDUP(DF!$AD280*VLOOKUP(RECEITAS!$C279,ESCALA!$B$3:$N$19,12,0),0))</f>
        <v/>
      </c>
      <c r="K279" s="4" t="str">
        <f>IF(FROTA!AA280="","",FROTA!AA280)</f>
        <v/>
      </c>
      <c r="L279" s="4" t="str">
        <f t="shared" si="25"/>
        <v/>
      </c>
      <c r="M279" s="4" t="str">
        <f>IF(FROTA!AC280="","",FROTA!AC280)</f>
        <v/>
      </c>
      <c r="N279" s="4" t="str">
        <f t="shared" si="26"/>
        <v/>
      </c>
      <c r="O279" s="4" t="str">
        <f>IF(FROTA!AE280="","",FROTA!AE280)</f>
        <v/>
      </c>
      <c r="P279" s="4" t="str">
        <f t="shared" si="27"/>
        <v/>
      </c>
      <c r="Q279" s="4" t="str">
        <f>IF(FROTA!AG280="","",FROTA!AG280)</f>
        <v/>
      </c>
      <c r="R279" s="4" t="str">
        <f t="shared" si="28"/>
        <v/>
      </c>
      <c r="S279" s="164">
        <f t="shared" si="29"/>
        <v>0</v>
      </c>
      <c r="T279" s="257">
        <v>43070</v>
      </c>
      <c r="U279" s="256" t="s">
        <v>60</v>
      </c>
    </row>
    <row r="280" spans="2:21" ht="13.5" customHeight="1" x14ac:dyDescent="0.2">
      <c r="B280" s="23" t="str">
        <f>IF(FROTA!B281="","",FROTA!B281)</f>
        <v/>
      </c>
      <c r="C280" s="139" t="str">
        <f>IF(B280="","",VLOOKUP(B280,FROTA!$B$5:$C$306,2,0))</f>
        <v/>
      </c>
      <c r="D280" s="22" t="str">
        <f t="shared" si="24"/>
        <v/>
      </c>
      <c r="E280" s="4" t="str">
        <f>IF(B280="","",SUM(VLOOKUP(C280,ESCALA!$B$3:$N$19,8,0))*(VLOOKUP(SEM!C281,SEM!$C$5:$AC$305,27,0)))</f>
        <v/>
      </c>
      <c r="F280" s="120" t="str">
        <f>IF(D280="","",ROUNDUP(SEM!$AD281*VLOOKUP(RECEITAS!$C280,ESCALA!$B$3:$N$19,8,0),0))</f>
        <v/>
      </c>
      <c r="G280" s="4" t="str">
        <f>IF(B280="","",(SUM((VLOOKUP(C280,ESCALA!$B$3:$N$19,10,0))*(VLOOKUP(SAB!C281,SAB!$C$5:$AC$305,27,0))/VLOOKUP(C280,PERFIL!$B$4:$M$20,8,0))*VLOOKUP(C280,PERFIL!$B$4:$M$20,11,0)))</f>
        <v/>
      </c>
      <c r="H280" s="120" t="str">
        <f>IF(F280="","",ROUNDUP(SAB!$AD281*VLOOKUP(RECEITAS!$C280,ESCALA!$B$3:$N$19,10,0),0))</f>
        <v/>
      </c>
      <c r="I280" s="4" t="str">
        <f>IF(B280="","",SUM(VLOOKUP(C280,ESCALA!$B$3:$N$19,12,0))*(VLOOKUP(DF!C281,DF!$C$5:$AC$305,27,0))/VLOOKUP(C280,PERFIL!$B$4:$M$20,8,0)*VLOOKUP(C280,PERFIL!$B$4:$M$20,12,0))</f>
        <v/>
      </c>
      <c r="J280" s="120" t="str">
        <f>IF(H280="","",ROUNDUP(DF!$AD281*VLOOKUP(RECEITAS!$C280,ESCALA!$B$3:$N$19,12,0),0))</f>
        <v/>
      </c>
      <c r="K280" s="4" t="str">
        <f>IF(FROTA!AA281="","",FROTA!AA281)</f>
        <v/>
      </c>
      <c r="L280" s="4" t="str">
        <f t="shared" si="25"/>
        <v/>
      </c>
      <c r="M280" s="4" t="str">
        <f>IF(FROTA!AC281="","",FROTA!AC281)</f>
        <v/>
      </c>
      <c r="N280" s="4" t="str">
        <f t="shared" si="26"/>
        <v/>
      </c>
      <c r="O280" s="4" t="str">
        <f>IF(FROTA!AE281="","",FROTA!AE281)</f>
        <v/>
      </c>
      <c r="P280" s="4" t="str">
        <f t="shared" si="27"/>
        <v/>
      </c>
      <c r="Q280" s="4" t="str">
        <f>IF(FROTA!AG281="","",FROTA!AG281)</f>
        <v/>
      </c>
      <c r="R280" s="4" t="str">
        <f t="shared" si="28"/>
        <v/>
      </c>
      <c r="S280" s="164">
        <f t="shared" si="29"/>
        <v>0</v>
      </c>
      <c r="T280" s="257">
        <v>43071</v>
      </c>
      <c r="U280" s="256" t="s">
        <v>61</v>
      </c>
    </row>
    <row r="281" spans="2:21" ht="13.5" customHeight="1" x14ac:dyDescent="0.2">
      <c r="B281" s="23" t="str">
        <f>IF(FROTA!B282="","",FROTA!B282)</f>
        <v/>
      </c>
      <c r="C281" s="139" t="str">
        <f>IF(B281="","",VLOOKUP(B281,FROTA!$B$5:$C$306,2,0))</f>
        <v/>
      </c>
      <c r="D281" s="22" t="str">
        <f t="shared" si="24"/>
        <v/>
      </c>
      <c r="E281" s="4" t="str">
        <f>IF(B281="","",SUM(VLOOKUP(C281,ESCALA!$B$3:$N$19,8,0))*(VLOOKUP(SEM!C282,SEM!$C$5:$AC$305,27,0)))</f>
        <v/>
      </c>
      <c r="F281" s="120" t="str">
        <f>IF(D281="","",ROUNDUP(SEM!$AD282*VLOOKUP(RECEITAS!$C281,ESCALA!$B$3:$N$19,8,0),0))</f>
        <v/>
      </c>
      <c r="G281" s="4" t="str">
        <f>IF(B281="","",(SUM((VLOOKUP(C281,ESCALA!$B$3:$N$19,10,0))*(VLOOKUP(SAB!C282,SAB!$C$5:$AC$305,27,0))/VLOOKUP(C281,PERFIL!$B$4:$M$20,8,0))*VLOOKUP(C281,PERFIL!$B$4:$M$20,11,0)))</f>
        <v/>
      </c>
      <c r="H281" s="120" t="str">
        <f>IF(F281="","",ROUNDUP(SAB!$AD282*VLOOKUP(RECEITAS!$C281,ESCALA!$B$3:$N$19,10,0),0))</f>
        <v/>
      </c>
      <c r="I281" s="4" t="str">
        <f>IF(B281="","",SUM(VLOOKUP(C281,ESCALA!$B$3:$N$19,12,0))*(VLOOKUP(DF!C282,DF!$C$5:$AC$305,27,0))/VLOOKUP(C281,PERFIL!$B$4:$M$20,8,0)*VLOOKUP(C281,PERFIL!$B$4:$M$20,12,0))</f>
        <v/>
      </c>
      <c r="J281" s="120" t="str">
        <f>IF(H281="","",ROUNDUP(DF!$AD282*VLOOKUP(RECEITAS!$C281,ESCALA!$B$3:$N$19,12,0),0))</f>
        <v/>
      </c>
      <c r="K281" s="4" t="str">
        <f>IF(FROTA!AA282="","",FROTA!AA282)</f>
        <v/>
      </c>
      <c r="L281" s="4" t="str">
        <f t="shared" si="25"/>
        <v/>
      </c>
      <c r="M281" s="4" t="str">
        <f>IF(FROTA!AC282="","",FROTA!AC282)</f>
        <v/>
      </c>
      <c r="N281" s="4" t="str">
        <f t="shared" si="26"/>
        <v/>
      </c>
      <c r="O281" s="4" t="str">
        <f>IF(FROTA!AE282="","",FROTA!AE282)</f>
        <v/>
      </c>
      <c r="P281" s="4" t="str">
        <f t="shared" si="27"/>
        <v/>
      </c>
      <c r="Q281" s="4" t="str">
        <f>IF(FROTA!AG282="","",FROTA!AG282)</f>
        <v/>
      </c>
      <c r="R281" s="4" t="str">
        <f t="shared" si="28"/>
        <v/>
      </c>
      <c r="S281" s="164">
        <f t="shared" si="29"/>
        <v>0</v>
      </c>
      <c r="T281" s="257">
        <v>43072</v>
      </c>
      <c r="U281" s="256" t="s">
        <v>58</v>
      </c>
    </row>
    <row r="282" spans="2:21" ht="13.5" customHeight="1" x14ac:dyDescent="0.2">
      <c r="B282" s="23" t="str">
        <f>IF(FROTA!B283="","",FROTA!B283)</f>
        <v/>
      </c>
      <c r="C282" s="139" t="str">
        <f>IF(B282="","",VLOOKUP(B282,FROTA!$B$5:$C$306,2,0))</f>
        <v/>
      </c>
      <c r="D282" s="22" t="str">
        <f t="shared" si="24"/>
        <v/>
      </c>
      <c r="E282" s="4" t="str">
        <f>IF(B282="","",SUM(VLOOKUP(C282,ESCALA!$B$3:$N$19,8,0))*(VLOOKUP(SEM!C283,SEM!$C$5:$AC$305,27,0)))</f>
        <v/>
      </c>
      <c r="F282" s="120" t="str">
        <f>IF(D282="","",ROUNDUP(SEM!$AD283*VLOOKUP(RECEITAS!$C282,ESCALA!$B$3:$N$19,8,0),0))</f>
        <v/>
      </c>
      <c r="G282" s="4" t="str">
        <f>IF(B282="","",(SUM((VLOOKUP(C282,ESCALA!$B$3:$N$19,10,0))*(VLOOKUP(SAB!C283,SAB!$C$5:$AC$305,27,0))/VLOOKUP(C282,PERFIL!$B$4:$M$20,8,0))*VLOOKUP(C282,PERFIL!$B$4:$M$20,11,0)))</f>
        <v/>
      </c>
      <c r="H282" s="120" t="str">
        <f>IF(F282="","",ROUNDUP(SAB!$AD283*VLOOKUP(RECEITAS!$C282,ESCALA!$B$3:$N$19,10,0),0))</f>
        <v/>
      </c>
      <c r="I282" s="4" t="str">
        <f>IF(B282="","",SUM(VLOOKUP(C282,ESCALA!$B$3:$N$19,12,0))*(VLOOKUP(DF!C283,DF!$C$5:$AC$305,27,0))/VLOOKUP(C282,PERFIL!$B$4:$M$20,8,0)*VLOOKUP(C282,PERFIL!$B$4:$M$20,12,0))</f>
        <v/>
      </c>
      <c r="J282" s="120" t="str">
        <f>IF(H282="","",ROUNDUP(DF!$AD283*VLOOKUP(RECEITAS!$C282,ESCALA!$B$3:$N$19,12,0),0))</f>
        <v/>
      </c>
      <c r="K282" s="4" t="str">
        <f>IF(FROTA!AA283="","",FROTA!AA283)</f>
        <v/>
      </c>
      <c r="L282" s="4" t="str">
        <f t="shared" si="25"/>
        <v/>
      </c>
      <c r="M282" s="4" t="str">
        <f>IF(FROTA!AC283="","",FROTA!AC283)</f>
        <v/>
      </c>
      <c r="N282" s="4" t="str">
        <f t="shared" si="26"/>
        <v/>
      </c>
      <c r="O282" s="4" t="str">
        <f>IF(FROTA!AE283="","",FROTA!AE283)</f>
        <v/>
      </c>
      <c r="P282" s="4" t="str">
        <f t="shared" si="27"/>
        <v/>
      </c>
      <c r="Q282" s="4" t="str">
        <f>IF(FROTA!AG283="","",FROTA!AG283)</f>
        <v/>
      </c>
      <c r="R282" s="4" t="str">
        <f t="shared" si="28"/>
        <v/>
      </c>
      <c r="S282" s="164">
        <f t="shared" si="29"/>
        <v>0</v>
      </c>
      <c r="T282" s="257">
        <v>43073</v>
      </c>
      <c r="U282" s="256" t="s">
        <v>62</v>
      </c>
    </row>
    <row r="283" spans="2:21" ht="13.5" customHeight="1" x14ac:dyDescent="0.2">
      <c r="B283" s="23" t="str">
        <f>IF(FROTA!B284="","",FROTA!B284)</f>
        <v/>
      </c>
      <c r="C283" s="139" t="str">
        <f>IF(B283="","",VLOOKUP(B283,FROTA!$B$5:$C$306,2,0))</f>
        <v/>
      </c>
      <c r="D283" s="22" t="str">
        <f t="shared" si="24"/>
        <v/>
      </c>
      <c r="E283" s="4" t="str">
        <f>IF(B283="","",SUM(VLOOKUP(C283,ESCALA!$B$3:$N$19,8,0))*(VLOOKUP(SEM!C284,SEM!$C$5:$AC$305,27,0)))</f>
        <v/>
      </c>
      <c r="F283" s="120" t="str">
        <f>IF(D283="","",ROUNDUP(SEM!$AD284*VLOOKUP(RECEITAS!$C283,ESCALA!$B$3:$N$19,8,0),0))</f>
        <v/>
      </c>
      <c r="G283" s="4" t="str">
        <f>IF(B283="","",(SUM((VLOOKUP(C283,ESCALA!$B$3:$N$19,10,0))*(VLOOKUP(SAB!C284,SAB!$C$5:$AC$305,27,0))/VLOOKUP(C283,PERFIL!$B$4:$M$20,8,0))*VLOOKUP(C283,PERFIL!$B$4:$M$20,11,0)))</f>
        <v/>
      </c>
      <c r="H283" s="120" t="str">
        <f>IF(F283="","",ROUNDUP(SAB!$AD284*VLOOKUP(RECEITAS!$C283,ESCALA!$B$3:$N$19,10,0),0))</f>
        <v/>
      </c>
      <c r="I283" s="4" t="str">
        <f>IF(B283="","",SUM(VLOOKUP(C283,ESCALA!$B$3:$N$19,12,0))*(VLOOKUP(DF!C284,DF!$C$5:$AC$305,27,0))/VLOOKUP(C283,PERFIL!$B$4:$M$20,8,0)*VLOOKUP(C283,PERFIL!$B$4:$M$20,12,0))</f>
        <v/>
      </c>
      <c r="J283" s="120" t="str">
        <f>IF(H283="","",ROUNDUP(DF!$AD284*VLOOKUP(RECEITAS!$C283,ESCALA!$B$3:$N$19,12,0),0))</f>
        <v/>
      </c>
      <c r="K283" s="4" t="str">
        <f>IF(FROTA!AA284="","",FROTA!AA284)</f>
        <v/>
      </c>
      <c r="L283" s="4" t="str">
        <f t="shared" si="25"/>
        <v/>
      </c>
      <c r="M283" s="4" t="str">
        <f>IF(FROTA!AC284="","",FROTA!AC284)</f>
        <v/>
      </c>
      <c r="N283" s="4" t="str">
        <f t="shared" si="26"/>
        <v/>
      </c>
      <c r="O283" s="4" t="str">
        <f>IF(FROTA!AE284="","",FROTA!AE284)</f>
        <v/>
      </c>
      <c r="P283" s="4" t="str">
        <f t="shared" si="27"/>
        <v/>
      </c>
      <c r="Q283" s="4" t="str">
        <f>IF(FROTA!AG284="","",FROTA!AG284)</f>
        <v/>
      </c>
      <c r="R283" s="4" t="str">
        <f t="shared" si="28"/>
        <v/>
      </c>
      <c r="S283" s="164">
        <f t="shared" si="29"/>
        <v>0</v>
      </c>
      <c r="T283" s="257">
        <v>43074</v>
      </c>
      <c r="U283" s="256" t="s">
        <v>63</v>
      </c>
    </row>
    <row r="284" spans="2:21" ht="13.5" customHeight="1" x14ac:dyDescent="0.2">
      <c r="B284" s="23" t="str">
        <f>IF(FROTA!B285="","",FROTA!B285)</f>
        <v/>
      </c>
      <c r="C284" s="139" t="str">
        <f>IF(B284="","",VLOOKUP(B284,FROTA!$B$5:$C$306,2,0))</f>
        <v/>
      </c>
      <c r="D284" s="22" t="str">
        <f t="shared" si="24"/>
        <v/>
      </c>
      <c r="E284" s="4" t="str">
        <f>IF(B284="","",SUM(VLOOKUP(C284,ESCALA!$B$3:$N$19,8,0))*(VLOOKUP(SEM!C285,SEM!$C$5:$AC$305,27,0)))</f>
        <v/>
      </c>
      <c r="F284" s="120" t="str">
        <f>IF(D284="","",ROUNDUP(SEM!$AD285*VLOOKUP(RECEITAS!$C284,ESCALA!$B$3:$N$19,8,0),0))</f>
        <v/>
      </c>
      <c r="G284" s="4" t="str">
        <f>IF(B284="","",(SUM((VLOOKUP(C284,ESCALA!$B$3:$N$19,10,0))*(VLOOKUP(SAB!C285,SAB!$C$5:$AC$305,27,0))/VLOOKUP(C284,PERFIL!$B$4:$M$20,8,0))*VLOOKUP(C284,PERFIL!$B$4:$M$20,11,0)))</f>
        <v/>
      </c>
      <c r="H284" s="120" t="str">
        <f>IF(F284="","",ROUNDUP(SAB!$AD285*VLOOKUP(RECEITAS!$C284,ESCALA!$B$3:$N$19,10,0),0))</f>
        <v/>
      </c>
      <c r="I284" s="4" t="str">
        <f>IF(B284="","",SUM(VLOOKUP(C284,ESCALA!$B$3:$N$19,12,0))*(VLOOKUP(DF!C285,DF!$C$5:$AC$305,27,0))/VLOOKUP(C284,PERFIL!$B$4:$M$20,8,0)*VLOOKUP(C284,PERFIL!$B$4:$M$20,12,0))</f>
        <v/>
      </c>
      <c r="J284" s="120" t="str">
        <f>IF(H284="","",ROUNDUP(DF!$AD285*VLOOKUP(RECEITAS!$C284,ESCALA!$B$3:$N$19,12,0),0))</f>
        <v/>
      </c>
      <c r="K284" s="4" t="str">
        <f>IF(FROTA!AA285="","",FROTA!AA285)</f>
        <v/>
      </c>
      <c r="L284" s="4" t="str">
        <f t="shared" si="25"/>
        <v/>
      </c>
      <c r="M284" s="4" t="str">
        <f>IF(FROTA!AC285="","",FROTA!AC285)</f>
        <v/>
      </c>
      <c r="N284" s="4" t="str">
        <f t="shared" si="26"/>
        <v/>
      </c>
      <c r="O284" s="4" t="str">
        <f>IF(FROTA!AE285="","",FROTA!AE285)</f>
        <v/>
      </c>
      <c r="P284" s="4" t="str">
        <f t="shared" si="27"/>
        <v/>
      </c>
      <c r="Q284" s="4" t="str">
        <f>IF(FROTA!AG285="","",FROTA!AG285)</f>
        <v/>
      </c>
      <c r="R284" s="4" t="str">
        <f t="shared" si="28"/>
        <v/>
      </c>
      <c r="S284" s="164">
        <f t="shared" si="29"/>
        <v>0</v>
      </c>
      <c r="T284" s="257">
        <v>43075</v>
      </c>
      <c r="U284" s="256" t="s">
        <v>64</v>
      </c>
    </row>
    <row r="285" spans="2:21" ht="13.5" customHeight="1" x14ac:dyDescent="0.2">
      <c r="B285" s="23" t="str">
        <f>IF(FROTA!B286="","",FROTA!B286)</f>
        <v/>
      </c>
      <c r="C285" s="139" t="str">
        <f>IF(B285="","",VLOOKUP(B285,FROTA!$B$5:$C$306,2,0))</f>
        <v/>
      </c>
      <c r="D285" s="22" t="str">
        <f t="shared" si="24"/>
        <v/>
      </c>
      <c r="E285" s="4" t="str">
        <f>IF(B285="","",SUM(VLOOKUP(C285,ESCALA!$B$3:$N$19,8,0))*(VLOOKUP(SEM!C286,SEM!$C$5:$AC$305,27,0)))</f>
        <v/>
      </c>
      <c r="F285" s="120" t="str">
        <f>IF(D285="","",ROUNDUP(SEM!$AD286*VLOOKUP(RECEITAS!$C285,ESCALA!$B$3:$N$19,8,0),0))</f>
        <v/>
      </c>
      <c r="G285" s="4" t="str">
        <f>IF(B285="","",(SUM((VLOOKUP(C285,ESCALA!$B$3:$N$19,10,0))*(VLOOKUP(SAB!C286,SAB!$C$5:$AC$305,27,0))/VLOOKUP(C285,PERFIL!$B$4:$M$20,8,0))*VLOOKUP(C285,PERFIL!$B$4:$M$20,11,0)))</f>
        <v/>
      </c>
      <c r="H285" s="120" t="str">
        <f>IF(F285="","",ROUNDUP(SAB!$AD286*VLOOKUP(RECEITAS!$C285,ESCALA!$B$3:$N$19,10,0),0))</f>
        <v/>
      </c>
      <c r="I285" s="4" t="str">
        <f>IF(B285="","",SUM(VLOOKUP(C285,ESCALA!$B$3:$N$19,12,0))*(VLOOKUP(DF!C286,DF!$C$5:$AC$305,27,0))/VLOOKUP(C285,PERFIL!$B$4:$M$20,8,0)*VLOOKUP(C285,PERFIL!$B$4:$M$20,12,0))</f>
        <v/>
      </c>
      <c r="J285" s="120" t="str">
        <f>IF(H285="","",ROUNDUP(DF!$AD286*VLOOKUP(RECEITAS!$C285,ESCALA!$B$3:$N$19,12,0),0))</f>
        <v/>
      </c>
      <c r="K285" s="4" t="str">
        <f>IF(FROTA!AA286="","",FROTA!AA286)</f>
        <v/>
      </c>
      <c r="L285" s="4" t="str">
        <f t="shared" si="25"/>
        <v/>
      </c>
      <c r="M285" s="4" t="str">
        <f>IF(FROTA!AC286="","",FROTA!AC286)</f>
        <v/>
      </c>
      <c r="N285" s="4" t="str">
        <f t="shared" si="26"/>
        <v/>
      </c>
      <c r="O285" s="4" t="str">
        <f>IF(FROTA!AE286="","",FROTA!AE286)</f>
        <v/>
      </c>
      <c r="P285" s="4" t="str">
        <f t="shared" si="27"/>
        <v/>
      </c>
      <c r="Q285" s="4" t="str">
        <f>IF(FROTA!AG286="","",FROTA!AG286)</f>
        <v/>
      </c>
      <c r="R285" s="4" t="str">
        <f t="shared" si="28"/>
        <v/>
      </c>
      <c r="S285" s="164">
        <f t="shared" si="29"/>
        <v>0</v>
      </c>
      <c r="T285" s="257">
        <v>43076</v>
      </c>
      <c r="U285" s="256" t="s">
        <v>59</v>
      </c>
    </row>
    <row r="286" spans="2:21" ht="13.5" customHeight="1" x14ac:dyDescent="0.2">
      <c r="B286" s="23" t="str">
        <f>IF(FROTA!B287="","",FROTA!B287)</f>
        <v/>
      </c>
      <c r="C286" s="139" t="str">
        <f>IF(B286="","",VLOOKUP(B286,FROTA!$B$5:$C$306,2,0))</f>
        <v/>
      </c>
      <c r="D286" s="22" t="str">
        <f t="shared" si="24"/>
        <v/>
      </c>
      <c r="E286" s="4" t="str">
        <f>IF(B286="","",SUM(VLOOKUP(C286,ESCALA!$B$3:$N$19,8,0))*(VLOOKUP(SEM!C287,SEM!$C$5:$AC$305,27,0)))</f>
        <v/>
      </c>
      <c r="F286" s="120" t="str">
        <f>IF(D286="","",ROUNDUP(SEM!$AD287*VLOOKUP(RECEITAS!$C286,ESCALA!$B$3:$N$19,8,0),0))</f>
        <v/>
      </c>
      <c r="G286" s="4" t="str">
        <f>IF(B286="","",(SUM((VLOOKUP(C286,ESCALA!$B$3:$N$19,10,0))*(VLOOKUP(SAB!C287,SAB!$C$5:$AC$305,27,0))/VLOOKUP(C286,PERFIL!$B$4:$M$20,8,0))*VLOOKUP(C286,PERFIL!$B$4:$M$20,11,0)))</f>
        <v/>
      </c>
      <c r="H286" s="120" t="str">
        <f>IF(F286="","",ROUNDUP(SAB!$AD287*VLOOKUP(RECEITAS!$C286,ESCALA!$B$3:$N$19,10,0),0))</f>
        <v/>
      </c>
      <c r="I286" s="4" t="str">
        <f>IF(B286="","",SUM(VLOOKUP(C286,ESCALA!$B$3:$N$19,12,0))*(VLOOKUP(DF!C287,DF!$C$5:$AC$305,27,0))/VLOOKUP(C286,PERFIL!$B$4:$M$20,8,0)*VLOOKUP(C286,PERFIL!$B$4:$M$20,12,0))</f>
        <v/>
      </c>
      <c r="J286" s="120" t="str">
        <f>IF(H286="","",ROUNDUP(DF!$AD287*VLOOKUP(RECEITAS!$C286,ESCALA!$B$3:$N$19,12,0),0))</f>
        <v/>
      </c>
      <c r="K286" s="4" t="str">
        <f>IF(FROTA!AA287="","",FROTA!AA287)</f>
        <v/>
      </c>
      <c r="L286" s="4" t="str">
        <f t="shared" si="25"/>
        <v/>
      </c>
      <c r="M286" s="4" t="str">
        <f>IF(FROTA!AC287="","",FROTA!AC287)</f>
        <v/>
      </c>
      <c r="N286" s="4" t="str">
        <f t="shared" si="26"/>
        <v/>
      </c>
      <c r="O286" s="4" t="str">
        <f>IF(FROTA!AE287="","",FROTA!AE287)</f>
        <v/>
      </c>
      <c r="P286" s="4" t="str">
        <f t="shared" si="27"/>
        <v/>
      </c>
      <c r="Q286" s="4" t="str">
        <f>IF(FROTA!AG287="","",FROTA!AG287)</f>
        <v/>
      </c>
      <c r="R286" s="4" t="str">
        <f t="shared" si="28"/>
        <v/>
      </c>
      <c r="S286" s="164">
        <f t="shared" si="29"/>
        <v>0</v>
      </c>
      <c r="T286" s="257">
        <v>43077</v>
      </c>
      <c r="U286" s="256" t="s">
        <v>60</v>
      </c>
    </row>
    <row r="287" spans="2:21" ht="13.5" customHeight="1" x14ac:dyDescent="0.2">
      <c r="B287" s="23" t="str">
        <f>IF(FROTA!B288="","",FROTA!B288)</f>
        <v/>
      </c>
      <c r="C287" s="139" t="str">
        <f>IF(B287="","",VLOOKUP(B287,FROTA!$B$5:$C$306,2,0))</f>
        <v/>
      </c>
      <c r="D287" s="22" t="str">
        <f t="shared" si="24"/>
        <v/>
      </c>
      <c r="E287" s="4" t="str">
        <f>IF(B287="","",SUM(VLOOKUP(C287,ESCALA!$B$3:$N$19,8,0))*(VLOOKUP(SEM!C288,SEM!$C$5:$AC$305,27,0)))</f>
        <v/>
      </c>
      <c r="F287" s="120" t="str">
        <f>IF(D287="","",ROUNDUP(SEM!$AD288*VLOOKUP(RECEITAS!$C287,ESCALA!$B$3:$N$19,8,0),0))</f>
        <v/>
      </c>
      <c r="G287" s="4" t="str">
        <f>IF(B287="","",(SUM((VLOOKUP(C287,ESCALA!$B$3:$N$19,10,0))*(VLOOKUP(SAB!C288,SAB!$C$5:$AC$305,27,0))/VLOOKUP(C287,PERFIL!$B$4:$M$20,8,0))*VLOOKUP(C287,PERFIL!$B$4:$M$20,11,0)))</f>
        <v/>
      </c>
      <c r="H287" s="120" t="str">
        <f>IF(F287="","",ROUNDUP(SAB!$AD288*VLOOKUP(RECEITAS!$C287,ESCALA!$B$3:$N$19,10,0),0))</f>
        <v/>
      </c>
      <c r="I287" s="4" t="str">
        <f>IF(B287="","",SUM(VLOOKUP(C287,ESCALA!$B$3:$N$19,12,0))*(VLOOKUP(DF!C288,DF!$C$5:$AC$305,27,0))/VLOOKUP(C287,PERFIL!$B$4:$M$20,8,0)*VLOOKUP(C287,PERFIL!$B$4:$M$20,12,0))</f>
        <v/>
      </c>
      <c r="J287" s="120" t="str">
        <f>IF(H287="","",ROUNDUP(DF!$AD288*VLOOKUP(RECEITAS!$C287,ESCALA!$B$3:$N$19,12,0),0))</f>
        <v/>
      </c>
      <c r="K287" s="4" t="str">
        <f>IF(FROTA!AA288="","",FROTA!AA288)</f>
        <v/>
      </c>
      <c r="L287" s="4" t="str">
        <f t="shared" si="25"/>
        <v/>
      </c>
      <c r="M287" s="4" t="str">
        <f>IF(FROTA!AC288="","",FROTA!AC288)</f>
        <v/>
      </c>
      <c r="N287" s="4" t="str">
        <f t="shared" si="26"/>
        <v/>
      </c>
      <c r="O287" s="4" t="str">
        <f>IF(FROTA!AE288="","",FROTA!AE288)</f>
        <v/>
      </c>
      <c r="P287" s="4" t="str">
        <f t="shared" si="27"/>
        <v/>
      </c>
      <c r="Q287" s="4" t="str">
        <f>IF(FROTA!AG288="","",FROTA!AG288)</f>
        <v/>
      </c>
      <c r="R287" s="4" t="str">
        <f t="shared" si="28"/>
        <v/>
      </c>
      <c r="S287" s="164">
        <f t="shared" si="29"/>
        <v>0</v>
      </c>
      <c r="T287" s="257">
        <v>43078</v>
      </c>
      <c r="U287" s="256" t="s">
        <v>61</v>
      </c>
    </row>
    <row r="288" spans="2:21" ht="13.5" customHeight="1" x14ac:dyDescent="0.2">
      <c r="B288" s="23" t="str">
        <f>IF(FROTA!B289="","",FROTA!B289)</f>
        <v/>
      </c>
      <c r="C288" s="139" t="str">
        <f>IF(B288="","",VLOOKUP(B288,FROTA!$B$5:$C$306,2,0))</f>
        <v/>
      </c>
      <c r="D288" s="22" t="str">
        <f t="shared" si="24"/>
        <v/>
      </c>
      <c r="E288" s="4" t="str">
        <f>IF(B288="","",SUM(VLOOKUP(C288,ESCALA!$B$3:$N$19,8,0))*(VLOOKUP(SEM!C289,SEM!$C$5:$AC$305,27,0)))</f>
        <v/>
      </c>
      <c r="F288" s="120" t="str">
        <f>IF(D288="","",ROUNDUP(SEM!$AD289*VLOOKUP(RECEITAS!$C288,ESCALA!$B$3:$N$19,8,0),0))</f>
        <v/>
      </c>
      <c r="G288" s="4" t="str">
        <f>IF(B288="","",(SUM((VLOOKUP(C288,ESCALA!$B$3:$N$19,10,0))*(VLOOKUP(SAB!C289,SAB!$C$5:$AC$305,27,0))/VLOOKUP(C288,PERFIL!$B$4:$M$20,8,0))*VLOOKUP(C288,PERFIL!$B$4:$M$20,11,0)))</f>
        <v/>
      </c>
      <c r="H288" s="120" t="str">
        <f>IF(F288="","",ROUNDUP(SAB!$AD289*VLOOKUP(RECEITAS!$C288,ESCALA!$B$3:$N$19,10,0),0))</f>
        <v/>
      </c>
      <c r="I288" s="4" t="str">
        <f>IF(B288="","",SUM(VLOOKUP(C288,ESCALA!$B$3:$N$19,12,0))*(VLOOKUP(DF!C289,DF!$C$5:$AC$305,27,0))/VLOOKUP(C288,PERFIL!$B$4:$M$20,8,0)*VLOOKUP(C288,PERFIL!$B$4:$M$20,12,0))</f>
        <v/>
      </c>
      <c r="J288" s="120" t="str">
        <f>IF(H288="","",ROUNDUP(DF!$AD289*VLOOKUP(RECEITAS!$C288,ESCALA!$B$3:$N$19,12,0),0))</f>
        <v/>
      </c>
      <c r="K288" s="4" t="str">
        <f>IF(FROTA!AA289="","",FROTA!AA289)</f>
        <v/>
      </c>
      <c r="L288" s="4" t="str">
        <f t="shared" si="25"/>
        <v/>
      </c>
      <c r="M288" s="4" t="str">
        <f>IF(FROTA!AC289="","",FROTA!AC289)</f>
        <v/>
      </c>
      <c r="N288" s="4" t="str">
        <f t="shared" si="26"/>
        <v/>
      </c>
      <c r="O288" s="4" t="str">
        <f>IF(FROTA!AE289="","",FROTA!AE289)</f>
        <v/>
      </c>
      <c r="P288" s="4" t="str">
        <f t="shared" si="27"/>
        <v/>
      </c>
      <c r="Q288" s="4" t="str">
        <f>IF(FROTA!AG289="","",FROTA!AG289)</f>
        <v/>
      </c>
      <c r="R288" s="4" t="str">
        <f t="shared" si="28"/>
        <v/>
      </c>
      <c r="S288" s="164">
        <f t="shared" si="29"/>
        <v>0</v>
      </c>
      <c r="T288" s="257">
        <v>43079</v>
      </c>
      <c r="U288" s="256" t="s">
        <v>58</v>
      </c>
    </row>
    <row r="289" spans="2:21" ht="13.5" customHeight="1" x14ac:dyDescent="0.2">
      <c r="B289" s="23" t="str">
        <f>IF(FROTA!B290="","",FROTA!B290)</f>
        <v/>
      </c>
      <c r="C289" s="139" t="str">
        <f>IF(B289="","",VLOOKUP(B289,FROTA!$B$5:$C$306,2,0))</f>
        <v/>
      </c>
      <c r="D289" s="22" t="str">
        <f t="shared" si="24"/>
        <v/>
      </c>
      <c r="E289" s="4" t="str">
        <f>IF(B289="","",SUM(VLOOKUP(C289,ESCALA!$B$3:$N$19,8,0))*(VLOOKUP(SEM!C290,SEM!$C$5:$AC$305,27,0)))</f>
        <v/>
      </c>
      <c r="F289" s="120" t="str">
        <f>IF(D289="","",ROUNDUP(SEM!$AD290*VLOOKUP(RECEITAS!$C289,ESCALA!$B$3:$N$19,8,0),0))</f>
        <v/>
      </c>
      <c r="G289" s="4" t="str">
        <f>IF(B289="","",(SUM((VLOOKUP(C289,ESCALA!$B$3:$N$19,10,0))*(VLOOKUP(SAB!C290,SAB!$C$5:$AC$305,27,0))/VLOOKUP(C289,PERFIL!$B$4:$M$20,8,0))*VLOOKUP(C289,PERFIL!$B$4:$M$20,11,0)))</f>
        <v/>
      </c>
      <c r="H289" s="120" t="str">
        <f>IF(F289="","",ROUNDUP(SAB!$AD290*VLOOKUP(RECEITAS!$C289,ESCALA!$B$3:$N$19,10,0),0))</f>
        <v/>
      </c>
      <c r="I289" s="4" t="str">
        <f>IF(B289="","",SUM(VLOOKUP(C289,ESCALA!$B$3:$N$19,12,0))*(VLOOKUP(DF!C290,DF!$C$5:$AC$305,27,0))/VLOOKUP(C289,PERFIL!$B$4:$M$20,8,0)*VLOOKUP(C289,PERFIL!$B$4:$M$20,12,0))</f>
        <v/>
      </c>
      <c r="J289" s="120" t="str">
        <f>IF(H289="","",ROUNDUP(DF!$AD290*VLOOKUP(RECEITAS!$C289,ESCALA!$B$3:$N$19,12,0),0))</f>
        <v/>
      </c>
      <c r="K289" s="4" t="str">
        <f>IF(FROTA!AA290="","",FROTA!AA290)</f>
        <v/>
      </c>
      <c r="L289" s="4" t="str">
        <f t="shared" si="25"/>
        <v/>
      </c>
      <c r="M289" s="4" t="str">
        <f>IF(FROTA!AC290="","",FROTA!AC290)</f>
        <v/>
      </c>
      <c r="N289" s="4" t="str">
        <f t="shared" si="26"/>
        <v/>
      </c>
      <c r="O289" s="4" t="str">
        <f>IF(FROTA!AE290="","",FROTA!AE290)</f>
        <v/>
      </c>
      <c r="P289" s="4" t="str">
        <f t="shared" si="27"/>
        <v/>
      </c>
      <c r="Q289" s="4" t="str">
        <f>IF(FROTA!AG290="","",FROTA!AG290)</f>
        <v/>
      </c>
      <c r="R289" s="4" t="str">
        <f t="shared" si="28"/>
        <v/>
      </c>
      <c r="S289" s="164">
        <f t="shared" si="29"/>
        <v>0</v>
      </c>
      <c r="T289" s="257">
        <v>43080</v>
      </c>
      <c r="U289" s="256" t="s">
        <v>62</v>
      </c>
    </row>
    <row r="290" spans="2:21" ht="13.5" customHeight="1" x14ac:dyDescent="0.2">
      <c r="B290" s="23" t="str">
        <f>IF(FROTA!B291="","",FROTA!B291)</f>
        <v/>
      </c>
      <c r="C290" s="139" t="str">
        <f>IF(B290="","",VLOOKUP(B290,FROTA!$B$5:$C$306,2,0))</f>
        <v/>
      </c>
      <c r="D290" s="22" t="str">
        <f t="shared" si="24"/>
        <v/>
      </c>
      <c r="E290" s="4" t="str">
        <f>IF(B290="","",SUM(VLOOKUP(C290,ESCALA!$B$3:$N$19,8,0))*(VLOOKUP(SEM!C291,SEM!$C$5:$AC$305,27,0)))</f>
        <v/>
      </c>
      <c r="F290" s="120" t="str">
        <f>IF(D290="","",ROUNDUP(SEM!$AD291*VLOOKUP(RECEITAS!$C290,ESCALA!$B$3:$N$19,8,0),0))</f>
        <v/>
      </c>
      <c r="G290" s="4" t="str">
        <f>IF(B290="","",(SUM((VLOOKUP(C290,ESCALA!$B$3:$N$19,10,0))*(VLOOKUP(SAB!C291,SAB!$C$5:$AC$305,27,0))/VLOOKUP(C290,PERFIL!$B$4:$M$20,8,0))*VLOOKUP(C290,PERFIL!$B$4:$M$20,11,0)))</f>
        <v/>
      </c>
      <c r="H290" s="120" t="str">
        <f>IF(F290="","",ROUNDUP(SAB!$AD291*VLOOKUP(RECEITAS!$C290,ESCALA!$B$3:$N$19,10,0),0))</f>
        <v/>
      </c>
      <c r="I290" s="4" t="str">
        <f>IF(B290="","",SUM(VLOOKUP(C290,ESCALA!$B$3:$N$19,12,0))*(VLOOKUP(DF!C291,DF!$C$5:$AC$305,27,0))/VLOOKUP(C290,PERFIL!$B$4:$M$20,8,0)*VLOOKUP(C290,PERFIL!$B$4:$M$20,12,0))</f>
        <v/>
      </c>
      <c r="J290" s="120" t="str">
        <f>IF(H290="","",ROUNDUP(DF!$AD291*VLOOKUP(RECEITAS!$C290,ESCALA!$B$3:$N$19,12,0),0))</f>
        <v/>
      </c>
      <c r="K290" s="4" t="str">
        <f>IF(FROTA!AA291="","",FROTA!AA291)</f>
        <v/>
      </c>
      <c r="L290" s="4" t="str">
        <f t="shared" si="25"/>
        <v/>
      </c>
      <c r="M290" s="4" t="str">
        <f>IF(FROTA!AC291="","",FROTA!AC291)</f>
        <v/>
      </c>
      <c r="N290" s="4" t="str">
        <f t="shared" si="26"/>
        <v/>
      </c>
      <c r="O290" s="4" t="str">
        <f>IF(FROTA!AE291="","",FROTA!AE291)</f>
        <v/>
      </c>
      <c r="P290" s="4" t="str">
        <f t="shared" si="27"/>
        <v/>
      </c>
      <c r="Q290" s="4" t="str">
        <f>IF(FROTA!AG291="","",FROTA!AG291)</f>
        <v/>
      </c>
      <c r="R290" s="4" t="str">
        <f t="shared" si="28"/>
        <v/>
      </c>
      <c r="S290" s="164">
        <f t="shared" si="29"/>
        <v>0</v>
      </c>
      <c r="T290" s="257">
        <v>43081</v>
      </c>
      <c r="U290" s="256" t="s">
        <v>63</v>
      </c>
    </row>
    <row r="291" spans="2:21" ht="13.5" customHeight="1" x14ac:dyDescent="0.2">
      <c r="B291" s="23" t="str">
        <f>IF(FROTA!B292="","",FROTA!B292)</f>
        <v/>
      </c>
      <c r="C291" s="139" t="str">
        <f>IF(B291="","",VLOOKUP(B291,FROTA!$B$5:$C$306,2,0))</f>
        <v/>
      </c>
      <c r="D291" s="22" t="str">
        <f t="shared" si="24"/>
        <v/>
      </c>
      <c r="E291" s="4" t="str">
        <f>IF(B291="","",SUM(VLOOKUP(C291,ESCALA!$B$3:$N$19,8,0))*(VLOOKUP(SEM!C292,SEM!$C$5:$AC$305,27,0)))</f>
        <v/>
      </c>
      <c r="F291" s="120" t="str">
        <f>IF(D291="","",ROUNDUP(SEM!$AD292*VLOOKUP(RECEITAS!$C291,ESCALA!$B$3:$N$19,8,0),0))</f>
        <v/>
      </c>
      <c r="G291" s="4" t="str">
        <f>IF(B291="","",(SUM((VLOOKUP(C291,ESCALA!$B$3:$N$19,10,0))*(VLOOKUP(SAB!C292,SAB!$C$5:$AC$305,27,0))/VLOOKUP(C291,PERFIL!$B$4:$M$20,8,0))*VLOOKUP(C291,PERFIL!$B$4:$M$20,11,0)))</f>
        <v/>
      </c>
      <c r="H291" s="120" t="str">
        <f>IF(F291="","",ROUNDUP(SAB!$AD292*VLOOKUP(RECEITAS!$C291,ESCALA!$B$3:$N$19,10,0),0))</f>
        <v/>
      </c>
      <c r="I291" s="4" t="str">
        <f>IF(B291="","",SUM(VLOOKUP(C291,ESCALA!$B$3:$N$19,12,0))*(VLOOKUP(DF!C292,DF!$C$5:$AC$305,27,0))/VLOOKUP(C291,PERFIL!$B$4:$M$20,8,0)*VLOOKUP(C291,PERFIL!$B$4:$M$20,12,0))</f>
        <v/>
      </c>
      <c r="J291" s="120" t="str">
        <f>IF(H291="","",ROUNDUP(DF!$AD292*VLOOKUP(RECEITAS!$C291,ESCALA!$B$3:$N$19,12,0),0))</f>
        <v/>
      </c>
      <c r="K291" s="4" t="str">
        <f>IF(FROTA!AA292="","",FROTA!AA292)</f>
        <v/>
      </c>
      <c r="L291" s="4" t="str">
        <f t="shared" si="25"/>
        <v/>
      </c>
      <c r="M291" s="4" t="str">
        <f>IF(FROTA!AC292="","",FROTA!AC292)</f>
        <v/>
      </c>
      <c r="N291" s="4" t="str">
        <f t="shared" si="26"/>
        <v/>
      </c>
      <c r="O291" s="4" t="str">
        <f>IF(FROTA!AE292="","",FROTA!AE292)</f>
        <v/>
      </c>
      <c r="P291" s="4" t="str">
        <f t="shared" si="27"/>
        <v/>
      </c>
      <c r="Q291" s="4" t="str">
        <f>IF(FROTA!AG292="","",FROTA!AG292)</f>
        <v/>
      </c>
      <c r="R291" s="4" t="str">
        <f t="shared" si="28"/>
        <v/>
      </c>
      <c r="S291" s="164">
        <f t="shared" si="29"/>
        <v>0</v>
      </c>
      <c r="T291" s="257">
        <v>43082</v>
      </c>
      <c r="U291" s="256" t="s">
        <v>64</v>
      </c>
    </row>
    <row r="292" spans="2:21" ht="13.5" customHeight="1" x14ac:dyDescent="0.2">
      <c r="B292" s="23" t="str">
        <f>IF(FROTA!B293="","",FROTA!B293)</f>
        <v/>
      </c>
      <c r="C292" s="139" t="str">
        <f>IF(B292="","",VLOOKUP(B292,FROTA!$B$5:$C$306,2,0))</f>
        <v/>
      </c>
      <c r="D292" s="22" t="str">
        <f t="shared" si="24"/>
        <v/>
      </c>
      <c r="E292" s="4" t="str">
        <f>IF(B292="","",SUM(VLOOKUP(C292,ESCALA!$B$3:$N$19,8,0))*(VLOOKUP(SEM!C293,SEM!$C$5:$AC$305,27,0)))</f>
        <v/>
      </c>
      <c r="F292" s="120" t="str">
        <f>IF(D292="","",ROUNDUP(SEM!$AD293*VLOOKUP(RECEITAS!$C292,ESCALA!$B$3:$N$19,8,0),0))</f>
        <v/>
      </c>
      <c r="G292" s="4" t="str">
        <f>IF(B292="","",(SUM((VLOOKUP(C292,ESCALA!$B$3:$N$19,10,0))*(VLOOKUP(SAB!C293,SAB!$C$5:$AC$305,27,0))/VLOOKUP(C292,PERFIL!$B$4:$M$20,8,0))*VLOOKUP(C292,PERFIL!$B$4:$M$20,11,0)))</f>
        <v/>
      </c>
      <c r="H292" s="120" t="str">
        <f>IF(F292="","",ROUNDUP(SAB!$AD293*VLOOKUP(RECEITAS!$C292,ESCALA!$B$3:$N$19,10,0),0))</f>
        <v/>
      </c>
      <c r="I292" s="4" t="str">
        <f>IF(B292="","",SUM(VLOOKUP(C292,ESCALA!$B$3:$N$19,12,0))*(VLOOKUP(DF!C293,DF!$C$5:$AC$305,27,0))/VLOOKUP(C292,PERFIL!$B$4:$M$20,8,0)*VLOOKUP(C292,PERFIL!$B$4:$M$20,12,0))</f>
        <v/>
      </c>
      <c r="J292" s="120" t="str">
        <f>IF(H292="","",ROUNDUP(DF!$AD293*VLOOKUP(RECEITAS!$C292,ESCALA!$B$3:$N$19,12,0),0))</f>
        <v/>
      </c>
      <c r="K292" s="4" t="str">
        <f>IF(FROTA!AA293="","",FROTA!AA293)</f>
        <v/>
      </c>
      <c r="L292" s="4" t="str">
        <f t="shared" si="25"/>
        <v/>
      </c>
      <c r="M292" s="4" t="str">
        <f>IF(FROTA!AC293="","",FROTA!AC293)</f>
        <v/>
      </c>
      <c r="N292" s="4" t="str">
        <f t="shared" si="26"/>
        <v/>
      </c>
      <c r="O292" s="4" t="str">
        <f>IF(FROTA!AE293="","",FROTA!AE293)</f>
        <v/>
      </c>
      <c r="P292" s="4" t="str">
        <f t="shared" si="27"/>
        <v/>
      </c>
      <c r="Q292" s="4" t="str">
        <f>IF(FROTA!AG293="","",FROTA!AG293)</f>
        <v/>
      </c>
      <c r="R292" s="4" t="str">
        <f t="shared" si="28"/>
        <v/>
      </c>
      <c r="S292" s="164">
        <f t="shared" si="29"/>
        <v>0</v>
      </c>
      <c r="T292" s="257">
        <v>43083</v>
      </c>
      <c r="U292" s="256" t="s">
        <v>59</v>
      </c>
    </row>
    <row r="293" spans="2:21" ht="13.5" customHeight="1" x14ac:dyDescent="0.2">
      <c r="B293" s="23" t="str">
        <f>IF(FROTA!B294="","",FROTA!B294)</f>
        <v/>
      </c>
      <c r="C293" s="139" t="str">
        <f>IF(B293="","",VLOOKUP(B293,FROTA!$B$5:$C$306,2,0))</f>
        <v/>
      </c>
      <c r="D293" s="22" t="str">
        <f t="shared" si="24"/>
        <v/>
      </c>
      <c r="E293" s="4" t="str">
        <f>IF(B293="","",SUM(VLOOKUP(C293,ESCALA!$B$3:$N$19,8,0))*(VLOOKUP(SEM!C294,SEM!$C$5:$AC$305,27,0)))</f>
        <v/>
      </c>
      <c r="F293" s="120" t="str">
        <f>IF(D293="","",ROUNDUP(SEM!$AD294*VLOOKUP(RECEITAS!$C293,ESCALA!$B$3:$N$19,8,0),0))</f>
        <v/>
      </c>
      <c r="G293" s="4" t="str">
        <f>IF(B293="","",(SUM((VLOOKUP(C293,ESCALA!$B$3:$N$19,10,0))*(VLOOKUP(SAB!C294,SAB!$C$5:$AC$305,27,0))/VLOOKUP(C293,PERFIL!$B$4:$M$20,8,0))*VLOOKUP(C293,PERFIL!$B$4:$M$20,11,0)))</f>
        <v/>
      </c>
      <c r="H293" s="120" t="str">
        <f>IF(F293="","",ROUNDUP(SAB!$AD294*VLOOKUP(RECEITAS!$C293,ESCALA!$B$3:$N$19,10,0),0))</f>
        <v/>
      </c>
      <c r="I293" s="4" t="str">
        <f>IF(B293="","",SUM(VLOOKUP(C293,ESCALA!$B$3:$N$19,12,0))*(VLOOKUP(DF!C294,DF!$C$5:$AC$305,27,0))/VLOOKUP(C293,PERFIL!$B$4:$M$20,8,0)*VLOOKUP(C293,PERFIL!$B$4:$M$20,12,0))</f>
        <v/>
      </c>
      <c r="J293" s="120" t="str">
        <f>IF(H293="","",ROUNDUP(DF!$AD294*VLOOKUP(RECEITAS!$C293,ESCALA!$B$3:$N$19,12,0),0))</f>
        <v/>
      </c>
      <c r="K293" s="4" t="str">
        <f>IF(FROTA!AA294="","",FROTA!AA294)</f>
        <v/>
      </c>
      <c r="L293" s="4" t="str">
        <f t="shared" si="25"/>
        <v/>
      </c>
      <c r="M293" s="4" t="str">
        <f>IF(FROTA!AC294="","",FROTA!AC294)</f>
        <v/>
      </c>
      <c r="N293" s="4" t="str">
        <f t="shared" si="26"/>
        <v/>
      </c>
      <c r="O293" s="4" t="str">
        <f>IF(FROTA!AE294="","",FROTA!AE294)</f>
        <v/>
      </c>
      <c r="P293" s="4" t="str">
        <f t="shared" si="27"/>
        <v/>
      </c>
      <c r="Q293" s="4" t="str">
        <f>IF(FROTA!AG294="","",FROTA!AG294)</f>
        <v/>
      </c>
      <c r="R293" s="4" t="str">
        <f t="shared" si="28"/>
        <v/>
      </c>
      <c r="S293" s="164">
        <f t="shared" si="29"/>
        <v>0</v>
      </c>
      <c r="T293" s="257">
        <v>43084</v>
      </c>
      <c r="U293" s="256" t="s">
        <v>60</v>
      </c>
    </row>
    <row r="294" spans="2:21" ht="13.5" customHeight="1" x14ac:dyDescent="0.2">
      <c r="B294" s="23" t="str">
        <f>IF(FROTA!B295="","",FROTA!B295)</f>
        <v/>
      </c>
      <c r="C294" s="139" t="str">
        <f>IF(B294="","",VLOOKUP(B294,FROTA!$B$5:$C$306,2,0))</f>
        <v/>
      </c>
      <c r="D294" s="22" t="str">
        <f t="shared" si="24"/>
        <v/>
      </c>
      <c r="E294" s="4" t="str">
        <f>IF(B294="","",SUM(VLOOKUP(C294,ESCALA!$B$3:$N$19,8,0))*(VLOOKUP(SEM!C295,SEM!$C$5:$AC$305,27,0)))</f>
        <v/>
      </c>
      <c r="F294" s="120" t="str">
        <f>IF(D294="","",ROUNDUP(SEM!$AD295*VLOOKUP(RECEITAS!$C294,ESCALA!$B$3:$N$19,8,0),0))</f>
        <v/>
      </c>
      <c r="G294" s="4" t="str">
        <f>IF(B294="","",(SUM((VLOOKUP(C294,ESCALA!$B$3:$N$19,10,0))*(VLOOKUP(SAB!C295,SAB!$C$5:$AC$305,27,0))/VLOOKUP(C294,PERFIL!$B$4:$M$20,8,0))*VLOOKUP(C294,PERFIL!$B$4:$M$20,11,0)))</f>
        <v/>
      </c>
      <c r="H294" s="120" t="str">
        <f>IF(F294="","",ROUNDUP(SAB!$AD295*VLOOKUP(RECEITAS!$C294,ESCALA!$B$3:$N$19,10,0),0))</f>
        <v/>
      </c>
      <c r="I294" s="4" t="str">
        <f>IF(B294="","",SUM(VLOOKUP(C294,ESCALA!$B$3:$N$19,12,0))*(VLOOKUP(DF!C295,DF!$C$5:$AC$305,27,0))/VLOOKUP(C294,PERFIL!$B$4:$M$20,8,0)*VLOOKUP(C294,PERFIL!$B$4:$M$20,12,0))</f>
        <v/>
      </c>
      <c r="J294" s="120" t="str">
        <f>IF(H294="","",ROUNDUP(DF!$AD295*VLOOKUP(RECEITAS!$C294,ESCALA!$B$3:$N$19,12,0),0))</f>
        <v/>
      </c>
      <c r="K294" s="4" t="str">
        <f>IF(FROTA!AA295="","",FROTA!AA295)</f>
        <v/>
      </c>
      <c r="L294" s="4" t="str">
        <f t="shared" si="25"/>
        <v/>
      </c>
      <c r="M294" s="4" t="str">
        <f>IF(FROTA!AC295="","",FROTA!AC295)</f>
        <v/>
      </c>
      <c r="N294" s="4" t="str">
        <f t="shared" si="26"/>
        <v/>
      </c>
      <c r="O294" s="4" t="str">
        <f>IF(FROTA!AE295="","",FROTA!AE295)</f>
        <v/>
      </c>
      <c r="P294" s="4" t="str">
        <f t="shared" si="27"/>
        <v/>
      </c>
      <c r="Q294" s="4" t="str">
        <f>IF(FROTA!AG295="","",FROTA!AG295)</f>
        <v/>
      </c>
      <c r="R294" s="4" t="str">
        <f t="shared" si="28"/>
        <v/>
      </c>
      <c r="S294" s="164">
        <f t="shared" si="29"/>
        <v>0</v>
      </c>
      <c r="T294" s="257">
        <v>43085</v>
      </c>
      <c r="U294" s="256" t="s">
        <v>61</v>
      </c>
    </row>
    <row r="295" spans="2:21" ht="13.5" customHeight="1" x14ac:dyDescent="0.2">
      <c r="B295" s="23" t="str">
        <f>IF(FROTA!B296="","",FROTA!B296)</f>
        <v/>
      </c>
      <c r="C295" s="139" t="str">
        <f>IF(B295="","",VLOOKUP(B295,FROTA!$B$5:$C$306,2,0))</f>
        <v/>
      </c>
      <c r="D295" s="22" t="str">
        <f t="shared" si="24"/>
        <v/>
      </c>
      <c r="E295" s="4" t="str">
        <f>IF(B295="","",SUM(VLOOKUP(C295,ESCALA!$B$3:$N$19,8,0))*(VLOOKUP(SEM!C296,SEM!$C$5:$AC$305,27,0)))</f>
        <v/>
      </c>
      <c r="F295" s="120" t="str">
        <f>IF(D295="","",ROUNDUP(SEM!$AD296*VLOOKUP(RECEITAS!$C295,ESCALA!$B$3:$N$19,8,0),0))</f>
        <v/>
      </c>
      <c r="G295" s="4" t="str">
        <f>IF(B295="","",(SUM((VLOOKUP(C295,ESCALA!$B$3:$N$19,10,0))*(VLOOKUP(SAB!C296,SAB!$C$5:$AC$305,27,0))/VLOOKUP(C295,PERFIL!$B$4:$M$20,8,0))*VLOOKUP(C295,PERFIL!$B$4:$M$20,11,0)))</f>
        <v/>
      </c>
      <c r="H295" s="120" t="str">
        <f>IF(F295="","",ROUNDUP(SAB!$AD296*VLOOKUP(RECEITAS!$C295,ESCALA!$B$3:$N$19,10,0),0))</f>
        <v/>
      </c>
      <c r="I295" s="4" t="str">
        <f>IF(B295="","",SUM(VLOOKUP(C295,ESCALA!$B$3:$N$19,12,0))*(VLOOKUP(DF!C296,DF!$C$5:$AC$305,27,0))/VLOOKUP(C295,PERFIL!$B$4:$M$20,8,0)*VLOOKUP(C295,PERFIL!$B$4:$M$20,12,0))</f>
        <v/>
      </c>
      <c r="J295" s="120" t="str">
        <f>IF(H295="","",ROUNDUP(DF!$AD296*VLOOKUP(RECEITAS!$C295,ESCALA!$B$3:$N$19,12,0),0))</f>
        <v/>
      </c>
      <c r="K295" s="4" t="str">
        <f>IF(FROTA!AA296="","",FROTA!AA296)</f>
        <v/>
      </c>
      <c r="L295" s="4" t="str">
        <f t="shared" si="25"/>
        <v/>
      </c>
      <c r="M295" s="4" t="str">
        <f>IF(FROTA!AC296="","",FROTA!AC296)</f>
        <v/>
      </c>
      <c r="N295" s="4" t="str">
        <f t="shared" si="26"/>
        <v/>
      </c>
      <c r="O295" s="4" t="str">
        <f>IF(FROTA!AE296="","",FROTA!AE296)</f>
        <v/>
      </c>
      <c r="P295" s="4" t="str">
        <f t="shared" si="27"/>
        <v/>
      </c>
      <c r="Q295" s="4" t="str">
        <f>IF(FROTA!AG296="","",FROTA!AG296)</f>
        <v/>
      </c>
      <c r="R295" s="4" t="str">
        <f t="shared" si="28"/>
        <v/>
      </c>
      <c r="S295" s="164">
        <f t="shared" si="29"/>
        <v>0</v>
      </c>
      <c r="T295" s="257">
        <v>43086</v>
      </c>
      <c r="U295" s="256" t="s">
        <v>58</v>
      </c>
    </row>
    <row r="296" spans="2:21" ht="13.5" customHeight="1" x14ac:dyDescent="0.2">
      <c r="B296" s="23" t="str">
        <f>IF(FROTA!B297="","",FROTA!B297)</f>
        <v/>
      </c>
      <c r="C296" s="139" t="str">
        <f>IF(B296="","",VLOOKUP(B296,FROTA!$B$5:$C$306,2,0))</f>
        <v/>
      </c>
      <c r="D296" s="22" t="str">
        <f t="shared" si="24"/>
        <v/>
      </c>
      <c r="E296" s="4" t="str">
        <f>IF(B296="","",SUM(VLOOKUP(C296,ESCALA!$B$3:$N$19,8,0))*(VLOOKUP(SEM!C297,SEM!$C$5:$AC$305,27,0)))</f>
        <v/>
      </c>
      <c r="F296" s="120" t="str">
        <f>IF(D296="","",ROUNDUP(SEM!$AD297*VLOOKUP(RECEITAS!$C296,ESCALA!$B$3:$N$19,8,0),0))</f>
        <v/>
      </c>
      <c r="G296" s="4" t="str">
        <f>IF(B296="","",(SUM((VLOOKUP(C296,ESCALA!$B$3:$N$19,10,0))*(VLOOKUP(SAB!C297,SAB!$C$5:$AC$305,27,0))/VLOOKUP(C296,PERFIL!$B$4:$M$20,8,0))*VLOOKUP(C296,PERFIL!$B$4:$M$20,11,0)))</f>
        <v/>
      </c>
      <c r="H296" s="120" t="str">
        <f>IF(F296="","",ROUNDUP(SAB!$AD297*VLOOKUP(RECEITAS!$C296,ESCALA!$B$3:$N$19,10,0),0))</f>
        <v/>
      </c>
      <c r="I296" s="4" t="str">
        <f>IF(B296="","",SUM(VLOOKUP(C296,ESCALA!$B$3:$N$19,12,0))*(VLOOKUP(DF!C297,DF!$C$5:$AC$305,27,0))/VLOOKUP(C296,PERFIL!$B$4:$M$20,8,0)*VLOOKUP(C296,PERFIL!$B$4:$M$20,12,0))</f>
        <v/>
      </c>
      <c r="J296" s="120" t="str">
        <f>IF(H296="","",ROUNDUP(DF!$AD297*VLOOKUP(RECEITAS!$C296,ESCALA!$B$3:$N$19,12,0),0))</f>
        <v/>
      </c>
      <c r="K296" s="4" t="str">
        <f>IF(FROTA!AA297="","",FROTA!AA297)</f>
        <v/>
      </c>
      <c r="L296" s="4" t="str">
        <f t="shared" si="25"/>
        <v/>
      </c>
      <c r="M296" s="4" t="str">
        <f>IF(FROTA!AC297="","",FROTA!AC297)</f>
        <v/>
      </c>
      <c r="N296" s="4" t="str">
        <f t="shared" si="26"/>
        <v/>
      </c>
      <c r="O296" s="4" t="str">
        <f>IF(FROTA!AE297="","",FROTA!AE297)</f>
        <v/>
      </c>
      <c r="P296" s="4" t="str">
        <f t="shared" si="27"/>
        <v/>
      </c>
      <c r="Q296" s="4" t="str">
        <f>IF(FROTA!AG297="","",FROTA!AG297)</f>
        <v/>
      </c>
      <c r="R296" s="4" t="str">
        <f t="shared" si="28"/>
        <v/>
      </c>
      <c r="S296" s="164">
        <f t="shared" si="29"/>
        <v>0</v>
      </c>
      <c r="T296" s="257">
        <v>43087</v>
      </c>
      <c r="U296" s="256" t="s">
        <v>62</v>
      </c>
    </row>
    <row r="297" spans="2:21" ht="13.5" customHeight="1" x14ac:dyDescent="0.2">
      <c r="B297" s="23" t="str">
        <f>IF(FROTA!B298="","",FROTA!B298)</f>
        <v/>
      </c>
      <c r="C297" s="139" t="str">
        <f>IF(B297="","",VLOOKUP(B297,FROTA!$B$5:$C$306,2,0))</f>
        <v/>
      </c>
      <c r="D297" s="22" t="str">
        <f t="shared" si="24"/>
        <v/>
      </c>
      <c r="E297" s="4" t="str">
        <f>IF(B297="","",SUM(VLOOKUP(C297,ESCALA!$B$3:$N$19,8,0))*(VLOOKUP(SEM!C298,SEM!$C$5:$AC$305,27,0)))</f>
        <v/>
      </c>
      <c r="F297" s="120" t="str">
        <f>IF(D297="","",ROUNDUP(SEM!$AD298*VLOOKUP(RECEITAS!$C297,ESCALA!$B$3:$N$19,8,0),0))</f>
        <v/>
      </c>
      <c r="G297" s="4" t="str">
        <f>IF(B297="","",(SUM((VLOOKUP(C297,ESCALA!$B$3:$N$19,10,0))*(VLOOKUP(SAB!C298,SAB!$C$5:$AC$305,27,0))/VLOOKUP(C297,PERFIL!$B$4:$M$20,8,0))*VLOOKUP(C297,PERFIL!$B$4:$M$20,11,0)))</f>
        <v/>
      </c>
      <c r="H297" s="120" t="str">
        <f>IF(F297="","",ROUNDUP(SAB!$AD298*VLOOKUP(RECEITAS!$C297,ESCALA!$B$3:$N$19,10,0),0))</f>
        <v/>
      </c>
      <c r="I297" s="4" t="str">
        <f>IF(B297="","",SUM(VLOOKUP(C297,ESCALA!$B$3:$N$19,12,0))*(VLOOKUP(DF!C298,DF!$C$5:$AC$305,27,0))/VLOOKUP(C297,PERFIL!$B$4:$M$20,8,0)*VLOOKUP(C297,PERFIL!$B$4:$M$20,12,0))</f>
        <v/>
      </c>
      <c r="J297" s="120" t="str">
        <f>IF(H297="","",ROUNDUP(DF!$AD298*VLOOKUP(RECEITAS!$C297,ESCALA!$B$3:$N$19,12,0),0))</f>
        <v/>
      </c>
      <c r="K297" s="4" t="str">
        <f>IF(FROTA!AA298="","",FROTA!AA298)</f>
        <v/>
      </c>
      <c r="L297" s="4" t="str">
        <f t="shared" si="25"/>
        <v/>
      </c>
      <c r="M297" s="4" t="str">
        <f>IF(FROTA!AC298="","",FROTA!AC298)</f>
        <v/>
      </c>
      <c r="N297" s="4" t="str">
        <f t="shared" si="26"/>
        <v/>
      </c>
      <c r="O297" s="4" t="str">
        <f>IF(FROTA!AE298="","",FROTA!AE298)</f>
        <v/>
      </c>
      <c r="P297" s="4" t="str">
        <f t="shared" si="27"/>
        <v/>
      </c>
      <c r="Q297" s="4" t="str">
        <f>IF(FROTA!AG298="","",FROTA!AG298)</f>
        <v/>
      </c>
      <c r="R297" s="4" t="str">
        <f t="shared" si="28"/>
        <v/>
      </c>
      <c r="S297" s="164">
        <f t="shared" si="29"/>
        <v>0</v>
      </c>
      <c r="T297" s="257">
        <v>43088</v>
      </c>
      <c r="U297" s="256" t="s">
        <v>63</v>
      </c>
    </row>
    <row r="298" spans="2:21" ht="13.5" customHeight="1" x14ac:dyDescent="0.2">
      <c r="B298" s="23" t="str">
        <f>IF(FROTA!B299="","",FROTA!B299)</f>
        <v/>
      </c>
      <c r="C298" s="139" t="str">
        <f>IF(B298="","",VLOOKUP(B298,FROTA!$B$5:$C$306,2,0))</f>
        <v/>
      </c>
      <c r="D298" s="22" t="str">
        <f t="shared" si="24"/>
        <v/>
      </c>
      <c r="E298" s="4" t="str">
        <f>IF(B298="","",SUM(VLOOKUP(C298,ESCALA!$B$3:$N$19,8,0))*(VLOOKUP(SEM!C299,SEM!$C$5:$AC$305,27,0)))</f>
        <v/>
      </c>
      <c r="F298" s="120" t="str">
        <f>IF(D298="","",ROUNDUP(SEM!$AD299*VLOOKUP(RECEITAS!$C298,ESCALA!$B$3:$N$19,8,0),0))</f>
        <v/>
      </c>
      <c r="G298" s="4" t="str">
        <f>IF(B298="","",(SUM((VLOOKUP(C298,ESCALA!$B$3:$N$19,10,0))*(VLOOKUP(SAB!C299,SAB!$C$5:$AC$305,27,0))/VLOOKUP(C298,PERFIL!$B$4:$M$20,8,0))*VLOOKUP(C298,PERFIL!$B$4:$M$20,11,0)))</f>
        <v/>
      </c>
      <c r="H298" s="120" t="str">
        <f>IF(F298="","",ROUNDUP(SAB!$AD299*VLOOKUP(RECEITAS!$C298,ESCALA!$B$3:$N$19,10,0),0))</f>
        <v/>
      </c>
      <c r="I298" s="4" t="str">
        <f>IF(B298="","",SUM(VLOOKUP(C298,ESCALA!$B$3:$N$19,12,0))*(VLOOKUP(DF!C299,DF!$C$5:$AC$305,27,0))/VLOOKUP(C298,PERFIL!$B$4:$M$20,8,0)*VLOOKUP(C298,PERFIL!$B$4:$M$20,12,0))</f>
        <v/>
      </c>
      <c r="J298" s="120" t="str">
        <f>IF(H298="","",ROUNDUP(DF!$AD299*VLOOKUP(RECEITAS!$C298,ESCALA!$B$3:$N$19,12,0),0))</f>
        <v/>
      </c>
      <c r="K298" s="4" t="str">
        <f>IF(FROTA!AA299="","",FROTA!AA299)</f>
        <v/>
      </c>
      <c r="L298" s="4" t="str">
        <f t="shared" si="25"/>
        <v/>
      </c>
      <c r="M298" s="4" t="str">
        <f>IF(FROTA!AC299="","",FROTA!AC299)</f>
        <v/>
      </c>
      <c r="N298" s="4" t="str">
        <f t="shared" si="26"/>
        <v/>
      </c>
      <c r="O298" s="4" t="str">
        <f>IF(FROTA!AE299="","",FROTA!AE299)</f>
        <v/>
      </c>
      <c r="P298" s="4" t="str">
        <f t="shared" si="27"/>
        <v/>
      </c>
      <c r="Q298" s="4" t="str">
        <f>IF(FROTA!AG299="","",FROTA!AG299)</f>
        <v/>
      </c>
      <c r="R298" s="4" t="str">
        <f t="shared" si="28"/>
        <v/>
      </c>
      <c r="S298" s="164">
        <f t="shared" si="29"/>
        <v>0</v>
      </c>
      <c r="T298" s="257">
        <v>43089</v>
      </c>
      <c r="U298" s="256" t="s">
        <v>64</v>
      </c>
    </row>
    <row r="299" spans="2:21" ht="13.5" customHeight="1" x14ac:dyDescent="0.2">
      <c r="B299" s="23" t="str">
        <f>IF(FROTA!B300="","",FROTA!B300)</f>
        <v/>
      </c>
      <c r="C299" s="139" t="str">
        <f>IF(B299="","",VLOOKUP(B299,FROTA!$B$5:$C$306,2,0))</f>
        <v/>
      </c>
      <c r="D299" s="22" t="str">
        <f t="shared" si="24"/>
        <v/>
      </c>
      <c r="E299" s="4" t="str">
        <f>IF(B299="","",SUM(VLOOKUP(C299,ESCALA!$B$3:$N$19,8,0))*(VLOOKUP(SEM!C300,SEM!$C$5:$AC$305,27,0)))</f>
        <v/>
      </c>
      <c r="F299" s="120" t="str">
        <f>IF(D299="","",ROUNDUP(SEM!$AD300*VLOOKUP(RECEITAS!$C299,ESCALA!$B$3:$N$19,8,0),0))</f>
        <v/>
      </c>
      <c r="G299" s="4" t="str">
        <f>IF(B299="","",(SUM((VLOOKUP(C299,ESCALA!$B$3:$N$19,10,0))*(VLOOKUP(SAB!C300,SAB!$C$5:$AC$305,27,0))/VLOOKUP(C299,PERFIL!$B$4:$M$20,8,0))*VLOOKUP(C299,PERFIL!$B$4:$M$20,11,0)))</f>
        <v/>
      </c>
      <c r="H299" s="120" t="str">
        <f>IF(F299="","",ROUNDUP(SAB!$AD300*VLOOKUP(RECEITAS!$C299,ESCALA!$B$3:$N$19,10,0),0))</f>
        <v/>
      </c>
      <c r="I299" s="4" t="str">
        <f>IF(B299="","",SUM(VLOOKUP(C299,ESCALA!$B$3:$N$19,12,0))*(VLOOKUP(DF!C300,DF!$C$5:$AC$305,27,0))/VLOOKUP(C299,PERFIL!$B$4:$M$20,8,0)*VLOOKUP(C299,PERFIL!$B$4:$M$20,12,0))</f>
        <v/>
      </c>
      <c r="J299" s="120" t="str">
        <f>IF(H299="","",ROUNDUP(DF!$AD300*VLOOKUP(RECEITAS!$C299,ESCALA!$B$3:$N$19,12,0),0))</f>
        <v/>
      </c>
      <c r="K299" s="4" t="str">
        <f>IF(FROTA!AA300="","",FROTA!AA300)</f>
        <v/>
      </c>
      <c r="L299" s="4" t="str">
        <f t="shared" si="25"/>
        <v/>
      </c>
      <c r="M299" s="4" t="str">
        <f>IF(FROTA!AC300="","",FROTA!AC300)</f>
        <v/>
      </c>
      <c r="N299" s="4" t="str">
        <f t="shared" si="26"/>
        <v/>
      </c>
      <c r="O299" s="4" t="str">
        <f>IF(FROTA!AE300="","",FROTA!AE300)</f>
        <v/>
      </c>
      <c r="P299" s="4" t="str">
        <f t="shared" si="27"/>
        <v/>
      </c>
      <c r="Q299" s="4" t="str">
        <f>IF(FROTA!AG300="","",FROTA!AG300)</f>
        <v/>
      </c>
      <c r="R299" s="4" t="str">
        <f t="shared" si="28"/>
        <v/>
      </c>
      <c r="S299" s="164">
        <f t="shared" si="29"/>
        <v>0</v>
      </c>
      <c r="T299" s="257">
        <v>43090</v>
      </c>
      <c r="U299" s="256" t="s">
        <v>59</v>
      </c>
    </row>
    <row r="300" spans="2:21" ht="13.5" customHeight="1" x14ac:dyDescent="0.2">
      <c r="B300" s="23" t="str">
        <f>IF(FROTA!B301="","",FROTA!B301)</f>
        <v/>
      </c>
      <c r="C300" s="139" t="str">
        <f>IF(B300="","",VLOOKUP(B300,FROTA!$B$5:$C$306,2,0))</f>
        <v/>
      </c>
      <c r="D300" s="22" t="str">
        <f t="shared" si="24"/>
        <v/>
      </c>
      <c r="E300" s="4" t="str">
        <f>IF(B300="","",SUM(VLOOKUP(C300,ESCALA!$B$3:$N$19,8,0))*(VLOOKUP(SEM!C301,SEM!$C$5:$AC$305,27,0)))</f>
        <v/>
      </c>
      <c r="F300" s="120" t="str">
        <f>IF(D300="","",ROUNDUP(SEM!$AD301*VLOOKUP(RECEITAS!$C300,ESCALA!$B$3:$N$19,8,0),0))</f>
        <v/>
      </c>
      <c r="G300" s="4" t="str">
        <f>IF(B300="","",(SUM((VLOOKUP(C300,ESCALA!$B$3:$N$19,10,0))*(VLOOKUP(SAB!C301,SAB!$C$5:$AC$305,27,0))/VLOOKUP(C300,PERFIL!$B$4:$M$20,8,0))*VLOOKUP(C300,PERFIL!$B$4:$M$20,11,0)))</f>
        <v/>
      </c>
      <c r="H300" s="120" t="str">
        <f>IF(F300="","",ROUNDUP(SAB!$AD301*VLOOKUP(RECEITAS!$C300,ESCALA!$B$3:$N$19,10,0),0))</f>
        <v/>
      </c>
      <c r="I300" s="4" t="str">
        <f>IF(B300="","",SUM(VLOOKUP(C300,ESCALA!$B$3:$N$19,12,0))*(VLOOKUP(DF!C301,DF!$C$5:$AC$305,27,0))/VLOOKUP(C300,PERFIL!$B$4:$M$20,8,0)*VLOOKUP(C300,PERFIL!$B$4:$M$20,12,0))</f>
        <v/>
      </c>
      <c r="J300" s="120" t="str">
        <f>IF(H300="","",ROUNDUP(DF!$AD301*VLOOKUP(RECEITAS!$C300,ESCALA!$B$3:$N$19,12,0),0))</f>
        <v/>
      </c>
      <c r="K300" s="4" t="str">
        <f>IF(FROTA!AA301="","",FROTA!AA301)</f>
        <v/>
      </c>
      <c r="L300" s="4" t="str">
        <f t="shared" si="25"/>
        <v/>
      </c>
      <c r="M300" s="4" t="str">
        <f>IF(FROTA!AC301="","",FROTA!AC301)</f>
        <v/>
      </c>
      <c r="N300" s="4" t="str">
        <f t="shared" si="26"/>
        <v/>
      </c>
      <c r="O300" s="4" t="str">
        <f>IF(FROTA!AE301="","",FROTA!AE301)</f>
        <v/>
      </c>
      <c r="P300" s="4" t="str">
        <f t="shared" si="27"/>
        <v/>
      </c>
      <c r="Q300" s="4" t="str">
        <f>IF(FROTA!AG301="","",FROTA!AG301)</f>
        <v/>
      </c>
      <c r="R300" s="4" t="str">
        <f t="shared" si="28"/>
        <v/>
      </c>
      <c r="S300" s="164">
        <f t="shared" si="29"/>
        <v>0</v>
      </c>
      <c r="T300" s="257">
        <v>43091</v>
      </c>
      <c r="U300" s="256" t="s">
        <v>60</v>
      </c>
    </row>
    <row r="301" spans="2:21" ht="13.5" customHeight="1" x14ac:dyDescent="0.2">
      <c r="B301" s="23" t="str">
        <f>IF(FROTA!B302="","",FROTA!B302)</f>
        <v/>
      </c>
      <c r="C301" s="139" t="str">
        <f>IF(B301="","",VLOOKUP(B301,FROTA!$B$5:$C$306,2,0))</f>
        <v/>
      </c>
      <c r="D301" s="22" t="str">
        <f t="shared" si="24"/>
        <v/>
      </c>
      <c r="E301" s="4" t="str">
        <f>IF(B301="","",SUM(VLOOKUP(C301,ESCALA!$B$3:$N$19,8,0))*(VLOOKUP(SEM!C302,SEM!$C$5:$AC$305,27,0)))</f>
        <v/>
      </c>
      <c r="F301" s="120" t="str">
        <f>IF(D301="","",ROUNDUP(SEM!$AD302*VLOOKUP(RECEITAS!$C301,ESCALA!$B$3:$N$19,8,0),0))</f>
        <v/>
      </c>
      <c r="G301" s="4" t="str">
        <f>IF(B301="","",(SUM((VLOOKUP(C301,ESCALA!$B$3:$N$19,10,0))*(VLOOKUP(SAB!C302,SAB!$C$5:$AC$305,27,0))/VLOOKUP(C301,PERFIL!$B$4:$M$20,8,0))*VLOOKUP(C301,PERFIL!$B$4:$M$20,11,0)))</f>
        <v/>
      </c>
      <c r="H301" s="120" t="str">
        <f>IF(F301="","",ROUNDUP(SAB!$AD302*VLOOKUP(RECEITAS!$C301,ESCALA!$B$3:$N$19,10,0),0))</f>
        <v/>
      </c>
      <c r="I301" s="4" t="str">
        <f>IF(B301="","",SUM(VLOOKUP(C301,ESCALA!$B$3:$N$19,12,0))*(VLOOKUP(DF!C302,DF!$C$5:$AC$305,27,0))/VLOOKUP(C301,PERFIL!$B$4:$M$20,8,0)*VLOOKUP(C301,PERFIL!$B$4:$M$20,12,0))</f>
        <v/>
      </c>
      <c r="J301" s="120" t="str">
        <f>IF(H301="","",ROUNDUP(DF!$AD302*VLOOKUP(RECEITAS!$C301,ESCALA!$B$3:$N$19,12,0),0))</f>
        <v/>
      </c>
      <c r="K301" s="4" t="str">
        <f>IF(FROTA!AA302="","",FROTA!AA302)</f>
        <v/>
      </c>
      <c r="L301" s="4" t="str">
        <f t="shared" si="25"/>
        <v/>
      </c>
      <c r="M301" s="4" t="str">
        <f>IF(FROTA!AC302="","",FROTA!AC302)</f>
        <v/>
      </c>
      <c r="N301" s="4" t="str">
        <f t="shared" si="26"/>
        <v/>
      </c>
      <c r="O301" s="4" t="str">
        <f>IF(FROTA!AE302="","",FROTA!AE302)</f>
        <v/>
      </c>
      <c r="P301" s="4" t="str">
        <f t="shared" si="27"/>
        <v/>
      </c>
      <c r="Q301" s="4" t="str">
        <f>IF(FROTA!AG302="","",FROTA!AG302)</f>
        <v/>
      </c>
      <c r="R301" s="4" t="str">
        <f t="shared" si="28"/>
        <v/>
      </c>
      <c r="S301" s="164">
        <f t="shared" si="29"/>
        <v>0</v>
      </c>
      <c r="T301" s="257">
        <v>43092</v>
      </c>
      <c r="U301" s="256" t="s">
        <v>61</v>
      </c>
    </row>
    <row r="302" spans="2:21" ht="13.5" customHeight="1" x14ac:dyDescent="0.2">
      <c r="B302" s="23" t="str">
        <f>IF(FROTA!B303="","",FROTA!B303)</f>
        <v/>
      </c>
      <c r="C302" s="139" t="str">
        <f>IF(B302="","",VLOOKUP(B302,FROTA!$B$5:$C$306,2,0))</f>
        <v/>
      </c>
      <c r="D302" s="22" t="str">
        <f t="shared" si="24"/>
        <v/>
      </c>
      <c r="E302" s="4" t="str">
        <f>IF(B302="","",SUM(VLOOKUP(C302,ESCALA!$B$3:$N$19,8,0))*(VLOOKUP(SEM!C303,SEM!$C$5:$AC$305,27,0)))</f>
        <v/>
      </c>
      <c r="F302" s="120" t="str">
        <f>IF(D302="","",ROUNDUP(SEM!$AD303*VLOOKUP(RECEITAS!$C302,ESCALA!$B$3:$N$19,8,0),0))</f>
        <v/>
      </c>
      <c r="G302" s="4" t="str">
        <f>IF(B302="","",(SUM((VLOOKUP(C302,ESCALA!$B$3:$N$19,10,0))*(VLOOKUP(SAB!C303,SAB!$C$5:$AC$305,27,0))/VLOOKUP(C302,PERFIL!$B$4:$M$20,8,0))*VLOOKUP(C302,PERFIL!$B$4:$M$20,11,0)))</f>
        <v/>
      </c>
      <c r="H302" s="120" t="str">
        <f>IF(F302="","",ROUNDUP(SAB!$AD303*VLOOKUP(RECEITAS!$C302,ESCALA!$B$3:$N$19,10,0),0))</f>
        <v/>
      </c>
      <c r="I302" s="4" t="str">
        <f>IF(B302="","",SUM(VLOOKUP(C302,ESCALA!$B$3:$N$19,12,0))*(VLOOKUP(DF!C303,DF!$C$5:$AC$305,27,0))/VLOOKUP(C302,PERFIL!$B$4:$M$20,8,0)*VLOOKUP(C302,PERFIL!$B$4:$M$20,12,0))</f>
        <v/>
      </c>
      <c r="J302" s="120" t="str">
        <f>IF(H302="","",ROUNDUP(DF!$AD303*VLOOKUP(RECEITAS!$C302,ESCALA!$B$3:$N$19,12,0),0))</f>
        <v/>
      </c>
      <c r="K302" s="4" t="str">
        <f>IF(FROTA!AA303="","",FROTA!AA303)</f>
        <v/>
      </c>
      <c r="L302" s="4" t="str">
        <f t="shared" si="25"/>
        <v/>
      </c>
      <c r="M302" s="4" t="str">
        <f>IF(FROTA!AC303="","",FROTA!AC303)</f>
        <v/>
      </c>
      <c r="N302" s="4" t="str">
        <f t="shared" si="26"/>
        <v/>
      </c>
      <c r="O302" s="4" t="str">
        <f>IF(FROTA!AE303="","",FROTA!AE303)</f>
        <v/>
      </c>
      <c r="P302" s="4" t="str">
        <f t="shared" si="27"/>
        <v/>
      </c>
      <c r="Q302" s="4" t="str">
        <f>IF(FROTA!AG303="","",FROTA!AG303)</f>
        <v/>
      </c>
      <c r="R302" s="4" t="str">
        <f t="shared" si="28"/>
        <v/>
      </c>
      <c r="S302" s="164">
        <f t="shared" si="29"/>
        <v>0</v>
      </c>
      <c r="T302" s="257">
        <v>43093</v>
      </c>
      <c r="U302" s="256" t="s">
        <v>58</v>
      </c>
    </row>
    <row r="303" spans="2:21" ht="13.5" customHeight="1" x14ac:dyDescent="0.2">
      <c r="B303" s="23" t="str">
        <f>IF(FROTA!B304="","",FROTA!B304)</f>
        <v/>
      </c>
      <c r="C303" s="139" t="str">
        <f>IF(B303="","",VLOOKUP(B303,FROTA!$B$5:$C$306,2,0))</f>
        <v/>
      </c>
      <c r="D303" s="22" t="str">
        <f t="shared" si="24"/>
        <v/>
      </c>
      <c r="E303" s="4" t="str">
        <f>IF(B303="","",SUM(VLOOKUP(C303,ESCALA!$B$3:$N$19,8,0))*(VLOOKUP(SEM!C304,SEM!$C$5:$AC$305,27,0)))</f>
        <v/>
      </c>
      <c r="F303" s="120" t="str">
        <f>IF(D303="","",ROUNDUP(SEM!$AD304*VLOOKUP(RECEITAS!$C303,ESCALA!$B$3:$N$19,8,0),0))</f>
        <v/>
      </c>
      <c r="G303" s="4" t="str">
        <f>IF(B303="","",(SUM((VLOOKUP(C303,ESCALA!$B$3:$N$19,10,0))*(VLOOKUP(SAB!C304,SAB!$C$5:$AC$305,27,0))/VLOOKUP(C303,PERFIL!$B$4:$M$20,8,0))*VLOOKUP(C303,PERFIL!$B$4:$M$20,11,0)))</f>
        <v/>
      </c>
      <c r="H303" s="120" t="str">
        <f>IF(F303="","",ROUNDUP(SAB!$AD304*VLOOKUP(RECEITAS!$C303,ESCALA!$B$3:$N$19,10,0),0))</f>
        <v/>
      </c>
      <c r="I303" s="4" t="str">
        <f>IF(B303="","",SUM(VLOOKUP(C303,ESCALA!$B$3:$N$19,12,0))*(VLOOKUP(DF!C304,DF!$C$5:$AC$305,27,0))/VLOOKUP(C303,PERFIL!$B$4:$M$20,8,0)*VLOOKUP(C303,PERFIL!$B$4:$M$20,12,0))</f>
        <v/>
      </c>
      <c r="J303" s="120" t="str">
        <f>IF(H303="","",ROUNDUP(DF!$AD304*VLOOKUP(RECEITAS!$C303,ESCALA!$B$3:$N$19,12,0),0))</f>
        <v/>
      </c>
      <c r="K303" s="4" t="str">
        <f>IF(FROTA!AA304="","",FROTA!AA304)</f>
        <v/>
      </c>
      <c r="L303" s="4" t="str">
        <f t="shared" si="25"/>
        <v/>
      </c>
      <c r="M303" s="4" t="str">
        <f>IF(FROTA!AC304="","",FROTA!AC304)</f>
        <v/>
      </c>
      <c r="N303" s="4" t="str">
        <f t="shared" si="26"/>
        <v/>
      </c>
      <c r="O303" s="4" t="str">
        <f>IF(FROTA!AE304="","",FROTA!AE304)</f>
        <v/>
      </c>
      <c r="P303" s="4" t="str">
        <f t="shared" si="27"/>
        <v/>
      </c>
      <c r="Q303" s="4" t="str">
        <f>IF(FROTA!AG304="","",FROTA!AG304)</f>
        <v/>
      </c>
      <c r="R303" s="4" t="str">
        <f t="shared" si="28"/>
        <v/>
      </c>
      <c r="S303" s="164">
        <f t="shared" si="29"/>
        <v>0</v>
      </c>
      <c r="T303" s="257">
        <v>43094</v>
      </c>
      <c r="U303" s="256" t="s">
        <v>65</v>
      </c>
    </row>
    <row r="304" spans="2:21" ht="13.5" customHeight="1" x14ac:dyDescent="0.2">
      <c r="B304" s="23" t="str">
        <f>IF(FROTA!B305="","",FROTA!B305)</f>
        <v/>
      </c>
      <c r="C304" s="139" t="str">
        <f>IF(B304="","",VLOOKUP(B304,FROTA!$B$5:$C$306,2,0))</f>
        <v/>
      </c>
      <c r="D304" s="22" t="str">
        <f t="shared" si="24"/>
        <v/>
      </c>
      <c r="E304" s="4" t="str">
        <f>IF(B304="","",SUM(VLOOKUP(C304,ESCALA!$B$3:$N$19,8,0))*(VLOOKUP(SEM!C305,SEM!$C$5:$AC$305,27,0)))</f>
        <v/>
      </c>
      <c r="F304" s="120" t="str">
        <f>IF(D304="","",ROUNDUP(SEM!$AD305*VLOOKUP(RECEITAS!$C304,ESCALA!$B$3:$N$19,8,0),0))</f>
        <v/>
      </c>
      <c r="G304" s="4" t="str">
        <f>IF(B304="","",(SUM((VLOOKUP(C304,ESCALA!$B$3:$N$19,10,0))*(VLOOKUP(SAB!C305,SAB!$C$5:$AC$305,27,0))/VLOOKUP(C304,PERFIL!$B$4:$M$20,8,0))*VLOOKUP(C304,PERFIL!$B$4:$M$20,11,0)))</f>
        <v/>
      </c>
      <c r="H304" s="120" t="str">
        <f>IF(F304="","",ROUNDUP(SAB!$AD305*VLOOKUP(RECEITAS!$C304,ESCALA!$B$3:$N$19,10,0),0))</f>
        <v/>
      </c>
      <c r="I304" s="4" t="str">
        <f>IF(B304="","",SUM(VLOOKUP(C304,ESCALA!$B$3:$N$19,12,0))*(VLOOKUP(DF!C305,DF!$C$5:$AC$305,27,0))/VLOOKUP(C304,PERFIL!$B$4:$M$20,8,0)*VLOOKUP(C304,PERFIL!$B$4:$M$20,12,0))</f>
        <v/>
      </c>
      <c r="J304" s="120" t="str">
        <f>IF(H304="","",ROUNDUP(DF!$AD305*VLOOKUP(RECEITAS!$C304,ESCALA!$B$3:$N$19,12,0),0))</f>
        <v/>
      </c>
      <c r="K304" s="4" t="str">
        <f>IF(FROTA!AA305="","",FROTA!AA305)</f>
        <v/>
      </c>
      <c r="L304" s="4" t="str">
        <f t="shared" si="25"/>
        <v/>
      </c>
      <c r="M304" s="4" t="str">
        <f>IF(FROTA!AC305="","",FROTA!AC305)</f>
        <v/>
      </c>
      <c r="N304" s="4" t="str">
        <f t="shared" si="26"/>
        <v/>
      </c>
      <c r="O304" s="4" t="str">
        <f>IF(FROTA!AE305="","",FROTA!AE305)</f>
        <v/>
      </c>
      <c r="P304" s="4" t="str">
        <f t="shared" si="27"/>
        <v/>
      </c>
      <c r="Q304" s="4" t="str">
        <f>IF(FROTA!AG305="","",FROTA!AG305)</f>
        <v/>
      </c>
      <c r="R304" s="4" t="str">
        <f t="shared" si="28"/>
        <v/>
      </c>
      <c r="S304" s="164">
        <f t="shared" si="29"/>
        <v>0</v>
      </c>
      <c r="T304" s="257">
        <v>43095</v>
      </c>
      <c r="U304" s="256" t="s">
        <v>63</v>
      </c>
    </row>
    <row r="305" spans="2:21" ht="13.5" customHeight="1" x14ac:dyDescent="0.2">
      <c r="B305" s="739" t="s">
        <v>189</v>
      </c>
      <c r="C305" s="125"/>
      <c r="D305" s="41" t="s">
        <v>190</v>
      </c>
      <c r="E305" s="43">
        <f>IF(E4="sabado","--",IF(E4="domingo","--",IF(E4="feriado","--",SUM(E$5:E$304))))</f>
        <v>0</v>
      </c>
      <c r="F305" s="42"/>
      <c r="G305" s="43">
        <f>IF(G4="sabado","--",IF(G4="domingo","--",IF(G4="feriado","--",SUM(G$5:G$304))))</f>
        <v>0</v>
      </c>
      <c r="H305" s="42"/>
      <c r="I305" s="43">
        <f>IF(I4="sabado","--",IF(I4="domingo","--",IF(I4="feriado","--",SUM(I$5:I$204))))</f>
        <v>0</v>
      </c>
      <c r="J305" s="42"/>
      <c r="T305" s="257">
        <v>43096</v>
      </c>
      <c r="U305" s="256" t="s">
        <v>64</v>
      </c>
    </row>
    <row r="306" spans="2:21" ht="13.5" customHeight="1" x14ac:dyDescent="0.2">
      <c r="B306" s="740"/>
      <c r="C306" s="126"/>
      <c r="D306" s="42" t="s">
        <v>61</v>
      </c>
      <c r="E306" s="43" t="str">
        <f>IF(E4="sabado",SUM(E$5:E$204),"--")</f>
        <v>--</v>
      </c>
      <c r="F306" s="42"/>
      <c r="G306" s="43" t="str">
        <f>IF(G4="sabado",SUM(G$5:G$204),"--")</f>
        <v>--</v>
      </c>
      <c r="H306" s="42"/>
      <c r="I306" s="43" t="str">
        <f>IF(I4="sabado",SUM(I$5:I$204),"--")</f>
        <v>--</v>
      </c>
      <c r="J306" s="42"/>
      <c r="T306" s="257">
        <v>43097</v>
      </c>
      <c r="U306" s="256" t="s">
        <v>59</v>
      </c>
    </row>
    <row r="307" spans="2:21" ht="13.5" customHeight="1" x14ac:dyDescent="0.2">
      <c r="B307" s="740"/>
      <c r="C307" s="126"/>
      <c r="D307" s="42" t="s">
        <v>58</v>
      </c>
      <c r="E307" s="43" t="str">
        <f>IF(E4="domingo",SUM(E$5:E$204),"--")</f>
        <v>--</v>
      </c>
      <c r="F307" s="42"/>
      <c r="G307" s="43" t="str">
        <f>IF(G4="domingo",SUM(G$5:G$204),"--")</f>
        <v>--</v>
      </c>
      <c r="H307" s="42"/>
      <c r="I307" s="43" t="str">
        <f>IF(I4="domingo",SUM(I$5:I$204),"--")</f>
        <v>--</v>
      </c>
      <c r="J307" s="42"/>
      <c r="T307" s="257">
        <v>43098</v>
      </c>
      <c r="U307" s="256" t="s">
        <v>60</v>
      </c>
    </row>
    <row r="308" spans="2:21" ht="12.75" x14ac:dyDescent="0.2">
      <c r="B308" s="740"/>
      <c r="C308" s="126"/>
      <c r="D308" s="42" t="s">
        <v>65</v>
      </c>
      <c r="E308" s="43" t="str">
        <f>IF(E4="feriado",SUM(E$5:E$204),"--")</f>
        <v>--</v>
      </c>
      <c r="F308" s="42"/>
      <c r="G308" s="43" t="str">
        <f>IF(G4="feriado",SUM(G$5:G$204),"--")</f>
        <v>--</v>
      </c>
      <c r="H308" s="42"/>
      <c r="I308" s="43" t="str">
        <f>IF(I4="feriado",SUM(I$5:I$204),"--")</f>
        <v>--</v>
      </c>
      <c r="J308" s="42"/>
      <c r="T308" s="257">
        <v>43099</v>
      </c>
      <c r="U308" s="256" t="s">
        <v>61</v>
      </c>
    </row>
    <row r="309" spans="2:21" ht="12.75" x14ac:dyDescent="0.2">
      <c r="T309" s="257">
        <v>43100</v>
      </c>
      <c r="U309" s="256" t="s">
        <v>58</v>
      </c>
    </row>
    <row r="310" spans="2:21" ht="12.75" x14ac:dyDescent="0.2">
      <c r="T310" s="257">
        <v>43101</v>
      </c>
      <c r="U310" s="256" t="s">
        <v>65</v>
      </c>
    </row>
    <row r="311" spans="2:21" ht="12.75" x14ac:dyDescent="0.2">
      <c r="T311" s="257">
        <v>43102</v>
      </c>
      <c r="U311" s="256" t="s">
        <v>63</v>
      </c>
    </row>
    <row r="312" spans="2:21" ht="12.75" x14ac:dyDescent="0.2">
      <c r="T312" s="257">
        <v>43103</v>
      </c>
      <c r="U312" s="256" t="s">
        <v>64</v>
      </c>
    </row>
    <row r="313" spans="2:21" ht="12.75" x14ac:dyDescent="0.2">
      <c r="T313" s="257">
        <v>43104</v>
      </c>
      <c r="U313" s="256" t="s">
        <v>59</v>
      </c>
    </row>
    <row r="314" spans="2:21" ht="12.75" x14ac:dyDescent="0.2">
      <c r="T314" s="257">
        <v>43105</v>
      </c>
      <c r="U314" s="256" t="s">
        <v>60</v>
      </c>
    </row>
    <row r="315" spans="2:21" ht="12.75" x14ac:dyDescent="0.2">
      <c r="T315" s="257">
        <v>43106</v>
      </c>
      <c r="U315" s="256" t="s">
        <v>61</v>
      </c>
    </row>
    <row r="316" spans="2:21" ht="12.75" x14ac:dyDescent="0.2">
      <c r="T316" s="257">
        <v>43107</v>
      </c>
      <c r="U316" s="256" t="s">
        <v>58</v>
      </c>
    </row>
    <row r="317" spans="2:21" ht="12.75" x14ac:dyDescent="0.2">
      <c r="T317" s="257">
        <v>43108</v>
      </c>
      <c r="U317" s="256" t="s">
        <v>62</v>
      </c>
    </row>
    <row r="318" spans="2:21" ht="12.75" x14ac:dyDescent="0.2">
      <c r="T318" s="257">
        <v>43109</v>
      </c>
      <c r="U318" s="256" t="s">
        <v>63</v>
      </c>
    </row>
    <row r="319" spans="2:21" ht="12.75" x14ac:dyDescent="0.2">
      <c r="T319" s="257">
        <v>43110</v>
      </c>
      <c r="U319" s="256" t="s">
        <v>64</v>
      </c>
    </row>
    <row r="320" spans="2:21" ht="12.75" x14ac:dyDescent="0.2">
      <c r="T320" s="257">
        <v>43111</v>
      </c>
      <c r="U320" s="256" t="s">
        <v>59</v>
      </c>
    </row>
    <row r="321" spans="20:21" ht="12.75" x14ac:dyDescent="0.2">
      <c r="T321" s="257">
        <v>43112</v>
      </c>
      <c r="U321" s="256" t="s">
        <v>60</v>
      </c>
    </row>
    <row r="322" spans="20:21" ht="12.75" x14ac:dyDescent="0.2">
      <c r="T322" s="257">
        <v>43113</v>
      </c>
      <c r="U322" s="256" t="s">
        <v>61</v>
      </c>
    </row>
    <row r="323" spans="20:21" ht="12.75" x14ac:dyDescent="0.2">
      <c r="T323" s="257">
        <v>43114</v>
      </c>
      <c r="U323" s="256" t="s">
        <v>58</v>
      </c>
    </row>
    <row r="324" spans="20:21" ht="12.75" x14ac:dyDescent="0.2">
      <c r="T324" s="257">
        <v>43115</v>
      </c>
      <c r="U324" s="256" t="s">
        <v>62</v>
      </c>
    </row>
    <row r="325" spans="20:21" ht="12.75" x14ac:dyDescent="0.2">
      <c r="T325" s="257">
        <v>43116</v>
      </c>
      <c r="U325" s="256" t="s">
        <v>63</v>
      </c>
    </row>
    <row r="326" spans="20:21" ht="12.75" x14ac:dyDescent="0.2">
      <c r="T326" s="257">
        <v>43117</v>
      </c>
      <c r="U326" s="256" t="s">
        <v>64</v>
      </c>
    </row>
    <row r="327" spans="20:21" ht="12.75" x14ac:dyDescent="0.2">
      <c r="T327" s="257">
        <v>43118</v>
      </c>
      <c r="U327" s="256" t="s">
        <v>59</v>
      </c>
    </row>
    <row r="328" spans="20:21" ht="12.75" x14ac:dyDescent="0.2">
      <c r="T328" s="257">
        <v>43119</v>
      </c>
      <c r="U328" s="256" t="s">
        <v>60</v>
      </c>
    </row>
    <row r="329" spans="20:21" ht="12.75" x14ac:dyDescent="0.2">
      <c r="T329" s="257">
        <v>43120</v>
      </c>
      <c r="U329" s="256" t="s">
        <v>61</v>
      </c>
    </row>
    <row r="330" spans="20:21" ht="12.75" x14ac:dyDescent="0.2">
      <c r="T330" s="257">
        <v>43121</v>
      </c>
      <c r="U330" s="256" t="s">
        <v>58</v>
      </c>
    </row>
    <row r="331" spans="20:21" ht="12.75" x14ac:dyDescent="0.2">
      <c r="T331" s="257">
        <v>43122</v>
      </c>
      <c r="U331" s="256" t="s">
        <v>62</v>
      </c>
    </row>
    <row r="332" spans="20:21" ht="12.75" x14ac:dyDescent="0.2">
      <c r="T332" s="257">
        <v>43123</v>
      </c>
      <c r="U332" s="256" t="s">
        <v>63</v>
      </c>
    </row>
    <row r="333" spans="20:21" ht="12.75" x14ac:dyDescent="0.2">
      <c r="T333" s="257">
        <v>43124</v>
      </c>
      <c r="U333" s="256" t="s">
        <v>64</v>
      </c>
    </row>
    <row r="334" spans="20:21" ht="12.75" x14ac:dyDescent="0.2">
      <c r="T334" s="257">
        <v>43125</v>
      </c>
      <c r="U334" s="256" t="s">
        <v>65</v>
      </c>
    </row>
    <row r="335" spans="20:21" ht="12.75" x14ac:dyDescent="0.2">
      <c r="T335" s="257">
        <v>43126</v>
      </c>
      <c r="U335" s="256" t="s">
        <v>60</v>
      </c>
    </row>
    <row r="336" spans="20:21" ht="12.75" x14ac:dyDescent="0.2">
      <c r="T336" s="257">
        <v>43127</v>
      </c>
      <c r="U336" s="256" t="s">
        <v>61</v>
      </c>
    </row>
    <row r="337" spans="20:21" ht="12.75" x14ac:dyDescent="0.2">
      <c r="T337" s="257">
        <v>43128</v>
      </c>
      <c r="U337" s="256" t="s">
        <v>58</v>
      </c>
    </row>
    <row r="338" spans="20:21" ht="12.75" x14ac:dyDescent="0.2">
      <c r="T338" s="257">
        <v>43129</v>
      </c>
      <c r="U338" s="256" t="s">
        <v>62</v>
      </c>
    </row>
    <row r="339" spans="20:21" ht="12.75" x14ac:dyDescent="0.2">
      <c r="T339" s="257">
        <v>43130</v>
      </c>
      <c r="U339" s="256" t="s">
        <v>63</v>
      </c>
    </row>
    <row r="340" spans="20:21" ht="12.75" x14ac:dyDescent="0.2">
      <c r="T340" s="257">
        <v>43131</v>
      </c>
      <c r="U340" s="256" t="s">
        <v>64</v>
      </c>
    </row>
    <row r="341" spans="20:21" ht="12.75" x14ac:dyDescent="0.2">
      <c r="T341" s="257">
        <v>43132</v>
      </c>
      <c r="U341" s="256" t="s">
        <v>59</v>
      </c>
    </row>
    <row r="342" spans="20:21" ht="12.75" x14ac:dyDescent="0.2">
      <c r="T342" s="257">
        <v>43133</v>
      </c>
      <c r="U342" s="256" t="s">
        <v>60</v>
      </c>
    </row>
    <row r="343" spans="20:21" ht="12.75" x14ac:dyDescent="0.2">
      <c r="T343" s="257">
        <v>43134</v>
      </c>
      <c r="U343" s="256" t="s">
        <v>61</v>
      </c>
    </row>
    <row r="344" spans="20:21" ht="12.75" x14ac:dyDescent="0.2">
      <c r="T344" s="257">
        <v>43135</v>
      </c>
      <c r="U344" s="256" t="s">
        <v>58</v>
      </c>
    </row>
    <row r="345" spans="20:21" ht="12.75" x14ac:dyDescent="0.2">
      <c r="T345" s="257">
        <v>43136</v>
      </c>
      <c r="U345" s="256" t="s">
        <v>62</v>
      </c>
    </row>
    <row r="346" spans="20:21" ht="12.75" x14ac:dyDescent="0.2">
      <c r="T346" s="257">
        <v>43137</v>
      </c>
      <c r="U346" s="256" t="s">
        <v>63</v>
      </c>
    </row>
    <row r="347" spans="20:21" ht="12.75" x14ac:dyDescent="0.2">
      <c r="T347" s="257">
        <v>43138</v>
      </c>
      <c r="U347" s="256" t="s">
        <v>64</v>
      </c>
    </row>
    <row r="348" spans="20:21" ht="12.75" x14ac:dyDescent="0.2">
      <c r="T348" s="257">
        <v>43139</v>
      </c>
      <c r="U348" s="256" t="s">
        <v>59</v>
      </c>
    </row>
    <row r="349" spans="20:21" ht="12.75" x14ac:dyDescent="0.2">
      <c r="T349" s="257">
        <v>43140</v>
      </c>
      <c r="U349" s="256" t="s">
        <v>60</v>
      </c>
    </row>
    <row r="350" spans="20:21" ht="12.75" x14ac:dyDescent="0.2">
      <c r="T350" s="257">
        <v>43141</v>
      </c>
      <c r="U350" s="256" t="s">
        <v>61</v>
      </c>
    </row>
    <row r="351" spans="20:21" ht="12.75" x14ac:dyDescent="0.2">
      <c r="T351" s="257">
        <v>43142</v>
      </c>
      <c r="U351" s="256" t="s">
        <v>58</v>
      </c>
    </row>
    <row r="352" spans="20:21" ht="12.75" x14ac:dyDescent="0.2">
      <c r="T352" s="257">
        <v>43143</v>
      </c>
      <c r="U352" s="256" t="s">
        <v>65</v>
      </c>
    </row>
    <row r="353" spans="20:21" ht="12.75" x14ac:dyDescent="0.2">
      <c r="T353" s="257">
        <v>43144</v>
      </c>
      <c r="U353" s="256" t="s">
        <v>65</v>
      </c>
    </row>
    <row r="354" spans="20:21" ht="12.75" x14ac:dyDescent="0.2">
      <c r="T354" s="257">
        <v>43145</v>
      </c>
      <c r="U354" s="256" t="s">
        <v>64</v>
      </c>
    </row>
    <row r="355" spans="20:21" ht="12.75" x14ac:dyDescent="0.2">
      <c r="T355" s="257">
        <v>43146</v>
      </c>
      <c r="U355" s="256" t="s">
        <v>59</v>
      </c>
    </row>
    <row r="356" spans="20:21" ht="12.75" x14ac:dyDescent="0.2">
      <c r="T356" s="257">
        <v>43147</v>
      </c>
      <c r="U356" s="256" t="s">
        <v>60</v>
      </c>
    </row>
    <row r="357" spans="20:21" ht="12.75" x14ac:dyDescent="0.2">
      <c r="T357" s="257">
        <v>43148</v>
      </c>
      <c r="U357" s="256" t="s">
        <v>61</v>
      </c>
    </row>
    <row r="358" spans="20:21" ht="12.75" x14ac:dyDescent="0.2">
      <c r="T358" s="257">
        <v>43149</v>
      </c>
      <c r="U358" s="256" t="s">
        <v>58</v>
      </c>
    </row>
    <row r="359" spans="20:21" ht="12.75" x14ac:dyDescent="0.2">
      <c r="T359" s="257">
        <v>43150</v>
      </c>
      <c r="U359" s="256" t="s">
        <v>62</v>
      </c>
    </row>
    <row r="360" spans="20:21" ht="12.75" x14ac:dyDescent="0.2">
      <c r="T360" s="257">
        <v>43151</v>
      </c>
      <c r="U360" s="256" t="s">
        <v>63</v>
      </c>
    </row>
    <row r="361" spans="20:21" ht="12.75" x14ac:dyDescent="0.2">
      <c r="T361" s="257">
        <v>43152</v>
      </c>
      <c r="U361" s="256" t="s">
        <v>64</v>
      </c>
    </row>
    <row r="362" spans="20:21" ht="12.75" x14ac:dyDescent="0.2">
      <c r="T362" s="257">
        <v>43153</v>
      </c>
      <c r="U362" s="256" t="s">
        <v>59</v>
      </c>
    </row>
    <row r="363" spans="20:21" ht="12.75" x14ac:dyDescent="0.2">
      <c r="T363" s="257">
        <v>43154</v>
      </c>
      <c r="U363" s="256" t="s">
        <v>60</v>
      </c>
    </row>
    <row r="364" spans="20:21" ht="12.75" x14ac:dyDescent="0.2">
      <c r="T364" s="257">
        <v>43155</v>
      </c>
      <c r="U364" s="256" t="s">
        <v>61</v>
      </c>
    </row>
    <row r="365" spans="20:21" ht="12.75" x14ac:dyDescent="0.2">
      <c r="T365" s="257">
        <v>43156</v>
      </c>
      <c r="U365" s="256" t="s">
        <v>58</v>
      </c>
    </row>
    <row r="366" spans="20:21" ht="12.75" x14ac:dyDescent="0.2">
      <c r="T366" s="257">
        <v>43157</v>
      </c>
      <c r="U366" s="256" t="s">
        <v>62</v>
      </c>
    </row>
    <row r="367" spans="20:21" ht="12.75" x14ac:dyDescent="0.2">
      <c r="T367" s="257">
        <v>43158</v>
      </c>
      <c r="U367" s="256" t="s">
        <v>63</v>
      </c>
    </row>
    <row r="368" spans="20:21" ht="12.75" x14ac:dyDescent="0.2">
      <c r="T368" s="257">
        <v>43159</v>
      </c>
      <c r="U368" s="256" t="s">
        <v>64</v>
      </c>
    </row>
    <row r="369" spans="20:21" ht="12.75" x14ac:dyDescent="0.2">
      <c r="T369" s="257">
        <v>43160</v>
      </c>
      <c r="U369" s="256" t="s">
        <v>59</v>
      </c>
    </row>
    <row r="370" spans="20:21" ht="12.75" x14ac:dyDescent="0.2">
      <c r="T370" s="257">
        <v>43161</v>
      </c>
      <c r="U370" s="256" t="s">
        <v>60</v>
      </c>
    </row>
    <row r="371" spans="20:21" ht="12.75" x14ac:dyDescent="0.2">
      <c r="T371" s="257">
        <v>43162</v>
      </c>
      <c r="U371" s="256" t="s">
        <v>61</v>
      </c>
    </row>
    <row r="372" spans="20:21" ht="12.75" x14ac:dyDescent="0.2">
      <c r="T372" s="257">
        <v>43163</v>
      </c>
      <c r="U372" s="256" t="s">
        <v>58</v>
      </c>
    </row>
    <row r="373" spans="20:21" ht="12.75" x14ac:dyDescent="0.2">
      <c r="T373" s="257">
        <v>43164</v>
      </c>
      <c r="U373" s="256" t="s">
        <v>62</v>
      </c>
    </row>
    <row r="374" spans="20:21" ht="12.75" x14ac:dyDescent="0.2">
      <c r="T374" s="257">
        <v>43165</v>
      </c>
      <c r="U374" s="256" t="s">
        <v>63</v>
      </c>
    </row>
    <row r="375" spans="20:21" ht="12.75" x14ac:dyDescent="0.2">
      <c r="T375" s="257">
        <v>43166</v>
      </c>
      <c r="U375" s="256" t="s">
        <v>64</v>
      </c>
    </row>
    <row r="376" spans="20:21" ht="12.75" x14ac:dyDescent="0.2">
      <c r="T376" s="257">
        <v>43167</v>
      </c>
      <c r="U376" s="256" t="s">
        <v>59</v>
      </c>
    </row>
    <row r="377" spans="20:21" ht="12.75" x14ac:dyDescent="0.2">
      <c r="T377" s="257">
        <v>43168</v>
      </c>
      <c r="U377" s="256" t="s">
        <v>60</v>
      </c>
    </row>
    <row r="378" spans="20:21" ht="12.75" x14ac:dyDescent="0.2">
      <c r="T378" s="257">
        <v>43169</v>
      </c>
      <c r="U378" s="256" t="s">
        <v>61</v>
      </c>
    </row>
    <row r="379" spans="20:21" ht="12.75" x14ac:dyDescent="0.2">
      <c r="T379" s="257">
        <v>43170</v>
      </c>
      <c r="U379" s="256" t="s">
        <v>58</v>
      </c>
    </row>
    <row r="380" spans="20:21" ht="12.75" x14ac:dyDescent="0.2">
      <c r="T380" s="257">
        <v>43171</v>
      </c>
      <c r="U380" s="256" t="s">
        <v>62</v>
      </c>
    </row>
    <row r="381" spans="20:21" ht="12.75" x14ac:dyDescent="0.2">
      <c r="T381" s="257">
        <v>43172</v>
      </c>
      <c r="U381" s="256" t="s">
        <v>63</v>
      </c>
    </row>
    <row r="382" spans="20:21" ht="12.75" x14ac:dyDescent="0.2">
      <c r="T382" s="257">
        <v>43173</v>
      </c>
      <c r="U382" s="256" t="s">
        <v>64</v>
      </c>
    </row>
    <row r="383" spans="20:21" ht="12.75" x14ac:dyDescent="0.2">
      <c r="T383" s="257">
        <v>43174</v>
      </c>
      <c r="U383" s="256" t="s">
        <v>59</v>
      </c>
    </row>
    <row r="384" spans="20:21" ht="12.75" x14ac:dyDescent="0.2">
      <c r="T384" s="257">
        <v>43175</v>
      </c>
      <c r="U384" s="256" t="s">
        <v>60</v>
      </c>
    </row>
    <row r="385" spans="20:21" ht="12.75" x14ac:dyDescent="0.2">
      <c r="T385" s="257">
        <v>43176</v>
      </c>
      <c r="U385" s="256" t="s">
        <v>61</v>
      </c>
    </row>
    <row r="386" spans="20:21" ht="12.75" x14ac:dyDescent="0.2">
      <c r="T386" s="257">
        <v>43177</v>
      </c>
      <c r="U386" s="256" t="s">
        <v>58</v>
      </c>
    </row>
    <row r="387" spans="20:21" ht="12.75" x14ac:dyDescent="0.2">
      <c r="T387" s="257">
        <v>43178</v>
      </c>
      <c r="U387" s="256" t="s">
        <v>62</v>
      </c>
    </row>
    <row r="388" spans="20:21" ht="12.75" x14ac:dyDescent="0.2">
      <c r="T388" s="257">
        <v>43179</v>
      </c>
      <c r="U388" s="256" t="s">
        <v>63</v>
      </c>
    </row>
    <row r="389" spans="20:21" ht="12.75" x14ac:dyDescent="0.2">
      <c r="T389" s="257">
        <v>43180</v>
      </c>
      <c r="U389" s="256" t="s">
        <v>64</v>
      </c>
    </row>
    <row r="390" spans="20:21" ht="12.75" x14ac:dyDescent="0.2">
      <c r="T390" s="257">
        <v>43181</v>
      </c>
      <c r="U390" s="256" t="s">
        <v>59</v>
      </c>
    </row>
    <row r="391" spans="20:21" ht="12.75" x14ac:dyDescent="0.2">
      <c r="T391" s="257">
        <v>43182</v>
      </c>
      <c r="U391" s="256" t="s">
        <v>60</v>
      </c>
    </row>
    <row r="392" spans="20:21" ht="12.75" x14ac:dyDescent="0.2">
      <c r="T392" s="257">
        <v>43183</v>
      </c>
      <c r="U392" s="256" t="s">
        <v>61</v>
      </c>
    </row>
    <row r="393" spans="20:21" ht="12.75" x14ac:dyDescent="0.2">
      <c r="T393" s="257">
        <v>43184</v>
      </c>
      <c r="U393" s="256" t="s">
        <v>58</v>
      </c>
    </row>
    <row r="394" spans="20:21" ht="12.75" x14ac:dyDescent="0.2">
      <c r="T394" s="257">
        <v>43185</v>
      </c>
      <c r="U394" s="256" t="s">
        <v>62</v>
      </c>
    </row>
    <row r="395" spans="20:21" ht="12.75" x14ac:dyDescent="0.2">
      <c r="T395" s="257">
        <v>43186</v>
      </c>
      <c r="U395" s="256" t="s">
        <v>63</v>
      </c>
    </row>
    <row r="396" spans="20:21" ht="12.75" x14ac:dyDescent="0.2">
      <c r="T396" s="257">
        <v>43187</v>
      </c>
      <c r="U396" s="256" t="s">
        <v>64</v>
      </c>
    </row>
    <row r="397" spans="20:21" ht="12.75" x14ac:dyDescent="0.2">
      <c r="T397" s="257">
        <v>43188</v>
      </c>
      <c r="U397" s="256" t="s">
        <v>59</v>
      </c>
    </row>
    <row r="398" spans="20:21" ht="12.75" x14ac:dyDescent="0.2">
      <c r="T398" s="257">
        <v>43189</v>
      </c>
      <c r="U398" s="256" t="s">
        <v>60</v>
      </c>
    </row>
    <row r="399" spans="20:21" ht="13.5" customHeight="1" x14ac:dyDescent="0.2">
      <c r="T399" s="257">
        <v>43190</v>
      </c>
      <c r="U399" s="256" t="s">
        <v>61</v>
      </c>
    </row>
  </sheetData>
  <sheetProtection algorithmName="SHA-512" hashValue="G25wDrnrfBDNcOH4Iz8gDpAK4wTotYIJSEysGc+AccdJoC+O65d7S+pp5Y/IxIu5hmkcjPdVw/H4QhJrQ67x4Q==" saltValue="dtdw6Pjpo3EXZxGTcYWd5w==" spinCount="100000" sheet="1" objects="1" scenarios="1" autoFilter="0"/>
  <mergeCells count="17">
    <mergeCell ref="O4:P4"/>
    <mergeCell ref="Q4:R4"/>
    <mergeCell ref="I1:J1"/>
    <mergeCell ref="I2:J3"/>
    <mergeCell ref="B1:D1"/>
    <mergeCell ref="B2:D3"/>
    <mergeCell ref="M1:O1"/>
    <mergeCell ref="M2:O3"/>
    <mergeCell ref="K4:L4"/>
    <mergeCell ref="M4:N4"/>
    <mergeCell ref="P1:R1"/>
    <mergeCell ref="P2:R3"/>
    <mergeCell ref="B305:B308"/>
    <mergeCell ref="E1:F1"/>
    <mergeCell ref="E2:F3"/>
    <mergeCell ref="G1:H1"/>
    <mergeCell ref="G2:H3"/>
  </mergeCells>
  <conditionalFormatting sqref="E4 G4 I4 K4:R4">
    <cfRule type="notContainsBlanks" dxfId="24" priority="31">
      <formula>LEN(TRIM(E4))&gt;0</formula>
    </cfRule>
  </conditionalFormatting>
  <conditionalFormatting sqref="K5 M5:M304 O5:O304 Q5:Q304">
    <cfRule type="containsText" dxfId="23" priority="1" operator="containsText" text="SIM">
      <formula>NOT(ISERROR(SEARCH("SIM",K5)))</formula>
    </cfRule>
    <cfRule type="containsText" dxfId="22" priority="28" operator="containsText" text="NÃO">
      <formula>NOT(ISERROR(SEARCH("NÃO",K5)))</formula>
    </cfRule>
  </conditionalFormatting>
  <pageMargins left="0.511811024" right="0.511811024" top="0.78740157499999996" bottom="0.78740157499999996" header="0.31496062000000002" footer="0.31496062000000002"/>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tint="4.9989318521683403E-2"/>
  </sheetPr>
  <dimension ref="A1:AF33"/>
  <sheetViews>
    <sheetView zoomScale="110" zoomScaleNormal="110" workbookViewId="0">
      <selection activeCell="G4" sqref="G4"/>
    </sheetView>
  </sheetViews>
  <sheetFormatPr defaultColWidth="0" defaultRowHeight="15" customHeight="1" x14ac:dyDescent="0.2"/>
  <cols>
    <col min="1" max="1" width="3" style="510" customWidth="1"/>
    <col min="2" max="2" width="8.5703125" style="510" customWidth="1"/>
    <col min="3" max="3" width="2.85546875" style="510" customWidth="1"/>
    <col min="4" max="5" width="8.5703125" style="510" customWidth="1"/>
    <col min="6" max="6" width="2.85546875" style="510" customWidth="1"/>
    <col min="7" max="8" width="8.5703125" style="510" customWidth="1"/>
    <col min="9" max="9" width="2.85546875" style="510" customWidth="1"/>
    <col min="10" max="11" width="8.5703125" style="510" customWidth="1"/>
    <col min="12" max="12" width="2.85546875" style="510" customWidth="1"/>
    <col min="13" max="14" width="8.5703125" style="510" customWidth="1"/>
    <col min="15" max="15" width="2.85546875" style="510" customWidth="1"/>
    <col min="16" max="17" width="8.5703125" style="510" customWidth="1"/>
    <col min="18" max="18" width="2.85546875" style="510" customWidth="1"/>
    <col min="19" max="20" width="10.7109375" style="510" customWidth="1"/>
    <col min="21" max="21" width="2.85546875" style="510" customWidth="1"/>
    <col min="22" max="23" width="10.7109375" style="510" customWidth="1"/>
    <col min="24" max="24" width="2.85546875" style="510" customWidth="1"/>
    <col min="25" max="26" width="10.7109375" style="510" customWidth="1"/>
    <col min="27" max="28" width="9.28515625" style="514" customWidth="1"/>
    <col min="29" max="29" width="9.28515625" style="514" hidden="1" customWidth="1"/>
    <col min="30" max="32" width="9.28515625" style="556" hidden="1" customWidth="1"/>
    <col min="33" max="16384" width="9.28515625" style="514" hidden="1"/>
  </cols>
  <sheetData>
    <row r="1" spans="1:32" ht="4.5" customHeight="1" x14ac:dyDescent="0.2"/>
    <row r="2" spans="1:32" ht="12.75" customHeight="1" x14ac:dyDescent="0.2">
      <c r="B2" s="751" t="s">
        <v>2482</v>
      </c>
      <c r="C2" s="751"/>
      <c r="D2" s="751"/>
      <c r="E2" s="751"/>
      <c r="G2" s="752">
        <f>[1]REMUNERABILIDADE!$P$9</f>
        <v>6.03</v>
      </c>
      <c r="H2" s="752"/>
    </row>
    <row r="3" spans="1:32" ht="12.75" customHeight="1" x14ac:dyDescent="0.2">
      <c r="B3" s="751"/>
      <c r="C3" s="751"/>
      <c r="D3" s="751"/>
      <c r="E3" s="751"/>
      <c r="G3" s="752"/>
      <c r="H3" s="752"/>
    </row>
    <row r="4" spans="1:32" ht="6.75" customHeight="1" x14ac:dyDescent="0.2"/>
    <row r="5" spans="1:32" s="515" customFormat="1" ht="12.75" customHeight="1" x14ac:dyDescent="0.2">
      <c r="A5" s="511"/>
      <c r="B5" s="753" t="s">
        <v>15</v>
      </c>
      <c r="C5" s="512"/>
      <c r="D5" s="754" t="s">
        <v>2483</v>
      </c>
      <c r="E5" s="754"/>
      <c r="F5" s="512"/>
      <c r="G5" s="755" t="s">
        <v>2484</v>
      </c>
      <c r="H5" s="755"/>
      <c r="I5" s="512"/>
      <c r="J5" s="754" t="s">
        <v>2485</v>
      </c>
      <c r="K5" s="754"/>
      <c r="L5" s="512"/>
      <c r="M5" s="754" t="s">
        <v>2486</v>
      </c>
      <c r="N5" s="754"/>
      <c r="O5" s="512"/>
      <c r="P5" s="754" t="s">
        <v>2533</v>
      </c>
      <c r="Q5" s="754"/>
      <c r="R5" s="512"/>
      <c r="S5" s="754" t="s">
        <v>2487</v>
      </c>
      <c r="T5" s="754"/>
      <c r="U5" s="512"/>
      <c r="V5" s="754" t="s">
        <v>2488</v>
      </c>
      <c r="W5" s="754"/>
      <c r="X5" s="512"/>
      <c r="Y5" s="754" t="s">
        <v>2489</v>
      </c>
      <c r="Z5" s="754"/>
      <c r="AD5" s="511"/>
      <c r="AE5" s="511"/>
      <c r="AF5" s="511"/>
    </row>
    <row r="6" spans="1:32" s="515" customFormat="1" ht="12.75" customHeight="1" x14ac:dyDescent="0.2">
      <c r="A6" s="511"/>
      <c r="B6" s="753"/>
      <c r="C6" s="512"/>
      <c r="D6" s="754"/>
      <c r="E6" s="754"/>
      <c r="F6" s="512"/>
      <c r="G6" s="755"/>
      <c r="H6" s="755"/>
      <c r="I6" s="512"/>
      <c r="J6" s="754"/>
      <c r="K6" s="754"/>
      <c r="L6" s="512"/>
      <c r="M6" s="754"/>
      <c r="N6" s="754"/>
      <c r="O6" s="512"/>
      <c r="P6" s="754"/>
      <c r="Q6" s="754"/>
      <c r="R6" s="512"/>
      <c r="S6" s="754"/>
      <c r="T6" s="754"/>
      <c r="U6" s="512"/>
      <c r="V6" s="754"/>
      <c r="W6" s="754"/>
      <c r="X6" s="512"/>
      <c r="Y6" s="754"/>
      <c r="Z6" s="754"/>
      <c r="AD6" s="750" t="s">
        <v>408</v>
      </c>
      <c r="AE6" s="511"/>
      <c r="AF6" s="750" t="s">
        <v>2490</v>
      </c>
    </row>
    <row r="7" spans="1:32" s="515" customFormat="1" ht="12.75" customHeight="1" x14ac:dyDescent="0.2">
      <c r="A7" s="511"/>
      <c r="B7" s="753"/>
      <c r="C7" s="512"/>
      <c r="D7" s="754"/>
      <c r="E7" s="754"/>
      <c r="F7" s="512"/>
      <c r="G7" s="755"/>
      <c r="H7" s="755"/>
      <c r="I7" s="512"/>
      <c r="J7" s="754"/>
      <c r="K7" s="754"/>
      <c r="L7" s="512"/>
      <c r="M7" s="754"/>
      <c r="N7" s="754"/>
      <c r="O7" s="512"/>
      <c r="P7" s="754"/>
      <c r="Q7" s="754"/>
      <c r="R7" s="512"/>
      <c r="S7" s="754"/>
      <c r="T7" s="754"/>
      <c r="U7" s="512"/>
      <c r="V7" s="754"/>
      <c r="W7" s="754"/>
      <c r="X7" s="512"/>
      <c r="Y7" s="754"/>
      <c r="Z7" s="754"/>
      <c r="AD7" s="750"/>
      <c r="AE7" s="511"/>
      <c r="AF7" s="750"/>
    </row>
    <row r="8" spans="1:32" ht="12.75" customHeight="1" x14ac:dyDescent="0.2">
      <c r="B8" s="759" t="s">
        <v>293</v>
      </c>
      <c r="D8" s="760">
        <f>COUNTIF(FROTA!$R$5:$S$305,B8)</f>
        <v>0</v>
      </c>
      <c r="E8" s="760"/>
      <c r="G8" s="761" t="str">
        <f>IF(D8="","",CONCATENATE(AD8," km p/litro"))</f>
        <v>5,95 km p/litro</v>
      </c>
      <c r="H8" s="761"/>
      <c r="J8" s="761" t="str">
        <f>IF(D8="","",CONCATENATE(AF8," km p/litro"))</f>
        <v>0,2975 km p/litro</v>
      </c>
      <c r="K8" s="761"/>
      <c r="M8" s="762">
        <f>IF(D8="","",SUBTOTAL(9,FROTA!$AJ$6:$AJ$305))</f>
        <v>0</v>
      </c>
      <c r="N8" s="762"/>
      <c r="P8" s="762">
        <f>M8/AD8</f>
        <v>0</v>
      </c>
      <c r="Q8" s="762"/>
      <c r="S8" s="756">
        <f>IF(D8="","",(SUM(M8/$AD8)*SUM($G$2*0.05)))</f>
        <v>0</v>
      </c>
      <c r="T8" s="756"/>
      <c r="U8" s="513"/>
      <c r="V8" s="756">
        <f>IF(D8="","",(SUM(M8/$AD8)*$G$2))</f>
        <v>0</v>
      </c>
      <c r="W8" s="756"/>
      <c r="X8" s="513"/>
      <c r="Y8" s="757">
        <f>SUM(S8,V8)</f>
        <v>0</v>
      </c>
      <c r="Z8" s="758"/>
      <c r="AD8" s="557">
        <v>5.95</v>
      </c>
      <c r="AF8" s="558">
        <f>AD8*0.05</f>
        <v>0.29750000000000004</v>
      </c>
    </row>
    <row r="9" spans="1:32" ht="12.75" customHeight="1" x14ac:dyDescent="0.2">
      <c r="B9" s="759"/>
      <c r="D9" s="760"/>
      <c r="E9" s="760"/>
      <c r="G9" s="761"/>
      <c r="H9" s="761"/>
      <c r="J9" s="761"/>
      <c r="K9" s="761"/>
      <c r="M9" s="762"/>
      <c r="N9" s="762"/>
      <c r="P9" s="762"/>
      <c r="Q9" s="762"/>
      <c r="S9" s="756"/>
      <c r="T9" s="756"/>
      <c r="U9" s="513"/>
      <c r="V9" s="756"/>
      <c r="W9" s="756"/>
      <c r="X9" s="513"/>
      <c r="Y9" s="758"/>
      <c r="Z9" s="758"/>
      <c r="AD9" s="557"/>
      <c r="AF9" s="558"/>
    </row>
    <row r="10" spans="1:32" ht="12.75" customHeight="1" x14ac:dyDescent="0.2">
      <c r="B10" s="442"/>
      <c r="D10" s="443"/>
      <c r="E10" s="443"/>
      <c r="G10" s="444"/>
      <c r="H10" s="444"/>
      <c r="J10" s="444"/>
      <c r="K10" s="444"/>
      <c r="M10" s="445"/>
      <c r="N10" s="445"/>
      <c r="P10" s="445"/>
      <c r="Q10" s="445"/>
      <c r="S10" s="446"/>
      <c r="T10" s="446"/>
      <c r="U10" s="513"/>
      <c r="V10" s="446"/>
      <c r="W10" s="446"/>
      <c r="X10" s="513"/>
      <c r="Y10" s="446"/>
      <c r="Z10" s="446"/>
      <c r="AD10" s="557"/>
      <c r="AF10" s="558"/>
    </row>
    <row r="11" spans="1:32" ht="12.75" customHeight="1" x14ac:dyDescent="0.2">
      <c r="B11" s="759" t="s">
        <v>2491</v>
      </c>
      <c r="D11" s="760">
        <f>COUNTIF(FROTA!$R$5:$S$305,B11)</f>
        <v>0</v>
      </c>
      <c r="E11" s="760"/>
      <c r="G11" s="761" t="str">
        <f>IF(D11="","",CONCATENATE(AD11," km p/litro"))</f>
        <v>5,9 km p/litro</v>
      </c>
      <c r="H11" s="761"/>
      <c r="J11" s="761" t="str">
        <f>IF(D11="","",CONCATENATE(AF11," km p/litro"))</f>
        <v>0,295 km p/litro</v>
      </c>
      <c r="K11" s="761"/>
      <c r="M11" s="762">
        <f>IF(D11="","",SUBTOTAL(9,FROTA!$AK$6:$AK$305))</f>
        <v>0</v>
      </c>
      <c r="N11" s="762"/>
      <c r="P11" s="762">
        <f>M11/AD11</f>
        <v>0</v>
      </c>
      <c r="Q11" s="762"/>
      <c r="S11" s="756">
        <f>IF(D11="","",(SUM(M11/$AD11)*SUM($G$2*0.05)))</f>
        <v>0</v>
      </c>
      <c r="T11" s="756"/>
      <c r="U11" s="513"/>
      <c r="V11" s="756">
        <f>IF(D11="","",(SUM(M11/$AD11)*$G$2))</f>
        <v>0</v>
      </c>
      <c r="W11" s="756"/>
      <c r="X11" s="513"/>
      <c r="Y11" s="757">
        <f>SUM(S11,V11)</f>
        <v>0</v>
      </c>
      <c r="Z11" s="758"/>
      <c r="AD11" s="557">
        <v>5.9</v>
      </c>
      <c r="AF11" s="558">
        <f>AD11*0.05</f>
        <v>0.29500000000000004</v>
      </c>
    </row>
    <row r="12" spans="1:32" ht="12.75" customHeight="1" x14ac:dyDescent="0.2">
      <c r="B12" s="759"/>
      <c r="D12" s="760"/>
      <c r="E12" s="760"/>
      <c r="G12" s="761"/>
      <c r="H12" s="761"/>
      <c r="J12" s="761"/>
      <c r="K12" s="761"/>
      <c r="M12" s="762"/>
      <c r="N12" s="762"/>
      <c r="P12" s="762"/>
      <c r="Q12" s="762"/>
      <c r="S12" s="756"/>
      <c r="T12" s="756"/>
      <c r="U12" s="513"/>
      <c r="V12" s="756"/>
      <c r="W12" s="756"/>
      <c r="X12" s="513"/>
      <c r="Y12" s="758"/>
      <c r="Z12" s="758"/>
      <c r="AD12" s="557"/>
      <c r="AF12" s="558"/>
    </row>
    <row r="13" spans="1:32" ht="12.75" customHeight="1" x14ac:dyDescent="0.2">
      <c r="B13" s="442"/>
      <c r="D13" s="443"/>
      <c r="E13" s="443"/>
      <c r="G13" s="444"/>
      <c r="H13" s="444"/>
      <c r="J13" s="444"/>
      <c r="K13" s="444"/>
      <c r="M13" s="445"/>
      <c r="N13" s="445"/>
      <c r="P13" s="445"/>
      <c r="Q13" s="445"/>
      <c r="S13" s="446"/>
      <c r="T13" s="446"/>
      <c r="U13" s="513"/>
      <c r="V13" s="446"/>
      <c r="W13" s="446"/>
      <c r="X13" s="513"/>
      <c r="Y13" s="446"/>
      <c r="Z13" s="446"/>
      <c r="AD13" s="557"/>
      <c r="AF13" s="558"/>
    </row>
    <row r="14" spans="1:32" ht="12.75" customHeight="1" x14ac:dyDescent="0.2">
      <c r="B14" s="759" t="s">
        <v>2492</v>
      </c>
      <c r="D14" s="760">
        <f>COUNTIF(FROTA!$R$5:$S$305,B14)</f>
        <v>0</v>
      </c>
      <c r="E14" s="760"/>
      <c r="G14" s="761" t="str">
        <f>IF(D14="","",CONCATENATE(AD14," km p/litro"))</f>
        <v>5,8 km p/litro</v>
      </c>
      <c r="H14" s="761"/>
      <c r="J14" s="761" t="str">
        <f>IF(D14="","",CONCATENATE(AF14," km p/litro"))</f>
        <v>0,29 km p/litro</v>
      </c>
      <c r="K14" s="761"/>
      <c r="M14" s="762">
        <f>IF(D14="","",SUBTOTAL(9,FROTA!$AL$6:$AL$305))</f>
        <v>0</v>
      </c>
      <c r="N14" s="762"/>
      <c r="P14" s="762">
        <f>M14/AD14</f>
        <v>0</v>
      </c>
      <c r="Q14" s="762"/>
      <c r="S14" s="756">
        <f>IF(D14="","",(SUM(M14/$AD14)*SUM($G$2*0.05)))</f>
        <v>0</v>
      </c>
      <c r="T14" s="756"/>
      <c r="U14" s="513"/>
      <c r="V14" s="756">
        <f>IF(D14="","",(SUM(M14/$AD14)*$G$2))</f>
        <v>0</v>
      </c>
      <c r="W14" s="756"/>
      <c r="X14" s="513"/>
      <c r="Y14" s="757">
        <f>SUM(S14,V14)</f>
        <v>0</v>
      </c>
      <c r="Z14" s="758"/>
      <c r="AD14" s="557">
        <v>5.8</v>
      </c>
      <c r="AF14" s="558">
        <f>AD14*0.05</f>
        <v>0.28999999999999998</v>
      </c>
    </row>
    <row r="15" spans="1:32" ht="12.75" customHeight="1" x14ac:dyDescent="0.2">
      <c r="B15" s="759"/>
      <c r="D15" s="760"/>
      <c r="E15" s="760"/>
      <c r="G15" s="761"/>
      <c r="H15" s="761"/>
      <c r="J15" s="761"/>
      <c r="K15" s="761"/>
      <c r="M15" s="762"/>
      <c r="N15" s="762"/>
      <c r="P15" s="762"/>
      <c r="Q15" s="762"/>
      <c r="S15" s="756"/>
      <c r="T15" s="756"/>
      <c r="U15" s="513"/>
      <c r="V15" s="756"/>
      <c r="W15" s="756"/>
      <c r="X15" s="513"/>
      <c r="Y15" s="758"/>
      <c r="Z15" s="758"/>
      <c r="AD15" s="557"/>
      <c r="AF15" s="558"/>
    </row>
    <row r="16" spans="1:32" ht="12.75" customHeight="1" x14ac:dyDescent="0.2">
      <c r="B16" s="442"/>
      <c r="D16" s="443"/>
      <c r="E16" s="443"/>
      <c r="G16" s="444"/>
      <c r="H16" s="444"/>
      <c r="J16" s="444"/>
      <c r="K16" s="444"/>
      <c r="M16" s="445"/>
      <c r="N16" s="445"/>
      <c r="P16" s="445"/>
      <c r="Q16" s="445"/>
      <c r="S16" s="446"/>
      <c r="T16" s="446"/>
      <c r="U16" s="513"/>
      <c r="V16" s="446"/>
      <c r="W16" s="446"/>
      <c r="X16" s="513"/>
      <c r="Y16" s="446"/>
      <c r="Z16" s="446"/>
      <c r="AD16" s="557"/>
      <c r="AF16" s="558"/>
    </row>
    <row r="17" spans="2:32" ht="12.75" customHeight="1" x14ac:dyDescent="0.2">
      <c r="B17" s="759" t="s">
        <v>294</v>
      </c>
      <c r="D17" s="760">
        <f>COUNTIF(FROTA!$R$5:$S$305,B17)</f>
        <v>0</v>
      </c>
      <c r="E17" s="760"/>
      <c r="G17" s="761" t="str">
        <f>IF(D17="","",CONCATENATE(AD17," km p/litro"))</f>
        <v>5,9 km p/litro</v>
      </c>
      <c r="H17" s="761"/>
      <c r="J17" s="761" t="str">
        <f>IF(D17="","",CONCATENATE(AF17," km p/litro"))</f>
        <v>0,295 km p/litro</v>
      </c>
      <c r="K17" s="761"/>
      <c r="M17" s="762">
        <f>IF(D17="","",SUBTOTAL(9,FROTA!$AM$6:$AM$305))</f>
        <v>0</v>
      </c>
      <c r="N17" s="762"/>
      <c r="P17" s="762">
        <f>M17/AD17</f>
        <v>0</v>
      </c>
      <c r="Q17" s="762"/>
      <c r="S17" s="756">
        <f>IF(D17="","",(SUM(M17/$AD17)*SUM($G$2*0.05)))</f>
        <v>0</v>
      </c>
      <c r="T17" s="756"/>
      <c r="U17" s="513"/>
      <c r="V17" s="756">
        <f>IF(D17="","",(SUM(M17/$AD17)*$G$2))</f>
        <v>0</v>
      </c>
      <c r="W17" s="756"/>
      <c r="X17" s="513"/>
      <c r="Y17" s="757">
        <f>SUM(S17,V17)</f>
        <v>0</v>
      </c>
      <c r="Z17" s="758"/>
      <c r="AD17" s="557">
        <v>5.9</v>
      </c>
      <c r="AF17" s="558">
        <f>AD17*0.05</f>
        <v>0.29500000000000004</v>
      </c>
    </row>
    <row r="18" spans="2:32" ht="12.75" customHeight="1" x14ac:dyDescent="0.2">
      <c r="B18" s="759"/>
      <c r="D18" s="760"/>
      <c r="E18" s="760"/>
      <c r="G18" s="761"/>
      <c r="H18" s="761"/>
      <c r="J18" s="761"/>
      <c r="K18" s="761"/>
      <c r="M18" s="762"/>
      <c r="N18" s="762"/>
      <c r="P18" s="762"/>
      <c r="Q18" s="762"/>
      <c r="S18" s="756"/>
      <c r="T18" s="756"/>
      <c r="U18" s="513"/>
      <c r="V18" s="756"/>
      <c r="W18" s="756"/>
      <c r="X18" s="513"/>
      <c r="Y18" s="758"/>
      <c r="Z18" s="758"/>
      <c r="AD18" s="557"/>
      <c r="AF18" s="558"/>
    </row>
    <row r="19" spans="2:32" ht="12.75" customHeight="1" x14ac:dyDescent="0.2">
      <c r="B19" s="442"/>
      <c r="D19" s="443"/>
      <c r="E19" s="443"/>
      <c r="G19" s="444"/>
      <c r="H19" s="444"/>
      <c r="J19" s="444"/>
      <c r="K19" s="444"/>
      <c r="M19" s="445"/>
      <c r="N19" s="445"/>
      <c r="P19" s="445"/>
      <c r="Q19" s="445"/>
      <c r="S19" s="446"/>
      <c r="T19" s="446"/>
      <c r="U19" s="513"/>
      <c r="V19" s="446"/>
      <c r="W19" s="446"/>
      <c r="X19" s="513"/>
      <c r="Y19" s="446"/>
      <c r="Z19" s="446"/>
      <c r="AD19" s="557"/>
      <c r="AF19" s="558"/>
    </row>
    <row r="20" spans="2:32" ht="12.75" customHeight="1" x14ac:dyDescent="0.2">
      <c r="B20" s="759" t="s">
        <v>301</v>
      </c>
      <c r="D20" s="760">
        <f>COUNTIF(FROTA!$R$5:$S$305,B20)</f>
        <v>0</v>
      </c>
      <c r="E20" s="760"/>
      <c r="G20" s="761" t="str">
        <f>IF(D20="","",CONCATENATE(AD20," km p/litro"))</f>
        <v>6 km p/litro</v>
      </c>
      <c r="H20" s="761"/>
      <c r="J20" s="761" t="str">
        <f>IF(D20="","",CONCATENATE(AF20," km p/litro"))</f>
        <v>0,3 km p/litro</v>
      </c>
      <c r="K20" s="761"/>
      <c r="M20" s="762">
        <f>IF(D20="","",SUBTOTAL(9,FROTA!$AN$6:$AN$305))</f>
        <v>0</v>
      </c>
      <c r="N20" s="762"/>
      <c r="P20" s="762">
        <f>M20/AD20</f>
        <v>0</v>
      </c>
      <c r="Q20" s="762"/>
      <c r="S20" s="756">
        <f>IF(D20="","",(SUM(M20/$AD20)*SUM($G$2*0.05)))</f>
        <v>0</v>
      </c>
      <c r="T20" s="756"/>
      <c r="U20" s="513"/>
      <c r="V20" s="756">
        <f>IF(D20="","",(SUM(M20/$AD20)*$G$2))</f>
        <v>0</v>
      </c>
      <c r="W20" s="756"/>
      <c r="X20" s="513"/>
      <c r="Y20" s="757">
        <f>SUM(S20,V20)</f>
        <v>0</v>
      </c>
      <c r="Z20" s="758"/>
      <c r="AD20" s="557">
        <v>6</v>
      </c>
      <c r="AF20" s="558">
        <f>AD20*0.05</f>
        <v>0.30000000000000004</v>
      </c>
    </row>
    <row r="21" spans="2:32" ht="12.75" customHeight="1" x14ac:dyDescent="0.2">
      <c r="B21" s="759"/>
      <c r="D21" s="760"/>
      <c r="E21" s="760"/>
      <c r="G21" s="761"/>
      <c r="H21" s="761"/>
      <c r="J21" s="761"/>
      <c r="K21" s="761"/>
      <c r="M21" s="762"/>
      <c r="N21" s="762"/>
      <c r="P21" s="762"/>
      <c r="Q21" s="762"/>
      <c r="S21" s="756"/>
      <c r="T21" s="756"/>
      <c r="U21" s="513"/>
      <c r="V21" s="756"/>
      <c r="W21" s="756"/>
      <c r="X21" s="513"/>
      <c r="Y21" s="758"/>
      <c r="Z21" s="758"/>
      <c r="AD21" s="557"/>
      <c r="AF21" s="558"/>
    </row>
    <row r="22" spans="2:32" ht="12.75" customHeight="1" x14ac:dyDescent="0.2">
      <c r="B22" s="442"/>
      <c r="D22" s="443"/>
      <c r="E22" s="443"/>
      <c r="G22" s="444"/>
      <c r="H22" s="444"/>
      <c r="J22" s="444"/>
      <c r="K22" s="444"/>
      <c r="M22" s="445"/>
      <c r="N22" s="445"/>
      <c r="P22" s="445"/>
      <c r="Q22" s="445"/>
      <c r="S22" s="446"/>
      <c r="T22" s="446"/>
      <c r="U22" s="513"/>
      <c r="V22" s="446"/>
      <c r="W22" s="446"/>
      <c r="X22" s="513"/>
      <c r="Y22" s="446"/>
      <c r="Z22" s="446"/>
      <c r="AD22" s="557"/>
      <c r="AF22" s="558"/>
    </row>
    <row r="23" spans="2:32" ht="12.75" customHeight="1" x14ac:dyDescent="0.2">
      <c r="B23" s="759" t="s">
        <v>2493</v>
      </c>
      <c r="D23" s="760">
        <f>COUNTIF(FROTA!$R$5:$S$305,B23)</f>
        <v>0</v>
      </c>
      <c r="E23" s="760"/>
      <c r="G23" s="761" t="str">
        <f>IF(D23="","",CONCATENATE(AD23," km p/litro"))</f>
        <v>6,1 km p/litro</v>
      </c>
      <c r="H23" s="761"/>
      <c r="J23" s="761" t="str">
        <f>IF(D23="","",CONCATENATE(AF23," km p/litro"))</f>
        <v>0,305 km p/litro</v>
      </c>
      <c r="K23" s="761"/>
      <c r="M23" s="762">
        <f>IF(D23="","",SUBTOTAL(9,FROTA!$AO$6:$AO$305))</f>
        <v>0</v>
      </c>
      <c r="N23" s="762"/>
      <c r="P23" s="762">
        <f>M23/AD23</f>
        <v>0</v>
      </c>
      <c r="Q23" s="762"/>
      <c r="S23" s="756">
        <f>IF(D23="","",(SUM(M23/$AD23)*SUM($G$2*0.05)))</f>
        <v>0</v>
      </c>
      <c r="T23" s="756"/>
      <c r="U23" s="513"/>
      <c r="V23" s="756">
        <f>IF(D23="","",(SUM(M23/$AD23)*$G$2))</f>
        <v>0</v>
      </c>
      <c r="W23" s="756"/>
      <c r="X23" s="513"/>
      <c r="Y23" s="757">
        <f>SUM(S23,V23)</f>
        <v>0</v>
      </c>
      <c r="Z23" s="758"/>
      <c r="AD23" s="557">
        <v>6.1</v>
      </c>
      <c r="AF23" s="558">
        <f>AD23*0.05</f>
        <v>0.30499999999999999</v>
      </c>
    </row>
    <row r="24" spans="2:32" ht="12.75" customHeight="1" x14ac:dyDescent="0.2">
      <c r="B24" s="759"/>
      <c r="D24" s="760"/>
      <c r="E24" s="760"/>
      <c r="G24" s="761"/>
      <c r="H24" s="761"/>
      <c r="J24" s="761"/>
      <c r="K24" s="761"/>
      <c r="M24" s="762"/>
      <c r="N24" s="762"/>
      <c r="P24" s="762"/>
      <c r="Q24" s="762"/>
      <c r="S24" s="756"/>
      <c r="T24" s="756"/>
      <c r="U24" s="513"/>
      <c r="V24" s="756"/>
      <c r="W24" s="756"/>
      <c r="X24" s="513"/>
      <c r="Y24" s="758"/>
      <c r="Z24" s="758"/>
      <c r="AD24" s="557"/>
      <c r="AF24" s="558"/>
    </row>
    <row r="25" spans="2:32" ht="12.75" customHeight="1" x14ac:dyDescent="0.2">
      <c r="B25" s="442"/>
      <c r="D25" s="443"/>
      <c r="E25" s="443"/>
      <c r="G25" s="444"/>
      <c r="H25" s="444"/>
      <c r="J25" s="444"/>
      <c r="K25" s="444"/>
      <c r="M25" s="445"/>
      <c r="N25" s="445"/>
      <c r="P25" s="445"/>
      <c r="Q25" s="445"/>
      <c r="S25" s="446"/>
      <c r="T25" s="446"/>
      <c r="U25" s="513"/>
      <c r="V25" s="446"/>
      <c r="W25" s="446"/>
      <c r="X25" s="513"/>
      <c r="Y25" s="446"/>
      <c r="Z25" s="446"/>
      <c r="AD25" s="557"/>
      <c r="AF25" s="558"/>
    </row>
    <row r="26" spans="2:32" ht="12.75" customHeight="1" x14ac:dyDescent="0.2">
      <c r="B26" s="759" t="s">
        <v>2494</v>
      </c>
      <c r="D26" s="760">
        <f>COUNTIF(FROTA!$R$5:$S$305,B26)</f>
        <v>0</v>
      </c>
      <c r="E26" s="760"/>
      <c r="G26" s="761" t="str">
        <f>IF(D26="","",CONCATENATE(AD26," km p/litro"))</f>
        <v>6,1 km p/litro</v>
      </c>
      <c r="H26" s="761"/>
      <c r="J26" s="761" t="str">
        <f>IF(D26="","",CONCATENATE(AF26," km p/litro"))</f>
        <v>0,305 km p/litro</v>
      </c>
      <c r="K26" s="761"/>
      <c r="M26" s="762">
        <f>IF(D26="","",SUBTOTAL(9,FROTA!$AP$6:$AP$305))</f>
        <v>0</v>
      </c>
      <c r="N26" s="762"/>
      <c r="P26" s="762">
        <f>M26/AD26</f>
        <v>0</v>
      </c>
      <c r="Q26" s="762"/>
      <c r="S26" s="756">
        <f>IF(D26="","",(SUM(M26/$AD26)*SUM($G$2*0.05)))</f>
        <v>0</v>
      </c>
      <c r="T26" s="756"/>
      <c r="U26" s="513"/>
      <c r="V26" s="756">
        <f>IF(D26="","",(SUM(M26/$AD26)*$G$2))</f>
        <v>0</v>
      </c>
      <c r="W26" s="756"/>
      <c r="X26" s="513"/>
      <c r="Y26" s="757">
        <f>SUM(S26,V26)</f>
        <v>0</v>
      </c>
      <c r="Z26" s="758"/>
      <c r="AD26" s="557">
        <v>6.1</v>
      </c>
      <c r="AF26" s="558">
        <f>AD26*0.05</f>
        <v>0.30499999999999999</v>
      </c>
    </row>
    <row r="27" spans="2:32" ht="12.75" customHeight="1" x14ac:dyDescent="0.2">
      <c r="B27" s="759"/>
      <c r="D27" s="760"/>
      <c r="E27" s="760"/>
      <c r="G27" s="761"/>
      <c r="H27" s="761"/>
      <c r="J27" s="761"/>
      <c r="K27" s="761"/>
      <c r="M27" s="762"/>
      <c r="N27" s="762"/>
      <c r="P27" s="762"/>
      <c r="Q27" s="762"/>
      <c r="S27" s="756"/>
      <c r="T27" s="756"/>
      <c r="U27" s="513"/>
      <c r="V27" s="756"/>
      <c r="W27" s="756"/>
      <c r="X27" s="513"/>
      <c r="Y27" s="758"/>
      <c r="Z27" s="758"/>
    </row>
    <row r="28" spans="2:32" ht="6.75" customHeight="1" x14ac:dyDescent="0.2"/>
    <row r="29" spans="2:32" ht="12.75" customHeight="1" x14ac:dyDescent="0.2">
      <c r="B29" s="764" t="s">
        <v>2495</v>
      </c>
      <c r="D29" s="765">
        <f>SUM(D8:E27)</f>
        <v>0</v>
      </c>
      <c r="E29" s="765"/>
      <c r="G29" s="761" t="s">
        <v>2496</v>
      </c>
      <c r="H29" s="761"/>
      <c r="I29" s="761"/>
      <c r="J29" s="761"/>
      <c r="K29" s="761"/>
      <c r="L29" s="761"/>
      <c r="M29" s="761"/>
      <c r="N29" s="761"/>
      <c r="P29" s="766" t="s">
        <v>2534</v>
      </c>
      <c r="Q29" s="761"/>
      <c r="S29" s="757">
        <f>SUM(S8:T27)</f>
        <v>0</v>
      </c>
      <c r="T29" s="758"/>
      <c r="U29" s="513"/>
      <c r="V29" s="757">
        <f>SUM(V8:W27)</f>
        <v>0</v>
      </c>
      <c r="W29" s="758"/>
      <c r="X29" s="513"/>
      <c r="Y29" s="757">
        <f>SUM(Y8:Z27)</f>
        <v>0</v>
      </c>
      <c r="Z29" s="758"/>
    </row>
    <row r="30" spans="2:32" ht="12.75" customHeight="1" x14ac:dyDescent="0.2">
      <c r="B30" s="764"/>
      <c r="D30" s="765"/>
      <c r="E30" s="765"/>
      <c r="G30" s="761"/>
      <c r="H30" s="761"/>
      <c r="I30" s="761"/>
      <c r="J30" s="761"/>
      <c r="K30" s="761"/>
      <c r="L30" s="761"/>
      <c r="M30" s="761"/>
      <c r="N30" s="761"/>
      <c r="P30" s="762">
        <f>SUM(P8,P11,P14,P17,P20,P23,P26)</f>
        <v>0</v>
      </c>
      <c r="Q30" s="761"/>
      <c r="S30" s="758"/>
      <c r="T30" s="758"/>
      <c r="U30" s="513"/>
      <c r="V30" s="758"/>
      <c r="W30" s="758"/>
      <c r="X30" s="513"/>
      <c r="Y30" s="758"/>
      <c r="Z30" s="758"/>
    </row>
    <row r="31" spans="2:32" ht="6.75" customHeight="1" x14ac:dyDescent="0.2"/>
    <row r="32" spans="2:32" ht="12.75" customHeight="1" x14ac:dyDescent="0.2">
      <c r="G32" s="761" t="s">
        <v>2497</v>
      </c>
      <c r="H32" s="761"/>
      <c r="I32" s="761"/>
      <c r="J32" s="761"/>
      <c r="K32" s="761"/>
      <c r="L32" s="761"/>
      <c r="M32" s="761"/>
      <c r="N32" s="761"/>
      <c r="P32" s="763" t="str">
        <f>IF(SUM(ESCALA!O4:O19)=0,"",CONCATENATE(VLOOKUP(ESCALA!I1,ESCALA!AC3:AH91,6,0)," DIAS"))</f>
        <v/>
      </c>
      <c r="Q32" s="763"/>
    </row>
    <row r="33" spans="7:17" ht="12.75" customHeight="1" x14ac:dyDescent="0.2">
      <c r="G33" s="761"/>
      <c r="H33" s="761"/>
      <c r="I33" s="761"/>
      <c r="J33" s="761"/>
      <c r="K33" s="761"/>
      <c r="L33" s="761"/>
      <c r="M33" s="761"/>
      <c r="N33" s="761"/>
      <c r="P33" s="763"/>
      <c r="Q33" s="763"/>
    </row>
  </sheetData>
  <mergeCells count="86">
    <mergeCell ref="P23:Q24"/>
    <mergeCell ref="P26:Q27"/>
    <mergeCell ref="P29:Q29"/>
    <mergeCell ref="P30:Q30"/>
    <mergeCell ref="P8:Q9"/>
    <mergeCell ref="P11:Q12"/>
    <mergeCell ref="P14:Q15"/>
    <mergeCell ref="P17:Q18"/>
    <mergeCell ref="P20:Q21"/>
    <mergeCell ref="G32:N33"/>
    <mergeCell ref="P32:Q33"/>
    <mergeCell ref="V26:W27"/>
    <mergeCell ref="Y26:Z27"/>
    <mergeCell ref="B29:B30"/>
    <mergeCell ref="D29:E30"/>
    <mergeCell ref="G29:N30"/>
    <mergeCell ref="S29:T30"/>
    <mergeCell ref="V29:W30"/>
    <mergeCell ref="Y29:Z30"/>
    <mergeCell ref="B26:B27"/>
    <mergeCell ref="D26:E27"/>
    <mergeCell ref="G26:H27"/>
    <mergeCell ref="J26:K27"/>
    <mergeCell ref="M26:N27"/>
    <mergeCell ref="S26:T27"/>
    <mergeCell ref="V20:W21"/>
    <mergeCell ref="Y20:Z21"/>
    <mergeCell ref="B23:B24"/>
    <mergeCell ref="D23:E24"/>
    <mergeCell ref="G23:H24"/>
    <mergeCell ref="J23:K24"/>
    <mergeCell ref="M23:N24"/>
    <mergeCell ref="S23:T24"/>
    <mergeCell ref="V23:W24"/>
    <mergeCell ref="Y23:Z24"/>
    <mergeCell ref="B20:B21"/>
    <mergeCell ref="D20:E21"/>
    <mergeCell ref="G20:H21"/>
    <mergeCell ref="J20:K21"/>
    <mergeCell ref="M20:N21"/>
    <mergeCell ref="S20:T21"/>
    <mergeCell ref="V14:W15"/>
    <mergeCell ref="Y14:Z15"/>
    <mergeCell ref="B17:B18"/>
    <mergeCell ref="D17:E18"/>
    <mergeCell ref="G17:H18"/>
    <mergeCell ref="J17:K18"/>
    <mergeCell ref="M17:N18"/>
    <mergeCell ref="S17:T18"/>
    <mergeCell ref="V17:W18"/>
    <mergeCell ref="Y17:Z18"/>
    <mergeCell ref="B14:B15"/>
    <mergeCell ref="D14:E15"/>
    <mergeCell ref="G14:H15"/>
    <mergeCell ref="J14:K15"/>
    <mergeCell ref="M14:N15"/>
    <mergeCell ref="S14:T15"/>
    <mergeCell ref="V8:W9"/>
    <mergeCell ref="Y8:Z9"/>
    <mergeCell ref="B11:B12"/>
    <mergeCell ref="D11:E12"/>
    <mergeCell ref="G11:H12"/>
    <mergeCell ref="J11:K12"/>
    <mergeCell ref="M11:N12"/>
    <mergeCell ref="S11:T12"/>
    <mergeCell ref="V11:W12"/>
    <mergeCell ref="Y11:Z12"/>
    <mergeCell ref="B8:B9"/>
    <mergeCell ref="D8:E9"/>
    <mergeCell ref="G8:H9"/>
    <mergeCell ref="J8:K9"/>
    <mergeCell ref="M8:N9"/>
    <mergeCell ref="S8:T9"/>
    <mergeCell ref="AF6:AF7"/>
    <mergeCell ref="B2:E3"/>
    <mergeCell ref="G2:H3"/>
    <mergeCell ref="B5:B7"/>
    <mergeCell ref="D5:E7"/>
    <mergeCell ref="G5:H7"/>
    <mergeCell ref="J5:K7"/>
    <mergeCell ref="M5:N7"/>
    <mergeCell ref="S5:T7"/>
    <mergeCell ref="V5:W7"/>
    <mergeCell ref="Y5:Z7"/>
    <mergeCell ref="AD6:AD7"/>
    <mergeCell ref="P5:Q7"/>
  </mergeCells>
  <pageMargins left="0.511811024" right="0.511811024" top="0.78740157499999996" bottom="0.78740157499999996" header="0.31496062000000002" footer="0.31496062000000002"/>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61">
    <tabColor theme="1" tint="4.9989318521683403E-2"/>
  </sheetPr>
  <dimension ref="A1:BC2923"/>
  <sheetViews>
    <sheetView zoomScale="110" zoomScaleNormal="110" workbookViewId="0">
      <pane ySplit="4" topLeftCell="A5" activePane="bottomLeft" state="frozen"/>
      <selection pane="bottomLeft" activeCell="AX2" sqref="AX2:AY2"/>
    </sheetView>
  </sheetViews>
  <sheetFormatPr defaultColWidth="9.140625" defaultRowHeight="15" x14ac:dyDescent="0.2"/>
  <cols>
    <col min="1" max="1" width="3.140625" style="247" customWidth="1"/>
    <col min="2" max="2" width="9.28515625" style="247" customWidth="1"/>
    <col min="3" max="3" width="5.5703125" style="247" customWidth="1"/>
    <col min="4" max="4" width="9.28515625" style="247" customWidth="1"/>
    <col min="5" max="5" width="6.5703125" style="247" customWidth="1"/>
    <col min="6" max="6" width="9.28515625" style="247" customWidth="1"/>
    <col min="7" max="7" width="10.7109375" style="247" customWidth="1"/>
    <col min="8" max="21" width="8.5703125" style="247" customWidth="1"/>
    <col min="22" max="22" width="10.42578125" style="247" customWidth="1"/>
    <col min="23" max="24" width="7.42578125" style="238" customWidth="1"/>
    <col min="25" max="25" width="5.42578125" style="573" customWidth="1"/>
    <col min="26" max="26" width="8.5703125" style="574" customWidth="1"/>
    <col min="27" max="27" width="2.28515625" style="573" customWidth="1"/>
    <col min="28" max="28" width="5.140625" style="573" customWidth="1"/>
    <col min="29" max="29" width="7.42578125" style="574" customWidth="1"/>
    <col min="30" max="30" width="2" style="573" customWidth="1"/>
    <col min="31" max="31" width="5.42578125" style="573" customWidth="1"/>
    <col min="32" max="32" width="6.85546875" style="574" customWidth="1"/>
    <col min="33" max="33" width="2" style="573" customWidth="1"/>
    <col min="34" max="34" width="5.42578125" style="573" customWidth="1"/>
    <col min="35" max="35" width="6.85546875" style="574" customWidth="1"/>
    <col min="36" max="36" width="2" style="573" customWidth="1"/>
    <col min="37" max="37" width="5.140625" style="578" customWidth="1"/>
    <col min="38" max="38" width="6.85546875" style="574" customWidth="1"/>
    <col min="39" max="39" width="2" style="573" customWidth="1"/>
    <col min="40" max="40" width="5.140625" style="578" customWidth="1"/>
    <col min="41" max="41" width="6.7109375" style="574" customWidth="1"/>
    <col min="42" max="42" width="2" style="573" customWidth="1"/>
    <col min="43" max="43" width="5.140625" style="578" customWidth="1"/>
    <col min="44" max="44" width="6.7109375" style="574" customWidth="1"/>
    <col min="45" max="45" width="5" style="238" customWidth="1"/>
    <col min="46" max="49" width="9.140625" style="238" customWidth="1"/>
    <col min="50" max="50" width="12.42578125" style="238" customWidth="1"/>
    <col min="51" max="51" width="9.28515625" style="238" customWidth="1"/>
    <col min="52" max="52" width="9.140625" style="238" customWidth="1"/>
    <col min="53" max="54" width="9.28515625" style="238" customWidth="1"/>
    <col min="55" max="55" width="9.140625" style="251" customWidth="1"/>
    <col min="56" max="16384" width="9.140625" style="238"/>
  </cols>
  <sheetData>
    <row r="1" spans="2:54" ht="36.75" customHeight="1" x14ac:dyDescent="0.2">
      <c r="B1" s="768" t="s">
        <v>452</v>
      </c>
      <c r="C1" s="768"/>
      <c r="D1" s="768"/>
      <c r="E1" s="768"/>
      <c r="F1" s="768"/>
      <c r="G1" s="768"/>
      <c r="H1" s="776" t="s">
        <v>450</v>
      </c>
      <c r="I1" s="777"/>
      <c r="J1" s="777"/>
      <c r="K1" s="777"/>
      <c r="L1" s="777"/>
      <c r="M1" s="777"/>
      <c r="N1" s="777"/>
      <c r="O1" s="777"/>
      <c r="P1" s="777"/>
      <c r="Q1" s="777"/>
      <c r="R1" s="777"/>
      <c r="S1" s="777"/>
      <c r="T1" s="777"/>
      <c r="U1" s="777"/>
      <c r="V1" s="778"/>
      <c r="W1" s="238" t="s">
        <v>224</v>
      </c>
      <c r="Y1" s="573" t="s">
        <v>17</v>
      </c>
      <c r="Z1" s="574" t="s">
        <v>26</v>
      </c>
      <c r="AB1" s="573" t="s">
        <v>17</v>
      </c>
      <c r="AC1" s="575" t="s">
        <v>27</v>
      </c>
      <c r="AE1" s="573" t="s">
        <v>17</v>
      </c>
      <c r="AF1" s="575" t="s">
        <v>28</v>
      </c>
      <c r="AH1" s="573" t="s">
        <v>17</v>
      </c>
      <c r="AI1" s="575" t="s">
        <v>29</v>
      </c>
      <c r="AK1" s="573" t="s">
        <v>17</v>
      </c>
      <c r="AL1" s="575" t="s">
        <v>302</v>
      </c>
      <c r="AN1" s="573" t="s">
        <v>17</v>
      </c>
      <c r="AO1" s="575" t="s">
        <v>303</v>
      </c>
      <c r="AQ1" s="573" t="s">
        <v>17</v>
      </c>
      <c r="AR1" s="575" t="s">
        <v>304</v>
      </c>
    </row>
    <row r="2" spans="2:54" ht="19.5" customHeight="1" thickBot="1" x14ac:dyDescent="0.4">
      <c r="B2" s="781" t="s">
        <v>453</v>
      </c>
      <c r="C2" s="781"/>
      <c r="D2" s="779" t="str">
        <f>IF(ESCALA!I1="","",RECEBÍVEIS!I4)</f>
        <v>MAIO - 2026</v>
      </c>
      <c r="E2" s="779"/>
      <c r="F2" s="779"/>
      <c r="G2" s="780"/>
      <c r="H2" s="308">
        <f>COUNTIF(H5:H304,2%)</f>
        <v>0</v>
      </c>
      <c r="I2" s="309">
        <f t="shared" ref="I2:N2" si="0">COUNTIF(I5:I304,2%)</f>
        <v>0</v>
      </c>
      <c r="J2" s="309">
        <f t="shared" si="0"/>
        <v>0</v>
      </c>
      <c r="K2" s="309">
        <f t="shared" si="0"/>
        <v>0</v>
      </c>
      <c r="L2" s="309">
        <f t="shared" si="0"/>
        <v>0</v>
      </c>
      <c r="M2" s="309">
        <f t="shared" si="0"/>
        <v>0</v>
      </c>
      <c r="N2" s="309">
        <f t="shared" si="0"/>
        <v>0</v>
      </c>
      <c r="O2" s="309">
        <f>COUNTIF(O5:O304,1%)</f>
        <v>0</v>
      </c>
      <c r="P2" s="309">
        <f t="shared" ref="P2:U2" si="1">COUNTIF(P5:P304,1%)</f>
        <v>0</v>
      </c>
      <c r="Q2" s="309">
        <f t="shared" si="1"/>
        <v>0</v>
      </c>
      <c r="R2" s="309">
        <f t="shared" si="1"/>
        <v>0</v>
      </c>
      <c r="S2" s="309">
        <f t="shared" si="1"/>
        <v>0</v>
      </c>
      <c r="T2" s="309">
        <f t="shared" si="1"/>
        <v>0</v>
      </c>
      <c r="U2" s="309">
        <f t="shared" si="1"/>
        <v>0</v>
      </c>
      <c r="V2" s="191"/>
      <c r="W2" s="238" t="s">
        <v>225</v>
      </c>
      <c r="AC2" s="575"/>
      <c r="AF2" s="575"/>
      <c r="AI2" s="575"/>
      <c r="AK2" s="573"/>
      <c r="AL2" s="575"/>
      <c r="AN2" s="573"/>
      <c r="AO2" s="575"/>
      <c r="AQ2" s="573"/>
      <c r="AR2" s="575"/>
      <c r="AX2" s="579">
        <f ca="1">TODAY()</f>
        <v>46171</v>
      </c>
      <c r="AY2" s="580">
        <f ca="1">VLOOKUP(AX2,BA:BB,2,0)</f>
        <v>2026</v>
      </c>
      <c r="BA2" s="581">
        <v>44835</v>
      </c>
      <c r="BB2" s="582">
        <v>2023</v>
      </c>
    </row>
    <row r="3" spans="2:54" ht="27" customHeight="1" thickBot="1" x14ac:dyDescent="0.35">
      <c r="B3" s="773" t="str">
        <f>FROTA!B5</f>
        <v>PREFIXO</v>
      </c>
      <c r="C3" s="773" t="str">
        <f>FROTA!Z5</f>
        <v>ANO</v>
      </c>
      <c r="D3" s="773" t="s">
        <v>311</v>
      </c>
      <c r="E3" s="772" t="s">
        <v>221</v>
      </c>
      <c r="F3" s="770" t="s">
        <v>447</v>
      </c>
      <c r="G3" s="769" t="s">
        <v>435</v>
      </c>
      <c r="H3" s="312" t="str">
        <f>FROTA!BU6</f>
        <v>Agrale</v>
      </c>
      <c r="I3" s="303" t="str">
        <f>FROTA!BU7</f>
        <v>Iveco</v>
      </c>
      <c r="J3" s="303" t="str">
        <f>FROTA!BU8</f>
        <v>MBB</v>
      </c>
      <c r="K3" s="303" t="str">
        <f>FROTA!BU9</f>
        <v>Scania</v>
      </c>
      <c r="L3" s="303" t="str">
        <f>FROTA!BU12</f>
        <v>Volvo</v>
      </c>
      <c r="M3" s="304" t="str">
        <f>FROTA!BU10</f>
        <v>VW</v>
      </c>
      <c r="N3" s="313" t="str">
        <f>FROTA!BU11</f>
        <v>VW-Man</v>
      </c>
      <c r="O3" s="315" t="str">
        <f>FROTA!BV6</f>
        <v>Caio</v>
      </c>
      <c r="P3" s="316" t="str">
        <f>FROTA!BV7</f>
        <v>Neobus</v>
      </c>
      <c r="Q3" s="316" t="str">
        <f>FROTA!BV8</f>
        <v>Mascarello</v>
      </c>
      <c r="R3" s="316" t="str">
        <f>FROTA!BV9</f>
        <v>Marcopolo</v>
      </c>
      <c r="S3" s="316" t="str">
        <f>FROTA!BV10</f>
        <v>Comil</v>
      </c>
      <c r="T3" s="316" t="str">
        <f>FROTA!BV11</f>
        <v>AMD</v>
      </c>
      <c r="U3" s="317" t="str">
        <f>FROTA!BV12</f>
        <v>BepoBus</v>
      </c>
      <c r="V3" s="767" t="s">
        <v>299</v>
      </c>
      <c r="Y3" s="573">
        <f ca="1">AY2</f>
        <v>2026</v>
      </c>
      <c r="Z3" s="575">
        <f>[1]REMUNERABILIDADE!$T$9</f>
        <v>0.1</v>
      </c>
      <c r="AB3" s="573">
        <f ca="1">AY2</f>
        <v>2026</v>
      </c>
      <c r="AC3" s="575">
        <f>Z3/1.125</f>
        <v>8.8888888888888892E-2</v>
      </c>
      <c r="AE3" s="573">
        <f ca="1">AY2</f>
        <v>2026</v>
      </c>
      <c r="AF3" s="575">
        <f>AC3/1.125</f>
        <v>7.9012345679012344E-2</v>
      </c>
      <c r="AH3" s="573">
        <f ca="1">AY2</f>
        <v>2026</v>
      </c>
      <c r="AI3" s="575">
        <f t="shared" ref="AI3:AI35" si="2">AF3/1.125</f>
        <v>7.0233196159122088E-2</v>
      </c>
      <c r="AK3" s="573">
        <f ca="1">AY2</f>
        <v>2026</v>
      </c>
      <c r="AL3" s="575">
        <f t="shared" ref="AL3:AL35" si="3">AI3/1.125</f>
        <v>6.2429507696997413E-2</v>
      </c>
      <c r="AN3" s="573">
        <f ca="1">AY2</f>
        <v>2026</v>
      </c>
      <c r="AO3" s="575">
        <f t="shared" ref="AO3:AO35" si="4">AL3/1.125</f>
        <v>5.549289573066437E-2</v>
      </c>
      <c r="AQ3" s="573">
        <f ca="1">AY2</f>
        <v>2026</v>
      </c>
      <c r="AR3" s="575">
        <f t="shared" ref="AR3:AR35" si="5">AO3/1.125</f>
        <v>4.9327018427257216E-2</v>
      </c>
      <c r="BA3" s="581">
        <v>44836</v>
      </c>
      <c r="BB3" s="582">
        <v>2023</v>
      </c>
    </row>
    <row r="4" spans="2:54" ht="32.25" customHeight="1" thickBot="1" x14ac:dyDescent="0.25">
      <c r="B4" s="773"/>
      <c r="C4" s="773"/>
      <c r="D4" s="773"/>
      <c r="E4" s="772"/>
      <c r="F4" s="771"/>
      <c r="G4" s="769"/>
      <c r="H4" s="518" t="s">
        <v>225</v>
      </c>
      <c r="I4" s="519" t="s">
        <v>225</v>
      </c>
      <c r="J4" s="519" t="s">
        <v>225</v>
      </c>
      <c r="K4" s="519" t="s">
        <v>225</v>
      </c>
      <c r="L4" s="519" t="s">
        <v>225</v>
      </c>
      <c r="M4" s="774" t="s">
        <v>225</v>
      </c>
      <c r="N4" s="775"/>
      <c r="O4" s="520" t="s">
        <v>225</v>
      </c>
      <c r="P4" s="297" t="s">
        <v>225</v>
      </c>
      <c r="Q4" s="297" t="s">
        <v>225</v>
      </c>
      <c r="R4" s="297" t="s">
        <v>225</v>
      </c>
      <c r="S4" s="297" t="s">
        <v>225</v>
      </c>
      <c r="T4" s="297" t="s">
        <v>225</v>
      </c>
      <c r="U4" s="310" t="s">
        <v>225</v>
      </c>
      <c r="V4" s="767"/>
      <c r="W4" s="238" t="s">
        <v>30</v>
      </c>
      <c r="Y4" s="573">
        <f ca="1">Y3-1</f>
        <v>2025</v>
      </c>
      <c r="Z4" s="575">
        <f>Z3+0.85%</f>
        <v>0.10850000000000001</v>
      </c>
      <c r="AB4" s="573">
        <f ca="1">AB3-1</f>
        <v>2025</v>
      </c>
      <c r="AC4" s="575">
        <f t="shared" ref="AC4:AC35" si="6">Z4/1.125</f>
        <v>9.6444444444444458E-2</v>
      </c>
      <c r="AE4" s="573">
        <f ca="1">AE3-1</f>
        <v>2025</v>
      </c>
      <c r="AF4" s="575">
        <f t="shared" ref="AF4:AF35" si="7">AC4/1.125</f>
        <v>8.5728395061728413E-2</v>
      </c>
      <c r="AH4" s="573">
        <f ca="1">AH3-1</f>
        <v>2025</v>
      </c>
      <c r="AI4" s="575">
        <f t="shared" si="2"/>
        <v>7.6203017832647477E-2</v>
      </c>
      <c r="AK4" s="573">
        <f ca="1">AK3-1</f>
        <v>2025</v>
      </c>
      <c r="AL4" s="575">
        <f t="shared" si="3"/>
        <v>6.7736015851242198E-2</v>
      </c>
      <c r="AN4" s="573">
        <f ca="1">AN3-1</f>
        <v>2025</v>
      </c>
      <c r="AO4" s="575">
        <f t="shared" si="4"/>
        <v>6.020979186777084E-2</v>
      </c>
      <c r="AQ4" s="573">
        <f ca="1">AQ3-1</f>
        <v>2025</v>
      </c>
      <c r="AR4" s="575">
        <f t="shared" si="5"/>
        <v>5.3519814993574083E-2</v>
      </c>
      <c r="BA4" s="581">
        <v>44837</v>
      </c>
      <c r="BB4" s="582">
        <v>2023</v>
      </c>
    </row>
    <row r="5" spans="2:54" ht="15" customHeight="1" x14ac:dyDescent="0.2">
      <c r="B5" s="192" t="str">
        <f>IF(FROTA!B6="","",FROTA!B6)</f>
        <v/>
      </c>
      <c r="C5" s="192" t="str">
        <f>IF(B5="","",FROTA!Z6)</f>
        <v/>
      </c>
      <c r="D5" s="192" t="str">
        <f>IF(B5="","",VLOOKUP(B5,FROTA!$B$5:$C$310,2,0))</f>
        <v/>
      </c>
      <c r="E5" s="233" t="str">
        <f>IF(D5="","",VLOOKUP(D5,ESCALA!$B$3:$H$19,7,0))</f>
        <v/>
      </c>
      <c r="F5" s="219" t="s">
        <v>222</v>
      </c>
      <c r="G5" s="305" t="str">
        <f>IF(W5="",IF(X5="","",X5),W5)</f>
        <v/>
      </c>
      <c r="H5" s="314" t="str">
        <f>IF($B5="","",IF(H$4="NÃO",0,IF(VLOOKUP($B5,FROTA!$B$5:$R$305,17,0)=H$3,0.02,0)))</f>
        <v/>
      </c>
      <c r="I5" s="193" t="str">
        <f>IF($B5="","",IF(I$4="NÃO",0,IF(VLOOKUP($B5,FROTA!$B$5:$R$305,17,0)=I$3,0.02,0)))</f>
        <v/>
      </c>
      <c r="J5" s="193" t="str">
        <f>IF($B5="","",IF(J$4="NÃO",0,IF(VLOOKUP($B5,FROTA!$B$5:$R$305,17,0)=J$3,0.02,0)))</f>
        <v/>
      </c>
      <c r="K5" s="193" t="str">
        <f>IF($B5="","",IF(K$4="NÃO",0,IF(VLOOKUP($B5,FROTA!$B$5:$R$305,17,0)=K$3,0.02,0)))</f>
        <v/>
      </c>
      <c r="L5" s="193" t="str">
        <f>IF($B5="","",IF(L$4="NÃO",0,IF(VLOOKUP($B5,FROTA!$B$5:$R$305,17,0)=L$3,0.02,0)))</f>
        <v/>
      </c>
      <c r="M5" s="193" t="str">
        <f>IF($B5="","",IF(M$4="NÃO",0,IF(VLOOKUP($B5,FROTA!$B$5:$R$305,17,0)=M$3,0.02,0)))</f>
        <v/>
      </c>
      <c r="N5" s="193" t="str">
        <f>IF($B5="","",IF(M$4="NÃO",0,IF(VLOOKUP($B5,FROTA!$B$5:$R$305,17,0)=N$3,0.02,0)))</f>
        <v/>
      </c>
      <c r="O5" s="311" t="str">
        <f>IF($B5="","",IF(O$4="NÃO",0,IF(VLOOKUP($B5,FROTA!$B$5:$R$305,10,0)=O$3,0.01,0)))</f>
        <v/>
      </c>
      <c r="P5" s="307" t="str">
        <f>IF($B5="","",IF(P$4="NÃO",0,IF(VLOOKUP($B5,FROTA!$B$5:$R$305,10,0)=P$3,0.01,0)))</f>
        <v/>
      </c>
      <c r="Q5" s="307" t="str">
        <f>IF($B5="","",IF(Q$4="NÃO",0,IF(VLOOKUP($B5,FROTA!$B$5:$R$305,10,0)=Q$3,0.01,0)))</f>
        <v/>
      </c>
      <c r="R5" s="307" t="str">
        <f>IF($B5="","",IF(R$4="NÃO",0,IF(VLOOKUP($B5,FROTA!$B$5:$R$305,10,0)=R$3,0.01,0)))</f>
        <v/>
      </c>
      <c r="S5" s="307" t="str">
        <f>IF($B5="","",IF(S$4="NÃO",0,IF(VLOOKUP($B5,FROTA!$B$5:$R$305,10,0)=S$3,0.01,0)))</f>
        <v/>
      </c>
      <c r="T5" s="307" t="str">
        <f>IF($B5="","",IF(T$4="NÃO",0,IF(VLOOKUP($B5,FROTA!$B$5:$R$305,10,0)=T$3,0.01,0)))</f>
        <v/>
      </c>
      <c r="U5" s="307" t="str">
        <f>IF($B5="","",IF(U$4="NÃO",0,IF(VLOOKUP($B5,FROTA!$B$5:$R$305,10,0)=U$3,0.01,0)))</f>
        <v/>
      </c>
      <c r="V5" s="306" t="str">
        <f>IF(B5="","",IF(G5="","",IF(G5-SUM(H5:U5)&lt;0,0,G5-SUM(H5:U5))))</f>
        <v/>
      </c>
      <c r="W5" s="238" t="str">
        <f>IF($E5="","",IF($E5="",0,IF($E5=0,AVERAGE(F5,0.8),IF($E5=1,AVERAGE(F5,VLOOKUP($C5,$Y$1:$Z$35,2,0)),IF($E5=2,AVERAGE(F5,VLOOKUP($C5,$AB$1:$AC$35,2,0)),IF($E5=3,AVERAGE(F5,VLOOKUP($C5,$AE$1:$AF$35,2,0)),""))))))</f>
        <v/>
      </c>
      <c r="X5" s="576" t="str">
        <f>IF(E5="","",IF(E5=4,AVERAGE(F5,VLOOKUP(C5,$AH$1:$AI$35,2,0)),IF(E5=5,AVERAGE(F5,VLOOKUP(C5,$AK$1:$AL$35,2,0)),IF(E5=6,AVERAGE(F5,VLOOKUP(C5,$AN$1:$AO$35,2,0)),IF(E5&gt;=7,AVERAGE(F5,VLOOKUP(C5,$AQ$1:$AR$35,2,0)),"")))))</f>
        <v/>
      </c>
      <c r="Y5" s="573">
        <f t="shared" ref="Y5:Y35" ca="1" si="8">Y4-1</f>
        <v>2024</v>
      </c>
      <c r="Z5" s="575">
        <f t="shared" ref="Z5:Z35" si="9">Z4+0.85%</f>
        <v>0.11700000000000002</v>
      </c>
      <c r="AB5" s="573">
        <f t="shared" ref="AB5:AB35" ca="1" si="10">AB4-1</f>
        <v>2024</v>
      </c>
      <c r="AC5" s="575">
        <f>Z5/1.125</f>
        <v>0.10400000000000002</v>
      </c>
      <c r="AE5" s="573">
        <f t="shared" ref="AE5:AE35" ca="1" si="11">AE4-1</f>
        <v>2024</v>
      </c>
      <c r="AF5" s="575">
        <f>AC5/1.125</f>
        <v>9.2444444444444468E-2</v>
      </c>
      <c r="AH5" s="573">
        <f t="shared" ref="AH5:AH35" ca="1" si="12">AH4-1</f>
        <v>2024</v>
      </c>
      <c r="AI5" s="575">
        <f t="shared" si="2"/>
        <v>8.2172839506172865E-2</v>
      </c>
      <c r="AK5" s="573">
        <f t="shared" ref="AK5:AK35" ca="1" si="13">AK4-1</f>
        <v>2024</v>
      </c>
      <c r="AL5" s="575">
        <f t="shared" si="3"/>
        <v>7.3042524005486997E-2</v>
      </c>
      <c r="AN5" s="573">
        <f t="shared" ref="AN5:AN35" ca="1" si="14">AN4-1</f>
        <v>2024</v>
      </c>
      <c r="AO5" s="575">
        <f t="shared" si="4"/>
        <v>6.4926688004877331E-2</v>
      </c>
      <c r="AQ5" s="573">
        <f t="shared" ref="AQ5:AQ35" ca="1" si="15">AQ4-1</f>
        <v>2024</v>
      </c>
      <c r="AR5" s="575">
        <f t="shared" si="5"/>
        <v>5.7712611559890964E-2</v>
      </c>
      <c r="BA5" s="581">
        <v>44838</v>
      </c>
      <c r="BB5" s="582">
        <v>2023</v>
      </c>
    </row>
    <row r="6" spans="2:54" ht="15" customHeight="1" x14ac:dyDescent="0.2">
      <c r="B6" s="192" t="str">
        <f>IF(FROTA!B7="","",FROTA!B7)</f>
        <v/>
      </c>
      <c r="C6" s="192" t="str">
        <f>IF(B6="","",FROTA!Z7)</f>
        <v/>
      </c>
      <c r="D6" s="192" t="str">
        <f>IF(B6="","",VLOOKUP(B6,FROTA!$B$5:$C$310,2,0))</f>
        <v/>
      </c>
      <c r="E6" s="233" t="str">
        <f>IF(D6="","",VLOOKUP(D6,ESCALA!$B$3:$H$19,7,0))</f>
        <v/>
      </c>
      <c r="F6" s="219" t="s">
        <v>222</v>
      </c>
      <c r="G6" s="305" t="str">
        <f t="shared" ref="G6:G69" si="16">IF(W6="",IF(X6="","",X6),W6)</f>
        <v/>
      </c>
      <c r="H6" s="314" t="str">
        <f>IF($B6="","",IF(H$4="NÃO",0,IF(VLOOKUP($B6,FROTA!$B$5:$R$305,17,0)=H$3,0.02,0)))</f>
        <v/>
      </c>
      <c r="I6" s="193" t="str">
        <f>IF($B6="","",IF(I$4="NÃO",0,IF(VLOOKUP($B6,FROTA!$B$5:$R$305,17,0)=I$3,0.02,0)))</f>
        <v/>
      </c>
      <c r="J6" s="193" t="str">
        <f>IF($B6="","",IF(J$4="NÃO",0,IF(VLOOKUP($B6,FROTA!$B$5:$R$305,17,0)=J$3,0.02,0)))</f>
        <v/>
      </c>
      <c r="K6" s="193" t="str">
        <f>IF($B6="","",IF(K$4="NÃO",0,IF(VLOOKUP($B6,FROTA!$B$5:$R$305,17,0)=K$3,0.02,0)))</f>
        <v/>
      </c>
      <c r="L6" s="193" t="str">
        <f>IF($B6="","",IF(L$4="NÃO",0,IF(VLOOKUP($B6,FROTA!$B$5:$R$305,17,0)=L$3,0.02,0)))</f>
        <v/>
      </c>
      <c r="M6" s="193" t="str">
        <f>IF($B6="","",IF(M$4="NÃO",0,IF(VLOOKUP($B6,FROTA!$B$5:$R$305,17,0)=M$3,0.02,0)))</f>
        <v/>
      </c>
      <c r="N6" s="193" t="str">
        <f>IF($B6="","",IF(M$4="NÃO",0,IF(VLOOKUP($B6,FROTA!$B$5:$R$305,17,0)=N$3,0.02,0)))</f>
        <v/>
      </c>
      <c r="O6" s="311" t="str">
        <f>IF($B6="","",IF(O$4="NÃO",0,IF(VLOOKUP($B6,FROTA!$B$5:$R$305,10,0)=O$3,0.01,0)))</f>
        <v/>
      </c>
      <c r="P6" s="307" t="str">
        <f>IF($B6="","",IF(P$4="NÃO",0,IF(VLOOKUP($B6,FROTA!$B$5:$R$305,10,0)=P$3,0.01,0)))</f>
        <v/>
      </c>
      <c r="Q6" s="307" t="str">
        <f>IF($B6="","",IF(Q$4="NÃO",0,IF(VLOOKUP($B6,FROTA!$B$5:$R$305,10,0)=Q$3,0.01,0)))</f>
        <v/>
      </c>
      <c r="R6" s="307" t="str">
        <f>IF($B6="","",IF(R$4="NÃO",0,IF(VLOOKUP($B6,FROTA!$B$5:$R$305,10,0)=R$3,0.01,0)))</f>
        <v/>
      </c>
      <c r="S6" s="307" t="str">
        <f>IF($B6="","",IF(S$4="NÃO",0,IF(VLOOKUP($B6,FROTA!$B$5:$R$305,10,0)=S$3,0.01,0)))</f>
        <v/>
      </c>
      <c r="T6" s="307" t="str">
        <f>IF($B6="","",IF(T$4="NÃO",0,IF(VLOOKUP($B6,FROTA!$B$5:$R$305,10,0)=T$3,0.01,0)))</f>
        <v/>
      </c>
      <c r="U6" s="307" t="str">
        <f>IF($B6="","",IF(U$4="NÃO",0,IF(VLOOKUP($B6,FROTA!$B$5:$R$305,10,0)=U$3,0.01,0)))</f>
        <v/>
      </c>
      <c r="V6" s="306" t="str">
        <f t="shared" ref="V6:V69" si="17">IF(B6="","",IF(G6="","",IF(G6-SUM(H6:U6)&lt;0,0,G6-SUM(H6:U6))))</f>
        <v/>
      </c>
      <c r="W6" s="238" t="str">
        <f t="shared" ref="W6:W68" si="18">IF($E6="","",IF($E6="",0,IF($E6=0,AVERAGE(F6,0.8),IF($E6=1,AVERAGE(F6,VLOOKUP($C6,$Y$1:$Z$30,2,0)),IF($E6=2,AVERAGE(F6,VLOOKUP($C6,$AB$1:$AC$30,2,0)),IF($E6=3,AVERAGE(F6,VLOOKUP($C6,$AE$1:$AF$30,2,0)),""))))))</f>
        <v/>
      </c>
      <c r="X6" s="576" t="str">
        <f t="shared" ref="X6:X69" si="19">IF(E6="","",IF(E6=4,AVERAGE(F6,VLOOKUP(C6,$AH$1:$AI$30,2,0)),IF(E6=5,AVERAGE(F6,VLOOKUP(C6,$AK$1:$AL$30,2,0)),IF(E6=6,AVERAGE(F6,VLOOKUP(C6,$AN$1:$AO$30,2,0)),IF(E6&gt;=7,AVERAGE(F6,VLOOKUP(C6,$AQ$1:$AR$30,2,0)),"")))))</f>
        <v/>
      </c>
      <c r="Y6" s="573">
        <f t="shared" ca="1" si="8"/>
        <v>2023</v>
      </c>
      <c r="Z6" s="575">
        <f t="shared" si="9"/>
        <v>0.12550000000000003</v>
      </c>
      <c r="AB6" s="573">
        <f t="shared" ca="1" si="10"/>
        <v>2023</v>
      </c>
      <c r="AC6" s="575">
        <f t="shared" si="6"/>
        <v>0.11155555555555557</v>
      </c>
      <c r="AE6" s="573">
        <f t="shared" ca="1" si="11"/>
        <v>2023</v>
      </c>
      <c r="AF6" s="575">
        <f t="shared" si="7"/>
        <v>9.9160493827160509E-2</v>
      </c>
      <c r="AH6" s="573">
        <f t="shared" ca="1" si="12"/>
        <v>2023</v>
      </c>
      <c r="AI6" s="575">
        <f t="shared" si="2"/>
        <v>8.8142661179698226E-2</v>
      </c>
      <c r="AK6" s="573">
        <f t="shared" ca="1" si="13"/>
        <v>2023</v>
      </c>
      <c r="AL6" s="575">
        <f t="shared" si="3"/>
        <v>7.8349032159731755E-2</v>
      </c>
      <c r="AN6" s="573">
        <f t="shared" ca="1" si="14"/>
        <v>2023</v>
      </c>
      <c r="AO6" s="575">
        <f t="shared" si="4"/>
        <v>6.964358414198378E-2</v>
      </c>
      <c r="AQ6" s="573">
        <f t="shared" ca="1" si="15"/>
        <v>2023</v>
      </c>
      <c r="AR6" s="575">
        <f t="shared" si="5"/>
        <v>6.1905408126207803E-2</v>
      </c>
      <c r="BA6" s="581">
        <v>44839</v>
      </c>
      <c r="BB6" s="582">
        <v>2023</v>
      </c>
    </row>
    <row r="7" spans="2:54" ht="15" customHeight="1" x14ac:dyDescent="0.2">
      <c r="B7" s="192" t="str">
        <f>IF(FROTA!B8="","",FROTA!B8)</f>
        <v/>
      </c>
      <c r="C7" s="192" t="str">
        <f>IF(B7="","",FROTA!Z8)</f>
        <v/>
      </c>
      <c r="D7" s="192" t="str">
        <f>IF(B7="","",VLOOKUP(B7,FROTA!$B$5:$C$310,2,0))</f>
        <v/>
      </c>
      <c r="E7" s="233" t="str">
        <f>IF(D7="","",VLOOKUP(D7,ESCALA!$B$3:$H$19,7,0))</f>
        <v/>
      </c>
      <c r="F7" s="219" t="s">
        <v>222</v>
      </c>
      <c r="G7" s="305" t="str">
        <f t="shared" si="16"/>
        <v/>
      </c>
      <c r="H7" s="314" t="str">
        <f>IF($B7="","",IF(H$4="NÃO",0,IF(VLOOKUP($B7,FROTA!$B$5:$R$305,17,0)=H$3,0.02,0)))</f>
        <v/>
      </c>
      <c r="I7" s="193" t="str">
        <f>IF($B7="","",IF(I$4="NÃO",0,IF(VLOOKUP($B7,FROTA!$B$5:$R$305,17,0)=I$3,0.02,0)))</f>
        <v/>
      </c>
      <c r="J7" s="193" t="str">
        <f>IF($B7="","",IF(J$4="NÃO",0,IF(VLOOKUP($B7,FROTA!$B$5:$R$305,17,0)=J$3,0.02,0)))</f>
        <v/>
      </c>
      <c r="K7" s="193" t="str">
        <f>IF($B7="","",IF(K$4="NÃO",0,IF(VLOOKUP($B7,FROTA!$B$5:$R$305,17,0)=K$3,0.02,0)))</f>
        <v/>
      </c>
      <c r="L7" s="193" t="str">
        <f>IF($B7="","",IF(L$4="NÃO",0,IF(VLOOKUP($B7,FROTA!$B$5:$R$305,17,0)=L$3,0.02,0)))</f>
        <v/>
      </c>
      <c r="M7" s="193" t="str">
        <f>IF($B7="","",IF(M$4="NÃO",0,IF(VLOOKUP($B7,FROTA!$B$5:$R$305,17,0)=M$3,0.02,0)))</f>
        <v/>
      </c>
      <c r="N7" s="193" t="str">
        <f>IF($B7="","",IF(M$4="NÃO",0,IF(VLOOKUP($B7,FROTA!$B$5:$R$305,17,0)=N$3,0.02,0)))</f>
        <v/>
      </c>
      <c r="O7" s="311" t="str">
        <f>IF($B7="","",IF(O$4="NÃO",0,IF(VLOOKUP($B7,FROTA!$B$5:$R$305,10,0)=O$3,0.01,0)))</f>
        <v/>
      </c>
      <c r="P7" s="307" t="str">
        <f>IF($B7="","",IF(P$4="NÃO",0,IF(VLOOKUP($B7,FROTA!$B$5:$R$305,10,0)=P$3,0.01,0)))</f>
        <v/>
      </c>
      <c r="Q7" s="307" t="str">
        <f>IF($B7="","",IF(Q$4="NÃO",0,IF(VLOOKUP($B7,FROTA!$B$5:$R$305,10,0)=Q$3,0.01,0)))</f>
        <v/>
      </c>
      <c r="R7" s="307" t="str">
        <f>IF($B7="","",IF(R$4="NÃO",0,IF(VLOOKUP($B7,FROTA!$B$5:$R$305,10,0)=R$3,0.01,0)))</f>
        <v/>
      </c>
      <c r="S7" s="307" t="str">
        <f>IF($B7="","",IF(S$4="NÃO",0,IF(VLOOKUP($B7,FROTA!$B$5:$R$305,10,0)=S$3,0.01,0)))</f>
        <v/>
      </c>
      <c r="T7" s="307" t="str">
        <f>IF($B7="","",IF(T$4="NÃO",0,IF(VLOOKUP($B7,FROTA!$B$5:$R$305,10,0)=T$3,0.01,0)))</f>
        <v/>
      </c>
      <c r="U7" s="307" t="str">
        <f>IF($B7="","",IF(U$4="NÃO",0,IF(VLOOKUP($B7,FROTA!$B$5:$R$305,10,0)=U$3,0.01,0)))</f>
        <v/>
      </c>
      <c r="V7" s="306" t="str">
        <f t="shared" si="17"/>
        <v/>
      </c>
      <c r="W7" s="238" t="str">
        <f t="shared" si="18"/>
        <v/>
      </c>
      <c r="X7" s="576" t="str">
        <f t="shared" si="19"/>
        <v/>
      </c>
      <c r="Y7" s="573">
        <f t="shared" ca="1" si="8"/>
        <v>2022</v>
      </c>
      <c r="Z7" s="575">
        <f t="shared" si="9"/>
        <v>0.13400000000000004</v>
      </c>
      <c r="AB7" s="573">
        <f t="shared" ca="1" si="10"/>
        <v>2022</v>
      </c>
      <c r="AC7" s="575">
        <f t="shared" si="6"/>
        <v>0.11911111111111114</v>
      </c>
      <c r="AE7" s="573">
        <f t="shared" ca="1" si="11"/>
        <v>2022</v>
      </c>
      <c r="AF7" s="575">
        <f t="shared" si="7"/>
        <v>0.10587654320987656</v>
      </c>
      <c r="AH7" s="573">
        <f t="shared" ca="1" si="12"/>
        <v>2022</v>
      </c>
      <c r="AI7" s="575">
        <f t="shared" si="2"/>
        <v>9.4112482853223614E-2</v>
      </c>
      <c r="AK7" s="573">
        <f t="shared" ca="1" si="13"/>
        <v>2022</v>
      </c>
      <c r="AL7" s="575">
        <f t="shared" si="3"/>
        <v>8.365554031397654E-2</v>
      </c>
      <c r="AN7" s="573">
        <f t="shared" ca="1" si="14"/>
        <v>2022</v>
      </c>
      <c r="AO7" s="575">
        <f t="shared" si="4"/>
        <v>7.4360480279090257E-2</v>
      </c>
      <c r="AQ7" s="573">
        <f t="shared" ca="1" si="15"/>
        <v>2022</v>
      </c>
      <c r="AR7" s="575">
        <f t="shared" si="5"/>
        <v>6.609820469252467E-2</v>
      </c>
      <c r="BA7" s="581">
        <v>44840</v>
      </c>
      <c r="BB7" s="582">
        <v>2023</v>
      </c>
    </row>
    <row r="8" spans="2:54" ht="15" customHeight="1" x14ac:dyDescent="0.2">
      <c r="B8" s="192" t="str">
        <f>IF(FROTA!B9="","",FROTA!B9)</f>
        <v/>
      </c>
      <c r="C8" s="192" t="str">
        <f>IF(B8="","",FROTA!Z9)</f>
        <v/>
      </c>
      <c r="D8" s="192" t="str">
        <f>IF(B8="","",VLOOKUP(B8,FROTA!$B$5:$C$310,2,0))</f>
        <v/>
      </c>
      <c r="E8" s="233" t="str">
        <f>IF(D8="","",VLOOKUP(D8,ESCALA!$B$3:$H$19,7,0))</f>
        <v/>
      </c>
      <c r="F8" s="219" t="s">
        <v>222</v>
      </c>
      <c r="G8" s="305" t="str">
        <f t="shared" si="16"/>
        <v/>
      </c>
      <c r="H8" s="314" t="str">
        <f>IF($B8="","",IF(H$4="NÃO",0,IF(VLOOKUP($B8,FROTA!$B$5:$R$305,17,0)=H$3,0.02,0)))</f>
        <v/>
      </c>
      <c r="I8" s="193" t="str">
        <f>IF($B8="","",IF(I$4="NÃO",0,IF(VLOOKUP($B8,FROTA!$B$5:$R$305,17,0)=I$3,0.02,0)))</f>
        <v/>
      </c>
      <c r="J8" s="193" t="str">
        <f>IF($B8="","",IF(J$4="NÃO",0,IF(VLOOKUP($B8,FROTA!$B$5:$R$305,17,0)=J$3,0.02,0)))</f>
        <v/>
      </c>
      <c r="K8" s="193" t="str">
        <f>IF($B8="","",IF(K$4="NÃO",0,IF(VLOOKUP($B8,FROTA!$B$5:$R$305,17,0)=K$3,0.02,0)))</f>
        <v/>
      </c>
      <c r="L8" s="193" t="str">
        <f>IF($B8="","",IF(L$4="NÃO",0,IF(VLOOKUP($B8,FROTA!$B$5:$R$305,17,0)=L$3,0.02,0)))</f>
        <v/>
      </c>
      <c r="M8" s="193" t="str">
        <f>IF($B8="","",IF(M$4="NÃO",0,IF(VLOOKUP($B8,FROTA!$B$5:$R$305,17,0)=M$3,0.02,0)))</f>
        <v/>
      </c>
      <c r="N8" s="193" t="str">
        <f>IF($B8="","",IF(M$4="NÃO",0,IF(VLOOKUP($B8,FROTA!$B$5:$R$305,17,0)=N$3,0.02,0)))</f>
        <v/>
      </c>
      <c r="O8" s="311" t="str">
        <f>IF($B8="","",IF(O$4="NÃO",0,IF(VLOOKUP($B8,FROTA!$B$5:$R$305,10,0)=O$3,0.01,0)))</f>
        <v/>
      </c>
      <c r="P8" s="307" t="str">
        <f>IF($B8="","",IF(P$4="NÃO",0,IF(VLOOKUP($B8,FROTA!$B$5:$R$305,10,0)=P$3,0.01,0)))</f>
        <v/>
      </c>
      <c r="Q8" s="307" t="str">
        <f>IF($B8="","",IF(Q$4="NÃO",0,IF(VLOOKUP($B8,FROTA!$B$5:$R$305,10,0)=Q$3,0.01,0)))</f>
        <v/>
      </c>
      <c r="R8" s="307" t="str">
        <f>IF($B8="","",IF(R$4="NÃO",0,IF(VLOOKUP($B8,FROTA!$B$5:$R$305,10,0)=R$3,0.01,0)))</f>
        <v/>
      </c>
      <c r="S8" s="307" t="str">
        <f>IF($B8="","",IF(S$4="NÃO",0,IF(VLOOKUP($B8,FROTA!$B$5:$R$305,10,0)=S$3,0.01,0)))</f>
        <v/>
      </c>
      <c r="T8" s="307" t="str">
        <f>IF($B8="","",IF(T$4="NÃO",0,IF(VLOOKUP($B8,FROTA!$B$5:$R$305,10,0)=T$3,0.01,0)))</f>
        <v/>
      </c>
      <c r="U8" s="307" t="str">
        <f>IF($B8="","",IF(U$4="NÃO",0,IF(VLOOKUP($B8,FROTA!$B$5:$R$305,10,0)=U$3,0.01,0)))</f>
        <v/>
      </c>
      <c r="V8" s="306" t="str">
        <f t="shared" si="17"/>
        <v/>
      </c>
      <c r="W8" s="238" t="str">
        <f t="shared" si="18"/>
        <v/>
      </c>
      <c r="X8" s="576" t="str">
        <f t="shared" si="19"/>
        <v/>
      </c>
      <c r="Y8" s="573">
        <f t="shared" ca="1" si="8"/>
        <v>2021</v>
      </c>
      <c r="Z8" s="575">
        <f t="shared" si="9"/>
        <v>0.14250000000000004</v>
      </c>
      <c r="AB8" s="573">
        <f t="shared" ca="1" si="10"/>
        <v>2021</v>
      </c>
      <c r="AC8" s="575">
        <f t="shared" si="6"/>
        <v>0.12666666666666671</v>
      </c>
      <c r="AE8" s="573">
        <f t="shared" ca="1" si="11"/>
        <v>2021</v>
      </c>
      <c r="AF8" s="575">
        <f t="shared" si="7"/>
        <v>0.11259259259259263</v>
      </c>
      <c r="AH8" s="573">
        <f t="shared" ca="1" si="12"/>
        <v>2021</v>
      </c>
      <c r="AI8" s="575">
        <f t="shared" si="2"/>
        <v>0.100082304526749</v>
      </c>
      <c r="AK8" s="573">
        <f t="shared" ca="1" si="13"/>
        <v>2021</v>
      </c>
      <c r="AL8" s="575">
        <f t="shared" si="3"/>
        <v>8.8962048468221339E-2</v>
      </c>
      <c r="AN8" s="573">
        <f t="shared" ca="1" si="14"/>
        <v>2021</v>
      </c>
      <c r="AO8" s="575">
        <f t="shared" si="4"/>
        <v>7.9077376416196749E-2</v>
      </c>
      <c r="AQ8" s="573">
        <f t="shared" ca="1" si="15"/>
        <v>2021</v>
      </c>
      <c r="AR8" s="575">
        <f t="shared" si="5"/>
        <v>7.0291001258841551E-2</v>
      </c>
      <c r="BA8" s="581">
        <v>44841</v>
      </c>
      <c r="BB8" s="582">
        <v>2023</v>
      </c>
    </row>
    <row r="9" spans="2:54" ht="15" customHeight="1" x14ac:dyDescent="0.2">
      <c r="B9" s="192" t="str">
        <f>IF(FROTA!B10="","",FROTA!B10)</f>
        <v/>
      </c>
      <c r="C9" s="192" t="str">
        <f>IF(B9="","",FROTA!Z10)</f>
        <v/>
      </c>
      <c r="D9" s="192" t="str">
        <f>IF(B9="","",VLOOKUP(B9,FROTA!$B$5:$C$310,2,0))</f>
        <v/>
      </c>
      <c r="E9" s="233" t="str">
        <f>IF(D9="","",VLOOKUP(D9,ESCALA!$B$3:$H$19,7,0))</f>
        <v/>
      </c>
      <c r="F9" s="219" t="s">
        <v>222</v>
      </c>
      <c r="G9" s="305" t="str">
        <f t="shared" si="16"/>
        <v/>
      </c>
      <c r="H9" s="314" t="str">
        <f>IF($B9="","",IF(H$4="NÃO",0,IF(VLOOKUP($B9,FROTA!$B$5:$R$305,17,0)=H$3,0.02,0)))</f>
        <v/>
      </c>
      <c r="I9" s="193" t="str">
        <f>IF($B9="","",IF(I$4="NÃO",0,IF(VLOOKUP($B9,FROTA!$B$5:$R$305,17,0)=I$3,0.02,0)))</f>
        <v/>
      </c>
      <c r="J9" s="193" t="str">
        <f>IF($B9="","",IF(J$4="NÃO",0,IF(VLOOKUP($B9,FROTA!$B$5:$R$305,17,0)=J$3,0.02,0)))</f>
        <v/>
      </c>
      <c r="K9" s="193" t="str">
        <f>IF($B9="","",IF(K$4="NÃO",0,IF(VLOOKUP($B9,FROTA!$B$5:$R$305,17,0)=K$3,0.02,0)))</f>
        <v/>
      </c>
      <c r="L9" s="193" t="str">
        <f>IF($B9="","",IF(L$4="NÃO",0,IF(VLOOKUP($B9,FROTA!$B$5:$R$305,17,0)=L$3,0.02,0)))</f>
        <v/>
      </c>
      <c r="M9" s="193" t="str">
        <f>IF($B9="","",IF(M$4="NÃO",0,IF(VLOOKUP($B9,FROTA!$B$5:$R$305,17,0)=M$3,0.02,0)))</f>
        <v/>
      </c>
      <c r="N9" s="193" t="str">
        <f>IF($B9="","",IF(M$4="NÃO",0,IF(VLOOKUP($B9,FROTA!$B$5:$R$305,17,0)=N$3,0.02,0)))</f>
        <v/>
      </c>
      <c r="O9" s="311" t="str">
        <f>IF($B9="","",IF(O$4="NÃO",0,IF(VLOOKUP($B9,FROTA!$B$5:$R$305,10,0)=O$3,0.01,0)))</f>
        <v/>
      </c>
      <c r="P9" s="307" t="str">
        <f>IF($B9="","",IF(P$4="NÃO",0,IF(VLOOKUP($B9,FROTA!$B$5:$R$305,10,0)=P$3,0.01,0)))</f>
        <v/>
      </c>
      <c r="Q9" s="307" t="str">
        <f>IF($B9="","",IF(Q$4="NÃO",0,IF(VLOOKUP($B9,FROTA!$B$5:$R$305,10,0)=Q$3,0.01,0)))</f>
        <v/>
      </c>
      <c r="R9" s="307" t="str">
        <f>IF($B9="","",IF(R$4="NÃO",0,IF(VLOOKUP($B9,FROTA!$B$5:$R$305,10,0)=R$3,0.01,0)))</f>
        <v/>
      </c>
      <c r="S9" s="307" t="str">
        <f>IF($B9="","",IF(S$4="NÃO",0,IF(VLOOKUP($B9,FROTA!$B$5:$R$305,10,0)=S$3,0.01,0)))</f>
        <v/>
      </c>
      <c r="T9" s="307" t="str">
        <f>IF($B9="","",IF(T$4="NÃO",0,IF(VLOOKUP($B9,FROTA!$B$5:$R$305,10,0)=T$3,0.01,0)))</f>
        <v/>
      </c>
      <c r="U9" s="307" t="str">
        <f>IF($B9="","",IF(U$4="NÃO",0,IF(VLOOKUP($B9,FROTA!$B$5:$R$305,10,0)=U$3,0.01,0)))</f>
        <v/>
      </c>
      <c r="V9" s="306" t="str">
        <f t="shared" si="17"/>
        <v/>
      </c>
      <c r="W9" s="238" t="str">
        <f t="shared" si="18"/>
        <v/>
      </c>
      <c r="X9" s="576" t="str">
        <f t="shared" si="19"/>
        <v/>
      </c>
      <c r="Y9" s="573">
        <f t="shared" ca="1" si="8"/>
        <v>2020</v>
      </c>
      <c r="Z9" s="575">
        <f t="shared" si="9"/>
        <v>0.15100000000000005</v>
      </c>
      <c r="AB9" s="573">
        <f t="shared" ca="1" si="10"/>
        <v>2020</v>
      </c>
      <c r="AC9" s="575">
        <f t="shared" si="6"/>
        <v>0.13422222222222227</v>
      </c>
      <c r="AE9" s="573">
        <f t="shared" ca="1" si="11"/>
        <v>2020</v>
      </c>
      <c r="AF9" s="575">
        <f t="shared" si="7"/>
        <v>0.11930864197530869</v>
      </c>
      <c r="AH9" s="573">
        <f t="shared" ca="1" si="12"/>
        <v>2020</v>
      </c>
      <c r="AI9" s="575">
        <f t="shared" si="2"/>
        <v>0.10605212620027439</v>
      </c>
      <c r="AK9" s="573">
        <f t="shared" ca="1" si="13"/>
        <v>2020</v>
      </c>
      <c r="AL9" s="575">
        <f t="shared" si="3"/>
        <v>9.4268556622466124E-2</v>
      </c>
      <c r="AN9" s="573">
        <f t="shared" ca="1" si="14"/>
        <v>2020</v>
      </c>
      <c r="AO9" s="575">
        <f t="shared" si="4"/>
        <v>8.3794272553303226E-2</v>
      </c>
      <c r="AQ9" s="573">
        <f t="shared" ca="1" si="15"/>
        <v>2020</v>
      </c>
      <c r="AR9" s="575">
        <f t="shared" si="5"/>
        <v>7.4483797825158418E-2</v>
      </c>
      <c r="BA9" s="581">
        <v>44842</v>
      </c>
      <c r="BB9" s="582">
        <v>2023</v>
      </c>
    </row>
    <row r="10" spans="2:54" ht="15" customHeight="1" x14ac:dyDescent="0.2">
      <c r="B10" s="192" t="str">
        <f>IF(FROTA!B11="","",FROTA!B11)</f>
        <v/>
      </c>
      <c r="C10" s="192" t="str">
        <f>IF(B10="","",FROTA!Z11)</f>
        <v/>
      </c>
      <c r="D10" s="192" t="str">
        <f>IF(B10="","",VLOOKUP(B10,FROTA!$B$5:$C$310,2,0))</f>
        <v/>
      </c>
      <c r="E10" s="233" t="str">
        <f>IF(D10="","",VLOOKUP(D10,ESCALA!$B$3:$H$19,7,0))</f>
        <v/>
      </c>
      <c r="F10" s="219" t="s">
        <v>222</v>
      </c>
      <c r="G10" s="305" t="str">
        <f t="shared" si="16"/>
        <v/>
      </c>
      <c r="H10" s="314" t="str">
        <f>IF($B10="","",IF(H$4="NÃO",0,IF(VLOOKUP($B10,FROTA!$B$5:$R$305,17,0)=H$3,0.02,0)))</f>
        <v/>
      </c>
      <c r="I10" s="193" t="str">
        <f>IF($B10="","",IF(I$4="NÃO",0,IF(VLOOKUP($B10,FROTA!$B$5:$R$305,17,0)=I$3,0.02,0)))</f>
        <v/>
      </c>
      <c r="J10" s="193" t="str">
        <f>IF($B10="","",IF(J$4="NÃO",0,IF(VLOOKUP($B10,FROTA!$B$5:$R$305,17,0)=J$3,0.02,0)))</f>
        <v/>
      </c>
      <c r="K10" s="193" t="str">
        <f>IF($B10="","",IF(K$4="NÃO",0,IF(VLOOKUP($B10,FROTA!$B$5:$R$305,17,0)=K$3,0.02,0)))</f>
        <v/>
      </c>
      <c r="L10" s="193" t="str">
        <f>IF($B10="","",IF(L$4="NÃO",0,IF(VLOOKUP($B10,FROTA!$B$5:$R$305,17,0)=L$3,0.02,0)))</f>
        <v/>
      </c>
      <c r="M10" s="193" t="str">
        <f>IF($B10="","",IF(M$4="NÃO",0,IF(VLOOKUP($B10,FROTA!$B$5:$R$305,17,0)=M$3,0.02,0)))</f>
        <v/>
      </c>
      <c r="N10" s="193" t="str">
        <f>IF($B10="","",IF(M$4="NÃO",0,IF(VLOOKUP($B10,FROTA!$B$5:$R$305,17,0)=N$3,0.02,0)))</f>
        <v/>
      </c>
      <c r="O10" s="311" t="str">
        <f>IF($B10="","",IF(O$4="NÃO",0,IF(VLOOKUP($B10,FROTA!$B$5:$R$305,10,0)=O$3,0.01,0)))</f>
        <v/>
      </c>
      <c r="P10" s="307" t="str">
        <f>IF($B10="","",IF(P$4="NÃO",0,IF(VLOOKUP($B10,FROTA!$B$5:$R$305,10,0)=P$3,0.01,0)))</f>
        <v/>
      </c>
      <c r="Q10" s="307" t="str">
        <f>IF($B10="","",IF(Q$4="NÃO",0,IF(VLOOKUP($B10,FROTA!$B$5:$R$305,10,0)=Q$3,0.01,0)))</f>
        <v/>
      </c>
      <c r="R10" s="307" t="str">
        <f>IF($B10="","",IF(R$4="NÃO",0,IF(VLOOKUP($B10,FROTA!$B$5:$R$305,10,0)=R$3,0.01,0)))</f>
        <v/>
      </c>
      <c r="S10" s="307" t="str">
        <f>IF($B10="","",IF(S$4="NÃO",0,IF(VLOOKUP($B10,FROTA!$B$5:$R$305,10,0)=S$3,0.01,0)))</f>
        <v/>
      </c>
      <c r="T10" s="307" t="str">
        <f>IF($B10="","",IF(T$4="NÃO",0,IF(VLOOKUP($B10,FROTA!$B$5:$R$305,10,0)=T$3,0.01,0)))</f>
        <v/>
      </c>
      <c r="U10" s="307" t="str">
        <f>IF($B10="","",IF(U$4="NÃO",0,IF(VLOOKUP($B10,FROTA!$B$5:$R$305,10,0)=U$3,0.01,0)))</f>
        <v/>
      </c>
      <c r="V10" s="306" t="str">
        <f t="shared" si="17"/>
        <v/>
      </c>
      <c r="W10" s="238" t="str">
        <f t="shared" si="18"/>
        <v/>
      </c>
      <c r="X10" s="576" t="str">
        <f t="shared" si="19"/>
        <v/>
      </c>
      <c r="Y10" s="573">
        <f t="shared" ca="1" si="8"/>
        <v>2019</v>
      </c>
      <c r="Z10" s="575">
        <f t="shared" si="9"/>
        <v>0.15950000000000006</v>
      </c>
      <c r="AB10" s="573">
        <f t="shared" ca="1" si="10"/>
        <v>2019</v>
      </c>
      <c r="AC10" s="575">
        <f t="shared" si="6"/>
        <v>0.14177777777777784</v>
      </c>
      <c r="AE10" s="573">
        <f t="shared" ca="1" si="11"/>
        <v>2019</v>
      </c>
      <c r="AF10" s="575">
        <f t="shared" si="7"/>
        <v>0.12602469135802474</v>
      </c>
      <c r="AH10" s="573">
        <f t="shared" ca="1" si="12"/>
        <v>2019</v>
      </c>
      <c r="AI10" s="575">
        <f t="shared" si="2"/>
        <v>0.11202194787379977</v>
      </c>
      <c r="AK10" s="573">
        <f t="shared" ca="1" si="13"/>
        <v>2019</v>
      </c>
      <c r="AL10" s="575">
        <f t="shared" si="3"/>
        <v>9.9575064776710909E-2</v>
      </c>
      <c r="AN10" s="573">
        <f t="shared" ca="1" si="14"/>
        <v>2019</v>
      </c>
      <c r="AO10" s="575">
        <f t="shared" si="4"/>
        <v>8.8511168690409703E-2</v>
      </c>
      <c r="AQ10" s="573">
        <f t="shared" ca="1" si="15"/>
        <v>2019</v>
      </c>
      <c r="AR10" s="575">
        <f t="shared" si="5"/>
        <v>7.8676594391475285E-2</v>
      </c>
      <c r="BA10" s="581">
        <v>44843</v>
      </c>
      <c r="BB10" s="582">
        <v>2023</v>
      </c>
    </row>
    <row r="11" spans="2:54" ht="15" customHeight="1" x14ac:dyDescent="0.2">
      <c r="B11" s="192" t="str">
        <f>IF(FROTA!B12="","",FROTA!B12)</f>
        <v/>
      </c>
      <c r="C11" s="192" t="str">
        <f>IF(B11="","",FROTA!Z12)</f>
        <v/>
      </c>
      <c r="D11" s="192" t="str">
        <f>IF(B11="","",VLOOKUP(B11,FROTA!$B$5:$C$310,2,0))</f>
        <v/>
      </c>
      <c r="E11" s="233" t="str">
        <f>IF(D11="","",VLOOKUP(D11,ESCALA!$B$3:$H$19,7,0))</f>
        <v/>
      </c>
      <c r="F11" s="219" t="s">
        <v>222</v>
      </c>
      <c r="G11" s="305" t="str">
        <f t="shared" si="16"/>
        <v/>
      </c>
      <c r="H11" s="314" t="str">
        <f>IF($B11="","",IF(H$4="NÃO",0,IF(VLOOKUP($B11,FROTA!$B$5:$R$305,17,0)=H$3,0.02,0)))</f>
        <v/>
      </c>
      <c r="I11" s="193" t="str">
        <f>IF($B11="","",IF(I$4="NÃO",0,IF(VLOOKUP($B11,FROTA!$B$5:$R$305,17,0)=I$3,0.02,0)))</f>
        <v/>
      </c>
      <c r="J11" s="193" t="str">
        <f>IF($B11="","",IF(J$4="NÃO",0,IF(VLOOKUP($B11,FROTA!$B$5:$R$305,17,0)=J$3,0.02,0)))</f>
        <v/>
      </c>
      <c r="K11" s="193" t="str">
        <f>IF($B11="","",IF(K$4="NÃO",0,IF(VLOOKUP($B11,FROTA!$B$5:$R$305,17,0)=K$3,0.02,0)))</f>
        <v/>
      </c>
      <c r="L11" s="193" t="str">
        <f>IF($B11="","",IF(L$4="NÃO",0,IF(VLOOKUP($B11,FROTA!$B$5:$R$305,17,0)=L$3,0.02,0)))</f>
        <v/>
      </c>
      <c r="M11" s="193" t="str">
        <f>IF($B11="","",IF(M$4="NÃO",0,IF(VLOOKUP($B11,FROTA!$B$5:$R$305,17,0)=M$3,0.02,0)))</f>
        <v/>
      </c>
      <c r="N11" s="193" t="str">
        <f>IF($B11="","",IF(M$4="NÃO",0,IF(VLOOKUP($B11,FROTA!$B$5:$R$305,17,0)=N$3,0.02,0)))</f>
        <v/>
      </c>
      <c r="O11" s="311" t="str">
        <f>IF($B11="","",IF(O$4="NÃO",0,IF(VLOOKUP($B11,FROTA!$B$5:$R$305,10,0)=O$3,0.01,0)))</f>
        <v/>
      </c>
      <c r="P11" s="307" t="str">
        <f>IF($B11="","",IF(P$4="NÃO",0,IF(VLOOKUP($B11,FROTA!$B$5:$R$305,10,0)=P$3,0.01,0)))</f>
        <v/>
      </c>
      <c r="Q11" s="307" t="str">
        <f>IF($B11="","",IF(Q$4="NÃO",0,IF(VLOOKUP($B11,FROTA!$B$5:$R$305,10,0)=Q$3,0.01,0)))</f>
        <v/>
      </c>
      <c r="R11" s="307" t="str">
        <f>IF($B11="","",IF(R$4="NÃO",0,IF(VLOOKUP($B11,FROTA!$B$5:$R$305,10,0)=R$3,0.01,0)))</f>
        <v/>
      </c>
      <c r="S11" s="307" t="str">
        <f>IF($B11="","",IF(S$4="NÃO",0,IF(VLOOKUP($B11,FROTA!$B$5:$R$305,10,0)=S$3,0.01,0)))</f>
        <v/>
      </c>
      <c r="T11" s="307" t="str">
        <f>IF($B11="","",IF(T$4="NÃO",0,IF(VLOOKUP($B11,FROTA!$B$5:$R$305,10,0)=T$3,0.01,0)))</f>
        <v/>
      </c>
      <c r="U11" s="307" t="str">
        <f>IF($B11="","",IF(U$4="NÃO",0,IF(VLOOKUP($B11,FROTA!$B$5:$R$305,10,0)=U$3,0.01,0)))</f>
        <v/>
      </c>
      <c r="V11" s="306" t="str">
        <f t="shared" si="17"/>
        <v/>
      </c>
      <c r="W11" s="238" t="str">
        <f t="shared" si="18"/>
        <v/>
      </c>
      <c r="X11" s="576" t="str">
        <f t="shared" si="19"/>
        <v/>
      </c>
      <c r="Y11" s="573">
        <f t="shared" ca="1" si="8"/>
        <v>2018</v>
      </c>
      <c r="Z11" s="575">
        <f t="shared" si="9"/>
        <v>0.16800000000000007</v>
      </c>
      <c r="AB11" s="573">
        <f t="shared" ca="1" si="10"/>
        <v>2018</v>
      </c>
      <c r="AC11" s="575">
        <f t="shared" si="6"/>
        <v>0.1493333333333334</v>
      </c>
      <c r="AE11" s="573">
        <f t="shared" ca="1" si="11"/>
        <v>2018</v>
      </c>
      <c r="AF11" s="575">
        <f t="shared" si="7"/>
        <v>0.1327407407407408</v>
      </c>
      <c r="AH11" s="573">
        <f t="shared" ca="1" si="12"/>
        <v>2018</v>
      </c>
      <c r="AI11" s="575">
        <f t="shared" si="2"/>
        <v>0.11799176954732515</v>
      </c>
      <c r="AK11" s="573">
        <f t="shared" ca="1" si="13"/>
        <v>2018</v>
      </c>
      <c r="AL11" s="575">
        <f t="shared" si="3"/>
        <v>0.10488157293095569</v>
      </c>
      <c r="AN11" s="573">
        <f t="shared" ca="1" si="14"/>
        <v>2018</v>
      </c>
      <c r="AO11" s="575">
        <f t="shared" si="4"/>
        <v>9.3228064827516166E-2</v>
      </c>
      <c r="AQ11" s="573">
        <f t="shared" ca="1" si="15"/>
        <v>2018</v>
      </c>
      <c r="AR11" s="575">
        <f t="shared" si="5"/>
        <v>8.2869390957792152E-2</v>
      </c>
      <c r="BA11" s="581">
        <v>44844</v>
      </c>
      <c r="BB11" s="582">
        <v>2023</v>
      </c>
    </row>
    <row r="12" spans="2:54" ht="15" customHeight="1" x14ac:dyDescent="0.2">
      <c r="B12" s="192" t="str">
        <f>IF(FROTA!B13="","",FROTA!B13)</f>
        <v/>
      </c>
      <c r="C12" s="192" t="str">
        <f>IF(B12="","",FROTA!Z13)</f>
        <v/>
      </c>
      <c r="D12" s="192" t="str">
        <f>IF(B12="","",VLOOKUP(B12,FROTA!$B$5:$C$310,2,0))</f>
        <v/>
      </c>
      <c r="E12" s="233" t="str">
        <f>IF(D12="","",VLOOKUP(D12,ESCALA!$B$3:$H$19,7,0))</f>
        <v/>
      </c>
      <c r="F12" s="219" t="s">
        <v>222</v>
      </c>
      <c r="G12" s="305" t="str">
        <f t="shared" si="16"/>
        <v/>
      </c>
      <c r="H12" s="314" t="str">
        <f>IF($B12="","",IF(H$4="NÃO",0,IF(VLOOKUP($B12,FROTA!$B$5:$R$305,17,0)=H$3,0.02,0)))</f>
        <v/>
      </c>
      <c r="I12" s="193" t="str">
        <f>IF($B12="","",IF(I$4="NÃO",0,IF(VLOOKUP($B12,FROTA!$B$5:$R$305,17,0)=I$3,0.02,0)))</f>
        <v/>
      </c>
      <c r="J12" s="193" t="str">
        <f>IF($B12="","",IF(J$4="NÃO",0,IF(VLOOKUP($B12,FROTA!$B$5:$R$305,17,0)=J$3,0.02,0)))</f>
        <v/>
      </c>
      <c r="K12" s="193" t="str">
        <f>IF($B12="","",IF(K$4="NÃO",0,IF(VLOOKUP($B12,FROTA!$B$5:$R$305,17,0)=K$3,0.02,0)))</f>
        <v/>
      </c>
      <c r="L12" s="193" t="str">
        <f>IF($B12="","",IF(L$4="NÃO",0,IF(VLOOKUP($B12,FROTA!$B$5:$R$305,17,0)=L$3,0.02,0)))</f>
        <v/>
      </c>
      <c r="M12" s="193" t="str">
        <f>IF($B12="","",IF(M$4="NÃO",0,IF(VLOOKUP($B12,FROTA!$B$5:$R$305,17,0)=M$3,0.02,0)))</f>
        <v/>
      </c>
      <c r="N12" s="193" t="str">
        <f>IF($B12="","",IF(M$4="NÃO",0,IF(VLOOKUP($B12,FROTA!$B$5:$R$305,17,0)=N$3,0.02,0)))</f>
        <v/>
      </c>
      <c r="O12" s="311" t="str">
        <f>IF($B12="","",IF(O$4="NÃO",0,IF(VLOOKUP($B12,FROTA!$B$5:$R$305,10,0)=O$3,0.01,0)))</f>
        <v/>
      </c>
      <c r="P12" s="307" t="str">
        <f>IF($B12="","",IF(P$4="NÃO",0,IF(VLOOKUP($B12,FROTA!$B$5:$R$305,10,0)=P$3,0.01,0)))</f>
        <v/>
      </c>
      <c r="Q12" s="307" t="str">
        <f>IF($B12="","",IF(Q$4="NÃO",0,IF(VLOOKUP($B12,FROTA!$B$5:$R$305,10,0)=Q$3,0.01,0)))</f>
        <v/>
      </c>
      <c r="R12" s="307" t="str">
        <f>IF($B12="","",IF(R$4="NÃO",0,IF(VLOOKUP($B12,FROTA!$B$5:$R$305,10,0)=R$3,0.01,0)))</f>
        <v/>
      </c>
      <c r="S12" s="307" t="str">
        <f>IF($B12="","",IF(S$4="NÃO",0,IF(VLOOKUP($B12,FROTA!$B$5:$R$305,10,0)=S$3,0.01,0)))</f>
        <v/>
      </c>
      <c r="T12" s="307" t="str">
        <f>IF($B12="","",IF(T$4="NÃO",0,IF(VLOOKUP($B12,FROTA!$B$5:$R$305,10,0)=T$3,0.01,0)))</f>
        <v/>
      </c>
      <c r="U12" s="307" t="str">
        <f>IF($B12="","",IF(U$4="NÃO",0,IF(VLOOKUP($B12,FROTA!$B$5:$R$305,10,0)=U$3,0.01,0)))</f>
        <v/>
      </c>
      <c r="V12" s="306" t="str">
        <f t="shared" si="17"/>
        <v/>
      </c>
      <c r="W12" s="238" t="str">
        <f t="shared" si="18"/>
        <v/>
      </c>
      <c r="X12" s="576" t="str">
        <f t="shared" si="19"/>
        <v/>
      </c>
      <c r="Y12" s="573">
        <f t="shared" ca="1" si="8"/>
        <v>2017</v>
      </c>
      <c r="Z12" s="575">
        <f t="shared" si="9"/>
        <v>0.17650000000000007</v>
      </c>
      <c r="AB12" s="573">
        <f t="shared" ca="1" si="10"/>
        <v>2017</v>
      </c>
      <c r="AC12" s="575">
        <f t="shared" si="6"/>
        <v>0.15688888888888897</v>
      </c>
      <c r="AE12" s="573">
        <f t="shared" ca="1" si="11"/>
        <v>2017</v>
      </c>
      <c r="AF12" s="575">
        <f t="shared" si="7"/>
        <v>0.13945679012345685</v>
      </c>
      <c r="AH12" s="573">
        <f t="shared" ca="1" si="12"/>
        <v>2017</v>
      </c>
      <c r="AI12" s="575">
        <f t="shared" si="2"/>
        <v>0.12396159122085054</v>
      </c>
      <c r="AK12" s="573">
        <f t="shared" ca="1" si="13"/>
        <v>2017</v>
      </c>
      <c r="AL12" s="575">
        <f t="shared" si="3"/>
        <v>0.11018808108520048</v>
      </c>
      <c r="AN12" s="573">
        <f t="shared" ca="1" si="14"/>
        <v>2017</v>
      </c>
      <c r="AO12" s="575">
        <f t="shared" si="4"/>
        <v>9.7944960964622643E-2</v>
      </c>
      <c r="AQ12" s="573">
        <f t="shared" ca="1" si="15"/>
        <v>2017</v>
      </c>
      <c r="AR12" s="575">
        <f t="shared" si="5"/>
        <v>8.7062187524109019E-2</v>
      </c>
      <c r="BA12" s="581">
        <v>44845</v>
      </c>
      <c r="BB12" s="582">
        <v>2023</v>
      </c>
    </row>
    <row r="13" spans="2:54" ht="15" customHeight="1" x14ac:dyDescent="0.2">
      <c r="B13" s="192" t="str">
        <f>IF(FROTA!B14="","",FROTA!B14)</f>
        <v/>
      </c>
      <c r="C13" s="192" t="str">
        <f>IF(B13="","",FROTA!Z14)</f>
        <v/>
      </c>
      <c r="D13" s="192" t="str">
        <f>IF(B13="","",VLOOKUP(B13,FROTA!$B$5:$C$310,2,0))</f>
        <v/>
      </c>
      <c r="E13" s="233" t="str">
        <f>IF(D13="","",VLOOKUP(D13,ESCALA!$B$3:$H$19,7,0))</f>
        <v/>
      </c>
      <c r="F13" s="219" t="s">
        <v>222</v>
      </c>
      <c r="G13" s="305" t="str">
        <f t="shared" si="16"/>
        <v/>
      </c>
      <c r="H13" s="314" t="str">
        <f>IF($B13="","",IF(H$4="NÃO",0,IF(VLOOKUP($B13,FROTA!$B$5:$R$305,17,0)=H$3,0.02,0)))</f>
        <v/>
      </c>
      <c r="I13" s="193" t="str">
        <f>IF($B13="","",IF(I$4="NÃO",0,IF(VLOOKUP($B13,FROTA!$B$5:$R$305,17,0)=I$3,0.02,0)))</f>
        <v/>
      </c>
      <c r="J13" s="193" t="str">
        <f>IF($B13="","",IF(J$4="NÃO",0,IF(VLOOKUP($B13,FROTA!$B$5:$R$305,17,0)=J$3,0.02,0)))</f>
        <v/>
      </c>
      <c r="K13" s="193" t="str">
        <f>IF($B13="","",IF(K$4="NÃO",0,IF(VLOOKUP($B13,FROTA!$B$5:$R$305,17,0)=K$3,0.02,0)))</f>
        <v/>
      </c>
      <c r="L13" s="193" t="str">
        <f>IF($B13="","",IF(L$4="NÃO",0,IF(VLOOKUP($B13,FROTA!$B$5:$R$305,17,0)=L$3,0.02,0)))</f>
        <v/>
      </c>
      <c r="M13" s="193" t="str">
        <f>IF($B13="","",IF(M$4="NÃO",0,IF(VLOOKUP($B13,FROTA!$B$5:$R$305,17,0)=M$3,0.02,0)))</f>
        <v/>
      </c>
      <c r="N13" s="193" t="str">
        <f>IF($B13="","",IF(M$4="NÃO",0,IF(VLOOKUP($B13,FROTA!$B$5:$R$305,17,0)=N$3,0.02,0)))</f>
        <v/>
      </c>
      <c r="O13" s="311" t="str">
        <f>IF($B13="","",IF(O$4="NÃO",0,IF(VLOOKUP($B13,FROTA!$B$5:$R$305,10,0)=O$3,0.01,0)))</f>
        <v/>
      </c>
      <c r="P13" s="307" t="str">
        <f>IF($B13="","",IF(P$4="NÃO",0,IF(VLOOKUP($B13,FROTA!$B$5:$R$305,10,0)=P$3,0.01,0)))</f>
        <v/>
      </c>
      <c r="Q13" s="307" t="str">
        <f>IF($B13="","",IF(Q$4="NÃO",0,IF(VLOOKUP($B13,FROTA!$B$5:$R$305,10,0)=Q$3,0.01,0)))</f>
        <v/>
      </c>
      <c r="R13" s="307" t="str">
        <f>IF($B13="","",IF(R$4="NÃO",0,IF(VLOOKUP($B13,FROTA!$B$5:$R$305,10,0)=R$3,0.01,0)))</f>
        <v/>
      </c>
      <c r="S13" s="307" t="str">
        <f>IF($B13="","",IF(S$4="NÃO",0,IF(VLOOKUP($B13,FROTA!$B$5:$R$305,10,0)=S$3,0.01,0)))</f>
        <v/>
      </c>
      <c r="T13" s="307" t="str">
        <f>IF($B13="","",IF(T$4="NÃO",0,IF(VLOOKUP($B13,FROTA!$B$5:$R$305,10,0)=T$3,0.01,0)))</f>
        <v/>
      </c>
      <c r="U13" s="307" t="str">
        <f>IF($B13="","",IF(U$4="NÃO",0,IF(VLOOKUP($B13,FROTA!$B$5:$R$305,10,0)=U$3,0.01,0)))</f>
        <v/>
      </c>
      <c r="V13" s="306" t="str">
        <f t="shared" si="17"/>
        <v/>
      </c>
      <c r="W13" s="238" t="str">
        <f t="shared" si="18"/>
        <v/>
      </c>
      <c r="X13" s="576" t="str">
        <f t="shared" si="19"/>
        <v/>
      </c>
      <c r="Y13" s="573">
        <f t="shared" ca="1" si="8"/>
        <v>2016</v>
      </c>
      <c r="Z13" s="575">
        <f t="shared" si="9"/>
        <v>0.18500000000000008</v>
      </c>
      <c r="AB13" s="573">
        <f t="shared" ca="1" si="10"/>
        <v>2016</v>
      </c>
      <c r="AC13" s="575">
        <f t="shared" si="6"/>
        <v>0.1644444444444445</v>
      </c>
      <c r="AE13" s="573">
        <f t="shared" ca="1" si="11"/>
        <v>2016</v>
      </c>
      <c r="AF13" s="575">
        <f t="shared" si="7"/>
        <v>0.14617283950617288</v>
      </c>
      <c r="AH13" s="573">
        <f t="shared" ca="1" si="12"/>
        <v>2016</v>
      </c>
      <c r="AI13" s="575">
        <f t="shared" si="2"/>
        <v>0.1299314128943759</v>
      </c>
      <c r="AK13" s="573">
        <f t="shared" ca="1" si="13"/>
        <v>2016</v>
      </c>
      <c r="AL13" s="575">
        <f t="shared" si="3"/>
        <v>0.11549458923944525</v>
      </c>
      <c r="AN13" s="573">
        <f t="shared" ca="1" si="14"/>
        <v>2016</v>
      </c>
      <c r="AO13" s="575">
        <f t="shared" si="4"/>
        <v>0.10266185710172911</v>
      </c>
      <c r="AQ13" s="573">
        <f t="shared" ca="1" si="15"/>
        <v>2016</v>
      </c>
      <c r="AR13" s="575">
        <f t="shared" si="5"/>
        <v>9.1254984090425872E-2</v>
      </c>
      <c r="BA13" s="581">
        <v>44846</v>
      </c>
      <c r="BB13" s="582">
        <v>2023</v>
      </c>
    </row>
    <row r="14" spans="2:54" ht="15" customHeight="1" x14ac:dyDescent="0.2">
      <c r="B14" s="192" t="str">
        <f>IF(FROTA!B15="","",FROTA!B15)</f>
        <v/>
      </c>
      <c r="C14" s="192" t="str">
        <f>IF(B14="","",FROTA!Z15)</f>
        <v/>
      </c>
      <c r="D14" s="192" t="str">
        <f>IF(B14="","",VLOOKUP(B14,FROTA!$B$5:$C$310,2,0))</f>
        <v/>
      </c>
      <c r="E14" s="233" t="str">
        <f>IF(D14="","",VLOOKUP(D14,ESCALA!$B$3:$H$19,7,0))</f>
        <v/>
      </c>
      <c r="F14" s="219" t="s">
        <v>222</v>
      </c>
      <c r="G14" s="305" t="str">
        <f t="shared" si="16"/>
        <v/>
      </c>
      <c r="H14" s="314" t="str">
        <f>IF($B14="","",IF(H$4="NÃO",0,IF(VLOOKUP($B14,FROTA!$B$5:$R$305,17,0)=H$3,0.02,0)))</f>
        <v/>
      </c>
      <c r="I14" s="193" t="str">
        <f>IF($B14="","",IF(I$4="NÃO",0,IF(VLOOKUP($B14,FROTA!$B$5:$R$305,17,0)=I$3,0.02,0)))</f>
        <v/>
      </c>
      <c r="J14" s="193" t="str">
        <f>IF($B14="","",IF(J$4="NÃO",0,IF(VLOOKUP($B14,FROTA!$B$5:$R$305,17,0)=J$3,0.02,0)))</f>
        <v/>
      </c>
      <c r="K14" s="193" t="str">
        <f>IF($B14="","",IF(K$4="NÃO",0,IF(VLOOKUP($B14,FROTA!$B$5:$R$305,17,0)=K$3,0.02,0)))</f>
        <v/>
      </c>
      <c r="L14" s="193" t="str">
        <f>IF($B14="","",IF(L$4="NÃO",0,IF(VLOOKUP($B14,FROTA!$B$5:$R$305,17,0)=L$3,0.02,0)))</f>
        <v/>
      </c>
      <c r="M14" s="193" t="str">
        <f>IF($B14="","",IF(M$4="NÃO",0,IF(VLOOKUP($B14,FROTA!$B$5:$R$305,17,0)=M$3,0.02,0)))</f>
        <v/>
      </c>
      <c r="N14" s="193" t="str">
        <f>IF($B14="","",IF(M$4="NÃO",0,IF(VLOOKUP($B14,FROTA!$B$5:$R$305,17,0)=N$3,0.02,0)))</f>
        <v/>
      </c>
      <c r="O14" s="311" t="str">
        <f>IF($B14="","",IF(O$4="NÃO",0,IF(VLOOKUP($B14,FROTA!$B$5:$R$305,10,0)=O$3,0.01,0)))</f>
        <v/>
      </c>
      <c r="P14" s="307" t="str">
        <f>IF($B14="","",IF(P$4="NÃO",0,IF(VLOOKUP($B14,FROTA!$B$5:$R$305,10,0)=P$3,0.01,0)))</f>
        <v/>
      </c>
      <c r="Q14" s="307" t="str">
        <f>IF($B14="","",IF(Q$4="NÃO",0,IF(VLOOKUP($B14,FROTA!$B$5:$R$305,10,0)=Q$3,0.01,0)))</f>
        <v/>
      </c>
      <c r="R14" s="307" t="str">
        <f>IF($B14="","",IF(R$4="NÃO",0,IF(VLOOKUP($B14,FROTA!$B$5:$R$305,10,0)=R$3,0.01,0)))</f>
        <v/>
      </c>
      <c r="S14" s="307" t="str">
        <f>IF($B14="","",IF(S$4="NÃO",0,IF(VLOOKUP($B14,FROTA!$B$5:$R$305,10,0)=S$3,0.01,0)))</f>
        <v/>
      </c>
      <c r="T14" s="307" t="str">
        <f>IF($B14="","",IF(T$4="NÃO",0,IF(VLOOKUP($B14,FROTA!$B$5:$R$305,10,0)=T$3,0.01,0)))</f>
        <v/>
      </c>
      <c r="U14" s="307" t="str">
        <f>IF($B14="","",IF(U$4="NÃO",0,IF(VLOOKUP($B14,FROTA!$B$5:$R$305,10,0)=U$3,0.01,0)))</f>
        <v/>
      </c>
      <c r="V14" s="306" t="str">
        <f t="shared" si="17"/>
        <v/>
      </c>
      <c r="W14" s="238" t="str">
        <f t="shared" si="18"/>
        <v/>
      </c>
      <c r="X14" s="576" t="str">
        <f t="shared" si="19"/>
        <v/>
      </c>
      <c r="Y14" s="573">
        <f t="shared" ca="1" si="8"/>
        <v>2015</v>
      </c>
      <c r="Z14" s="575">
        <f t="shared" si="9"/>
        <v>0.19350000000000009</v>
      </c>
      <c r="AB14" s="573">
        <f t="shared" ca="1" si="10"/>
        <v>2015</v>
      </c>
      <c r="AC14" s="575">
        <f t="shared" si="6"/>
        <v>0.17200000000000007</v>
      </c>
      <c r="AE14" s="573">
        <f t="shared" ca="1" si="11"/>
        <v>2015</v>
      </c>
      <c r="AF14" s="575">
        <f t="shared" si="7"/>
        <v>0.15288888888888896</v>
      </c>
      <c r="AH14" s="573">
        <f t="shared" ca="1" si="12"/>
        <v>2015</v>
      </c>
      <c r="AI14" s="575">
        <f t="shared" si="2"/>
        <v>0.13590123456790129</v>
      </c>
      <c r="AK14" s="573">
        <f t="shared" ca="1" si="13"/>
        <v>2015</v>
      </c>
      <c r="AL14" s="575">
        <f t="shared" si="3"/>
        <v>0.12080109739369004</v>
      </c>
      <c r="AN14" s="573">
        <f t="shared" ca="1" si="14"/>
        <v>2015</v>
      </c>
      <c r="AO14" s="575">
        <f t="shared" si="4"/>
        <v>0.10737875323883558</v>
      </c>
      <c r="AQ14" s="573">
        <f t="shared" ca="1" si="15"/>
        <v>2015</v>
      </c>
      <c r="AR14" s="575">
        <f t="shared" si="5"/>
        <v>9.5447780656742739E-2</v>
      </c>
      <c r="BA14" s="581">
        <v>44847</v>
      </c>
      <c r="BB14" s="582">
        <v>2023</v>
      </c>
    </row>
    <row r="15" spans="2:54" ht="15" customHeight="1" x14ac:dyDescent="0.2">
      <c r="B15" s="192" t="str">
        <f>IF(FROTA!B16="","",FROTA!B16)</f>
        <v/>
      </c>
      <c r="C15" s="192" t="str">
        <f>IF(B15="","",FROTA!Z16)</f>
        <v/>
      </c>
      <c r="D15" s="192" t="str">
        <f>IF(B15="","",VLOOKUP(B15,FROTA!$B$5:$C$310,2,0))</f>
        <v/>
      </c>
      <c r="E15" s="233" t="str">
        <f>IF(D15="","",VLOOKUP(D15,ESCALA!$B$3:$H$19,7,0))</f>
        <v/>
      </c>
      <c r="F15" s="219" t="s">
        <v>222</v>
      </c>
      <c r="G15" s="305" t="str">
        <f t="shared" si="16"/>
        <v/>
      </c>
      <c r="H15" s="314" t="str">
        <f>IF($B15="","",IF(H$4="NÃO",0,IF(VLOOKUP($B15,FROTA!$B$5:$R$305,17,0)=H$3,0.02,0)))</f>
        <v/>
      </c>
      <c r="I15" s="193" t="str">
        <f>IF($B15="","",IF(I$4="NÃO",0,IF(VLOOKUP($B15,FROTA!$B$5:$R$305,17,0)=I$3,0.02,0)))</f>
        <v/>
      </c>
      <c r="J15" s="193" t="str">
        <f>IF($B15="","",IF(J$4="NÃO",0,IF(VLOOKUP($B15,FROTA!$B$5:$R$305,17,0)=J$3,0.02,0)))</f>
        <v/>
      </c>
      <c r="K15" s="193" t="str">
        <f>IF($B15="","",IF(K$4="NÃO",0,IF(VLOOKUP($B15,FROTA!$B$5:$R$305,17,0)=K$3,0.02,0)))</f>
        <v/>
      </c>
      <c r="L15" s="193" t="str">
        <f>IF($B15="","",IF(L$4="NÃO",0,IF(VLOOKUP($B15,FROTA!$B$5:$R$305,17,0)=L$3,0.02,0)))</f>
        <v/>
      </c>
      <c r="M15" s="193" t="str">
        <f>IF($B15="","",IF(M$4="NÃO",0,IF(VLOOKUP($B15,FROTA!$B$5:$R$305,17,0)=M$3,0.02,0)))</f>
        <v/>
      </c>
      <c r="N15" s="193" t="str">
        <f>IF($B15="","",IF(M$4="NÃO",0,IF(VLOOKUP($B15,FROTA!$B$5:$R$305,17,0)=N$3,0.02,0)))</f>
        <v/>
      </c>
      <c r="O15" s="311" t="str">
        <f>IF($B15="","",IF(O$4="NÃO",0,IF(VLOOKUP($B15,FROTA!$B$5:$R$305,10,0)=O$3,0.01,0)))</f>
        <v/>
      </c>
      <c r="P15" s="307" t="str">
        <f>IF($B15="","",IF(P$4="NÃO",0,IF(VLOOKUP($B15,FROTA!$B$5:$R$305,10,0)=P$3,0.01,0)))</f>
        <v/>
      </c>
      <c r="Q15" s="307" t="str">
        <f>IF($B15="","",IF(Q$4="NÃO",0,IF(VLOOKUP($B15,FROTA!$B$5:$R$305,10,0)=Q$3,0.01,0)))</f>
        <v/>
      </c>
      <c r="R15" s="307" t="str">
        <f>IF($B15="","",IF(R$4="NÃO",0,IF(VLOOKUP($B15,FROTA!$B$5:$R$305,10,0)=R$3,0.01,0)))</f>
        <v/>
      </c>
      <c r="S15" s="307" t="str">
        <f>IF($B15="","",IF(S$4="NÃO",0,IF(VLOOKUP($B15,FROTA!$B$5:$R$305,10,0)=S$3,0.01,0)))</f>
        <v/>
      </c>
      <c r="T15" s="307" t="str">
        <f>IF($B15="","",IF(T$4="NÃO",0,IF(VLOOKUP($B15,FROTA!$B$5:$R$305,10,0)=T$3,0.01,0)))</f>
        <v/>
      </c>
      <c r="U15" s="307" t="str">
        <f>IF($B15="","",IF(U$4="NÃO",0,IF(VLOOKUP($B15,FROTA!$B$5:$R$305,10,0)=U$3,0.01,0)))</f>
        <v/>
      </c>
      <c r="V15" s="306" t="str">
        <f t="shared" si="17"/>
        <v/>
      </c>
      <c r="W15" s="238" t="str">
        <f t="shared" si="18"/>
        <v/>
      </c>
      <c r="X15" s="576" t="str">
        <f t="shared" si="19"/>
        <v/>
      </c>
      <c r="Y15" s="573">
        <f t="shared" ca="1" si="8"/>
        <v>2014</v>
      </c>
      <c r="Z15" s="575">
        <f t="shared" si="9"/>
        <v>0.2020000000000001</v>
      </c>
      <c r="AB15" s="573">
        <f t="shared" ca="1" si="10"/>
        <v>2014</v>
      </c>
      <c r="AC15" s="575">
        <f t="shared" si="6"/>
        <v>0.17955555555555563</v>
      </c>
      <c r="AE15" s="573">
        <f t="shared" ca="1" si="11"/>
        <v>2014</v>
      </c>
      <c r="AF15" s="575">
        <f t="shared" si="7"/>
        <v>0.15960493827160502</v>
      </c>
      <c r="AH15" s="573">
        <f t="shared" ca="1" si="12"/>
        <v>2014</v>
      </c>
      <c r="AI15" s="575">
        <f t="shared" si="2"/>
        <v>0.14187105624142668</v>
      </c>
      <c r="AK15" s="573">
        <f t="shared" ca="1" si="13"/>
        <v>2014</v>
      </c>
      <c r="AL15" s="575">
        <f t="shared" si="3"/>
        <v>0.12610760554793482</v>
      </c>
      <c r="AN15" s="573">
        <f t="shared" ca="1" si="14"/>
        <v>2014</v>
      </c>
      <c r="AO15" s="575">
        <f t="shared" si="4"/>
        <v>0.11209564937594206</v>
      </c>
      <c r="AQ15" s="573">
        <f t="shared" ca="1" si="15"/>
        <v>2014</v>
      </c>
      <c r="AR15" s="575">
        <f t="shared" si="5"/>
        <v>9.9640577223059607E-2</v>
      </c>
      <c r="BA15" s="581">
        <v>44848</v>
      </c>
      <c r="BB15" s="582">
        <v>2023</v>
      </c>
    </row>
    <row r="16" spans="2:54" ht="15" customHeight="1" x14ac:dyDescent="0.2">
      <c r="B16" s="192" t="str">
        <f>IF(FROTA!B17="","",FROTA!B17)</f>
        <v/>
      </c>
      <c r="C16" s="192" t="str">
        <f>IF(B16="","",FROTA!Z17)</f>
        <v/>
      </c>
      <c r="D16" s="192" t="str">
        <f>IF(B16="","",VLOOKUP(B16,FROTA!$B$5:$C$310,2,0))</f>
        <v/>
      </c>
      <c r="E16" s="233" t="str">
        <f>IF(D16="","",VLOOKUP(D16,ESCALA!$B$3:$H$19,7,0))</f>
        <v/>
      </c>
      <c r="F16" s="219" t="s">
        <v>222</v>
      </c>
      <c r="G16" s="305" t="str">
        <f t="shared" si="16"/>
        <v/>
      </c>
      <c r="H16" s="314" t="str">
        <f>IF($B16="","",IF(H$4="NÃO",0,IF(VLOOKUP($B16,FROTA!$B$5:$R$305,17,0)=H$3,0.02,0)))</f>
        <v/>
      </c>
      <c r="I16" s="193" t="str">
        <f>IF($B16="","",IF(I$4="NÃO",0,IF(VLOOKUP($B16,FROTA!$B$5:$R$305,17,0)=I$3,0.02,0)))</f>
        <v/>
      </c>
      <c r="J16" s="193" t="str">
        <f>IF($B16="","",IF(J$4="NÃO",0,IF(VLOOKUP($B16,FROTA!$B$5:$R$305,17,0)=J$3,0.02,0)))</f>
        <v/>
      </c>
      <c r="K16" s="193" t="str">
        <f>IF($B16="","",IF(K$4="NÃO",0,IF(VLOOKUP($B16,FROTA!$B$5:$R$305,17,0)=K$3,0.02,0)))</f>
        <v/>
      </c>
      <c r="L16" s="193" t="str">
        <f>IF($B16="","",IF(L$4="NÃO",0,IF(VLOOKUP($B16,FROTA!$B$5:$R$305,17,0)=L$3,0.02,0)))</f>
        <v/>
      </c>
      <c r="M16" s="193" t="str">
        <f>IF($B16="","",IF(M$4="NÃO",0,IF(VLOOKUP($B16,FROTA!$B$5:$R$305,17,0)=M$3,0.02,0)))</f>
        <v/>
      </c>
      <c r="N16" s="193" t="str">
        <f>IF($B16="","",IF(M$4="NÃO",0,IF(VLOOKUP($B16,FROTA!$B$5:$R$305,17,0)=N$3,0.02,0)))</f>
        <v/>
      </c>
      <c r="O16" s="311" t="str">
        <f>IF($B16="","",IF(O$4="NÃO",0,IF(VLOOKUP($B16,FROTA!$B$5:$R$305,10,0)=O$3,0.01,0)))</f>
        <v/>
      </c>
      <c r="P16" s="307" t="str">
        <f>IF($B16="","",IF(P$4="NÃO",0,IF(VLOOKUP($B16,FROTA!$B$5:$R$305,10,0)=P$3,0.01,0)))</f>
        <v/>
      </c>
      <c r="Q16" s="307" t="str">
        <f>IF($B16="","",IF(Q$4="NÃO",0,IF(VLOOKUP($B16,FROTA!$B$5:$R$305,10,0)=Q$3,0.01,0)))</f>
        <v/>
      </c>
      <c r="R16" s="307" t="str">
        <f>IF($B16="","",IF(R$4="NÃO",0,IF(VLOOKUP($B16,FROTA!$B$5:$R$305,10,0)=R$3,0.01,0)))</f>
        <v/>
      </c>
      <c r="S16" s="307" t="str">
        <f>IF($B16="","",IF(S$4="NÃO",0,IF(VLOOKUP($B16,FROTA!$B$5:$R$305,10,0)=S$3,0.01,0)))</f>
        <v/>
      </c>
      <c r="T16" s="307" t="str">
        <f>IF($B16="","",IF(T$4="NÃO",0,IF(VLOOKUP($B16,FROTA!$B$5:$R$305,10,0)=T$3,0.01,0)))</f>
        <v/>
      </c>
      <c r="U16" s="307" t="str">
        <f>IF($B16="","",IF(U$4="NÃO",0,IF(VLOOKUP($B16,FROTA!$B$5:$R$305,10,0)=U$3,0.01,0)))</f>
        <v/>
      </c>
      <c r="V16" s="306" t="str">
        <f t="shared" si="17"/>
        <v/>
      </c>
      <c r="W16" s="238" t="str">
        <f t="shared" si="18"/>
        <v/>
      </c>
      <c r="X16" s="576" t="str">
        <f t="shared" si="19"/>
        <v/>
      </c>
      <c r="Y16" s="573">
        <f t="shared" ca="1" si="8"/>
        <v>2013</v>
      </c>
      <c r="Z16" s="575">
        <f t="shared" si="9"/>
        <v>0.2105000000000001</v>
      </c>
      <c r="AB16" s="573">
        <f t="shared" ca="1" si="10"/>
        <v>2013</v>
      </c>
      <c r="AC16" s="575">
        <f t="shared" si="6"/>
        <v>0.1871111111111112</v>
      </c>
      <c r="AE16" s="573">
        <f t="shared" ca="1" si="11"/>
        <v>2013</v>
      </c>
      <c r="AF16" s="575">
        <f t="shared" si="7"/>
        <v>0.16632098765432107</v>
      </c>
      <c r="AH16" s="573">
        <f t="shared" ca="1" si="12"/>
        <v>2013</v>
      </c>
      <c r="AI16" s="575">
        <f t="shared" si="2"/>
        <v>0.14784087791495207</v>
      </c>
      <c r="AK16" s="573">
        <f t="shared" ca="1" si="13"/>
        <v>2013</v>
      </c>
      <c r="AL16" s="575">
        <f t="shared" si="3"/>
        <v>0.13141411370217962</v>
      </c>
      <c r="AN16" s="573">
        <f t="shared" ca="1" si="14"/>
        <v>2013</v>
      </c>
      <c r="AO16" s="575">
        <f t="shared" si="4"/>
        <v>0.11681254551304855</v>
      </c>
      <c r="AQ16" s="573">
        <f t="shared" ca="1" si="15"/>
        <v>2013</v>
      </c>
      <c r="AR16" s="575">
        <f t="shared" si="5"/>
        <v>0.10383337378937649</v>
      </c>
      <c r="BA16" s="581">
        <v>44849</v>
      </c>
      <c r="BB16" s="582">
        <v>2023</v>
      </c>
    </row>
    <row r="17" spans="2:54" ht="15" customHeight="1" x14ac:dyDescent="0.2">
      <c r="B17" s="192" t="str">
        <f>IF(FROTA!B18="","",FROTA!B18)</f>
        <v/>
      </c>
      <c r="C17" s="192" t="str">
        <f>IF(B17="","",FROTA!Z18)</f>
        <v/>
      </c>
      <c r="D17" s="192" t="str">
        <f>IF(B17="","",VLOOKUP(B17,FROTA!$B$5:$C$310,2,0))</f>
        <v/>
      </c>
      <c r="E17" s="233" t="str">
        <f>IF(D17="","",VLOOKUP(D17,ESCALA!$B$3:$H$19,7,0))</f>
        <v/>
      </c>
      <c r="F17" s="219" t="s">
        <v>222</v>
      </c>
      <c r="G17" s="305" t="str">
        <f t="shared" si="16"/>
        <v/>
      </c>
      <c r="H17" s="314" t="str">
        <f>IF($B17="","",IF(H$4="NÃO",0,IF(VLOOKUP($B17,FROTA!$B$5:$R$305,17,0)=H$3,0.02,0)))</f>
        <v/>
      </c>
      <c r="I17" s="193" t="str">
        <f>IF($B17="","",IF(I$4="NÃO",0,IF(VLOOKUP($B17,FROTA!$B$5:$R$305,17,0)=I$3,0.02,0)))</f>
        <v/>
      </c>
      <c r="J17" s="193" t="str">
        <f>IF($B17="","",IF(J$4="NÃO",0,IF(VLOOKUP($B17,FROTA!$B$5:$R$305,17,0)=J$3,0.02,0)))</f>
        <v/>
      </c>
      <c r="K17" s="193" t="str">
        <f>IF($B17="","",IF(K$4="NÃO",0,IF(VLOOKUP($B17,FROTA!$B$5:$R$305,17,0)=K$3,0.02,0)))</f>
        <v/>
      </c>
      <c r="L17" s="193" t="str">
        <f>IF($B17="","",IF(L$4="NÃO",0,IF(VLOOKUP($B17,FROTA!$B$5:$R$305,17,0)=L$3,0.02,0)))</f>
        <v/>
      </c>
      <c r="M17" s="193" t="str">
        <f>IF($B17="","",IF(M$4="NÃO",0,IF(VLOOKUP($B17,FROTA!$B$5:$R$305,17,0)=M$3,0.02,0)))</f>
        <v/>
      </c>
      <c r="N17" s="193" t="str">
        <f>IF($B17="","",IF(M$4="NÃO",0,IF(VLOOKUP($B17,FROTA!$B$5:$R$305,17,0)=N$3,0.02,0)))</f>
        <v/>
      </c>
      <c r="O17" s="311" t="str">
        <f>IF($B17="","",IF(O$4="NÃO",0,IF(VLOOKUP($B17,FROTA!$B$5:$R$305,10,0)=O$3,0.01,0)))</f>
        <v/>
      </c>
      <c r="P17" s="307" t="str">
        <f>IF($B17="","",IF(P$4="NÃO",0,IF(VLOOKUP($B17,FROTA!$B$5:$R$305,10,0)=P$3,0.01,0)))</f>
        <v/>
      </c>
      <c r="Q17" s="307" t="str">
        <f>IF($B17="","",IF(Q$4="NÃO",0,IF(VLOOKUP($B17,FROTA!$B$5:$R$305,10,0)=Q$3,0.01,0)))</f>
        <v/>
      </c>
      <c r="R17" s="307" t="str">
        <f>IF($B17="","",IF(R$4="NÃO",0,IF(VLOOKUP($B17,FROTA!$B$5:$R$305,10,0)=R$3,0.01,0)))</f>
        <v/>
      </c>
      <c r="S17" s="307" t="str">
        <f>IF($B17="","",IF(S$4="NÃO",0,IF(VLOOKUP($B17,FROTA!$B$5:$R$305,10,0)=S$3,0.01,0)))</f>
        <v/>
      </c>
      <c r="T17" s="307" t="str">
        <f>IF($B17="","",IF(T$4="NÃO",0,IF(VLOOKUP($B17,FROTA!$B$5:$R$305,10,0)=T$3,0.01,0)))</f>
        <v/>
      </c>
      <c r="U17" s="307" t="str">
        <f>IF($B17="","",IF(U$4="NÃO",0,IF(VLOOKUP($B17,FROTA!$B$5:$R$305,10,0)=U$3,0.01,0)))</f>
        <v/>
      </c>
      <c r="V17" s="306" t="str">
        <f t="shared" si="17"/>
        <v/>
      </c>
      <c r="W17" s="238" t="str">
        <f t="shared" si="18"/>
        <v/>
      </c>
      <c r="X17" s="576" t="str">
        <f t="shared" si="19"/>
        <v/>
      </c>
      <c r="Y17" s="573">
        <f t="shared" ca="1" si="8"/>
        <v>2012</v>
      </c>
      <c r="Z17" s="575">
        <f t="shared" si="9"/>
        <v>0.21900000000000011</v>
      </c>
      <c r="AB17" s="573">
        <f t="shared" ca="1" si="10"/>
        <v>2012</v>
      </c>
      <c r="AC17" s="575">
        <f t="shared" si="6"/>
        <v>0.19466666666666677</v>
      </c>
      <c r="AE17" s="573">
        <f t="shared" ca="1" si="11"/>
        <v>2012</v>
      </c>
      <c r="AF17" s="575">
        <f t="shared" si="7"/>
        <v>0.17303703703703713</v>
      </c>
      <c r="AH17" s="573">
        <f t="shared" ca="1" si="12"/>
        <v>2012</v>
      </c>
      <c r="AI17" s="575">
        <f t="shared" si="2"/>
        <v>0.15381069958847746</v>
      </c>
      <c r="AK17" s="573">
        <f t="shared" ca="1" si="13"/>
        <v>2012</v>
      </c>
      <c r="AL17" s="575">
        <f t="shared" si="3"/>
        <v>0.13672062185642442</v>
      </c>
      <c r="AN17" s="573">
        <f t="shared" ca="1" si="14"/>
        <v>2012</v>
      </c>
      <c r="AO17" s="575">
        <f t="shared" si="4"/>
        <v>0.12152944165015504</v>
      </c>
      <c r="AQ17" s="573">
        <f t="shared" ca="1" si="15"/>
        <v>2012</v>
      </c>
      <c r="AR17" s="575">
        <f t="shared" si="5"/>
        <v>0.10802617035569337</v>
      </c>
      <c r="BA17" s="581">
        <v>44850</v>
      </c>
      <c r="BB17" s="582">
        <v>2023</v>
      </c>
    </row>
    <row r="18" spans="2:54" ht="15" customHeight="1" x14ac:dyDescent="0.2">
      <c r="B18" s="192" t="str">
        <f>IF(FROTA!B19="","",FROTA!B19)</f>
        <v/>
      </c>
      <c r="C18" s="192" t="str">
        <f>IF(B18="","",FROTA!Z19)</f>
        <v/>
      </c>
      <c r="D18" s="192" t="str">
        <f>IF(B18="","",VLOOKUP(B18,FROTA!$B$5:$C$310,2,0))</f>
        <v/>
      </c>
      <c r="E18" s="233" t="str">
        <f>IF(D18="","",VLOOKUP(D18,ESCALA!$B$3:$H$19,7,0))</f>
        <v/>
      </c>
      <c r="F18" s="219" t="s">
        <v>222</v>
      </c>
      <c r="G18" s="305" t="str">
        <f t="shared" si="16"/>
        <v/>
      </c>
      <c r="H18" s="314" t="str">
        <f>IF($B18="","",IF(H$4="NÃO",0,IF(VLOOKUP($B18,FROTA!$B$5:$R$305,17,0)=H$3,0.02,0)))</f>
        <v/>
      </c>
      <c r="I18" s="193" t="str">
        <f>IF($B18="","",IF(I$4="NÃO",0,IF(VLOOKUP($B18,FROTA!$B$5:$R$305,17,0)=I$3,0.02,0)))</f>
        <v/>
      </c>
      <c r="J18" s="193" t="str">
        <f>IF($B18="","",IF(J$4="NÃO",0,IF(VLOOKUP($B18,FROTA!$B$5:$R$305,17,0)=J$3,0.02,0)))</f>
        <v/>
      </c>
      <c r="K18" s="193" t="str">
        <f>IF($B18="","",IF(K$4="NÃO",0,IF(VLOOKUP($B18,FROTA!$B$5:$R$305,17,0)=K$3,0.02,0)))</f>
        <v/>
      </c>
      <c r="L18" s="193" t="str">
        <f>IF($B18="","",IF(L$4="NÃO",0,IF(VLOOKUP($B18,FROTA!$B$5:$R$305,17,0)=L$3,0.02,0)))</f>
        <v/>
      </c>
      <c r="M18" s="193" t="str">
        <f>IF($B18="","",IF(M$4="NÃO",0,IF(VLOOKUP($B18,FROTA!$B$5:$R$305,17,0)=M$3,0.02,0)))</f>
        <v/>
      </c>
      <c r="N18" s="193" t="str">
        <f>IF($B18="","",IF(M$4="NÃO",0,IF(VLOOKUP($B18,FROTA!$B$5:$R$305,17,0)=N$3,0.02,0)))</f>
        <v/>
      </c>
      <c r="O18" s="311" t="str">
        <f>IF($B18="","",IF(O$4="NÃO",0,IF(VLOOKUP($B18,FROTA!$B$5:$R$305,10,0)=O$3,0.01,0)))</f>
        <v/>
      </c>
      <c r="P18" s="307" t="str">
        <f>IF($B18="","",IF(P$4="NÃO",0,IF(VLOOKUP($B18,FROTA!$B$5:$R$305,10,0)=P$3,0.01,0)))</f>
        <v/>
      </c>
      <c r="Q18" s="307" t="str">
        <f>IF($B18="","",IF(Q$4="NÃO",0,IF(VLOOKUP($B18,FROTA!$B$5:$R$305,10,0)=Q$3,0.01,0)))</f>
        <v/>
      </c>
      <c r="R18" s="307" t="str">
        <f>IF($B18="","",IF(R$4="NÃO",0,IF(VLOOKUP($B18,FROTA!$B$5:$R$305,10,0)=R$3,0.01,0)))</f>
        <v/>
      </c>
      <c r="S18" s="307" t="str">
        <f>IF($B18="","",IF(S$4="NÃO",0,IF(VLOOKUP($B18,FROTA!$B$5:$R$305,10,0)=S$3,0.01,0)))</f>
        <v/>
      </c>
      <c r="T18" s="307" t="str">
        <f>IF($B18="","",IF(T$4="NÃO",0,IF(VLOOKUP($B18,FROTA!$B$5:$R$305,10,0)=T$3,0.01,0)))</f>
        <v/>
      </c>
      <c r="U18" s="307" t="str">
        <f>IF($B18="","",IF(U$4="NÃO",0,IF(VLOOKUP($B18,FROTA!$B$5:$R$305,10,0)=U$3,0.01,0)))</f>
        <v/>
      </c>
      <c r="V18" s="306" t="str">
        <f t="shared" si="17"/>
        <v/>
      </c>
      <c r="W18" s="238" t="str">
        <f t="shared" si="18"/>
        <v/>
      </c>
      <c r="X18" s="576" t="str">
        <f t="shared" si="19"/>
        <v/>
      </c>
      <c r="Y18" s="573">
        <f t="shared" ca="1" si="8"/>
        <v>2011</v>
      </c>
      <c r="Z18" s="575">
        <f t="shared" si="9"/>
        <v>0.22750000000000012</v>
      </c>
      <c r="AB18" s="573">
        <f t="shared" ca="1" si="10"/>
        <v>2011</v>
      </c>
      <c r="AC18" s="575">
        <f t="shared" si="6"/>
        <v>0.20222222222222233</v>
      </c>
      <c r="AE18" s="573">
        <f t="shared" ca="1" si="11"/>
        <v>2011</v>
      </c>
      <c r="AF18" s="575">
        <f t="shared" si="7"/>
        <v>0.17975308641975318</v>
      </c>
      <c r="AH18" s="573">
        <f t="shared" ca="1" si="12"/>
        <v>2011</v>
      </c>
      <c r="AI18" s="575">
        <f t="shared" si="2"/>
        <v>0.15978052126200282</v>
      </c>
      <c r="AK18" s="573">
        <f t="shared" ca="1" si="13"/>
        <v>2011</v>
      </c>
      <c r="AL18" s="575">
        <f t="shared" si="3"/>
        <v>0.14202713001066916</v>
      </c>
      <c r="AN18" s="573">
        <f t="shared" ca="1" si="14"/>
        <v>2011</v>
      </c>
      <c r="AO18" s="575">
        <f t="shared" si="4"/>
        <v>0.12624633778726146</v>
      </c>
      <c r="AQ18" s="573">
        <f t="shared" ca="1" si="15"/>
        <v>2011</v>
      </c>
      <c r="AR18" s="575">
        <f t="shared" si="5"/>
        <v>0.11221896692201019</v>
      </c>
      <c r="BA18" s="581">
        <v>44851</v>
      </c>
      <c r="BB18" s="582">
        <v>2023</v>
      </c>
    </row>
    <row r="19" spans="2:54" ht="15" customHeight="1" x14ac:dyDescent="0.2">
      <c r="B19" s="192" t="str">
        <f>IF(FROTA!B20="","",FROTA!B20)</f>
        <v/>
      </c>
      <c r="C19" s="192" t="str">
        <f>IF(B19="","",FROTA!Z20)</f>
        <v/>
      </c>
      <c r="D19" s="192" t="str">
        <f>IF(B19="","",VLOOKUP(B19,FROTA!$B$5:$C$310,2,0))</f>
        <v/>
      </c>
      <c r="E19" s="233" t="str">
        <f>IF(D19="","",VLOOKUP(D19,ESCALA!$B$3:$H$19,7,0))</f>
        <v/>
      </c>
      <c r="F19" s="219" t="s">
        <v>222</v>
      </c>
      <c r="G19" s="305" t="str">
        <f t="shared" si="16"/>
        <v/>
      </c>
      <c r="H19" s="314" t="str">
        <f>IF($B19="","",IF(H$4="NÃO",0,IF(VLOOKUP($B19,FROTA!$B$5:$R$305,17,0)=H$3,0.02,0)))</f>
        <v/>
      </c>
      <c r="I19" s="193" t="str">
        <f>IF($B19="","",IF(I$4="NÃO",0,IF(VLOOKUP($B19,FROTA!$B$5:$R$305,17,0)=I$3,0.02,0)))</f>
        <v/>
      </c>
      <c r="J19" s="193" t="str">
        <f>IF($B19="","",IF(J$4="NÃO",0,IF(VLOOKUP($B19,FROTA!$B$5:$R$305,17,0)=J$3,0.02,0)))</f>
        <v/>
      </c>
      <c r="K19" s="193" t="str">
        <f>IF($B19="","",IF(K$4="NÃO",0,IF(VLOOKUP($B19,FROTA!$B$5:$R$305,17,0)=K$3,0.02,0)))</f>
        <v/>
      </c>
      <c r="L19" s="193" t="str">
        <f>IF($B19="","",IF(L$4="NÃO",0,IF(VLOOKUP($B19,FROTA!$B$5:$R$305,17,0)=L$3,0.02,0)))</f>
        <v/>
      </c>
      <c r="M19" s="193" t="str">
        <f>IF($B19="","",IF(M$4="NÃO",0,IF(VLOOKUP($B19,FROTA!$B$5:$R$305,17,0)=M$3,0.02,0)))</f>
        <v/>
      </c>
      <c r="N19" s="193" t="str">
        <f>IF($B19="","",IF(M$4="NÃO",0,IF(VLOOKUP($B19,FROTA!$B$5:$R$305,17,0)=N$3,0.02,0)))</f>
        <v/>
      </c>
      <c r="O19" s="311" t="str">
        <f>IF($B19="","",IF(O$4="NÃO",0,IF(VLOOKUP($B19,FROTA!$B$5:$R$305,10,0)=O$3,0.01,0)))</f>
        <v/>
      </c>
      <c r="P19" s="307" t="str">
        <f>IF($B19="","",IF(P$4="NÃO",0,IF(VLOOKUP($B19,FROTA!$B$5:$R$305,10,0)=P$3,0.01,0)))</f>
        <v/>
      </c>
      <c r="Q19" s="307" t="str">
        <f>IF($B19="","",IF(Q$4="NÃO",0,IF(VLOOKUP($B19,FROTA!$B$5:$R$305,10,0)=Q$3,0.01,0)))</f>
        <v/>
      </c>
      <c r="R19" s="307" t="str">
        <f>IF($B19="","",IF(R$4="NÃO",0,IF(VLOOKUP($B19,FROTA!$B$5:$R$305,10,0)=R$3,0.01,0)))</f>
        <v/>
      </c>
      <c r="S19" s="307" t="str">
        <f>IF($B19="","",IF(S$4="NÃO",0,IF(VLOOKUP($B19,FROTA!$B$5:$R$305,10,0)=S$3,0.01,0)))</f>
        <v/>
      </c>
      <c r="T19" s="307" t="str">
        <f>IF($B19="","",IF(T$4="NÃO",0,IF(VLOOKUP($B19,FROTA!$B$5:$R$305,10,0)=T$3,0.01,0)))</f>
        <v/>
      </c>
      <c r="U19" s="307" t="str">
        <f>IF($B19="","",IF(U$4="NÃO",0,IF(VLOOKUP($B19,FROTA!$B$5:$R$305,10,0)=U$3,0.01,0)))</f>
        <v/>
      </c>
      <c r="V19" s="306" t="str">
        <f t="shared" si="17"/>
        <v/>
      </c>
      <c r="W19" s="238" t="str">
        <f t="shared" si="18"/>
        <v/>
      </c>
      <c r="X19" s="576" t="str">
        <f t="shared" si="19"/>
        <v/>
      </c>
      <c r="Y19" s="573">
        <f t="shared" ca="1" si="8"/>
        <v>2010</v>
      </c>
      <c r="Z19" s="575">
        <f t="shared" si="9"/>
        <v>0.23600000000000013</v>
      </c>
      <c r="AB19" s="573">
        <f t="shared" ca="1" si="10"/>
        <v>2010</v>
      </c>
      <c r="AC19" s="575">
        <f t="shared" si="6"/>
        <v>0.2097777777777779</v>
      </c>
      <c r="AE19" s="573">
        <f t="shared" ca="1" si="11"/>
        <v>2010</v>
      </c>
      <c r="AF19" s="575">
        <f t="shared" si="7"/>
        <v>0.18646913580246924</v>
      </c>
      <c r="AH19" s="573">
        <f t="shared" ca="1" si="12"/>
        <v>2010</v>
      </c>
      <c r="AI19" s="575">
        <f t="shared" si="2"/>
        <v>0.16575034293552821</v>
      </c>
      <c r="AK19" s="573">
        <f t="shared" ca="1" si="13"/>
        <v>2010</v>
      </c>
      <c r="AL19" s="575">
        <f t="shared" si="3"/>
        <v>0.14733363816491396</v>
      </c>
      <c r="AN19" s="573">
        <f t="shared" ca="1" si="14"/>
        <v>2010</v>
      </c>
      <c r="AO19" s="575">
        <f t="shared" si="4"/>
        <v>0.13096323392436796</v>
      </c>
      <c r="AQ19" s="573">
        <f t="shared" ca="1" si="15"/>
        <v>2010</v>
      </c>
      <c r="AR19" s="575">
        <f t="shared" si="5"/>
        <v>0.11641176348832707</v>
      </c>
      <c r="BA19" s="581">
        <v>44852</v>
      </c>
      <c r="BB19" s="582">
        <v>2023</v>
      </c>
    </row>
    <row r="20" spans="2:54" ht="15" customHeight="1" x14ac:dyDescent="0.2">
      <c r="B20" s="192" t="str">
        <f>IF(FROTA!B21="","",FROTA!B21)</f>
        <v/>
      </c>
      <c r="C20" s="192" t="str">
        <f>IF(B20="","",FROTA!Z21)</f>
        <v/>
      </c>
      <c r="D20" s="192" t="str">
        <f>IF(B20="","",VLOOKUP(B20,FROTA!$B$5:$C$310,2,0))</f>
        <v/>
      </c>
      <c r="E20" s="233" t="str">
        <f>IF(D20="","",VLOOKUP(D20,ESCALA!$B$3:$H$19,7,0))</f>
        <v/>
      </c>
      <c r="F20" s="219" t="s">
        <v>222</v>
      </c>
      <c r="G20" s="305" t="str">
        <f t="shared" si="16"/>
        <v/>
      </c>
      <c r="H20" s="314" t="str">
        <f>IF($B20="","",IF(H$4="NÃO",0,IF(VLOOKUP($B20,FROTA!$B$5:$R$305,17,0)=H$3,0.02,0)))</f>
        <v/>
      </c>
      <c r="I20" s="193" t="str">
        <f>IF($B20="","",IF(I$4="NÃO",0,IF(VLOOKUP($B20,FROTA!$B$5:$R$305,17,0)=I$3,0.02,0)))</f>
        <v/>
      </c>
      <c r="J20" s="193" t="str">
        <f>IF($B20="","",IF(J$4="NÃO",0,IF(VLOOKUP($B20,FROTA!$B$5:$R$305,17,0)=J$3,0.02,0)))</f>
        <v/>
      </c>
      <c r="K20" s="193" t="str">
        <f>IF($B20="","",IF(K$4="NÃO",0,IF(VLOOKUP($B20,FROTA!$B$5:$R$305,17,0)=K$3,0.02,0)))</f>
        <v/>
      </c>
      <c r="L20" s="193" t="str">
        <f>IF($B20="","",IF(L$4="NÃO",0,IF(VLOOKUP($B20,FROTA!$B$5:$R$305,17,0)=L$3,0.02,0)))</f>
        <v/>
      </c>
      <c r="M20" s="193" t="str">
        <f>IF($B20="","",IF(M$4="NÃO",0,IF(VLOOKUP($B20,FROTA!$B$5:$R$305,17,0)=M$3,0.02,0)))</f>
        <v/>
      </c>
      <c r="N20" s="193" t="str">
        <f>IF($B20="","",IF(M$4="NÃO",0,IF(VLOOKUP($B20,FROTA!$B$5:$R$305,17,0)=N$3,0.02,0)))</f>
        <v/>
      </c>
      <c r="O20" s="311" t="str">
        <f>IF($B20="","",IF(O$4="NÃO",0,IF(VLOOKUP($B20,FROTA!$B$5:$R$305,10,0)=O$3,0.01,0)))</f>
        <v/>
      </c>
      <c r="P20" s="307" t="str">
        <f>IF($B20="","",IF(P$4="NÃO",0,IF(VLOOKUP($B20,FROTA!$B$5:$R$305,10,0)=P$3,0.01,0)))</f>
        <v/>
      </c>
      <c r="Q20" s="307" t="str">
        <f>IF($B20="","",IF(Q$4="NÃO",0,IF(VLOOKUP($B20,FROTA!$B$5:$R$305,10,0)=Q$3,0.01,0)))</f>
        <v/>
      </c>
      <c r="R20" s="307" t="str">
        <f>IF($B20="","",IF(R$4="NÃO",0,IF(VLOOKUP($B20,FROTA!$B$5:$R$305,10,0)=R$3,0.01,0)))</f>
        <v/>
      </c>
      <c r="S20" s="307" t="str">
        <f>IF($B20="","",IF(S$4="NÃO",0,IF(VLOOKUP($B20,FROTA!$B$5:$R$305,10,0)=S$3,0.01,0)))</f>
        <v/>
      </c>
      <c r="T20" s="307" t="str">
        <f>IF($B20="","",IF(T$4="NÃO",0,IF(VLOOKUP($B20,FROTA!$B$5:$R$305,10,0)=T$3,0.01,0)))</f>
        <v/>
      </c>
      <c r="U20" s="307" t="str">
        <f>IF($B20="","",IF(U$4="NÃO",0,IF(VLOOKUP($B20,FROTA!$B$5:$R$305,10,0)=U$3,0.01,0)))</f>
        <v/>
      </c>
      <c r="V20" s="306" t="str">
        <f t="shared" si="17"/>
        <v/>
      </c>
      <c r="W20" s="238" t="str">
        <f t="shared" si="18"/>
        <v/>
      </c>
      <c r="X20" s="576" t="str">
        <f t="shared" si="19"/>
        <v/>
      </c>
      <c r="Y20" s="573">
        <f t="shared" ca="1" si="8"/>
        <v>2009</v>
      </c>
      <c r="Z20" s="575">
        <f t="shared" si="9"/>
        <v>0.24450000000000013</v>
      </c>
      <c r="AB20" s="573">
        <f t="shared" ca="1" si="10"/>
        <v>2009</v>
      </c>
      <c r="AC20" s="575">
        <f t="shared" si="6"/>
        <v>0.21733333333333346</v>
      </c>
      <c r="AE20" s="573">
        <f t="shared" ca="1" si="11"/>
        <v>2009</v>
      </c>
      <c r="AF20" s="575">
        <f t="shared" si="7"/>
        <v>0.19318518518518529</v>
      </c>
      <c r="AH20" s="573">
        <f t="shared" ca="1" si="12"/>
        <v>2009</v>
      </c>
      <c r="AI20" s="575">
        <f t="shared" si="2"/>
        <v>0.17172016460905359</v>
      </c>
      <c r="AK20" s="573">
        <f t="shared" ca="1" si="13"/>
        <v>2009</v>
      </c>
      <c r="AL20" s="575">
        <f t="shared" si="3"/>
        <v>0.15264014631915876</v>
      </c>
      <c r="AN20" s="573">
        <f t="shared" ca="1" si="14"/>
        <v>2009</v>
      </c>
      <c r="AO20" s="575">
        <f t="shared" si="4"/>
        <v>0.13568013006147445</v>
      </c>
      <c r="AQ20" s="573">
        <f t="shared" ca="1" si="15"/>
        <v>2009</v>
      </c>
      <c r="AR20" s="575">
        <f t="shared" si="5"/>
        <v>0.12060456005464396</v>
      </c>
      <c r="BA20" s="581">
        <v>44853</v>
      </c>
      <c r="BB20" s="582">
        <v>2023</v>
      </c>
    </row>
    <row r="21" spans="2:54" ht="15" customHeight="1" x14ac:dyDescent="0.2">
      <c r="B21" s="192" t="str">
        <f>IF(FROTA!B22="","",FROTA!B22)</f>
        <v/>
      </c>
      <c r="C21" s="192" t="str">
        <f>IF(B21="","",FROTA!Z22)</f>
        <v/>
      </c>
      <c r="D21" s="192" t="str">
        <f>IF(B21="","",VLOOKUP(B21,FROTA!$B$5:$C$310,2,0))</f>
        <v/>
      </c>
      <c r="E21" s="233" t="str">
        <f>IF(D21="","",VLOOKUP(D21,ESCALA!$B$3:$H$19,7,0))</f>
        <v/>
      </c>
      <c r="F21" s="219" t="s">
        <v>222</v>
      </c>
      <c r="G21" s="305" t="str">
        <f t="shared" si="16"/>
        <v/>
      </c>
      <c r="H21" s="314" t="str">
        <f>IF($B21="","",IF(H$4="NÃO",0,IF(VLOOKUP($B21,FROTA!$B$5:$R$305,17,0)=H$3,0.02,0)))</f>
        <v/>
      </c>
      <c r="I21" s="193" t="str">
        <f>IF($B21="","",IF(I$4="NÃO",0,IF(VLOOKUP($B21,FROTA!$B$5:$R$305,17,0)=I$3,0.02,0)))</f>
        <v/>
      </c>
      <c r="J21" s="193" t="str">
        <f>IF($B21="","",IF(J$4="NÃO",0,IF(VLOOKUP($B21,FROTA!$B$5:$R$305,17,0)=J$3,0.02,0)))</f>
        <v/>
      </c>
      <c r="K21" s="193" t="str">
        <f>IF($B21="","",IF(K$4="NÃO",0,IF(VLOOKUP($B21,FROTA!$B$5:$R$305,17,0)=K$3,0.02,0)))</f>
        <v/>
      </c>
      <c r="L21" s="193" t="str">
        <f>IF($B21="","",IF(L$4="NÃO",0,IF(VLOOKUP($B21,FROTA!$B$5:$R$305,17,0)=L$3,0.02,0)))</f>
        <v/>
      </c>
      <c r="M21" s="193" t="str">
        <f>IF($B21="","",IF(M$4="NÃO",0,IF(VLOOKUP($B21,FROTA!$B$5:$R$305,17,0)=M$3,0.02,0)))</f>
        <v/>
      </c>
      <c r="N21" s="193" t="str">
        <f>IF($B21="","",IF(M$4="NÃO",0,IF(VLOOKUP($B21,FROTA!$B$5:$R$305,17,0)=N$3,0.02,0)))</f>
        <v/>
      </c>
      <c r="O21" s="311" t="str">
        <f>IF($B21="","",IF(O$4="NÃO",0,IF(VLOOKUP($B21,FROTA!$B$5:$R$305,10,0)=O$3,0.01,0)))</f>
        <v/>
      </c>
      <c r="P21" s="307" t="str">
        <f>IF($B21="","",IF(P$4="NÃO",0,IF(VLOOKUP($B21,FROTA!$B$5:$R$305,10,0)=P$3,0.01,0)))</f>
        <v/>
      </c>
      <c r="Q21" s="307" t="str">
        <f>IF($B21="","",IF(Q$4="NÃO",0,IF(VLOOKUP($B21,FROTA!$B$5:$R$305,10,0)=Q$3,0.01,0)))</f>
        <v/>
      </c>
      <c r="R21" s="307" t="str">
        <f>IF($B21="","",IF(R$4="NÃO",0,IF(VLOOKUP($B21,FROTA!$B$5:$R$305,10,0)=R$3,0.01,0)))</f>
        <v/>
      </c>
      <c r="S21" s="307" t="str">
        <f>IF($B21="","",IF(S$4="NÃO",0,IF(VLOOKUP($B21,FROTA!$B$5:$R$305,10,0)=S$3,0.01,0)))</f>
        <v/>
      </c>
      <c r="T21" s="307" t="str">
        <f>IF($B21="","",IF(T$4="NÃO",0,IF(VLOOKUP($B21,FROTA!$B$5:$R$305,10,0)=T$3,0.01,0)))</f>
        <v/>
      </c>
      <c r="U21" s="307" t="str">
        <f>IF($B21="","",IF(U$4="NÃO",0,IF(VLOOKUP($B21,FROTA!$B$5:$R$305,10,0)=U$3,0.01,0)))</f>
        <v/>
      </c>
      <c r="V21" s="306" t="str">
        <f t="shared" si="17"/>
        <v/>
      </c>
      <c r="W21" s="238" t="str">
        <f t="shared" si="18"/>
        <v/>
      </c>
      <c r="X21" s="576" t="str">
        <f t="shared" si="19"/>
        <v/>
      </c>
      <c r="Y21" s="573">
        <f t="shared" ca="1" si="8"/>
        <v>2008</v>
      </c>
      <c r="Z21" s="575">
        <f t="shared" si="9"/>
        <v>0.25300000000000011</v>
      </c>
      <c r="AB21" s="573">
        <f t="shared" ca="1" si="10"/>
        <v>2008</v>
      </c>
      <c r="AC21" s="575">
        <f t="shared" si="6"/>
        <v>0.224888888888889</v>
      </c>
      <c r="AE21" s="573">
        <f t="shared" ca="1" si="11"/>
        <v>2008</v>
      </c>
      <c r="AF21" s="575">
        <f t="shared" si="7"/>
        <v>0.19990123456790132</v>
      </c>
      <c r="AH21" s="573">
        <f t="shared" ca="1" si="12"/>
        <v>2008</v>
      </c>
      <c r="AI21" s="575">
        <f t="shared" si="2"/>
        <v>0.17768998628257895</v>
      </c>
      <c r="AK21" s="573">
        <f t="shared" ca="1" si="13"/>
        <v>2008</v>
      </c>
      <c r="AL21" s="575">
        <f t="shared" si="3"/>
        <v>0.1579466544734035</v>
      </c>
      <c r="AN21" s="573">
        <f t="shared" ca="1" si="14"/>
        <v>2008</v>
      </c>
      <c r="AO21" s="575">
        <f t="shared" si="4"/>
        <v>0.14039702619858088</v>
      </c>
      <c r="AQ21" s="573">
        <f t="shared" ca="1" si="15"/>
        <v>2008</v>
      </c>
      <c r="AR21" s="575">
        <f t="shared" si="5"/>
        <v>0.12479735662096078</v>
      </c>
      <c r="BA21" s="581">
        <v>44854</v>
      </c>
      <c r="BB21" s="582">
        <v>2023</v>
      </c>
    </row>
    <row r="22" spans="2:54" ht="15" customHeight="1" x14ac:dyDescent="0.2">
      <c r="B22" s="192" t="str">
        <f>IF(FROTA!B23="","",FROTA!B23)</f>
        <v/>
      </c>
      <c r="C22" s="192" t="str">
        <f>IF(B22="","",FROTA!Z23)</f>
        <v/>
      </c>
      <c r="D22" s="192" t="str">
        <f>IF(B22="","",VLOOKUP(B22,FROTA!$B$5:$C$310,2,0))</f>
        <v/>
      </c>
      <c r="E22" s="233" t="str">
        <f>IF(D22="","",VLOOKUP(D22,ESCALA!$B$3:$H$19,7,0))</f>
        <v/>
      </c>
      <c r="F22" s="219" t="s">
        <v>222</v>
      </c>
      <c r="G22" s="305" t="str">
        <f t="shared" si="16"/>
        <v/>
      </c>
      <c r="H22" s="314" t="str">
        <f>IF($B22="","",IF(H$4="NÃO",0,IF(VLOOKUP($B22,FROTA!$B$5:$R$305,17,0)=H$3,0.02,0)))</f>
        <v/>
      </c>
      <c r="I22" s="193" t="str">
        <f>IF($B22="","",IF(I$4="NÃO",0,IF(VLOOKUP($B22,FROTA!$B$5:$R$305,17,0)=I$3,0.02,0)))</f>
        <v/>
      </c>
      <c r="J22" s="193" t="str">
        <f>IF($B22="","",IF(J$4="NÃO",0,IF(VLOOKUP($B22,FROTA!$B$5:$R$305,17,0)=J$3,0.02,0)))</f>
        <v/>
      </c>
      <c r="K22" s="193" t="str">
        <f>IF($B22="","",IF(K$4="NÃO",0,IF(VLOOKUP($B22,FROTA!$B$5:$R$305,17,0)=K$3,0.02,0)))</f>
        <v/>
      </c>
      <c r="L22" s="193" t="str">
        <f>IF($B22="","",IF(L$4="NÃO",0,IF(VLOOKUP($B22,FROTA!$B$5:$R$305,17,0)=L$3,0.02,0)))</f>
        <v/>
      </c>
      <c r="M22" s="193" t="str">
        <f>IF($B22="","",IF(M$4="NÃO",0,IF(VLOOKUP($B22,FROTA!$B$5:$R$305,17,0)=M$3,0.02,0)))</f>
        <v/>
      </c>
      <c r="N22" s="193" t="str">
        <f>IF($B22="","",IF(M$4="NÃO",0,IF(VLOOKUP($B22,FROTA!$B$5:$R$305,17,0)=N$3,0.02,0)))</f>
        <v/>
      </c>
      <c r="O22" s="311" t="str">
        <f>IF($B22="","",IF(O$4="NÃO",0,IF(VLOOKUP($B22,FROTA!$B$5:$R$305,10,0)=O$3,0.01,0)))</f>
        <v/>
      </c>
      <c r="P22" s="307" t="str">
        <f>IF($B22="","",IF(P$4="NÃO",0,IF(VLOOKUP($B22,FROTA!$B$5:$R$305,10,0)=P$3,0.01,0)))</f>
        <v/>
      </c>
      <c r="Q22" s="307" t="str">
        <f>IF($B22="","",IF(Q$4="NÃO",0,IF(VLOOKUP($B22,FROTA!$B$5:$R$305,10,0)=Q$3,0.01,0)))</f>
        <v/>
      </c>
      <c r="R22" s="307" t="str">
        <f>IF($B22="","",IF(R$4="NÃO",0,IF(VLOOKUP($B22,FROTA!$B$5:$R$305,10,0)=R$3,0.01,0)))</f>
        <v/>
      </c>
      <c r="S22" s="307" t="str">
        <f>IF($B22="","",IF(S$4="NÃO",0,IF(VLOOKUP($B22,FROTA!$B$5:$R$305,10,0)=S$3,0.01,0)))</f>
        <v/>
      </c>
      <c r="T22" s="307" t="str">
        <f>IF($B22="","",IF(T$4="NÃO",0,IF(VLOOKUP($B22,FROTA!$B$5:$R$305,10,0)=T$3,0.01,0)))</f>
        <v/>
      </c>
      <c r="U22" s="307" t="str">
        <f>IF($B22="","",IF(U$4="NÃO",0,IF(VLOOKUP($B22,FROTA!$B$5:$R$305,10,0)=U$3,0.01,0)))</f>
        <v/>
      </c>
      <c r="V22" s="306" t="str">
        <f t="shared" si="17"/>
        <v/>
      </c>
      <c r="W22" s="238" t="str">
        <f t="shared" si="18"/>
        <v/>
      </c>
      <c r="X22" s="576" t="str">
        <f t="shared" si="19"/>
        <v/>
      </c>
      <c r="Y22" s="573">
        <f t="shared" ca="1" si="8"/>
        <v>2007</v>
      </c>
      <c r="Z22" s="575">
        <f t="shared" si="9"/>
        <v>0.26150000000000012</v>
      </c>
      <c r="AB22" s="573">
        <f t="shared" ca="1" si="10"/>
        <v>2007</v>
      </c>
      <c r="AC22" s="575">
        <f t="shared" si="6"/>
        <v>0.23244444444444456</v>
      </c>
      <c r="AE22" s="573">
        <f t="shared" ca="1" si="11"/>
        <v>2007</v>
      </c>
      <c r="AF22" s="575">
        <f t="shared" si="7"/>
        <v>0.2066172839506174</v>
      </c>
      <c r="AH22" s="573">
        <f t="shared" ca="1" si="12"/>
        <v>2007</v>
      </c>
      <c r="AI22" s="575">
        <f t="shared" si="2"/>
        <v>0.18365980795610437</v>
      </c>
      <c r="AK22" s="573">
        <f t="shared" ca="1" si="13"/>
        <v>2007</v>
      </c>
      <c r="AL22" s="575">
        <f t="shared" si="3"/>
        <v>0.16325316262764833</v>
      </c>
      <c r="AN22" s="573">
        <f t="shared" ca="1" si="14"/>
        <v>2007</v>
      </c>
      <c r="AO22" s="575">
        <f t="shared" si="4"/>
        <v>0.1451139223356874</v>
      </c>
      <c r="AQ22" s="573">
        <f t="shared" ca="1" si="15"/>
        <v>2007</v>
      </c>
      <c r="AR22" s="575">
        <f t="shared" si="5"/>
        <v>0.12899015318727769</v>
      </c>
      <c r="BA22" s="581">
        <v>44855</v>
      </c>
      <c r="BB22" s="582">
        <v>2023</v>
      </c>
    </row>
    <row r="23" spans="2:54" ht="15" customHeight="1" x14ac:dyDescent="0.2">
      <c r="B23" s="192" t="str">
        <f>IF(FROTA!B24="","",FROTA!B24)</f>
        <v/>
      </c>
      <c r="C23" s="192" t="str">
        <f>IF(B23="","",FROTA!Z24)</f>
        <v/>
      </c>
      <c r="D23" s="192" t="str">
        <f>IF(B23="","",VLOOKUP(B23,FROTA!$B$5:$C$310,2,0))</f>
        <v/>
      </c>
      <c r="E23" s="233" t="str">
        <f>IF(D23="","",VLOOKUP(D23,ESCALA!$B$3:$H$19,7,0))</f>
        <v/>
      </c>
      <c r="F23" s="219" t="s">
        <v>222</v>
      </c>
      <c r="G23" s="305" t="str">
        <f t="shared" si="16"/>
        <v/>
      </c>
      <c r="H23" s="314" t="str">
        <f>IF($B23="","",IF(H$4="NÃO",0,IF(VLOOKUP($B23,FROTA!$B$5:$R$305,17,0)=H$3,0.02,0)))</f>
        <v/>
      </c>
      <c r="I23" s="193" t="str">
        <f>IF($B23="","",IF(I$4="NÃO",0,IF(VLOOKUP($B23,FROTA!$B$5:$R$305,17,0)=I$3,0.02,0)))</f>
        <v/>
      </c>
      <c r="J23" s="193" t="str">
        <f>IF($B23="","",IF(J$4="NÃO",0,IF(VLOOKUP($B23,FROTA!$B$5:$R$305,17,0)=J$3,0.02,0)))</f>
        <v/>
      </c>
      <c r="K23" s="193" t="str">
        <f>IF($B23="","",IF(K$4="NÃO",0,IF(VLOOKUP($B23,FROTA!$B$5:$R$305,17,0)=K$3,0.02,0)))</f>
        <v/>
      </c>
      <c r="L23" s="193" t="str">
        <f>IF($B23="","",IF(L$4="NÃO",0,IF(VLOOKUP($B23,FROTA!$B$5:$R$305,17,0)=L$3,0.02,0)))</f>
        <v/>
      </c>
      <c r="M23" s="193" t="str">
        <f>IF($B23="","",IF(M$4="NÃO",0,IF(VLOOKUP($B23,FROTA!$B$5:$R$305,17,0)=M$3,0.02,0)))</f>
        <v/>
      </c>
      <c r="N23" s="193" t="str">
        <f>IF($B23="","",IF(M$4="NÃO",0,IF(VLOOKUP($B23,FROTA!$B$5:$R$305,17,0)=N$3,0.02,0)))</f>
        <v/>
      </c>
      <c r="O23" s="311" t="str">
        <f>IF($B23="","",IF(O$4="NÃO",0,IF(VLOOKUP($B23,FROTA!$B$5:$R$305,10,0)=O$3,0.01,0)))</f>
        <v/>
      </c>
      <c r="P23" s="307" t="str">
        <f>IF($B23="","",IF(P$4="NÃO",0,IF(VLOOKUP($B23,FROTA!$B$5:$R$305,10,0)=P$3,0.01,0)))</f>
        <v/>
      </c>
      <c r="Q23" s="307" t="str">
        <f>IF($B23="","",IF(Q$4="NÃO",0,IF(VLOOKUP($B23,FROTA!$B$5:$R$305,10,0)=Q$3,0.01,0)))</f>
        <v/>
      </c>
      <c r="R23" s="307" t="str">
        <f>IF($B23="","",IF(R$4="NÃO",0,IF(VLOOKUP($B23,FROTA!$B$5:$R$305,10,0)=R$3,0.01,0)))</f>
        <v/>
      </c>
      <c r="S23" s="307" t="str">
        <f>IF($B23="","",IF(S$4="NÃO",0,IF(VLOOKUP($B23,FROTA!$B$5:$R$305,10,0)=S$3,0.01,0)))</f>
        <v/>
      </c>
      <c r="T23" s="307" t="str">
        <f>IF($B23="","",IF(T$4="NÃO",0,IF(VLOOKUP($B23,FROTA!$B$5:$R$305,10,0)=T$3,0.01,0)))</f>
        <v/>
      </c>
      <c r="U23" s="307" t="str">
        <f>IF($B23="","",IF(U$4="NÃO",0,IF(VLOOKUP($B23,FROTA!$B$5:$R$305,10,0)=U$3,0.01,0)))</f>
        <v/>
      </c>
      <c r="V23" s="306" t="str">
        <f t="shared" si="17"/>
        <v/>
      </c>
      <c r="W23" s="238" t="str">
        <f t="shared" si="18"/>
        <v/>
      </c>
      <c r="X23" s="576" t="str">
        <f t="shared" si="19"/>
        <v/>
      </c>
      <c r="Y23" s="573">
        <f t="shared" ca="1" si="8"/>
        <v>2006</v>
      </c>
      <c r="Z23" s="575">
        <f t="shared" si="9"/>
        <v>0.27000000000000013</v>
      </c>
      <c r="AB23" s="573">
        <f t="shared" ca="1" si="10"/>
        <v>2006</v>
      </c>
      <c r="AC23" s="575">
        <f t="shared" si="6"/>
        <v>0.2400000000000001</v>
      </c>
      <c r="AE23" s="573">
        <f t="shared" ca="1" si="11"/>
        <v>2006</v>
      </c>
      <c r="AF23" s="575">
        <f t="shared" si="7"/>
        <v>0.21333333333333343</v>
      </c>
      <c r="AH23" s="573">
        <f t="shared" ca="1" si="12"/>
        <v>2006</v>
      </c>
      <c r="AI23" s="575">
        <f t="shared" si="2"/>
        <v>0.1896296296296297</v>
      </c>
      <c r="AK23" s="573">
        <f t="shared" ca="1" si="13"/>
        <v>2006</v>
      </c>
      <c r="AL23" s="575">
        <f t="shared" si="3"/>
        <v>0.16855967078189307</v>
      </c>
      <c r="AN23" s="573">
        <f t="shared" ca="1" si="14"/>
        <v>2006</v>
      </c>
      <c r="AO23" s="575">
        <f t="shared" si="4"/>
        <v>0.14983081847279384</v>
      </c>
      <c r="AQ23" s="573">
        <f t="shared" ca="1" si="15"/>
        <v>2006</v>
      </c>
      <c r="AR23" s="575">
        <f t="shared" si="5"/>
        <v>0.13318294975359452</v>
      </c>
      <c r="BA23" s="581">
        <v>44856</v>
      </c>
      <c r="BB23" s="582">
        <v>2023</v>
      </c>
    </row>
    <row r="24" spans="2:54" ht="15" customHeight="1" x14ac:dyDescent="0.2">
      <c r="B24" s="192" t="str">
        <f>IF(FROTA!B25="","",FROTA!B25)</f>
        <v/>
      </c>
      <c r="C24" s="192" t="str">
        <f>IF(B24="","",FROTA!Z25)</f>
        <v/>
      </c>
      <c r="D24" s="192" t="str">
        <f>IF(B24="","",VLOOKUP(B24,FROTA!$B$5:$C$310,2,0))</f>
        <v/>
      </c>
      <c r="E24" s="233" t="str">
        <f>IF(D24="","",VLOOKUP(D24,ESCALA!$B$3:$H$19,7,0))</f>
        <v/>
      </c>
      <c r="F24" s="219" t="s">
        <v>222</v>
      </c>
      <c r="G24" s="305" t="str">
        <f t="shared" si="16"/>
        <v/>
      </c>
      <c r="H24" s="314" t="str">
        <f>IF($B24="","",IF(H$4="NÃO",0,IF(VLOOKUP($B24,FROTA!$B$5:$R$305,17,0)=H$3,0.02,0)))</f>
        <v/>
      </c>
      <c r="I24" s="193" t="str">
        <f>IF($B24="","",IF(I$4="NÃO",0,IF(VLOOKUP($B24,FROTA!$B$5:$R$305,17,0)=I$3,0.02,0)))</f>
        <v/>
      </c>
      <c r="J24" s="193" t="str">
        <f>IF($B24="","",IF(J$4="NÃO",0,IF(VLOOKUP($B24,FROTA!$B$5:$R$305,17,0)=J$3,0.02,0)))</f>
        <v/>
      </c>
      <c r="K24" s="193" t="str">
        <f>IF($B24="","",IF(K$4="NÃO",0,IF(VLOOKUP($B24,FROTA!$B$5:$R$305,17,0)=K$3,0.02,0)))</f>
        <v/>
      </c>
      <c r="L24" s="193" t="str">
        <f>IF($B24="","",IF(L$4="NÃO",0,IF(VLOOKUP($B24,FROTA!$B$5:$R$305,17,0)=L$3,0.02,0)))</f>
        <v/>
      </c>
      <c r="M24" s="193" t="str">
        <f>IF($B24="","",IF(M$4="NÃO",0,IF(VLOOKUP($B24,FROTA!$B$5:$R$305,17,0)=M$3,0.02,0)))</f>
        <v/>
      </c>
      <c r="N24" s="193" t="str">
        <f>IF($B24="","",IF(M$4="NÃO",0,IF(VLOOKUP($B24,FROTA!$B$5:$R$305,17,0)=N$3,0.02,0)))</f>
        <v/>
      </c>
      <c r="O24" s="311" t="str">
        <f>IF($B24="","",IF(O$4="NÃO",0,IF(VLOOKUP($B24,FROTA!$B$5:$R$305,10,0)=O$3,0.01,0)))</f>
        <v/>
      </c>
      <c r="P24" s="307" t="str">
        <f>IF($B24="","",IF(P$4="NÃO",0,IF(VLOOKUP($B24,FROTA!$B$5:$R$305,10,0)=P$3,0.01,0)))</f>
        <v/>
      </c>
      <c r="Q24" s="307" t="str">
        <f>IF($B24="","",IF(Q$4="NÃO",0,IF(VLOOKUP($B24,FROTA!$B$5:$R$305,10,0)=Q$3,0.01,0)))</f>
        <v/>
      </c>
      <c r="R24" s="307" t="str">
        <f>IF($B24="","",IF(R$4="NÃO",0,IF(VLOOKUP($B24,FROTA!$B$5:$R$305,10,0)=R$3,0.01,0)))</f>
        <v/>
      </c>
      <c r="S24" s="307" t="str">
        <f>IF($B24="","",IF(S$4="NÃO",0,IF(VLOOKUP($B24,FROTA!$B$5:$R$305,10,0)=S$3,0.01,0)))</f>
        <v/>
      </c>
      <c r="T24" s="307" t="str">
        <f>IF($B24="","",IF(T$4="NÃO",0,IF(VLOOKUP($B24,FROTA!$B$5:$R$305,10,0)=T$3,0.01,0)))</f>
        <v/>
      </c>
      <c r="U24" s="307" t="str">
        <f>IF($B24="","",IF(U$4="NÃO",0,IF(VLOOKUP($B24,FROTA!$B$5:$R$305,10,0)=U$3,0.01,0)))</f>
        <v/>
      </c>
      <c r="V24" s="306" t="str">
        <f t="shared" si="17"/>
        <v/>
      </c>
      <c r="W24" s="238" t="str">
        <f t="shared" si="18"/>
        <v/>
      </c>
      <c r="X24" s="576" t="str">
        <f t="shared" si="19"/>
        <v/>
      </c>
      <c r="Y24" s="573">
        <f t="shared" ca="1" si="8"/>
        <v>2005</v>
      </c>
      <c r="Z24" s="575">
        <f t="shared" si="9"/>
        <v>0.27850000000000014</v>
      </c>
      <c r="AB24" s="573">
        <f t="shared" ca="1" si="10"/>
        <v>2005</v>
      </c>
      <c r="AC24" s="575">
        <f t="shared" si="6"/>
        <v>0.24755555555555567</v>
      </c>
      <c r="AE24" s="573">
        <f t="shared" ca="1" si="11"/>
        <v>2005</v>
      </c>
      <c r="AF24" s="575">
        <f t="shared" si="7"/>
        <v>0.22004938271604949</v>
      </c>
      <c r="AH24" s="573">
        <f t="shared" ca="1" si="12"/>
        <v>2005</v>
      </c>
      <c r="AI24" s="575">
        <f t="shared" si="2"/>
        <v>0.19559945130315509</v>
      </c>
      <c r="AK24" s="573">
        <f t="shared" ca="1" si="13"/>
        <v>2005</v>
      </c>
      <c r="AL24" s="575">
        <f t="shared" si="3"/>
        <v>0.17386617893613787</v>
      </c>
      <c r="AN24" s="573">
        <f t="shared" ca="1" si="14"/>
        <v>2005</v>
      </c>
      <c r="AO24" s="575">
        <f t="shared" si="4"/>
        <v>0.15454771460990033</v>
      </c>
      <c r="AQ24" s="573">
        <f t="shared" ca="1" si="15"/>
        <v>2005</v>
      </c>
      <c r="AR24" s="575">
        <f t="shared" si="5"/>
        <v>0.1373757463199114</v>
      </c>
      <c r="BA24" s="581">
        <v>44857</v>
      </c>
      <c r="BB24" s="582">
        <v>2023</v>
      </c>
    </row>
    <row r="25" spans="2:54" ht="15" customHeight="1" x14ac:dyDescent="0.2">
      <c r="B25" s="192" t="str">
        <f>IF(FROTA!B26="","",FROTA!B26)</f>
        <v/>
      </c>
      <c r="C25" s="192" t="str">
        <f>IF(B25="","",FROTA!Z26)</f>
        <v/>
      </c>
      <c r="D25" s="192" t="str">
        <f>IF(B25="","",VLOOKUP(B25,FROTA!$B$5:$C$310,2,0))</f>
        <v/>
      </c>
      <c r="E25" s="233" t="str">
        <f>IF(D25="","",VLOOKUP(D25,ESCALA!$B$3:$H$19,7,0))</f>
        <v/>
      </c>
      <c r="F25" s="219" t="s">
        <v>222</v>
      </c>
      <c r="G25" s="305" t="str">
        <f t="shared" si="16"/>
        <v/>
      </c>
      <c r="H25" s="314" t="str">
        <f>IF($B25="","",IF(H$4="NÃO",0,IF(VLOOKUP($B25,FROTA!$B$5:$R$305,17,0)=H$3,0.02,0)))</f>
        <v/>
      </c>
      <c r="I25" s="193" t="str">
        <f>IF($B25="","",IF(I$4="NÃO",0,IF(VLOOKUP($B25,FROTA!$B$5:$R$305,17,0)=I$3,0.02,0)))</f>
        <v/>
      </c>
      <c r="J25" s="193" t="str">
        <f>IF($B25="","",IF(J$4="NÃO",0,IF(VLOOKUP($B25,FROTA!$B$5:$R$305,17,0)=J$3,0.02,0)))</f>
        <v/>
      </c>
      <c r="K25" s="193" t="str">
        <f>IF($B25="","",IF(K$4="NÃO",0,IF(VLOOKUP($B25,FROTA!$B$5:$R$305,17,0)=K$3,0.02,0)))</f>
        <v/>
      </c>
      <c r="L25" s="193" t="str">
        <f>IF($B25="","",IF(L$4="NÃO",0,IF(VLOOKUP($B25,FROTA!$B$5:$R$305,17,0)=L$3,0.02,0)))</f>
        <v/>
      </c>
      <c r="M25" s="193" t="str">
        <f>IF($B25="","",IF(M$4="NÃO",0,IF(VLOOKUP($B25,FROTA!$B$5:$R$305,17,0)=M$3,0.02,0)))</f>
        <v/>
      </c>
      <c r="N25" s="193" t="str">
        <f>IF($B25="","",IF(M$4="NÃO",0,IF(VLOOKUP($B25,FROTA!$B$5:$R$305,17,0)=N$3,0.02,0)))</f>
        <v/>
      </c>
      <c r="O25" s="311" t="str">
        <f>IF($B25="","",IF(O$4="NÃO",0,IF(VLOOKUP($B25,FROTA!$B$5:$R$305,10,0)=O$3,0.01,0)))</f>
        <v/>
      </c>
      <c r="P25" s="307" t="str">
        <f>IF($B25="","",IF(P$4="NÃO",0,IF(VLOOKUP($B25,FROTA!$B$5:$R$305,10,0)=P$3,0.01,0)))</f>
        <v/>
      </c>
      <c r="Q25" s="307" t="str">
        <f>IF($B25="","",IF(Q$4="NÃO",0,IF(VLOOKUP($B25,FROTA!$B$5:$R$305,10,0)=Q$3,0.01,0)))</f>
        <v/>
      </c>
      <c r="R25" s="307" t="str">
        <f>IF($B25="","",IF(R$4="NÃO",0,IF(VLOOKUP($B25,FROTA!$B$5:$R$305,10,0)=R$3,0.01,0)))</f>
        <v/>
      </c>
      <c r="S25" s="307" t="str">
        <f>IF($B25="","",IF(S$4="NÃO",0,IF(VLOOKUP($B25,FROTA!$B$5:$R$305,10,0)=S$3,0.01,0)))</f>
        <v/>
      </c>
      <c r="T25" s="307" t="str">
        <f>IF($B25="","",IF(T$4="NÃO",0,IF(VLOOKUP($B25,FROTA!$B$5:$R$305,10,0)=T$3,0.01,0)))</f>
        <v/>
      </c>
      <c r="U25" s="307" t="str">
        <f>IF($B25="","",IF(U$4="NÃO",0,IF(VLOOKUP($B25,FROTA!$B$5:$R$305,10,0)=U$3,0.01,0)))</f>
        <v/>
      </c>
      <c r="V25" s="306" t="str">
        <f t="shared" si="17"/>
        <v/>
      </c>
      <c r="W25" s="238" t="str">
        <f t="shared" si="18"/>
        <v/>
      </c>
      <c r="X25" s="576" t="str">
        <f t="shared" si="19"/>
        <v/>
      </c>
      <c r="Y25" s="573">
        <f t="shared" ca="1" si="8"/>
        <v>2004</v>
      </c>
      <c r="Z25" s="575">
        <f t="shared" si="9"/>
        <v>0.28700000000000014</v>
      </c>
      <c r="AB25" s="573">
        <f t="shared" ca="1" si="10"/>
        <v>2004</v>
      </c>
      <c r="AC25" s="575">
        <f t="shared" si="6"/>
        <v>0.25511111111111123</v>
      </c>
      <c r="AE25" s="573">
        <f t="shared" ca="1" si="11"/>
        <v>2004</v>
      </c>
      <c r="AF25" s="575">
        <f t="shared" si="7"/>
        <v>0.22676543209876554</v>
      </c>
      <c r="AH25" s="573">
        <f t="shared" ca="1" si="12"/>
        <v>2004</v>
      </c>
      <c r="AI25" s="575">
        <f t="shared" si="2"/>
        <v>0.20156927297668048</v>
      </c>
      <c r="AK25" s="573">
        <f t="shared" ca="1" si="13"/>
        <v>2004</v>
      </c>
      <c r="AL25" s="575">
        <f t="shared" si="3"/>
        <v>0.17917268709038264</v>
      </c>
      <c r="AN25" s="573">
        <f t="shared" ca="1" si="14"/>
        <v>2004</v>
      </c>
      <c r="AO25" s="575">
        <f t="shared" si="4"/>
        <v>0.15926461074700679</v>
      </c>
      <c r="AQ25" s="573">
        <f t="shared" ca="1" si="15"/>
        <v>2004</v>
      </c>
      <c r="AR25" s="575">
        <f t="shared" si="5"/>
        <v>0.14156854288622825</v>
      </c>
      <c r="BA25" s="581">
        <v>44858</v>
      </c>
      <c r="BB25" s="582">
        <v>2023</v>
      </c>
    </row>
    <row r="26" spans="2:54" ht="15" customHeight="1" x14ac:dyDescent="0.2">
      <c r="B26" s="192" t="str">
        <f>IF(FROTA!B27="","",FROTA!B27)</f>
        <v/>
      </c>
      <c r="C26" s="192" t="str">
        <f>IF(B26="","",FROTA!Z27)</f>
        <v/>
      </c>
      <c r="D26" s="192" t="str">
        <f>IF(B26="","",VLOOKUP(B26,FROTA!$B$5:$C$310,2,0))</f>
        <v/>
      </c>
      <c r="E26" s="233" t="str">
        <f>IF(D26="","",VLOOKUP(D26,ESCALA!$B$3:$H$19,7,0))</f>
        <v/>
      </c>
      <c r="F26" s="219" t="s">
        <v>222</v>
      </c>
      <c r="G26" s="305" t="str">
        <f t="shared" si="16"/>
        <v/>
      </c>
      <c r="H26" s="314" t="str">
        <f>IF($B26="","",IF(H$4="NÃO",0,IF(VLOOKUP($B26,FROTA!$B$5:$R$305,17,0)=H$3,0.02,0)))</f>
        <v/>
      </c>
      <c r="I26" s="193" t="str">
        <f>IF($B26="","",IF(I$4="NÃO",0,IF(VLOOKUP($B26,FROTA!$B$5:$R$305,17,0)=I$3,0.02,0)))</f>
        <v/>
      </c>
      <c r="J26" s="193" t="str">
        <f>IF($B26="","",IF(J$4="NÃO",0,IF(VLOOKUP($B26,FROTA!$B$5:$R$305,17,0)=J$3,0.02,0)))</f>
        <v/>
      </c>
      <c r="K26" s="193" t="str">
        <f>IF($B26="","",IF(K$4="NÃO",0,IF(VLOOKUP($B26,FROTA!$B$5:$R$305,17,0)=K$3,0.02,0)))</f>
        <v/>
      </c>
      <c r="L26" s="193" t="str">
        <f>IF($B26="","",IF(L$4="NÃO",0,IF(VLOOKUP($B26,FROTA!$B$5:$R$305,17,0)=L$3,0.02,0)))</f>
        <v/>
      </c>
      <c r="M26" s="193" t="str">
        <f>IF($B26="","",IF(M$4="NÃO",0,IF(VLOOKUP($B26,FROTA!$B$5:$R$305,17,0)=M$3,0.02,0)))</f>
        <v/>
      </c>
      <c r="N26" s="193" t="str">
        <f>IF($B26="","",IF(M$4="NÃO",0,IF(VLOOKUP($B26,FROTA!$B$5:$R$305,17,0)=N$3,0.02,0)))</f>
        <v/>
      </c>
      <c r="O26" s="311" t="str">
        <f>IF($B26="","",IF(O$4="NÃO",0,IF(VLOOKUP($B26,FROTA!$B$5:$R$305,10,0)=O$3,0.01,0)))</f>
        <v/>
      </c>
      <c r="P26" s="307" t="str">
        <f>IF($B26="","",IF(P$4="NÃO",0,IF(VLOOKUP($B26,FROTA!$B$5:$R$305,10,0)=P$3,0.01,0)))</f>
        <v/>
      </c>
      <c r="Q26" s="307" t="str">
        <f>IF($B26="","",IF(Q$4="NÃO",0,IF(VLOOKUP($B26,FROTA!$B$5:$R$305,10,0)=Q$3,0.01,0)))</f>
        <v/>
      </c>
      <c r="R26" s="307" t="str">
        <f>IF($B26="","",IF(R$4="NÃO",0,IF(VLOOKUP($B26,FROTA!$B$5:$R$305,10,0)=R$3,0.01,0)))</f>
        <v/>
      </c>
      <c r="S26" s="307" t="str">
        <f>IF($B26="","",IF(S$4="NÃO",0,IF(VLOOKUP($B26,FROTA!$B$5:$R$305,10,0)=S$3,0.01,0)))</f>
        <v/>
      </c>
      <c r="T26" s="307" t="str">
        <f>IF($B26="","",IF(T$4="NÃO",0,IF(VLOOKUP($B26,FROTA!$B$5:$R$305,10,0)=T$3,0.01,0)))</f>
        <v/>
      </c>
      <c r="U26" s="307" t="str">
        <f>IF($B26="","",IF(U$4="NÃO",0,IF(VLOOKUP($B26,FROTA!$B$5:$R$305,10,0)=U$3,0.01,0)))</f>
        <v/>
      </c>
      <c r="V26" s="306" t="str">
        <f t="shared" si="17"/>
        <v/>
      </c>
      <c r="W26" s="238" t="str">
        <f t="shared" si="18"/>
        <v/>
      </c>
      <c r="X26" s="576" t="str">
        <f t="shared" si="19"/>
        <v/>
      </c>
      <c r="Y26" s="573">
        <f t="shared" ca="1" si="8"/>
        <v>2003</v>
      </c>
      <c r="Z26" s="575">
        <f t="shared" si="9"/>
        <v>0.29550000000000015</v>
      </c>
      <c r="AB26" s="573">
        <f t="shared" ca="1" si="10"/>
        <v>2003</v>
      </c>
      <c r="AC26" s="575">
        <f t="shared" si="6"/>
        <v>0.26266666666666683</v>
      </c>
      <c r="AE26" s="573">
        <f t="shared" ca="1" si="11"/>
        <v>2003</v>
      </c>
      <c r="AF26" s="575">
        <f t="shared" si="7"/>
        <v>0.23348148148148162</v>
      </c>
      <c r="AH26" s="573">
        <f t="shared" ca="1" si="12"/>
        <v>2003</v>
      </c>
      <c r="AI26" s="575">
        <f t="shared" si="2"/>
        <v>0.2075390946502059</v>
      </c>
      <c r="AK26" s="573">
        <f t="shared" ca="1" si="13"/>
        <v>2003</v>
      </c>
      <c r="AL26" s="575">
        <f t="shared" si="3"/>
        <v>0.18447919524462747</v>
      </c>
      <c r="AN26" s="573">
        <f t="shared" ca="1" si="14"/>
        <v>2003</v>
      </c>
      <c r="AO26" s="575">
        <f t="shared" si="4"/>
        <v>0.16398150688411331</v>
      </c>
      <c r="AQ26" s="573">
        <f t="shared" ca="1" si="15"/>
        <v>2003</v>
      </c>
      <c r="AR26" s="575">
        <f t="shared" si="5"/>
        <v>0.14576133945254516</v>
      </c>
      <c r="BA26" s="581">
        <v>44859</v>
      </c>
      <c r="BB26" s="582">
        <v>2023</v>
      </c>
    </row>
    <row r="27" spans="2:54" ht="15" customHeight="1" x14ac:dyDescent="0.2">
      <c r="B27" s="192" t="str">
        <f>IF(FROTA!B28="","",FROTA!B28)</f>
        <v/>
      </c>
      <c r="C27" s="192" t="str">
        <f>IF(B27="","",FROTA!Z28)</f>
        <v/>
      </c>
      <c r="D27" s="192" t="str">
        <f>IF(B27="","",VLOOKUP(B27,FROTA!$B$5:$C$310,2,0))</f>
        <v/>
      </c>
      <c r="E27" s="233" t="str">
        <f>IF(D27="","",VLOOKUP(D27,ESCALA!$B$3:$H$19,7,0))</f>
        <v/>
      </c>
      <c r="F27" s="219" t="s">
        <v>222</v>
      </c>
      <c r="G27" s="305" t="str">
        <f t="shared" si="16"/>
        <v/>
      </c>
      <c r="H27" s="314" t="str">
        <f>IF($B27="","",IF(H$4="NÃO",0,IF(VLOOKUP($B27,FROTA!$B$5:$R$305,17,0)=H$3,0.02,0)))</f>
        <v/>
      </c>
      <c r="I27" s="193" t="str">
        <f>IF($B27="","",IF(I$4="NÃO",0,IF(VLOOKUP($B27,FROTA!$B$5:$R$305,17,0)=I$3,0.02,0)))</f>
        <v/>
      </c>
      <c r="J27" s="193" t="str">
        <f>IF($B27="","",IF(J$4="NÃO",0,IF(VLOOKUP($B27,FROTA!$B$5:$R$305,17,0)=J$3,0.02,0)))</f>
        <v/>
      </c>
      <c r="K27" s="193" t="str">
        <f>IF($B27="","",IF(K$4="NÃO",0,IF(VLOOKUP($B27,FROTA!$B$5:$R$305,17,0)=K$3,0.02,0)))</f>
        <v/>
      </c>
      <c r="L27" s="193" t="str">
        <f>IF($B27="","",IF(L$4="NÃO",0,IF(VLOOKUP($B27,FROTA!$B$5:$R$305,17,0)=L$3,0.02,0)))</f>
        <v/>
      </c>
      <c r="M27" s="193" t="str">
        <f>IF($B27="","",IF(M$4="NÃO",0,IF(VLOOKUP($B27,FROTA!$B$5:$R$305,17,0)=M$3,0.02,0)))</f>
        <v/>
      </c>
      <c r="N27" s="193" t="str">
        <f>IF($B27="","",IF(M$4="NÃO",0,IF(VLOOKUP($B27,FROTA!$B$5:$R$305,17,0)=N$3,0.02,0)))</f>
        <v/>
      </c>
      <c r="O27" s="311" t="str">
        <f>IF($B27="","",IF(O$4="NÃO",0,IF(VLOOKUP($B27,FROTA!$B$5:$R$305,10,0)=O$3,0.01,0)))</f>
        <v/>
      </c>
      <c r="P27" s="307" t="str">
        <f>IF($B27="","",IF(P$4="NÃO",0,IF(VLOOKUP($B27,FROTA!$B$5:$R$305,10,0)=P$3,0.01,0)))</f>
        <v/>
      </c>
      <c r="Q27" s="307" t="str">
        <f>IF($B27="","",IF(Q$4="NÃO",0,IF(VLOOKUP($B27,FROTA!$B$5:$R$305,10,0)=Q$3,0.01,0)))</f>
        <v/>
      </c>
      <c r="R27" s="307" t="str">
        <f>IF($B27="","",IF(R$4="NÃO",0,IF(VLOOKUP($B27,FROTA!$B$5:$R$305,10,0)=R$3,0.01,0)))</f>
        <v/>
      </c>
      <c r="S27" s="307" t="str">
        <f>IF($B27="","",IF(S$4="NÃO",0,IF(VLOOKUP($B27,FROTA!$B$5:$R$305,10,0)=S$3,0.01,0)))</f>
        <v/>
      </c>
      <c r="T27" s="307" t="str">
        <f>IF($B27="","",IF(T$4="NÃO",0,IF(VLOOKUP($B27,FROTA!$B$5:$R$305,10,0)=T$3,0.01,0)))</f>
        <v/>
      </c>
      <c r="U27" s="307" t="str">
        <f>IF($B27="","",IF(U$4="NÃO",0,IF(VLOOKUP($B27,FROTA!$B$5:$R$305,10,0)=U$3,0.01,0)))</f>
        <v/>
      </c>
      <c r="V27" s="306" t="str">
        <f t="shared" si="17"/>
        <v/>
      </c>
      <c r="W27" s="238" t="str">
        <f t="shared" si="18"/>
        <v/>
      </c>
      <c r="X27" s="576" t="str">
        <f t="shared" si="19"/>
        <v/>
      </c>
      <c r="Y27" s="573">
        <f t="shared" ca="1" si="8"/>
        <v>2002</v>
      </c>
      <c r="Z27" s="575">
        <f t="shared" si="9"/>
        <v>0.30400000000000016</v>
      </c>
      <c r="AB27" s="573">
        <f t="shared" ca="1" si="10"/>
        <v>2002</v>
      </c>
      <c r="AC27" s="575">
        <f t="shared" si="6"/>
        <v>0.27022222222222236</v>
      </c>
      <c r="AE27" s="573">
        <f t="shared" ca="1" si="11"/>
        <v>2002</v>
      </c>
      <c r="AF27" s="575">
        <f t="shared" si="7"/>
        <v>0.24019753086419765</v>
      </c>
      <c r="AH27" s="573">
        <f t="shared" ca="1" si="12"/>
        <v>2002</v>
      </c>
      <c r="AI27" s="575">
        <f t="shared" si="2"/>
        <v>0.21350891632373126</v>
      </c>
      <c r="AK27" s="573">
        <f t="shared" ca="1" si="13"/>
        <v>2002</v>
      </c>
      <c r="AL27" s="575">
        <f t="shared" si="3"/>
        <v>0.18978570339887224</v>
      </c>
      <c r="AN27" s="573">
        <f t="shared" ca="1" si="14"/>
        <v>2002</v>
      </c>
      <c r="AO27" s="575">
        <f t="shared" si="4"/>
        <v>0.16869840302121977</v>
      </c>
      <c r="AQ27" s="573">
        <f t="shared" ca="1" si="15"/>
        <v>2002</v>
      </c>
      <c r="AR27" s="575">
        <f t="shared" si="5"/>
        <v>0.14995413601886201</v>
      </c>
      <c r="BA27" s="581">
        <v>44860</v>
      </c>
      <c r="BB27" s="582">
        <v>2023</v>
      </c>
    </row>
    <row r="28" spans="2:54" ht="15" customHeight="1" x14ac:dyDescent="0.2">
      <c r="B28" s="192" t="str">
        <f>IF(FROTA!B29="","",FROTA!B29)</f>
        <v/>
      </c>
      <c r="C28" s="192" t="str">
        <f>IF(B28="","",FROTA!Z29)</f>
        <v/>
      </c>
      <c r="D28" s="192" t="str">
        <f>IF(B28="","",VLOOKUP(B28,FROTA!$B$5:$C$310,2,0))</f>
        <v/>
      </c>
      <c r="E28" s="233" t="str">
        <f>IF(D28="","",VLOOKUP(D28,ESCALA!$B$3:$H$19,7,0))</f>
        <v/>
      </c>
      <c r="F28" s="219" t="s">
        <v>222</v>
      </c>
      <c r="G28" s="305" t="str">
        <f t="shared" si="16"/>
        <v/>
      </c>
      <c r="H28" s="314" t="str">
        <f>IF($B28="","",IF(H$4="NÃO",0,IF(VLOOKUP($B28,FROTA!$B$5:$R$305,17,0)=H$3,0.02,0)))</f>
        <v/>
      </c>
      <c r="I28" s="193" t="str">
        <f>IF($B28="","",IF(I$4="NÃO",0,IF(VLOOKUP($B28,FROTA!$B$5:$R$305,17,0)=I$3,0.02,0)))</f>
        <v/>
      </c>
      <c r="J28" s="193" t="str">
        <f>IF($B28="","",IF(J$4="NÃO",0,IF(VLOOKUP($B28,FROTA!$B$5:$R$305,17,0)=J$3,0.02,0)))</f>
        <v/>
      </c>
      <c r="K28" s="193" t="str">
        <f>IF($B28="","",IF(K$4="NÃO",0,IF(VLOOKUP($B28,FROTA!$B$5:$R$305,17,0)=K$3,0.02,0)))</f>
        <v/>
      </c>
      <c r="L28" s="193" t="str">
        <f>IF($B28="","",IF(L$4="NÃO",0,IF(VLOOKUP($B28,FROTA!$B$5:$R$305,17,0)=L$3,0.02,0)))</f>
        <v/>
      </c>
      <c r="M28" s="193" t="str">
        <f>IF($B28="","",IF(M$4="NÃO",0,IF(VLOOKUP($B28,FROTA!$B$5:$R$305,17,0)=M$3,0.02,0)))</f>
        <v/>
      </c>
      <c r="N28" s="193" t="str">
        <f>IF($B28="","",IF(M$4="NÃO",0,IF(VLOOKUP($B28,FROTA!$B$5:$R$305,17,0)=N$3,0.02,0)))</f>
        <v/>
      </c>
      <c r="O28" s="311" t="str">
        <f>IF($B28="","",IF(O$4="NÃO",0,IF(VLOOKUP($B28,FROTA!$B$5:$R$305,10,0)=O$3,0.01,0)))</f>
        <v/>
      </c>
      <c r="P28" s="307" t="str">
        <f>IF($B28="","",IF(P$4="NÃO",0,IF(VLOOKUP($B28,FROTA!$B$5:$R$305,10,0)=P$3,0.01,0)))</f>
        <v/>
      </c>
      <c r="Q28" s="307" t="str">
        <f>IF($B28="","",IF(Q$4="NÃO",0,IF(VLOOKUP($B28,FROTA!$B$5:$R$305,10,0)=Q$3,0.01,0)))</f>
        <v/>
      </c>
      <c r="R28" s="307" t="str">
        <f>IF($B28="","",IF(R$4="NÃO",0,IF(VLOOKUP($B28,FROTA!$B$5:$R$305,10,0)=R$3,0.01,0)))</f>
        <v/>
      </c>
      <c r="S28" s="307" t="str">
        <f>IF($B28="","",IF(S$4="NÃO",0,IF(VLOOKUP($B28,FROTA!$B$5:$R$305,10,0)=S$3,0.01,0)))</f>
        <v/>
      </c>
      <c r="T28" s="307" t="str">
        <f>IF($B28="","",IF(T$4="NÃO",0,IF(VLOOKUP($B28,FROTA!$B$5:$R$305,10,0)=T$3,0.01,0)))</f>
        <v/>
      </c>
      <c r="U28" s="307" t="str">
        <f>IF($B28="","",IF(U$4="NÃO",0,IF(VLOOKUP($B28,FROTA!$B$5:$R$305,10,0)=U$3,0.01,0)))</f>
        <v/>
      </c>
      <c r="V28" s="306" t="str">
        <f t="shared" si="17"/>
        <v/>
      </c>
      <c r="W28" s="238" t="str">
        <f t="shared" si="18"/>
        <v/>
      </c>
      <c r="X28" s="576" t="str">
        <f t="shared" si="19"/>
        <v/>
      </c>
      <c r="Y28" s="573">
        <f t="shared" ca="1" si="8"/>
        <v>2001</v>
      </c>
      <c r="Z28" s="575">
        <f t="shared" si="9"/>
        <v>0.31250000000000017</v>
      </c>
      <c r="AB28" s="573">
        <f t="shared" ca="1" si="10"/>
        <v>2001</v>
      </c>
      <c r="AC28" s="575">
        <f t="shared" si="6"/>
        <v>0.2777777777777779</v>
      </c>
      <c r="AE28" s="573">
        <f t="shared" ca="1" si="11"/>
        <v>2001</v>
      </c>
      <c r="AF28" s="575">
        <f t="shared" si="7"/>
        <v>0.24691358024691368</v>
      </c>
      <c r="AH28" s="573">
        <f t="shared" ca="1" si="12"/>
        <v>2001</v>
      </c>
      <c r="AI28" s="575">
        <f t="shared" si="2"/>
        <v>0.21947873799725659</v>
      </c>
      <c r="AK28" s="573">
        <f t="shared" ca="1" si="13"/>
        <v>2001</v>
      </c>
      <c r="AL28" s="575">
        <f t="shared" si="3"/>
        <v>0.19509221155311696</v>
      </c>
      <c r="AN28" s="573">
        <f t="shared" ca="1" si="14"/>
        <v>2001</v>
      </c>
      <c r="AO28" s="575">
        <f t="shared" si="4"/>
        <v>0.17341529915832618</v>
      </c>
      <c r="AQ28" s="573">
        <f t="shared" ca="1" si="15"/>
        <v>2001</v>
      </c>
      <c r="AR28" s="575">
        <f t="shared" si="5"/>
        <v>0.15414693258517884</v>
      </c>
      <c r="BA28" s="581">
        <v>44861</v>
      </c>
      <c r="BB28" s="582">
        <v>2023</v>
      </c>
    </row>
    <row r="29" spans="2:54" ht="15" customHeight="1" x14ac:dyDescent="0.2">
      <c r="B29" s="192" t="str">
        <f>IF(FROTA!B30="","",FROTA!B30)</f>
        <v/>
      </c>
      <c r="C29" s="192" t="str">
        <f>IF(B29="","",FROTA!Z30)</f>
        <v/>
      </c>
      <c r="D29" s="192" t="str">
        <f>IF(B29="","",VLOOKUP(B29,FROTA!$B$5:$C$310,2,0))</f>
        <v/>
      </c>
      <c r="E29" s="233" t="str">
        <f>IF(D29="","",VLOOKUP(D29,ESCALA!$B$3:$H$19,7,0))</f>
        <v/>
      </c>
      <c r="F29" s="219" t="s">
        <v>222</v>
      </c>
      <c r="G29" s="305" t="str">
        <f t="shared" si="16"/>
        <v/>
      </c>
      <c r="H29" s="314" t="str">
        <f>IF($B29="","",IF(H$4="NÃO",0,IF(VLOOKUP($B29,FROTA!$B$5:$R$305,17,0)=H$3,0.02,0)))</f>
        <v/>
      </c>
      <c r="I29" s="193" t="str">
        <f>IF($B29="","",IF(I$4="NÃO",0,IF(VLOOKUP($B29,FROTA!$B$5:$R$305,17,0)=I$3,0.02,0)))</f>
        <v/>
      </c>
      <c r="J29" s="193" t="str">
        <f>IF($B29="","",IF(J$4="NÃO",0,IF(VLOOKUP($B29,FROTA!$B$5:$R$305,17,0)=J$3,0.02,0)))</f>
        <v/>
      </c>
      <c r="K29" s="193" t="str">
        <f>IF($B29="","",IF(K$4="NÃO",0,IF(VLOOKUP($B29,FROTA!$B$5:$R$305,17,0)=K$3,0.02,0)))</f>
        <v/>
      </c>
      <c r="L29" s="193" t="str">
        <f>IF($B29="","",IF(L$4="NÃO",0,IF(VLOOKUP($B29,FROTA!$B$5:$R$305,17,0)=L$3,0.02,0)))</f>
        <v/>
      </c>
      <c r="M29" s="193" t="str">
        <f>IF($B29="","",IF(M$4="NÃO",0,IF(VLOOKUP($B29,FROTA!$B$5:$R$305,17,0)=M$3,0.02,0)))</f>
        <v/>
      </c>
      <c r="N29" s="193" t="str">
        <f>IF($B29="","",IF(M$4="NÃO",0,IF(VLOOKUP($B29,FROTA!$B$5:$R$305,17,0)=N$3,0.02,0)))</f>
        <v/>
      </c>
      <c r="O29" s="311" t="str">
        <f>IF($B29="","",IF(O$4="NÃO",0,IF(VLOOKUP($B29,FROTA!$B$5:$R$305,10,0)=O$3,0.01,0)))</f>
        <v/>
      </c>
      <c r="P29" s="307" t="str">
        <f>IF($B29="","",IF(P$4="NÃO",0,IF(VLOOKUP($B29,FROTA!$B$5:$R$305,10,0)=P$3,0.01,0)))</f>
        <v/>
      </c>
      <c r="Q29" s="307" t="str">
        <f>IF($B29="","",IF(Q$4="NÃO",0,IF(VLOOKUP($B29,FROTA!$B$5:$R$305,10,0)=Q$3,0.01,0)))</f>
        <v/>
      </c>
      <c r="R29" s="307" t="str">
        <f>IF($B29="","",IF(R$4="NÃO",0,IF(VLOOKUP($B29,FROTA!$B$5:$R$305,10,0)=R$3,0.01,0)))</f>
        <v/>
      </c>
      <c r="S29" s="307" t="str">
        <f>IF($B29="","",IF(S$4="NÃO",0,IF(VLOOKUP($B29,FROTA!$B$5:$R$305,10,0)=S$3,0.01,0)))</f>
        <v/>
      </c>
      <c r="T29" s="307" t="str">
        <f>IF($B29="","",IF(T$4="NÃO",0,IF(VLOOKUP($B29,FROTA!$B$5:$R$305,10,0)=T$3,0.01,0)))</f>
        <v/>
      </c>
      <c r="U29" s="307" t="str">
        <f>IF($B29="","",IF(U$4="NÃO",0,IF(VLOOKUP($B29,FROTA!$B$5:$R$305,10,0)=U$3,0.01,0)))</f>
        <v/>
      </c>
      <c r="V29" s="306" t="str">
        <f t="shared" si="17"/>
        <v/>
      </c>
      <c r="W29" s="238" t="str">
        <f t="shared" si="18"/>
        <v/>
      </c>
      <c r="X29" s="576" t="str">
        <f t="shared" si="19"/>
        <v/>
      </c>
      <c r="Y29" s="573">
        <f t="shared" ca="1" si="8"/>
        <v>2000</v>
      </c>
      <c r="Z29" s="575">
        <f t="shared" si="9"/>
        <v>0.32100000000000017</v>
      </c>
      <c r="AB29" s="573">
        <f t="shared" ca="1" si="10"/>
        <v>2000</v>
      </c>
      <c r="AC29" s="575">
        <f t="shared" si="6"/>
        <v>0.28533333333333349</v>
      </c>
      <c r="AE29" s="573">
        <f t="shared" ca="1" si="11"/>
        <v>2000</v>
      </c>
      <c r="AF29" s="575">
        <f t="shared" si="7"/>
        <v>0.25362962962962976</v>
      </c>
      <c r="AH29" s="573">
        <f t="shared" ca="1" si="12"/>
        <v>2000</v>
      </c>
      <c r="AI29" s="575">
        <f t="shared" si="2"/>
        <v>0.22544855967078201</v>
      </c>
      <c r="AK29" s="573">
        <f t="shared" ca="1" si="13"/>
        <v>2000</v>
      </c>
      <c r="AL29" s="575">
        <f t="shared" si="3"/>
        <v>0.20039871970736178</v>
      </c>
      <c r="AN29" s="573">
        <f t="shared" ca="1" si="14"/>
        <v>2000</v>
      </c>
      <c r="AO29" s="575">
        <f t="shared" si="4"/>
        <v>0.1781321952954327</v>
      </c>
      <c r="AQ29" s="573">
        <f t="shared" ca="1" si="15"/>
        <v>2000</v>
      </c>
      <c r="AR29" s="575">
        <f t="shared" si="5"/>
        <v>0.15833972915149575</v>
      </c>
      <c r="BA29" s="581">
        <v>44862</v>
      </c>
      <c r="BB29" s="582">
        <v>2023</v>
      </c>
    </row>
    <row r="30" spans="2:54" ht="15" customHeight="1" x14ac:dyDescent="0.2">
      <c r="B30" s="192" t="str">
        <f>IF(FROTA!B31="","",FROTA!B31)</f>
        <v/>
      </c>
      <c r="C30" s="192" t="str">
        <f>IF(B30="","",FROTA!Z31)</f>
        <v/>
      </c>
      <c r="D30" s="192" t="str">
        <f>IF(B30="","",VLOOKUP(B30,FROTA!$B$5:$C$310,2,0))</f>
        <v/>
      </c>
      <c r="E30" s="233" t="str">
        <f>IF(D30="","",VLOOKUP(D30,ESCALA!$B$3:$H$19,7,0))</f>
        <v/>
      </c>
      <c r="F30" s="219" t="s">
        <v>222</v>
      </c>
      <c r="G30" s="305" t="str">
        <f t="shared" si="16"/>
        <v/>
      </c>
      <c r="H30" s="314" t="str">
        <f>IF($B30="","",IF(H$4="NÃO",0,IF(VLOOKUP($B30,FROTA!$B$5:$R$305,17,0)=H$3,0.02,0)))</f>
        <v/>
      </c>
      <c r="I30" s="193" t="str">
        <f>IF($B30="","",IF(I$4="NÃO",0,IF(VLOOKUP($B30,FROTA!$B$5:$R$305,17,0)=I$3,0.02,0)))</f>
        <v/>
      </c>
      <c r="J30" s="193" t="str">
        <f>IF($B30="","",IF(J$4="NÃO",0,IF(VLOOKUP($B30,FROTA!$B$5:$R$305,17,0)=J$3,0.02,0)))</f>
        <v/>
      </c>
      <c r="K30" s="193" t="str">
        <f>IF($B30="","",IF(K$4="NÃO",0,IF(VLOOKUP($B30,FROTA!$B$5:$R$305,17,0)=K$3,0.02,0)))</f>
        <v/>
      </c>
      <c r="L30" s="193" t="str">
        <f>IF($B30="","",IF(L$4="NÃO",0,IF(VLOOKUP($B30,FROTA!$B$5:$R$305,17,0)=L$3,0.02,0)))</f>
        <v/>
      </c>
      <c r="M30" s="193" t="str">
        <f>IF($B30="","",IF(M$4="NÃO",0,IF(VLOOKUP($B30,FROTA!$B$5:$R$305,17,0)=M$3,0.02,0)))</f>
        <v/>
      </c>
      <c r="N30" s="193" t="str">
        <f>IF($B30="","",IF(M$4="NÃO",0,IF(VLOOKUP($B30,FROTA!$B$5:$R$305,17,0)=N$3,0.02,0)))</f>
        <v/>
      </c>
      <c r="O30" s="311" t="str">
        <f>IF($B30="","",IF(O$4="NÃO",0,IF(VLOOKUP($B30,FROTA!$B$5:$R$305,10,0)=O$3,0.01,0)))</f>
        <v/>
      </c>
      <c r="P30" s="307" t="str">
        <f>IF($B30="","",IF(P$4="NÃO",0,IF(VLOOKUP($B30,FROTA!$B$5:$R$305,10,0)=P$3,0.01,0)))</f>
        <v/>
      </c>
      <c r="Q30" s="307" t="str">
        <f>IF($B30="","",IF(Q$4="NÃO",0,IF(VLOOKUP($B30,FROTA!$B$5:$R$305,10,0)=Q$3,0.01,0)))</f>
        <v/>
      </c>
      <c r="R30" s="307" t="str">
        <f>IF($B30="","",IF(R$4="NÃO",0,IF(VLOOKUP($B30,FROTA!$B$5:$R$305,10,0)=R$3,0.01,0)))</f>
        <v/>
      </c>
      <c r="S30" s="307" t="str">
        <f>IF($B30="","",IF(S$4="NÃO",0,IF(VLOOKUP($B30,FROTA!$B$5:$R$305,10,0)=S$3,0.01,0)))</f>
        <v/>
      </c>
      <c r="T30" s="307" t="str">
        <f>IF($B30="","",IF(T$4="NÃO",0,IF(VLOOKUP($B30,FROTA!$B$5:$R$305,10,0)=T$3,0.01,0)))</f>
        <v/>
      </c>
      <c r="U30" s="307" t="str">
        <f>IF($B30="","",IF(U$4="NÃO",0,IF(VLOOKUP($B30,FROTA!$B$5:$R$305,10,0)=U$3,0.01,0)))</f>
        <v/>
      </c>
      <c r="V30" s="306" t="str">
        <f t="shared" si="17"/>
        <v/>
      </c>
      <c r="W30" s="238" t="str">
        <f t="shared" si="18"/>
        <v/>
      </c>
      <c r="X30" s="576" t="str">
        <f t="shared" si="19"/>
        <v/>
      </c>
      <c r="Y30" s="573">
        <f t="shared" ca="1" si="8"/>
        <v>1999</v>
      </c>
      <c r="Z30" s="575">
        <f t="shared" si="9"/>
        <v>0.32950000000000018</v>
      </c>
      <c r="AB30" s="573">
        <f t="shared" ca="1" si="10"/>
        <v>1999</v>
      </c>
      <c r="AC30" s="575">
        <f t="shared" si="6"/>
        <v>0.29288888888888903</v>
      </c>
      <c r="AE30" s="573">
        <f t="shared" ca="1" si="11"/>
        <v>1999</v>
      </c>
      <c r="AF30" s="575">
        <f t="shared" si="7"/>
        <v>0.26034567901234579</v>
      </c>
      <c r="AH30" s="573">
        <f t="shared" ca="1" si="12"/>
        <v>1999</v>
      </c>
      <c r="AI30" s="575">
        <f t="shared" si="2"/>
        <v>0.23141838134430737</v>
      </c>
      <c r="AK30" s="573">
        <f t="shared" ca="1" si="13"/>
        <v>1999</v>
      </c>
      <c r="AL30" s="575">
        <f t="shared" si="3"/>
        <v>0.20570522786160655</v>
      </c>
      <c r="AN30" s="573">
        <f t="shared" ca="1" si="14"/>
        <v>1999</v>
      </c>
      <c r="AO30" s="575">
        <f t="shared" si="4"/>
        <v>0.18284909143253916</v>
      </c>
      <c r="AQ30" s="573">
        <f t="shared" ca="1" si="15"/>
        <v>1999</v>
      </c>
      <c r="AR30" s="575">
        <f t="shared" si="5"/>
        <v>0.1625325257178126</v>
      </c>
      <c r="BA30" s="581">
        <v>44863</v>
      </c>
      <c r="BB30" s="582">
        <v>2023</v>
      </c>
    </row>
    <row r="31" spans="2:54" ht="15" customHeight="1" x14ac:dyDescent="0.2">
      <c r="B31" s="192" t="str">
        <f>IF(FROTA!B32="","",FROTA!B32)</f>
        <v/>
      </c>
      <c r="C31" s="192" t="str">
        <f>IF(B31="","",FROTA!Z32)</f>
        <v/>
      </c>
      <c r="D31" s="192" t="str">
        <f>IF(B31="","",VLOOKUP(B31,FROTA!$B$5:$C$310,2,0))</f>
        <v/>
      </c>
      <c r="E31" s="233" t="str">
        <f>IF(D31="","",VLOOKUP(D31,ESCALA!$B$3:$H$19,7,0))</f>
        <v/>
      </c>
      <c r="F31" s="219" t="s">
        <v>222</v>
      </c>
      <c r="G31" s="305" t="str">
        <f t="shared" si="16"/>
        <v/>
      </c>
      <c r="H31" s="314" t="str">
        <f>IF($B31="","",IF(H$4="NÃO",0,IF(VLOOKUP($B31,FROTA!$B$5:$R$305,17,0)=H$3,0.02,0)))</f>
        <v/>
      </c>
      <c r="I31" s="193" t="str">
        <f>IF($B31="","",IF(I$4="NÃO",0,IF(VLOOKUP($B31,FROTA!$B$5:$R$305,17,0)=I$3,0.02,0)))</f>
        <v/>
      </c>
      <c r="J31" s="193" t="str">
        <f>IF($B31="","",IF(J$4="NÃO",0,IF(VLOOKUP($B31,FROTA!$B$5:$R$305,17,0)=J$3,0.02,0)))</f>
        <v/>
      </c>
      <c r="K31" s="193" t="str">
        <f>IF($B31="","",IF(K$4="NÃO",0,IF(VLOOKUP($B31,FROTA!$B$5:$R$305,17,0)=K$3,0.02,0)))</f>
        <v/>
      </c>
      <c r="L31" s="193" t="str">
        <f>IF($B31="","",IF(L$4="NÃO",0,IF(VLOOKUP($B31,FROTA!$B$5:$R$305,17,0)=L$3,0.02,0)))</f>
        <v/>
      </c>
      <c r="M31" s="193" t="str">
        <f>IF($B31="","",IF(M$4="NÃO",0,IF(VLOOKUP($B31,FROTA!$B$5:$R$305,17,0)=M$3,0.02,0)))</f>
        <v/>
      </c>
      <c r="N31" s="193" t="str">
        <f>IF($B31="","",IF(M$4="NÃO",0,IF(VLOOKUP($B31,FROTA!$B$5:$R$305,17,0)=N$3,0.02,0)))</f>
        <v/>
      </c>
      <c r="O31" s="311" t="str">
        <f>IF($B31="","",IF(O$4="NÃO",0,IF(VLOOKUP($B31,FROTA!$B$5:$R$305,10,0)=O$3,0.01,0)))</f>
        <v/>
      </c>
      <c r="P31" s="307" t="str">
        <f>IF($B31="","",IF(P$4="NÃO",0,IF(VLOOKUP($B31,FROTA!$B$5:$R$305,10,0)=P$3,0.01,0)))</f>
        <v/>
      </c>
      <c r="Q31" s="307" t="str">
        <f>IF($B31="","",IF(Q$4="NÃO",0,IF(VLOOKUP($B31,FROTA!$B$5:$R$305,10,0)=Q$3,0.01,0)))</f>
        <v/>
      </c>
      <c r="R31" s="307" t="str">
        <f>IF($B31="","",IF(R$4="NÃO",0,IF(VLOOKUP($B31,FROTA!$B$5:$R$305,10,0)=R$3,0.01,0)))</f>
        <v/>
      </c>
      <c r="S31" s="307" t="str">
        <f>IF($B31="","",IF(S$4="NÃO",0,IF(VLOOKUP($B31,FROTA!$B$5:$R$305,10,0)=S$3,0.01,0)))</f>
        <v/>
      </c>
      <c r="T31" s="307" t="str">
        <f>IF($B31="","",IF(T$4="NÃO",0,IF(VLOOKUP($B31,FROTA!$B$5:$R$305,10,0)=T$3,0.01,0)))</f>
        <v/>
      </c>
      <c r="U31" s="307" t="str">
        <f>IF($B31="","",IF(U$4="NÃO",0,IF(VLOOKUP($B31,FROTA!$B$5:$R$305,10,0)=U$3,0.01,0)))</f>
        <v/>
      </c>
      <c r="V31" s="306" t="str">
        <f t="shared" si="17"/>
        <v/>
      </c>
      <c r="W31" s="238" t="str">
        <f t="shared" si="18"/>
        <v/>
      </c>
      <c r="X31" s="576" t="str">
        <f t="shared" si="19"/>
        <v/>
      </c>
      <c r="Y31" s="573">
        <f t="shared" ca="1" si="8"/>
        <v>1998</v>
      </c>
      <c r="Z31" s="575">
        <f t="shared" si="9"/>
        <v>0.33800000000000019</v>
      </c>
      <c r="AB31" s="573">
        <f t="shared" ca="1" si="10"/>
        <v>1998</v>
      </c>
      <c r="AC31" s="575">
        <f t="shared" si="6"/>
        <v>0.30044444444444462</v>
      </c>
      <c r="AE31" s="573">
        <f t="shared" ca="1" si="11"/>
        <v>1998</v>
      </c>
      <c r="AF31" s="575">
        <f t="shared" si="7"/>
        <v>0.26706172839506187</v>
      </c>
      <c r="AH31" s="573">
        <f t="shared" ca="1" si="12"/>
        <v>1998</v>
      </c>
      <c r="AI31" s="575">
        <f t="shared" si="2"/>
        <v>0.23738820301783278</v>
      </c>
      <c r="AK31" s="573">
        <f t="shared" ca="1" si="13"/>
        <v>1998</v>
      </c>
      <c r="AL31" s="575">
        <f t="shared" si="3"/>
        <v>0.21101173601585135</v>
      </c>
      <c r="AN31" s="573">
        <f t="shared" ca="1" si="14"/>
        <v>1998</v>
      </c>
      <c r="AO31" s="575">
        <f t="shared" si="4"/>
        <v>0.18756598756964565</v>
      </c>
      <c r="AQ31" s="573">
        <f t="shared" ca="1" si="15"/>
        <v>1998</v>
      </c>
      <c r="AR31" s="575">
        <f t="shared" si="5"/>
        <v>0.16672532228412948</v>
      </c>
      <c r="BA31" s="581">
        <v>44864</v>
      </c>
      <c r="BB31" s="582">
        <v>2023</v>
      </c>
    </row>
    <row r="32" spans="2:54" ht="15" customHeight="1" x14ac:dyDescent="0.2">
      <c r="B32" s="192" t="str">
        <f>IF(FROTA!B33="","",FROTA!B33)</f>
        <v/>
      </c>
      <c r="C32" s="192" t="str">
        <f>IF(B32="","",FROTA!Z33)</f>
        <v/>
      </c>
      <c r="D32" s="192" t="str">
        <f>IF(B32="","",VLOOKUP(B32,FROTA!$B$5:$C$310,2,0))</f>
        <v/>
      </c>
      <c r="E32" s="233" t="str">
        <f>IF(D32="","",VLOOKUP(D32,ESCALA!$B$3:$H$19,7,0))</f>
        <v/>
      </c>
      <c r="F32" s="219" t="s">
        <v>222</v>
      </c>
      <c r="G32" s="305" t="str">
        <f t="shared" si="16"/>
        <v/>
      </c>
      <c r="H32" s="314" t="str">
        <f>IF($B32="","",IF(H$4="NÃO",0,IF(VLOOKUP($B32,FROTA!$B$5:$R$305,17,0)=H$3,0.02,0)))</f>
        <v/>
      </c>
      <c r="I32" s="193" t="str">
        <f>IF($B32="","",IF(I$4="NÃO",0,IF(VLOOKUP($B32,FROTA!$B$5:$R$305,17,0)=I$3,0.02,0)))</f>
        <v/>
      </c>
      <c r="J32" s="193" t="str">
        <f>IF($B32="","",IF(J$4="NÃO",0,IF(VLOOKUP($B32,FROTA!$B$5:$R$305,17,0)=J$3,0.02,0)))</f>
        <v/>
      </c>
      <c r="K32" s="193" t="str">
        <f>IF($B32="","",IF(K$4="NÃO",0,IF(VLOOKUP($B32,FROTA!$B$5:$R$305,17,0)=K$3,0.02,0)))</f>
        <v/>
      </c>
      <c r="L32" s="193" t="str">
        <f>IF($B32="","",IF(L$4="NÃO",0,IF(VLOOKUP($B32,FROTA!$B$5:$R$305,17,0)=L$3,0.02,0)))</f>
        <v/>
      </c>
      <c r="M32" s="193" t="str">
        <f>IF($B32="","",IF(M$4="NÃO",0,IF(VLOOKUP($B32,FROTA!$B$5:$R$305,17,0)=M$3,0.02,0)))</f>
        <v/>
      </c>
      <c r="N32" s="193" t="str">
        <f>IF($B32="","",IF(M$4="NÃO",0,IF(VLOOKUP($B32,FROTA!$B$5:$R$305,17,0)=N$3,0.02,0)))</f>
        <v/>
      </c>
      <c r="O32" s="311" t="str">
        <f>IF($B32="","",IF(O$4="NÃO",0,IF(VLOOKUP($B32,FROTA!$B$5:$R$305,10,0)=O$3,0.01,0)))</f>
        <v/>
      </c>
      <c r="P32" s="307" t="str">
        <f>IF($B32="","",IF(P$4="NÃO",0,IF(VLOOKUP($B32,FROTA!$B$5:$R$305,10,0)=P$3,0.01,0)))</f>
        <v/>
      </c>
      <c r="Q32" s="307" t="str">
        <f>IF($B32="","",IF(Q$4="NÃO",0,IF(VLOOKUP($B32,FROTA!$B$5:$R$305,10,0)=Q$3,0.01,0)))</f>
        <v/>
      </c>
      <c r="R32" s="307" t="str">
        <f>IF($B32="","",IF(R$4="NÃO",0,IF(VLOOKUP($B32,FROTA!$B$5:$R$305,10,0)=R$3,0.01,0)))</f>
        <v/>
      </c>
      <c r="S32" s="307" t="str">
        <f>IF($B32="","",IF(S$4="NÃO",0,IF(VLOOKUP($B32,FROTA!$B$5:$R$305,10,0)=S$3,0.01,0)))</f>
        <v/>
      </c>
      <c r="T32" s="307" t="str">
        <f>IF($B32="","",IF(T$4="NÃO",0,IF(VLOOKUP($B32,FROTA!$B$5:$R$305,10,0)=T$3,0.01,0)))</f>
        <v/>
      </c>
      <c r="U32" s="307" t="str">
        <f>IF($B32="","",IF(U$4="NÃO",0,IF(VLOOKUP($B32,FROTA!$B$5:$R$305,10,0)=U$3,0.01,0)))</f>
        <v/>
      </c>
      <c r="V32" s="306" t="str">
        <f t="shared" si="17"/>
        <v/>
      </c>
      <c r="W32" s="238" t="str">
        <f t="shared" si="18"/>
        <v/>
      </c>
      <c r="X32" s="576" t="str">
        <f t="shared" si="19"/>
        <v/>
      </c>
      <c r="Y32" s="573">
        <f t="shared" ca="1" si="8"/>
        <v>1997</v>
      </c>
      <c r="Z32" s="575">
        <f t="shared" si="9"/>
        <v>0.3465000000000002</v>
      </c>
      <c r="AB32" s="573">
        <f t="shared" ca="1" si="10"/>
        <v>1997</v>
      </c>
      <c r="AC32" s="575">
        <f t="shared" si="6"/>
        <v>0.30800000000000016</v>
      </c>
      <c r="AE32" s="573">
        <f t="shared" ca="1" si="11"/>
        <v>1997</v>
      </c>
      <c r="AF32" s="575">
        <f t="shared" si="7"/>
        <v>0.2737777777777779</v>
      </c>
      <c r="AH32" s="573">
        <f t="shared" ca="1" si="12"/>
        <v>1997</v>
      </c>
      <c r="AI32" s="575">
        <f t="shared" si="2"/>
        <v>0.24335802469135814</v>
      </c>
      <c r="AK32" s="573">
        <f t="shared" ca="1" si="13"/>
        <v>1997</v>
      </c>
      <c r="AL32" s="575">
        <f t="shared" si="3"/>
        <v>0.21631824417009612</v>
      </c>
      <c r="AN32" s="573">
        <f t="shared" ca="1" si="14"/>
        <v>1997</v>
      </c>
      <c r="AO32" s="575">
        <f t="shared" si="4"/>
        <v>0.19228288370675212</v>
      </c>
      <c r="AQ32" s="573">
        <f t="shared" ca="1" si="15"/>
        <v>1997</v>
      </c>
      <c r="AR32" s="575">
        <f t="shared" si="5"/>
        <v>0.17091811885044633</v>
      </c>
      <c r="BA32" s="581">
        <v>44865</v>
      </c>
      <c r="BB32" s="582">
        <v>2023</v>
      </c>
    </row>
    <row r="33" spans="2:54" ht="15" customHeight="1" x14ac:dyDescent="0.2">
      <c r="B33" s="192" t="str">
        <f>IF(FROTA!B34="","",FROTA!B34)</f>
        <v/>
      </c>
      <c r="C33" s="192" t="str">
        <f>IF(B33="","",FROTA!Z34)</f>
        <v/>
      </c>
      <c r="D33" s="192" t="str">
        <f>IF(B33="","",VLOOKUP(B33,FROTA!$B$5:$C$310,2,0))</f>
        <v/>
      </c>
      <c r="E33" s="233" t="str">
        <f>IF(D33="","",VLOOKUP(D33,ESCALA!$B$3:$H$19,7,0))</f>
        <v/>
      </c>
      <c r="F33" s="219" t="s">
        <v>222</v>
      </c>
      <c r="G33" s="305" t="str">
        <f t="shared" si="16"/>
        <v/>
      </c>
      <c r="H33" s="314" t="str">
        <f>IF($B33="","",IF(H$4="NÃO",0,IF(VLOOKUP($B33,FROTA!$B$5:$R$305,17,0)=H$3,0.02,0)))</f>
        <v/>
      </c>
      <c r="I33" s="193" t="str">
        <f>IF($B33="","",IF(I$4="NÃO",0,IF(VLOOKUP($B33,FROTA!$B$5:$R$305,17,0)=I$3,0.02,0)))</f>
        <v/>
      </c>
      <c r="J33" s="193" t="str">
        <f>IF($B33="","",IF(J$4="NÃO",0,IF(VLOOKUP($B33,FROTA!$B$5:$R$305,17,0)=J$3,0.02,0)))</f>
        <v/>
      </c>
      <c r="K33" s="193" t="str">
        <f>IF($B33="","",IF(K$4="NÃO",0,IF(VLOOKUP($B33,FROTA!$B$5:$R$305,17,0)=K$3,0.02,0)))</f>
        <v/>
      </c>
      <c r="L33" s="193" t="str">
        <f>IF($B33="","",IF(L$4="NÃO",0,IF(VLOOKUP($B33,FROTA!$B$5:$R$305,17,0)=L$3,0.02,0)))</f>
        <v/>
      </c>
      <c r="M33" s="193" t="str">
        <f>IF($B33="","",IF(M$4="NÃO",0,IF(VLOOKUP($B33,FROTA!$B$5:$R$305,17,0)=M$3,0.02,0)))</f>
        <v/>
      </c>
      <c r="N33" s="193" t="str">
        <f>IF($B33="","",IF(M$4="NÃO",0,IF(VLOOKUP($B33,FROTA!$B$5:$R$305,17,0)=N$3,0.02,0)))</f>
        <v/>
      </c>
      <c r="O33" s="311" t="str">
        <f>IF($B33="","",IF(O$4="NÃO",0,IF(VLOOKUP($B33,FROTA!$B$5:$R$305,10,0)=O$3,0.01,0)))</f>
        <v/>
      </c>
      <c r="P33" s="307" t="str">
        <f>IF($B33="","",IF(P$4="NÃO",0,IF(VLOOKUP($B33,FROTA!$B$5:$R$305,10,0)=P$3,0.01,0)))</f>
        <v/>
      </c>
      <c r="Q33" s="307" t="str">
        <f>IF($B33="","",IF(Q$4="NÃO",0,IF(VLOOKUP($B33,FROTA!$B$5:$R$305,10,0)=Q$3,0.01,0)))</f>
        <v/>
      </c>
      <c r="R33" s="307" t="str">
        <f>IF($B33="","",IF(R$4="NÃO",0,IF(VLOOKUP($B33,FROTA!$B$5:$R$305,10,0)=R$3,0.01,0)))</f>
        <v/>
      </c>
      <c r="S33" s="307" t="str">
        <f>IF($B33="","",IF(S$4="NÃO",0,IF(VLOOKUP($B33,FROTA!$B$5:$R$305,10,0)=S$3,0.01,0)))</f>
        <v/>
      </c>
      <c r="T33" s="307" t="str">
        <f>IF($B33="","",IF(T$4="NÃO",0,IF(VLOOKUP($B33,FROTA!$B$5:$R$305,10,0)=T$3,0.01,0)))</f>
        <v/>
      </c>
      <c r="U33" s="307" t="str">
        <f>IF($B33="","",IF(U$4="NÃO",0,IF(VLOOKUP($B33,FROTA!$B$5:$R$305,10,0)=U$3,0.01,0)))</f>
        <v/>
      </c>
      <c r="V33" s="306" t="str">
        <f t="shared" si="17"/>
        <v/>
      </c>
      <c r="W33" s="238" t="str">
        <f t="shared" si="18"/>
        <v/>
      </c>
      <c r="X33" s="576" t="str">
        <f t="shared" si="19"/>
        <v/>
      </c>
      <c r="Y33" s="573">
        <f t="shared" ca="1" si="8"/>
        <v>1996</v>
      </c>
      <c r="Z33" s="575">
        <f t="shared" si="9"/>
        <v>0.3550000000000002</v>
      </c>
      <c r="AB33" s="573">
        <f t="shared" ca="1" si="10"/>
        <v>1996</v>
      </c>
      <c r="AC33" s="575">
        <f t="shared" si="6"/>
        <v>0.31555555555555576</v>
      </c>
      <c r="AE33" s="573">
        <f t="shared" ca="1" si="11"/>
        <v>1996</v>
      </c>
      <c r="AF33" s="575">
        <f t="shared" si="7"/>
        <v>0.28049382716049398</v>
      </c>
      <c r="AH33" s="573">
        <f t="shared" ca="1" si="12"/>
        <v>1996</v>
      </c>
      <c r="AI33" s="575">
        <f t="shared" si="2"/>
        <v>0.24932784636488353</v>
      </c>
      <c r="AK33" s="573">
        <f t="shared" ca="1" si="13"/>
        <v>1996</v>
      </c>
      <c r="AL33" s="575">
        <f t="shared" si="3"/>
        <v>0.22162475232434092</v>
      </c>
      <c r="AN33" s="573">
        <f t="shared" ca="1" si="14"/>
        <v>1996</v>
      </c>
      <c r="AO33" s="575">
        <f t="shared" si="4"/>
        <v>0.19699977984385861</v>
      </c>
      <c r="AQ33" s="573">
        <f t="shared" ca="1" si="15"/>
        <v>1996</v>
      </c>
      <c r="AR33" s="575">
        <f t="shared" si="5"/>
        <v>0.17511091541676321</v>
      </c>
      <c r="BA33" s="581">
        <v>44866</v>
      </c>
      <c r="BB33" s="582">
        <v>2023</v>
      </c>
    </row>
    <row r="34" spans="2:54" ht="15" customHeight="1" x14ac:dyDescent="0.2">
      <c r="B34" s="192" t="str">
        <f>IF(FROTA!B35="","",FROTA!B35)</f>
        <v/>
      </c>
      <c r="C34" s="192" t="str">
        <f>IF(B34="","",FROTA!Z35)</f>
        <v/>
      </c>
      <c r="D34" s="192" t="str">
        <f>IF(B34="","",VLOOKUP(B34,FROTA!$B$5:$C$310,2,0))</f>
        <v/>
      </c>
      <c r="E34" s="233" t="str">
        <f>IF(D34="","",VLOOKUP(D34,ESCALA!$B$3:$H$19,7,0))</f>
        <v/>
      </c>
      <c r="F34" s="219" t="s">
        <v>222</v>
      </c>
      <c r="G34" s="305" t="str">
        <f t="shared" si="16"/>
        <v/>
      </c>
      <c r="H34" s="314" t="str">
        <f>IF($B34="","",IF(H$4="NÃO",0,IF(VLOOKUP($B34,FROTA!$B$5:$R$305,17,0)=H$3,0.02,0)))</f>
        <v/>
      </c>
      <c r="I34" s="193" t="str">
        <f>IF($B34="","",IF(I$4="NÃO",0,IF(VLOOKUP($B34,FROTA!$B$5:$R$305,17,0)=I$3,0.02,0)))</f>
        <v/>
      </c>
      <c r="J34" s="193" t="str">
        <f>IF($B34="","",IF(J$4="NÃO",0,IF(VLOOKUP($B34,FROTA!$B$5:$R$305,17,0)=J$3,0.02,0)))</f>
        <v/>
      </c>
      <c r="K34" s="193" t="str">
        <f>IF($B34="","",IF(K$4="NÃO",0,IF(VLOOKUP($B34,FROTA!$B$5:$R$305,17,0)=K$3,0.02,0)))</f>
        <v/>
      </c>
      <c r="L34" s="193" t="str">
        <f>IF($B34="","",IF(L$4="NÃO",0,IF(VLOOKUP($B34,FROTA!$B$5:$R$305,17,0)=L$3,0.02,0)))</f>
        <v/>
      </c>
      <c r="M34" s="193" t="str">
        <f>IF($B34="","",IF(M$4="NÃO",0,IF(VLOOKUP($B34,FROTA!$B$5:$R$305,17,0)=M$3,0.02,0)))</f>
        <v/>
      </c>
      <c r="N34" s="193" t="str">
        <f>IF($B34="","",IF(M$4="NÃO",0,IF(VLOOKUP($B34,FROTA!$B$5:$R$305,17,0)=N$3,0.02,0)))</f>
        <v/>
      </c>
      <c r="O34" s="311" t="str">
        <f>IF($B34="","",IF(O$4="NÃO",0,IF(VLOOKUP($B34,FROTA!$B$5:$R$305,10,0)=O$3,0.01,0)))</f>
        <v/>
      </c>
      <c r="P34" s="307" t="str">
        <f>IF($B34="","",IF(P$4="NÃO",0,IF(VLOOKUP($B34,FROTA!$B$5:$R$305,10,0)=P$3,0.01,0)))</f>
        <v/>
      </c>
      <c r="Q34" s="307" t="str">
        <f>IF($B34="","",IF(Q$4="NÃO",0,IF(VLOOKUP($B34,FROTA!$B$5:$R$305,10,0)=Q$3,0.01,0)))</f>
        <v/>
      </c>
      <c r="R34" s="307" t="str">
        <f>IF($B34="","",IF(R$4="NÃO",0,IF(VLOOKUP($B34,FROTA!$B$5:$R$305,10,0)=R$3,0.01,0)))</f>
        <v/>
      </c>
      <c r="S34" s="307" t="str">
        <f>IF($B34="","",IF(S$4="NÃO",0,IF(VLOOKUP($B34,FROTA!$B$5:$R$305,10,0)=S$3,0.01,0)))</f>
        <v/>
      </c>
      <c r="T34" s="307" t="str">
        <f>IF($B34="","",IF(T$4="NÃO",0,IF(VLOOKUP($B34,FROTA!$B$5:$R$305,10,0)=T$3,0.01,0)))</f>
        <v/>
      </c>
      <c r="U34" s="307" t="str">
        <f>IF($B34="","",IF(U$4="NÃO",0,IF(VLOOKUP($B34,FROTA!$B$5:$R$305,10,0)=U$3,0.01,0)))</f>
        <v/>
      </c>
      <c r="V34" s="306" t="str">
        <f t="shared" si="17"/>
        <v/>
      </c>
      <c r="W34" s="238" t="str">
        <f t="shared" si="18"/>
        <v/>
      </c>
      <c r="X34" s="576" t="str">
        <f t="shared" si="19"/>
        <v/>
      </c>
      <c r="Y34" s="573">
        <f t="shared" ca="1" si="8"/>
        <v>1995</v>
      </c>
      <c r="Z34" s="575">
        <f t="shared" si="9"/>
        <v>0.36350000000000021</v>
      </c>
      <c r="AB34" s="573">
        <f t="shared" ca="1" si="10"/>
        <v>1995</v>
      </c>
      <c r="AC34" s="575">
        <f t="shared" si="6"/>
        <v>0.32311111111111129</v>
      </c>
      <c r="AE34" s="573">
        <f t="shared" ca="1" si="11"/>
        <v>1995</v>
      </c>
      <c r="AF34" s="575">
        <f t="shared" si="7"/>
        <v>0.28720987654321006</v>
      </c>
      <c r="AH34" s="573">
        <f t="shared" ca="1" si="12"/>
        <v>1995</v>
      </c>
      <c r="AI34" s="575">
        <f t="shared" si="2"/>
        <v>0.25529766803840892</v>
      </c>
      <c r="AK34" s="573">
        <f t="shared" ca="1" si="13"/>
        <v>1995</v>
      </c>
      <c r="AL34" s="575">
        <f t="shared" si="3"/>
        <v>0.22693126047858569</v>
      </c>
      <c r="AN34" s="573">
        <f t="shared" ca="1" si="14"/>
        <v>1995</v>
      </c>
      <c r="AO34" s="575">
        <f t="shared" si="4"/>
        <v>0.20171667598096507</v>
      </c>
      <c r="AQ34" s="573">
        <f t="shared" ca="1" si="15"/>
        <v>1995</v>
      </c>
      <c r="AR34" s="575">
        <f t="shared" si="5"/>
        <v>0.17930371198308007</v>
      </c>
      <c r="BA34" s="581">
        <v>44867</v>
      </c>
      <c r="BB34" s="582">
        <v>2023</v>
      </c>
    </row>
    <row r="35" spans="2:54" ht="15" customHeight="1" x14ac:dyDescent="0.2">
      <c r="B35" s="192" t="str">
        <f>IF(FROTA!B36="","",FROTA!B36)</f>
        <v/>
      </c>
      <c r="C35" s="192" t="str">
        <f>IF(B35="","",FROTA!Z36)</f>
        <v/>
      </c>
      <c r="D35" s="192" t="str">
        <f>IF(B35="","",VLOOKUP(B35,FROTA!$B$5:$C$310,2,0))</f>
        <v/>
      </c>
      <c r="E35" s="233" t="str">
        <f>IF(D35="","",VLOOKUP(D35,ESCALA!$B$3:$H$19,7,0))</f>
        <v/>
      </c>
      <c r="F35" s="219" t="s">
        <v>222</v>
      </c>
      <c r="G35" s="305" t="str">
        <f t="shared" si="16"/>
        <v/>
      </c>
      <c r="H35" s="314" t="str">
        <f>IF($B35="","",IF(H$4="NÃO",0,IF(VLOOKUP($B35,FROTA!$B$5:$R$305,17,0)=H$3,0.02,0)))</f>
        <v/>
      </c>
      <c r="I35" s="193" t="str">
        <f>IF($B35="","",IF(I$4="NÃO",0,IF(VLOOKUP($B35,FROTA!$B$5:$R$305,17,0)=I$3,0.02,0)))</f>
        <v/>
      </c>
      <c r="J35" s="193" t="str">
        <f>IF($B35="","",IF(J$4="NÃO",0,IF(VLOOKUP($B35,FROTA!$B$5:$R$305,17,0)=J$3,0.02,0)))</f>
        <v/>
      </c>
      <c r="K35" s="193" t="str">
        <f>IF($B35="","",IF(K$4="NÃO",0,IF(VLOOKUP($B35,FROTA!$B$5:$R$305,17,0)=K$3,0.02,0)))</f>
        <v/>
      </c>
      <c r="L35" s="193" t="str">
        <f>IF($B35="","",IF(L$4="NÃO",0,IF(VLOOKUP($B35,FROTA!$B$5:$R$305,17,0)=L$3,0.02,0)))</f>
        <v/>
      </c>
      <c r="M35" s="193" t="str">
        <f>IF($B35="","",IF(M$4="NÃO",0,IF(VLOOKUP($B35,FROTA!$B$5:$R$305,17,0)=M$3,0.02,0)))</f>
        <v/>
      </c>
      <c r="N35" s="193" t="str">
        <f>IF($B35="","",IF(M$4="NÃO",0,IF(VLOOKUP($B35,FROTA!$B$5:$R$305,17,0)=N$3,0.02,0)))</f>
        <v/>
      </c>
      <c r="O35" s="311" t="str">
        <f>IF($B35="","",IF(O$4="NÃO",0,IF(VLOOKUP($B35,FROTA!$B$5:$R$305,10,0)=O$3,0.01,0)))</f>
        <v/>
      </c>
      <c r="P35" s="307" t="str">
        <f>IF($B35="","",IF(P$4="NÃO",0,IF(VLOOKUP($B35,FROTA!$B$5:$R$305,10,0)=P$3,0.01,0)))</f>
        <v/>
      </c>
      <c r="Q35" s="307" t="str">
        <f>IF($B35="","",IF(Q$4="NÃO",0,IF(VLOOKUP($B35,FROTA!$B$5:$R$305,10,0)=Q$3,0.01,0)))</f>
        <v/>
      </c>
      <c r="R35" s="307" t="str">
        <f>IF($B35="","",IF(R$4="NÃO",0,IF(VLOOKUP($B35,FROTA!$B$5:$R$305,10,0)=R$3,0.01,0)))</f>
        <v/>
      </c>
      <c r="S35" s="307" t="str">
        <f>IF($B35="","",IF(S$4="NÃO",0,IF(VLOOKUP($B35,FROTA!$B$5:$R$305,10,0)=S$3,0.01,0)))</f>
        <v/>
      </c>
      <c r="T35" s="307" t="str">
        <f>IF($B35="","",IF(T$4="NÃO",0,IF(VLOOKUP($B35,FROTA!$B$5:$R$305,10,0)=T$3,0.01,0)))</f>
        <v/>
      </c>
      <c r="U35" s="307" t="str">
        <f>IF($B35="","",IF(U$4="NÃO",0,IF(VLOOKUP($B35,FROTA!$B$5:$R$305,10,0)=U$3,0.01,0)))</f>
        <v/>
      </c>
      <c r="V35" s="306" t="str">
        <f t="shared" si="17"/>
        <v/>
      </c>
      <c r="W35" s="238" t="str">
        <f t="shared" si="18"/>
        <v/>
      </c>
      <c r="X35" s="576" t="str">
        <f t="shared" si="19"/>
        <v/>
      </c>
      <c r="Y35" s="573">
        <f t="shared" ca="1" si="8"/>
        <v>1994</v>
      </c>
      <c r="Z35" s="575">
        <f t="shared" si="9"/>
        <v>0.37200000000000022</v>
      </c>
      <c r="AB35" s="573">
        <f t="shared" ca="1" si="10"/>
        <v>1994</v>
      </c>
      <c r="AC35" s="575">
        <f t="shared" si="6"/>
        <v>0.33066666666666689</v>
      </c>
      <c r="AE35" s="573">
        <f t="shared" ca="1" si="11"/>
        <v>1994</v>
      </c>
      <c r="AF35" s="575">
        <f t="shared" si="7"/>
        <v>0.29392592592592615</v>
      </c>
      <c r="AH35" s="573">
        <f t="shared" ca="1" si="12"/>
        <v>1994</v>
      </c>
      <c r="AI35" s="575">
        <f t="shared" si="2"/>
        <v>0.26126748971193436</v>
      </c>
      <c r="AK35" s="573">
        <f t="shared" ca="1" si="13"/>
        <v>1994</v>
      </c>
      <c r="AL35" s="575">
        <f t="shared" si="3"/>
        <v>0.23223776863283055</v>
      </c>
      <c r="AN35" s="573">
        <f t="shared" ca="1" si="14"/>
        <v>1994</v>
      </c>
      <c r="AO35" s="575">
        <f t="shared" si="4"/>
        <v>0.20643357211807159</v>
      </c>
      <c r="AQ35" s="573">
        <f t="shared" ca="1" si="15"/>
        <v>1994</v>
      </c>
      <c r="AR35" s="575">
        <f t="shared" si="5"/>
        <v>0.18349650854939697</v>
      </c>
      <c r="BA35" s="581">
        <v>44868</v>
      </c>
      <c r="BB35" s="582">
        <v>2023</v>
      </c>
    </row>
    <row r="36" spans="2:54" ht="15" customHeight="1" x14ac:dyDescent="0.2">
      <c r="B36" s="192" t="str">
        <f>IF(FROTA!B37="","",FROTA!B37)</f>
        <v/>
      </c>
      <c r="C36" s="192" t="str">
        <f>IF(B36="","",FROTA!Z37)</f>
        <v/>
      </c>
      <c r="D36" s="192" t="str">
        <f>IF(B36="","",VLOOKUP(B36,FROTA!$B$5:$C$310,2,0))</f>
        <v/>
      </c>
      <c r="E36" s="233" t="str">
        <f>IF(D36="","",VLOOKUP(D36,ESCALA!$B$3:$H$19,7,0))</f>
        <v/>
      </c>
      <c r="F36" s="219" t="s">
        <v>222</v>
      </c>
      <c r="G36" s="305" t="str">
        <f t="shared" si="16"/>
        <v/>
      </c>
      <c r="H36" s="314" t="str">
        <f>IF($B36="","",IF(H$4="NÃO",0,IF(VLOOKUP($B36,FROTA!$B$5:$R$305,17,0)=H$3,0.02,0)))</f>
        <v/>
      </c>
      <c r="I36" s="193" t="str">
        <f>IF($B36="","",IF(I$4="NÃO",0,IF(VLOOKUP($B36,FROTA!$B$5:$R$305,17,0)=I$3,0.02,0)))</f>
        <v/>
      </c>
      <c r="J36" s="193" t="str">
        <f>IF($B36="","",IF(J$4="NÃO",0,IF(VLOOKUP($B36,FROTA!$B$5:$R$305,17,0)=J$3,0.02,0)))</f>
        <v/>
      </c>
      <c r="K36" s="193" t="str">
        <f>IF($B36="","",IF(K$4="NÃO",0,IF(VLOOKUP($B36,FROTA!$B$5:$R$305,17,0)=K$3,0.02,0)))</f>
        <v/>
      </c>
      <c r="L36" s="193" t="str">
        <f>IF($B36="","",IF(L$4="NÃO",0,IF(VLOOKUP($B36,FROTA!$B$5:$R$305,17,0)=L$3,0.02,0)))</f>
        <v/>
      </c>
      <c r="M36" s="193" t="str">
        <f>IF($B36="","",IF(M$4="NÃO",0,IF(VLOOKUP($B36,FROTA!$B$5:$R$305,17,0)=M$3,0.02,0)))</f>
        <v/>
      </c>
      <c r="N36" s="193" t="str">
        <f>IF($B36="","",IF(M$4="NÃO",0,IF(VLOOKUP($B36,FROTA!$B$5:$R$305,17,0)=N$3,0.02,0)))</f>
        <v/>
      </c>
      <c r="O36" s="311" t="str">
        <f>IF($B36="","",IF(O$4="NÃO",0,IF(VLOOKUP($B36,FROTA!$B$5:$R$305,10,0)=O$3,0.01,0)))</f>
        <v/>
      </c>
      <c r="P36" s="307" t="str">
        <f>IF($B36="","",IF(P$4="NÃO",0,IF(VLOOKUP($B36,FROTA!$B$5:$R$305,10,0)=P$3,0.01,0)))</f>
        <v/>
      </c>
      <c r="Q36" s="307" t="str">
        <f>IF($B36="","",IF(Q$4="NÃO",0,IF(VLOOKUP($B36,FROTA!$B$5:$R$305,10,0)=Q$3,0.01,0)))</f>
        <v/>
      </c>
      <c r="R36" s="307" t="str">
        <f>IF($B36="","",IF(R$4="NÃO",0,IF(VLOOKUP($B36,FROTA!$B$5:$R$305,10,0)=R$3,0.01,0)))</f>
        <v/>
      </c>
      <c r="S36" s="307" t="str">
        <f>IF($B36="","",IF(S$4="NÃO",0,IF(VLOOKUP($B36,FROTA!$B$5:$R$305,10,0)=S$3,0.01,0)))</f>
        <v/>
      </c>
      <c r="T36" s="307" t="str">
        <f>IF($B36="","",IF(T$4="NÃO",0,IF(VLOOKUP($B36,FROTA!$B$5:$R$305,10,0)=T$3,0.01,0)))</f>
        <v/>
      </c>
      <c r="U36" s="307" t="str">
        <f>IF($B36="","",IF(U$4="NÃO",0,IF(VLOOKUP($B36,FROTA!$B$5:$R$305,10,0)=U$3,0.01,0)))</f>
        <v/>
      </c>
      <c r="V36" s="306" t="str">
        <f t="shared" si="17"/>
        <v/>
      </c>
      <c r="W36" s="238" t="str">
        <f t="shared" si="18"/>
        <v/>
      </c>
      <c r="X36" s="576" t="str">
        <f t="shared" si="19"/>
        <v/>
      </c>
      <c r="Y36" s="577"/>
      <c r="BA36" s="581">
        <v>44869</v>
      </c>
      <c r="BB36" s="582">
        <v>2023</v>
      </c>
    </row>
    <row r="37" spans="2:54" ht="15" customHeight="1" x14ac:dyDescent="0.2">
      <c r="B37" s="192" t="str">
        <f>IF(FROTA!B38="","",FROTA!B38)</f>
        <v/>
      </c>
      <c r="C37" s="192" t="str">
        <f>IF(B37="","",FROTA!Z38)</f>
        <v/>
      </c>
      <c r="D37" s="192" t="str">
        <f>IF(B37="","",VLOOKUP(B37,FROTA!$B$5:$C$310,2,0))</f>
        <v/>
      </c>
      <c r="E37" s="233" t="str">
        <f>IF(D37="","",VLOOKUP(D37,ESCALA!$B$3:$H$19,7,0))</f>
        <v/>
      </c>
      <c r="F37" s="219" t="s">
        <v>222</v>
      </c>
      <c r="G37" s="305" t="str">
        <f t="shared" si="16"/>
        <v/>
      </c>
      <c r="H37" s="314" t="str">
        <f>IF($B37="","",IF(H$4="NÃO",0,IF(VLOOKUP($B37,FROTA!$B$5:$R$305,17,0)=H$3,0.02,0)))</f>
        <v/>
      </c>
      <c r="I37" s="193" t="str">
        <f>IF($B37="","",IF(I$4="NÃO",0,IF(VLOOKUP($B37,FROTA!$B$5:$R$305,17,0)=I$3,0.02,0)))</f>
        <v/>
      </c>
      <c r="J37" s="193" t="str">
        <f>IF($B37="","",IF(J$4="NÃO",0,IF(VLOOKUP($B37,FROTA!$B$5:$R$305,17,0)=J$3,0.02,0)))</f>
        <v/>
      </c>
      <c r="K37" s="193" t="str">
        <f>IF($B37="","",IF(K$4="NÃO",0,IF(VLOOKUP($B37,FROTA!$B$5:$R$305,17,0)=K$3,0.02,0)))</f>
        <v/>
      </c>
      <c r="L37" s="193" t="str">
        <f>IF($B37="","",IF(L$4="NÃO",0,IF(VLOOKUP($B37,FROTA!$B$5:$R$305,17,0)=L$3,0.02,0)))</f>
        <v/>
      </c>
      <c r="M37" s="193" t="str">
        <f>IF($B37="","",IF(M$4="NÃO",0,IF(VLOOKUP($B37,FROTA!$B$5:$R$305,17,0)=M$3,0.02,0)))</f>
        <v/>
      </c>
      <c r="N37" s="193" t="str">
        <f>IF($B37="","",IF(M$4="NÃO",0,IF(VLOOKUP($B37,FROTA!$B$5:$R$305,17,0)=N$3,0.02,0)))</f>
        <v/>
      </c>
      <c r="O37" s="311" t="str">
        <f>IF($B37="","",IF(O$4="NÃO",0,IF(VLOOKUP($B37,FROTA!$B$5:$R$305,10,0)=O$3,0.01,0)))</f>
        <v/>
      </c>
      <c r="P37" s="307" t="str">
        <f>IF($B37="","",IF(P$4="NÃO",0,IF(VLOOKUP($B37,FROTA!$B$5:$R$305,10,0)=P$3,0.01,0)))</f>
        <v/>
      </c>
      <c r="Q37" s="307" t="str">
        <f>IF($B37="","",IF(Q$4="NÃO",0,IF(VLOOKUP($B37,FROTA!$B$5:$R$305,10,0)=Q$3,0.01,0)))</f>
        <v/>
      </c>
      <c r="R37" s="307" t="str">
        <f>IF($B37="","",IF(R$4="NÃO",0,IF(VLOOKUP($B37,FROTA!$B$5:$R$305,10,0)=R$3,0.01,0)))</f>
        <v/>
      </c>
      <c r="S37" s="307" t="str">
        <f>IF($B37="","",IF(S$4="NÃO",0,IF(VLOOKUP($B37,FROTA!$B$5:$R$305,10,0)=S$3,0.01,0)))</f>
        <v/>
      </c>
      <c r="T37" s="307" t="str">
        <f>IF($B37="","",IF(T$4="NÃO",0,IF(VLOOKUP($B37,FROTA!$B$5:$R$305,10,0)=T$3,0.01,0)))</f>
        <v/>
      </c>
      <c r="U37" s="307" t="str">
        <f>IF($B37="","",IF(U$4="NÃO",0,IF(VLOOKUP($B37,FROTA!$B$5:$R$305,10,0)=U$3,0.01,0)))</f>
        <v/>
      </c>
      <c r="V37" s="306" t="str">
        <f t="shared" si="17"/>
        <v/>
      </c>
      <c r="W37" s="238" t="str">
        <f t="shared" si="18"/>
        <v/>
      </c>
      <c r="X37" s="576" t="str">
        <f t="shared" si="19"/>
        <v/>
      </c>
      <c r="BA37" s="581">
        <v>44870</v>
      </c>
      <c r="BB37" s="582">
        <v>2023</v>
      </c>
    </row>
    <row r="38" spans="2:54" ht="15" customHeight="1" x14ac:dyDescent="0.2">
      <c r="B38" s="192" t="str">
        <f>IF(FROTA!B39="","",FROTA!B39)</f>
        <v/>
      </c>
      <c r="C38" s="192" t="str">
        <f>IF(B38="","",FROTA!Z39)</f>
        <v/>
      </c>
      <c r="D38" s="192" t="str">
        <f>IF(B38="","",VLOOKUP(B38,FROTA!$B$5:$C$310,2,0))</f>
        <v/>
      </c>
      <c r="E38" s="233" t="str">
        <f>IF(D38="","",VLOOKUP(D38,ESCALA!$B$3:$H$19,7,0))</f>
        <v/>
      </c>
      <c r="F38" s="219" t="s">
        <v>222</v>
      </c>
      <c r="G38" s="305" t="str">
        <f t="shared" si="16"/>
        <v/>
      </c>
      <c r="H38" s="314" t="str">
        <f>IF($B38="","",IF(H$4="NÃO",0,IF(VLOOKUP($B38,FROTA!$B$5:$R$305,17,0)=H$3,0.02,0)))</f>
        <v/>
      </c>
      <c r="I38" s="193" t="str">
        <f>IF($B38="","",IF(I$4="NÃO",0,IF(VLOOKUP($B38,FROTA!$B$5:$R$305,17,0)=I$3,0.02,0)))</f>
        <v/>
      </c>
      <c r="J38" s="193" t="str">
        <f>IF($B38="","",IF(J$4="NÃO",0,IF(VLOOKUP($B38,FROTA!$B$5:$R$305,17,0)=J$3,0.02,0)))</f>
        <v/>
      </c>
      <c r="K38" s="193" t="str">
        <f>IF($B38="","",IF(K$4="NÃO",0,IF(VLOOKUP($B38,FROTA!$B$5:$R$305,17,0)=K$3,0.02,0)))</f>
        <v/>
      </c>
      <c r="L38" s="193" t="str">
        <f>IF($B38="","",IF(L$4="NÃO",0,IF(VLOOKUP($B38,FROTA!$B$5:$R$305,17,0)=L$3,0.02,0)))</f>
        <v/>
      </c>
      <c r="M38" s="193" t="str">
        <f>IF($B38="","",IF(M$4="NÃO",0,IF(VLOOKUP($B38,FROTA!$B$5:$R$305,17,0)=M$3,0.02,0)))</f>
        <v/>
      </c>
      <c r="N38" s="193" t="str">
        <f>IF($B38="","",IF(M$4="NÃO",0,IF(VLOOKUP($B38,FROTA!$B$5:$R$305,17,0)=N$3,0.02,0)))</f>
        <v/>
      </c>
      <c r="O38" s="311" t="str">
        <f>IF($B38="","",IF(O$4="NÃO",0,IF(VLOOKUP($B38,FROTA!$B$5:$R$305,10,0)=O$3,0.01,0)))</f>
        <v/>
      </c>
      <c r="P38" s="307" t="str">
        <f>IF($B38="","",IF(P$4="NÃO",0,IF(VLOOKUP($B38,FROTA!$B$5:$R$305,10,0)=P$3,0.01,0)))</f>
        <v/>
      </c>
      <c r="Q38" s="307" t="str">
        <f>IF($B38="","",IF(Q$4="NÃO",0,IF(VLOOKUP($B38,FROTA!$B$5:$R$305,10,0)=Q$3,0.01,0)))</f>
        <v/>
      </c>
      <c r="R38" s="307" t="str">
        <f>IF($B38="","",IF(R$4="NÃO",0,IF(VLOOKUP($B38,FROTA!$B$5:$R$305,10,0)=R$3,0.01,0)))</f>
        <v/>
      </c>
      <c r="S38" s="307" t="str">
        <f>IF($B38="","",IF(S$4="NÃO",0,IF(VLOOKUP($B38,FROTA!$B$5:$R$305,10,0)=S$3,0.01,0)))</f>
        <v/>
      </c>
      <c r="T38" s="307" t="str">
        <f>IF($B38="","",IF(T$4="NÃO",0,IF(VLOOKUP($B38,FROTA!$B$5:$R$305,10,0)=T$3,0.01,0)))</f>
        <v/>
      </c>
      <c r="U38" s="307" t="str">
        <f>IF($B38="","",IF(U$4="NÃO",0,IF(VLOOKUP($B38,FROTA!$B$5:$R$305,10,0)=U$3,0.01,0)))</f>
        <v/>
      </c>
      <c r="V38" s="306" t="str">
        <f t="shared" si="17"/>
        <v/>
      </c>
      <c r="W38" s="238" t="str">
        <f t="shared" si="18"/>
        <v/>
      </c>
      <c r="X38" s="576" t="str">
        <f t="shared" si="19"/>
        <v/>
      </c>
      <c r="BA38" s="581">
        <v>44871</v>
      </c>
      <c r="BB38" s="582">
        <v>2023</v>
      </c>
    </row>
    <row r="39" spans="2:54" ht="15" customHeight="1" x14ac:dyDescent="0.2">
      <c r="B39" s="192" t="str">
        <f>IF(FROTA!B40="","",FROTA!B40)</f>
        <v/>
      </c>
      <c r="C39" s="192" t="str">
        <f>IF(B39="","",FROTA!Z40)</f>
        <v/>
      </c>
      <c r="D39" s="192" t="str">
        <f>IF(B39="","",VLOOKUP(B39,FROTA!$B$5:$C$310,2,0))</f>
        <v/>
      </c>
      <c r="E39" s="233" t="str">
        <f>IF(D39="","",VLOOKUP(D39,ESCALA!$B$3:$H$19,7,0))</f>
        <v/>
      </c>
      <c r="F39" s="219" t="s">
        <v>222</v>
      </c>
      <c r="G39" s="305" t="str">
        <f t="shared" si="16"/>
        <v/>
      </c>
      <c r="H39" s="314" t="str">
        <f>IF($B39="","",IF(H$4="NÃO",0,IF(VLOOKUP($B39,FROTA!$B$5:$R$305,17,0)=H$3,0.02,0)))</f>
        <v/>
      </c>
      <c r="I39" s="193" t="str">
        <f>IF($B39="","",IF(I$4="NÃO",0,IF(VLOOKUP($B39,FROTA!$B$5:$R$305,17,0)=I$3,0.02,0)))</f>
        <v/>
      </c>
      <c r="J39" s="193" t="str">
        <f>IF($B39="","",IF(J$4="NÃO",0,IF(VLOOKUP($B39,FROTA!$B$5:$R$305,17,0)=J$3,0.02,0)))</f>
        <v/>
      </c>
      <c r="K39" s="193" t="str">
        <f>IF($B39="","",IF(K$4="NÃO",0,IF(VLOOKUP($B39,FROTA!$B$5:$R$305,17,0)=K$3,0.02,0)))</f>
        <v/>
      </c>
      <c r="L39" s="193" t="str">
        <f>IF($B39="","",IF(L$4="NÃO",0,IF(VLOOKUP($B39,FROTA!$B$5:$R$305,17,0)=L$3,0.02,0)))</f>
        <v/>
      </c>
      <c r="M39" s="193" t="str">
        <f>IF($B39="","",IF(M$4="NÃO",0,IF(VLOOKUP($B39,FROTA!$B$5:$R$305,17,0)=M$3,0.02,0)))</f>
        <v/>
      </c>
      <c r="N39" s="193" t="str">
        <f>IF($B39="","",IF(M$4="NÃO",0,IF(VLOOKUP($B39,FROTA!$B$5:$R$305,17,0)=N$3,0.02,0)))</f>
        <v/>
      </c>
      <c r="O39" s="311" t="str">
        <f>IF($B39="","",IF(O$4="NÃO",0,IF(VLOOKUP($B39,FROTA!$B$5:$R$305,10,0)=O$3,0.01,0)))</f>
        <v/>
      </c>
      <c r="P39" s="307" t="str">
        <f>IF($B39="","",IF(P$4="NÃO",0,IF(VLOOKUP($B39,FROTA!$B$5:$R$305,10,0)=P$3,0.01,0)))</f>
        <v/>
      </c>
      <c r="Q39" s="307" t="str">
        <f>IF($B39="","",IF(Q$4="NÃO",0,IF(VLOOKUP($B39,FROTA!$B$5:$R$305,10,0)=Q$3,0.01,0)))</f>
        <v/>
      </c>
      <c r="R39" s="307" t="str">
        <f>IF($B39="","",IF(R$4="NÃO",0,IF(VLOOKUP($B39,FROTA!$B$5:$R$305,10,0)=R$3,0.01,0)))</f>
        <v/>
      </c>
      <c r="S39" s="307" t="str">
        <f>IF($B39="","",IF(S$4="NÃO",0,IF(VLOOKUP($B39,FROTA!$B$5:$R$305,10,0)=S$3,0.01,0)))</f>
        <v/>
      </c>
      <c r="T39" s="307" t="str">
        <f>IF($B39="","",IF(T$4="NÃO",0,IF(VLOOKUP($B39,FROTA!$B$5:$R$305,10,0)=T$3,0.01,0)))</f>
        <v/>
      </c>
      <c r="U39" s="307" t="str">
        <f>IF($B39="","",IF(U$4="NÃO",0,IF(VLOOKUP($B39,FROTA!$B$5:$R$305,10,0)=U$3,0.01,0)))</f>
        <v/>
      </c>
      <c r="V39" s="306" t="str">
        <f t="shared" si="17"/>
        <v/>
      </c>
      <c r="W39" s="238" t="str">
        <f t="shared" si="18"/>
        <v/>
      </c>
      <c r="X39" s="576" t="str">
        <f t="shared" si="19"/>
        <v/>
      </c>
      <c r="BA39" s="581">
        <v>44872</v>
      </c>
      <c r="BB39" s="582">
        <v>2023</v>
      </c>
    </row>
    <row r="40" spans="2:54" ht="15" customHeight="1" x14ac:dyDescent="0.2">
      <c r="B40" s="192" t="str">
        <f>IF(FROTA!B41="","",FROTA!B41)</f>
        <v/>
      </c>
      <c r="C40" s="192" t="str">
        <f>IF(B40="","",FROTA!Z41)</f>
        <v/>
      </c>
      <c r="D40" s="192" t="str">
        <f>IF(B40="","",VLOOKUP(B40,FROTA!$B$5:$C$310,2,0))</f>
        <v/>
      </c>
      <c r="E40" s="233" t="str">
        <f>IF(D40="","",VLOOKUP(D40,ESCALA!$B$3:$H$19,7,0))</f>
        <v/>
      </c>
      <c r="F40" s="219" t="s">
        <v>222</v>
      </c>
      <c r="G40" s="305" t="str">
        <f t="shared" si="16"/>
        <v/>
      </c>
      <c r="H40" s="314" t="str">
        <f>IF($B40="","",IF(H$4="NÃO",0,IF(VLOOKUP($B40,FROTA!$B$5:$R$305,17,0)=H$3,0.02,0)))</f>
        <v/>
      </c>
      <c r="I40" s="193" t="str">
        <f>IF($B40="","",IF(I$4="NÃO",0,IF(VLOOKUP($B40,FROTA!$B$5:$R$305,17,0)=I$3,0.02,0)))</f>
        <v/>
      </c>
      <c r="J40" s="193" t="str">
        <f>IF($B40="","",IF(J$4="NÃO",0,IF(VLOOKUP($B40,FROTA!$B$5:$R$305,17,0)=J$3,0.02,0)))</f>
        <v/>
      </c>
      <c r="K40" s="193" t="str">
        <f>IF($B40="","",IF(K$4="NÃO",0,IF(VLOOKUP($B40,FROTA!$B$5:$R$305,17,0)=K$3,0.02,0)))</f>
        <v/>
      </c>
      <c r="L40" s="193" t="str">
        <f>IF($B40="","",IF(L$4="NÃO",0,IF(VLOOKUP($B40,FROTA!$B$5:$R$305,17,0)=L$3,0.02,0)))</f>
        <v/>
      </c>
      <c r="M40" s="193" t="str">
        <f>IF($B40="","",IF(M$4="NÃO",0,IF(VLOOKUP($B40,FROTA!$B$5:$R$305,17,0)=M$3,0.02,0)))</f>
        <v/>
      </c>
      <c r="N40" s="193" t="str">
        <f>IF($B40="","",IF(M$4="NÃO",0,IF(VLOOKUP($B40,FROTA!$B$5:$R$305,17,0)=N$3,0.02,0)))</f>
        <v/>
      </c>
      <c r="O40" s="311" t="str">
        <f>IF($B40="","",IF(O$4="NÃO",0,IF(VLOOKUP($B40,FROTA!$B$5:$R$305,10,0)=O$3,0.01,0)))</f>
        <v/>
      </c>
      <c r="P40" s="307" t="str">
        <f>IF($B40="","",IF(P$4="NÃO",0,IF(VLOOKUP($B40,FROTA!$B$5:$R$305,10,0)=P$3,0.01,0)))</f>
        <v/>
      </c>
      <c r="Q40" s="307" t="str">
        <f>IF($B40="","",IF(Q$4="NÃO",0,IF(VLOOKUP($B40,FROTA!$B$5:$R$305,10,0)=Q$3,0.01,0)))</f>
        <v/>
      </c>
      <c r="R40" s="307" t="str">
        <f>IF($B40="","",IF(R$4="NÃO",0,IF(VLOOKUP($B40,FROTA!$B$5:$R$305,10,0)=R$3,0.01,0)))</f>
        <v/>
      </c>
      <c r="S40" s="307" t="str">
        <f>IF($B40="","",IF(S$4="NÃO",0,IF(VLOOKUP($B40,FROTA!$B$5:$R$305,10,0)=S$3,0.01,0)))</f>
        <v/>
      </c>
      <c r="T40" s="307" t="str">
        <f>IF($B40="","",IF(T$4="NÃO",0,IF(VLOOKUP($B40,FROTA!$B$5:$R$305,10,0)=T$3,0.01,0)))</f>
        <v/>
      </c>
      <c r="U40" s="307" t="str">
        <f>IF($B40="","",IF(U$4="NÃO",0,IF(VLOOKUP($B40,FROTA!$B$5:$R$305,10,0)=U$3,0.01,0)))</f>
        <v/>
      </c>
      <c r="V40" s="306" t="str">
        <f t="shared" si="17"/>
        <v/>
      </c>
      <c r="W40" s="238" t="str">
        <f t="shared" si="18"/>
        <v/>
      </c>
      <c r="X40" s="576" t="str">
        <f t="shared" si="19"/>
        <v/>
      </c>
      <c r="BA40" s="581">
        <v>44873</v>
      </c>
      <c r="BB40" s="582">
        <v>2023</v>
      </c>
    </row>
    <row r="41" spans="2:54" ht="15" customHeight="1" x14ac:dyDescent="0.2">
      <c r="B41" s="192" t="str">
        <f>IF(FROTA!B42="","",FROTA!B42)</f>
        <v/>
      </c>
      <c r="C41" s="192" t="str">
        <f>IF(B41="","",FROTA!Z42)</f>
        <v/>
      </c>
      <c r="D41" s="192" t="str">
        <f>IF(B41="","",VLOOKUP(B41,FROTA!$B$5:$C$310,2,0))</f>
        <v/>
      </c>
      <c r="E41" s="233" t="str">
        <f>IF(D41="","",VLOOKUP(D41,ESCALA!$B$3:$H$19,7,0))</f>
        <v/>
      </c>
      <c r="F41" s="219" t="s">
        <v>222</v>
      </c>
      <c r="G41" s="305" t="str">
        <f t="shared" si="16"/>
        <v/>
      </c>
      <c r="H41" s="314" t="str">
        <f>IF($B41="","",IF(H$4="NÃO",0,IF(VLOOKUP($B41,FROTA!$B$5:$R$305,17,0)=H$3,0.02,0)))</f>
        <v/>
      </c>
      <c r="I41" s="193" t="str">
        <f>IF($B41="","",IF(I$4="NÃO",0,IF(VLOOKUP($B41,FROTA!$B$5:$R$305,17,0)=I$3,0.02,0)))</f>
        <v/>
      </c>
      <c r="J41" s="193" t="str">
        <f>IF($B41="","",IF(J$4="NÃO",0,IF(VLOOKUP($B41,FROTA!$B$5:$R$305,17,0)=J$3,0.02,0)))</f>
        <v/>
      </c>
      <c r="K41" s="193" t="str">
        <f>IF($B41="","",IF(K$4="NÃO",0,IF(VLOOKUP($B41,FROTA!$B$5:$R$305,17,0)=K$3,0.02,0)))</f>
        <v/>
      </c>
      <c r="L41" s="193" t="str">
        <f>IF($B41="","",IF(L$4="NÃO",0,IF(VLOOKUP($B41,FROTA!$B$5:$R$305,17,0)=L$3,0.02,0)))</f>
        <v/>
      </c>
      <c r="M41" s="193" t="str">
        <f>IF($B41="","",IF(M$4="NÃO",0,IF(VLOOKUP($B41,FROTA!$B$5:$R$305,17,0)=M$3,0.02,0)))</f>
        <v/>
      </c>
      <c r="N41" s="193" t="str">
        <f>IF($B41="","",IF(M$4="NÃO",0,IF(VLOOKUP($B41,FROTA!$B$5:$R$305,17,0)=N$3,0.02,0)))</f>
        <v/>
      </c>
      <c r="O41" s="311" t="str">
        <f>IF($B41="","",IF(O$4="NÃO",0,IF(VLOOKUP($B41,FROTA!$B$5:$R$305,10,0)=O$3,0.01,0)))</f>
        <v/>
      </c>
      <c r="P41" s="307" t="str">
        <f>IF($B41="","",IF(P$4="NÃO",0,IF(VLOOKUP($B41,FROTA!$B$5:$R$305,10,0)=P$3,0.01,0)))</f>
        <v/>
      </c>
      <c r="Q41" s="307" t="str">
        <f>IF($B41="","",IF(Q$4="NÃO",0,IF(VLOOKUP($B41,FROTA!$B$5:$R$305,10,0)=Q$3,0.01,0)))</f>
        <v/>
      </c>
      <c r="R41" s="307" t="str">
        <f>IF($B41="","",IF(R$4="NÃO",0,IF(VLOOKUP($B41,FROTA!$B$5:$R$305,10,0)=R$3,0.01,0)))</f>
        <v/>
      </c>
      <c r="S41" s="307" t="str">
        <f>IF($B41="","",IF(S$4="NÃO",0,IF(VLOOKUP($B41,FROTA!$B$5:$R$305,10,0)=S$3,0.01,0)))</f>
        <v/>
      </c>
      <c r="T41" s="307" t="str">
        <f>IF($B41="","",IF(T$4="NÃO",0,IF(VLOOKUP($B41,FROTA!$B$5:$R$305,10,0)=T$3,0.01,0)))</f>
        <v/>
      </c>
      <c r="U41" s="307" t="str">
        <f>IF($B41="","",IF(U$4="NÃO",0,IF(VLOOKUP($B41,FROTA!$B$5:$R$305,10,0)=U$3,0.01,0)))</f>
        <v/>
      </c>
      <c r="V41" s="306" t="str">
        <f t="shared" si="17"/>
        <v/>
      </c>
      <c r="W41" s="238" t="str">
        <f t="shared" si="18"/>
        <v/>
      </c>
      <c r="X41" s="576" t="str">
        <f t="shared" si="19"/>
        <v/>
      </c>
      <c r="BA41" s="581">
        <v>44874</v>
      </c>
      <c r="BB41" s="582">
        <v>2023</v>
      </c>
    </row>
    <row r="42" spans="2:54" ht="15" customHeight="1" x14ac:dyDescent="0.2">
      <c r="B42" s="192" t="str">
        <f>IF(FROTA!B43="","",FROTA!B43)</f>
        <v/>
      </c>
      <c r="C42" s="192" t="str">
        <f>IF(B42="","",FROTA!Z43)</f>
        <v/>
      </c>
      <c r="D42" s="192" t="str">
        <f>IF(B42="","",VLOOKUP(B42,FROTA!$B$5:$C$310,2,0))</f>
        <v/>
      </c>
      <c r="E42" s="233" t="str">
        <f>IF(D42="","",VLOOKUP(D42,ESCALA!$B$3:$H$19,7,0))</f>
        <v/>
      </c>
      <c r="F42" s="219" t="s">
        <v>222</v>
      </c>
      <c r="G42" s="305" t="str">
        <f t="shared" si="16"/>
        <v/>
      </c>
      <c r="H42" s="314" t="str">
        <f>IF($B42="","",IF(H$4="NÃO",0,IF(VLOOKUP($B42,FROTA!$B$5:$R$305,17,0)=H$3,0.02,0)))</f>
        <v/>
      </c>
      <c r="I42" s="193" t="str">
        <f>IF($B42="","",IF(I$4="NÃO",0,IF(VLOOKUP($B42,FROTA!$B$5:$R$305,17,0)=I$3,0.02,0)))</f>
        <v/>
      </c>
      <c r="J42" s="193" t="str">
        <f>IF($B42="","",IF(J$4="NÃO",0,IF(VLOOKUP($B42,FROTA!$B$5:$R$305,17,0)=J$3,0.02,0)))</f>
        <v/>
      </c>
      <c r="K42" s="193" t="str">
        <f>IF($B42="","",IF(K$4="NÃO",0,IF(VLOOKUP($B42,FROTA!$B$5:$R$305,17,0)=K$3,0.02,0)))</f>
        <v/>
      </c>
      <c r="L42" s="193" t="str">
        <f>IF($B42="","",IF(L$4="NÃO",0,IF(VLOOKUP($B42,FROTA!$B$5:$R$305,17,0)=L$3,0.02,0)))</f>
        <v/>
      </c>
      <c r="M42" s="193" t="str">
        <f>IF($B42="","",IF(M$4="NÃO",0,IF(VLOOKUP($B42,FROTA!$B$5:$R$305,17,0)=M$3,0.02,0)))</f>
        <v/>
      </c>
      <c r="N42" s="193" t="str">
        <f>IF($B42="","",IF(M$4="NÃO",0,IF(VLOOKUP($B42,FROTA!$B$5:$R$305,17,0)=N$3,0.02,0)))</f>
        <v/>
      </c>
      <c r="O42" s="311" t="str">
        <f>IF($B42="","",IF(O$4="NÃO",0,IF(VLOOKUP($B42,FROTA!$B$5:$R$305,10,0)=O$3,0.01,0)))</f>
        <v/>
      </c>
      <c r="P42" s="307" t="str">
        <f>IF($B42="","",IF(P$4="NÃO",0,IF(VLOOKUP($B42,FROTA!$B$5:$R$305,10,0)=P$3,0.01,0)))</f>
        <v/>
      </c>
      <c r="Q42" s="307" t="str">
        <f>IF($B42="","",IF(Q$4="NÃO",0,IF(VLOOKUP($B42,FROTA!$B$5:$R$305,10,0)=Q$3,0.01,0)))</f>
        <v/>
      </c>
      <c r="R42" s="307" t="str">
        <f>IF($B42="","",IF(R$4="NÃO",0,IF(VLOOKUP($B42,FROTA!$B$5:$R$305,10,0)=R$3,0.01,0)))</f>
        <v/>
      </c>
      <c r="S42" s="307" t="str">
        <f>IF($B42="","",IF(S$4="NÃO",0,IF(VLOOKUP($B42,FROTA!$B$5:$R$305,10,0)=S$3,0.01,0)))</f>
        <v/>
      </c>
      <c r="T42" s="307" t="str">
        <f>IF($B42="","",IF(T$4="NÃO",0,IF(VLOOKUP($B42,FROTA!$B$5:$R$305,10,0)=T$3,0.01,0)))</f>
        <v/>
      </c>
      <c r="U42" s="307" t="str">
        <f>IF($B42="","",IF(U$4="NÃO",0,IF(VLOOKUP($B42,FROTA!$B$5:$R$305,10,0)=U$3,0.01,0)))</f>
        <v/>
      </c>
      <c r="V42" s="306" t="str">
        <f t="shared" si="17"/>
        <v/>
      </c>
      <c r="W42" s="238" t="str">
        <f t="shared" si="18"/>
        <v/>
      </c>
      <c r="X42" s="576" t="str">
        <f t="shared" si="19"/>
        <v/>
      </c>
      <c r="BA42" s="581">
        <v>44875</v>
      </c>
      <c r="BB42" s="582">
        <v>2023</v>
      </c>
    </row>
    <row r="43" spans="2:54" ht="15" customHeight="1" x14ac:dyDescent="0.2">
      <c r="B43" s="192" t="str">
        <f>IF(FROTA!B44="","",FROTA!B44)</f>
        <v/>
      </c>
      <c r="C43" s="192" t="str">
        <f>IF(B43="","",FROTA!Z44)</f>
        <v/>
      </c>
      <c r="D43" s="192" t="str">
        <f>IF(B43="","",VLOOKUP(B43,FROTA!$B$5:$C$310,2,0))</f>
        <v/>
      </c>
      <c r="E43" s="233" t="str">
        <f>IF(D43="","",VLOOKUP(D43,ESCALA!$B$3:$H$19,7,0))</f>
        <v/>
      </c>
      <c r="F43" s="219" t="s">
        <v>222</v>
      </c>
      <c r="G43" s="305" t="str">
        <f t="shared" si="16"/>
        <v/>
      </c>
      <c r="H43" s="314" t="str">
        <f>IF($B43="","",IF(H$4="NÃO",0,IF(VLOOKUP($B43,FROTA!$B$5:$R$305,17,0)=H$3,0.02,0)))</f>
        <v/>
      </c>
      <c r="I43" s="193" t="str">
        <f>IF($B43="","",IF(I$4="NÃO",0,IF(VLOOKUP($B43,FROTA!$B$5:$R$305,17,0)=I$3,0.02,0)))</f>
        <v/>
      </c>
      <c r="J43" s="193" t="str">
        <f>IF($B43="","",IF(J$4="NÃO",0,IF(VLOOKUP($B43,FROTA!$B$5:$R$305,17,0)=J$3,0.02,0)))</f>
        <v/>
      </c>
      <c r="K43" s="193" t="str">
        <f>IF($B43="","",IF(K$4="NÃO",0,IF(VLOOKUP($B43,FROTA!$B$5:$R$305,17,0)=K$3,0.02,0)))</f>
        <v/>
      </c>
      <c r="L43" s="193" t="str">
        <f>IF($B43="","",IF(L$4="NÃO",0,IF(VLOOKUP($B43,FROTA!$B$5:$R$305,17,0)=L$3,0.02,0)))</f>
        <v/>
      </c>
      <c r="M43" s="193" t="str">
        <f>IF($B43="","",IF(M$4="NÃO",0,IF(VLOOKUP($B43,FROTA!$B$5:$R$305,17,0)=M$3,0.02,0)))</f>
        <v/>
      </c>
      <c r="N43" s="193" t="str">
        <f>IF($B43="","",IF(M$4="NÃO",0,IF(VLOOKUP($B43,FROTA!$B$5:$R$305,17,0)=N$3,0.02,0)))</f>
        <v/>
      </c>
      <c r="O43" s="311" t="str">
        <f>IF($B43="","",IF(O$4="NÃO",0,IF(VLOOKUP($B43,FROTA!$B$5:$R$305,10,0)=O$3,0.01,0)))</f>
        <v/>
      </c>
      <c r="P43" s="307" t="str">
        <f>IF($B43="","",IF(P$4="NÃO",0,IF(VLOOKUP($B43,FROTA!$B$5:$R$305,10,0)=P$3,0.01,0)))</f>
        <v/>
      </c>
      <c r="Q43" s="307" t="str">
        <f>IF($B43="","",IF(Q$4="NÃO",0,IF(VLOOKUP($B43,FROTA!$B$5:$R$305,10,0)=Q$3,0.01,0)))</f>
        <v/>
      </c>
      <c r="R43" s="307" t="str">
        <f>IF($B43="","",IF(R$4="NÃO",0,IF(VLOOKUP($B43,FROTA!$B$5:$R$305,10,0)=R$3,0.01,0)))</f>
        <v/>
      </c>
      <c r="S43" s="307" t="str">
        <f>IF($B43="","",IF(S$4="NÃO",0,IF(VLOOKUP($B43,FROTA!$B$5:$R$305,10,0)=S$3,0.01,0)))</f>
        <v/>
      </c>
      <c r="T43" s="307" t="str">
        <f>IF($B43="","",IF(T$4="NÃO",0,IF(VLOOKUP($B43,FROTA!$B$5:$R$305,10,0)=T$3,0.01,0)))</f>
        <v/>
      </c>
      <c r="U43" s="307" t="str">
        <f>IF($B43="","",IF(U$4="NÃO",0,IF(VLOOKUP($B43,FROTA!$B$5:$R$305,10,0)=U$3,0.01,0)))</f>
        <v/>
      </c>
      <c r="V43" s="306" t="str">
        <f t="shared" si="17"/>
        <v/>
      </c>
      <c r="W43" s="238" t="str">
        <f t="shared" si="18"/>
        <v/>
      </c>
      <c r="X43" s="576" t="str">
        <f t="shared" si="19"/>
        <v/>
      </c>
      <c r="BA43" s="581">
        <v>44876</v>
      </c>
      <c r="BB43" s="582">
        <v>2023</v>
      </c>
    </row>
    <row r="44" spans="2:54" ht="15" customHeight="1" x14ac:dyDescent="0.2">
      <c r="B44" s="192" t="str">
        <f>IF(FROTA!B45="","",FROTA!B45)</f>
        <v/>
      </c>
      <c r="C44" s="192" t="str">
        <f>IF(B44="","",FROTA!Z45)</f>
        <v/>
      </c>
      <c r="D44" s="192" t="str">
        <f>IF(B44="","",VLOOKUP(B44,FROTA!$B$5:$C$310,2,0))</f>
        <v/>
      </c>
      <c r="E44" s="233" t="str">
        <f>IF(D44="","",VLOOKUP(D44,ESCALA!$B$3:$H$19,7,0))</f>
        <v/>
      </c>
      <c r="F44" s="219" t="s">
        <v>222</v>
      </c>
      <c r="G44" s="305" t="str">
        <f t="shared" si="16"/>
        <v/>
      </c>
      <c r="H44" s="314" t="str">
        <f>IF($B44="","",IF(H$4="NÃO",0,IF(VLOOKUP($B44,FROTA!$B$5:$R$305,17,0)=H$3,0.02,0)))</f>
        <v/>
      </c>
      <c r="I44" s="193" t="str">
        <f>IF($B44="","",IF(I$4="NÃO",0,IF(VLOOKUP($B44,FROTA!$B$5:$R$305,17,0)=I$3,0.02,0)))</f>
        <v/>
      </c>
      <c r="J44" s="193" t="str">
        <f>IF($B44="","",IF(J$4="NÃO",0,IF(VLOOKUP($B44,FROTA!$B$5:$R$305,17,0)=J$3,0.02,0)))</f>
        <v/>
      </c>
      <c r="K44" s="193" t="str">
        <f>IF($B44="","",IF(K$4="NÃO",0,IF(VLOOKUP($B44,FROTA!$B$5:$R$305,17,0)=K$3,0.02,0)))</f>
        <v/>
      </c>
      <c r="L44" s="193" t="str">
        <f>IF($B44="","",IF(L$4="NÃO",0,IF(VLOOKUP($B44,FROTA!$B$5:$R$305,17,0)=L$3,0.02,0)))</f>
        <v/>
      </c>
      <c r="M44" s="193" t="str">
        <f>IF($B44="","",IF(M$4="NÃO",0,IF(VLOOKUP($B44,FROTA!$B$5:$R$305,17,0)=M$3,0.02,0)))</f>
        <v/>
      </c>
      <c r="N44" s="193" t="str">
        <f>IF($B44="","",IF(M$4="NÃO",0,IF(VLOOKUP($B44,FROTA!$B$5:$R$305,17,0)=N$3,0.02,0)))</f>
        <v/>
      </c>
      <c r="O44" s="311" t="str">
        <f>IF($B44="","",IF(O$4="NÃO",0,IF(VLOOKUP($B44,FROTA!$B$5:$R$305,10,0)=O$3,0.01,0)))</f>
        <v/>
      </c>
      <c r="P44" s="307" t="str">
        <f>IF($B44="","",IF(P$4="NÃO",0,IF(VLOOKUP($B44,FROTA!$B$5:$R$305,10,0)=P$3,0.01,0)))</f>
        <v/>
      </c>
      <c r="Q44" s="307" t="str">
        <f>IF($B44="","",IF(Q$4="NÃO",0,IF(VLOOKUP($B44,FROTA!$B$5:$R$305,10,0)=Q$3,0.01,0)))</f>
        <v/>
      </c>
      <c r="R44" s="307" t="str">
        <f>IF($B44="","",IF(R$4="NÃO",0,IF(VLOOKUP($B44,FROTA!$B$5:$R$305,10,0)=R$3,0.01,0)))</f>
        <v/>
      </c>
      <c r="S44" s="307" t="str">
        <f>IF($B44="","",IF(S$4="NÃO",0,IF(VLOOKUP($B44,FROTA!$B$5:$R$305,10,0)=S$3,0.01,0)))</f>
        <v/>
      </c>
      <c r="T44" s="307" t="str">
        <f>IF($B44="","",IF(T$4="NÃO",0,IF(VLOOKUP($B44,FROTA!$B$5:$R$305,10,0)=T$3,0.01,0)))</f>
        <v/>
      </c>
      <c r="U44" s="307" t="str">
        <f>IF($B44="","",IF(U$4="NÃO",0,IF(VLOOKUP($B44,FROTA!$B$5:$R$305,10,0)=U$3,0.01,0)))</f>
        <v/>
      </c>
      <c r="V44" s="306" t="str">
        <f t="shared" si="17"/>
        <v/>
      </c>
      <c r="W44" s="238" t="str">
        <f t="shared" si="18"/>
        <v/>
      </c>
      <c r="X44" s="576" t="str">
        <f t="shared" si="19"/>
        <v/>
      </c>
      <c r="BA44" s="581">
        <v>44877</v>
      </c>
      <c r="BB44" s="582">
        <v>2023</v>
      </c>
    </row>
    <row r="45" spans="2:54" ht="15" customHeight="1" x14ac:dyDescent="0.2">
      <c r="B45" s="192" t="str">
        <f>IF(FROTA!B46="","",FROTA!B46)</f>
        <v/>
      </c>
      <c r="C45" s="192" t="str">
        <f>IF(B45="","",FROTA!Z46)</f>
        <v/>
      </c>
      <c r="D45" s="192" t="str">
        <f>IF(B45="","",VLOOKUP(B45,FROTA!$B$5:$C$310,2,0))</f>
        <v/>
      </c>
      <c r="E45" s="233" t="str">
        <f>IF(D45="","",VLOOKUP(D45,ESCALA!$B$3:$H$19,7,0))</f>
        <v/>
      </c>
      <c r="F45" s="219" t="s">
        <v>222</v>
      </c>
      <c r="G45" s="305" t="str">
        <f t="shared" si="16"/>
        <v/>
      </c>
      <c r="H45" s="314" t="str">
        <f>IF($B45="","",IF(H$4="NÃO",0,IF(VLOOKUP($B45,FROTA!$B$5:$R$305,17,0)=H$3,0.02,0)))</f>
        <v/>
      </c>
      <c r="I45" s="193" t="str">
        <f>IF($B45="","",IF(I$4="NÃO",0,IF(VLOOKUP($B45,FROTA!$B$5:$R$305,17,0)=I$3,0.02,0)))</f>
        <v/>
      </c>
      <c r="J45" s="193" t="str">
        <f>IF($B45="","",IF(J$4="NÃO",0,IF(VLOOKUP($B45,FROTA!$B$5:$R$305,17,0)=J$3,0.02,0)))</f>
        <v/>
      </c>
      <c r="K45" s="193" t="str">
        <f>IF($B45="","",IF(K$4="NÃO",0,IF(VLOOKUP($B45,FROTA!$B$5:$R$305,17,0)=K$3,0.02,0)))</f>
        <v/>
      </c>
      <c r="L45" s="193" t="str">
        <f>IF($B45="","",IF(L$4="NÃO",0,IF(VLOOKUP($B45,FROTA!$B$5:$R$305,17,0)=L$3,0.02,0)))</f>
        <v/>
      </c>
      <c r="M45" s="193" t="str">
        <f>IF($B45="","",IF(M$4="NÃO",0,IF(VLOOKUP($B45,FROTA!$B$5:$R$305,17,0)=M$3,0.02,0)))</f>
        <v/>
      </c>
      <c r="N45" s="193" t="str">
        <f>IF($B45="","",IF(M$4="NÃO",0,IF(VLOOKUP($B45,FROTA!$B$5:$R$305,17,0)=N$3,0.02,0)))</f>
        <v/>
      </c>
      <c r="O45" s="311" t="str">
        <f>IF($B45="","",IF(O$4="NÃO",0,IF(VLOOKUP($B45,FROTA!$B$5:$R$305,10,0)=O$3,0.01,0)))</f>
        <v/>
      </c>
      <c r="P45" s="307" t="str">
        <f>IF($B45="","",IF(P$4="NÃO",0,IF(VLOOKUP($B45,FROTA!$B$5:$R$305,10,0)=P$3,0.01,0)))</f>
        <v/>
      </c>
      <c r="Q45" s="307" t="str">
        <f>IF($B45="","",IF(Q$4="NÃO",0,IF(VLOOKUP($B45,FROTA!$B$5:$R$305,10,0)=Q$3,0.01,0)))</f>
        <v/>
      </c>
      <c r="R45" s="307" t="str">
        <f>IF($B45="","",IF(R$4="NÃO",0,IF(VLOOKUP($B45,FROTA!$B$5:$R$305,10,0)=R$3,0.01,0)))</f>
        <v/>
      </c>
      <c r="S45" s="307" t="str">
        <f>IF($B45="","",IF(S$4="NÃO",0,IF(VLOOKUP($B45,FROTA!$B$5:$R$305,10,0)=S$3,0.01,0)))</f>
        <v/>
      </c>
      <c r="T45" s="307" t="str">
        <f>IF($B45="","",IF(T$4="NÃO",0,IF(VLOOKUP($B45,FROTA!$B$5:$R$305,10,0)=T$3,0.01,0)))</f>
        <v/>
      </c>
      <c r="U45" s="307" t="str">
        <f>IF($B45="","",IF(U$4="NÃO",0,IF(VLOOKUP($B45,FROTA!$B$5:$R$305,10,0)=U$3,0.01,0)))</f>
        <v/>
      </c>
      <c r="V45" s="306" t="str">
        <f t="shared" si="17"/>
        <v/>
      </c>
      <c r="W45" s="238" t="str">
        <f t="shared" si="18"/>
        <v/>
      </c>
      <c r="X45" s="576" t="str">
        <f t="shared" si="19"/>
        <v/>
      </c>
      <c r="BA45" s="581">
        <v>44878</v>
      </c>
      <c r="BB45" s="582">
        <v>2023</v>
      </c>
    </row>
    <row r="46" spans="2:54" ht="15" customHeight="1" x14ac:dyDescent="0.2">
      <c r="B46" s="192" t="str">
        <f>IF(FROTA!B47="","",FROTA!B47)</f>
        <v/>
      </c>
      <c r="C46" s="192" t="str">
        <f>IF(B46="","",FROTA!Z47)</f>
        <v/>
      </c>
      <c r="D46" s="192" t="str">
        <f>IF(B46="","",VLOOKUP(B46,FROTA!$B$5:$C$310,2,0))</f>
        <v/>
      </c>
      <c r="E46" s="233" t="str">
        <f>IF(D46="","",VLOOKUP(D46,ESCALA!$B$3:$H$19,7,0))</f>
        <v/>
      </c>
      <c r="F46" s="219" t="s">
        <v>222</v>
      </c>
      <c r="G46" s="305" t="str">
        <f t="shared" si="16"/>
        <v/>
      </c>
      <c r="H46" s="314" t="str">
        <f>IF($B46="","",IF(H$4="NÃO",0,IF(VLOOKUP($B46,FROTA!$B$5:$R$305,17,0)=H$3,0.02,0)))</f>
        <v/>
      </c>
      <c r="I46" s="193" t="str">
        <f>IF($B46="","",IF(I$4="NÃO",0,IF(VLOOKUP($B46,FROTA!$B$5:$R$305,17,0)=I$3,0.02,0)))</f>
        <v/>
      </c>
      <c r="J46" s="193" t="str">
        <f>IF($B46="","",IF(J$4="NÃO",0,IF(VLOOKUP($B46,FROTA!$B$5:$R$305,17,0)=J$3,0.02,0)))</f>
        <v/>
      </c>
      <c r="K46" s="193" t="str">
        <f>IF($B46="","",IF(K$4="NÃO",0,IF(VLOOKUP($B46,FROTA!$B$5:$R$305,17,0)=K$3,0.02,0)))</f>
        <v/>
      </c>
      <c r="L46" s="193" t="str">
        <f>IF($B46="","",IF(L$4="NÃO",0,IF(VLOOKUP($B46,FROTA!$B$5:$R$305,17,0)=L$3,0.02,0)))</f>
        <v/>
      </c>
      <c r="M46" s="193" t="str">
        <f>IF($B46="","",IF(M$4="NÃO",0,IF(VLOOKUP($B46,FROTA!$B$5:$R$305,17,0)=M$3,0.02,0)))</f>
        <v/>
      </c>
      <c r="N46" s="193" t="str">
        <f>IF($B46="","",IF(M$4="NÃO",0,IF(VLOOKUP($B46,FROTA!$B$5:$R$305,17,0)=N$3,0.02,0)))</f>
        <v/>
      </c>
      <c r="O46" s="311" t="str">
        <f>IF($B46="","",IF(O$4="NÃO",0,IF(VLOOKUP($B46,FROTA!$B$5:$R$305,10,0)=O$3,0.01,0)))</f>
        <v/>
      </c>
      <c r="P46" s="307" t="str">
        <f>IF($B46="","",IF(P$4="NÃO",0,IF(VLOOKUP($B46,FROTA!$B$5:$R$305,10,0)=P$3,0.01,0)))</f>
        <v/>
      </c>
      <c r="Q46" s="307" t="str">
        <f>IF($B46="","",IF(Q$4="NÃO",0,IF(VLOOKUP($B46,FROTA!$B$5:$R$305,10,0)=Q$3,0.01,0)))</f>
        <v/>
      </c>
      <c r="R46" s="307" t="str">
        <f>IF($B46="","",IF(R$4="NÃO",0,IF(VLOOKUP($B46,FROTA!$B$5:$R$305,10,0)=R$3,0.01,0)))</f>
        <v/>
      </c>
      <c r="S46" s="307" t="str">
        <f>IF($B46="","",IF(S$4="NÃO",0,IF(VLOOKUP($B46,FROTA!$B$5:$R$305,10,0)=S$3,0.01,0)))</f>
        <v/>
      </c>
      <c r="T46" s="307" t="str">
        <f>IF($B46="","",IF(T$4="NÃO",0,IF(VLOOKUP($B46,FROTA!$B$5:$R$305,10,0)=T$3,0.01,0)))</f>
        <v/>
      </c>
      <c r="U46" s="307" t="str">
        <f>IF($B46="","",IF(U$4="NÃO",0,IF(VLOOKUP($B46,FROTA!$B$5:$R$305,10,0)=U$3,0.01,0)))</f>
        <v/>
      </c>
      <c r="V46" s="306" t="str">
        <f t="shared" si="17"/>
        <v/>
      </c>
      <c r="W46" s="238" t="str">
        <f t="shared" si="18"/>
        <v/>
      </c>
      <c r="X46" s="576" t="str">
        <f t="shared" si="19"/>
        <v/>
      </c>
      <c r="BA46" s="581">
        <v>44879</v>
      </c>
      <c r="BB46" s="582">
        <v>2023</v>
      </c>
    </row>
    <row r="47" spans="2:54" ht="15" customHeight="1" x14ac:dyDescent="0.2">
      <c r="B47" s="192" t="str">
        <f>IF(FROTA!B48="","",FROTA!B48)</f>
        <v/>
      </c>
      <c r="C47" s="192" t="str">
        <f>IF(B47="","",FROTA!Z48)</f>
        <v/>
      </c>
      <c r="D47" s="192" t="str">
        <f>IF(B47="","",VLOOKUP(B47,FROTA!$B$5:$C$310,2,0))</f>
        <v/>
      </c>
      <c r="E47" s="233" t="str">
        <f>IF(D47="","",VLOOKUP(D47,ESCALA!$B$3:$H$19,7,0))</f>
        <v/>
      </c>
      <c r="F47" s="219" t="s">
        <v>222</v>
      </c>
      <c r="G47" s="305" t="str">
        <f t="shared" si="16"/>
        <v/>
      </c>
      <c r="H47" s="314" t="str">
        <f>IF($B47="","",IF(H$4="NÃO",0,IF(VLOOKUP($B47,FROTA!$B$5:$R$305,17,0)=H$3,0.02,0)))</f>
        <v/>
      </c>
      <c r="I47" s="193" t="str">
        <f>IF($B47="","",IF(I$4="NÃO",0,IF(VLOOKUP($B47,FROTA!$B$5:$R$305,17,0)=I$3,0.02,0)))</f>
        <v/>
      </c>
      <c r="J47" s="193" t="str">
        <f>IF($B47="","",IF(J$4="NÃO",0,IF(VLOOKUP($B47,FROTA!$B$5:$R$305,17,0)=J$3,0.02,0)))</f>
        <v/>
      </c>
      <c r="K47" s="193" t="str">
        <f>IF($B47="","",IF(K$4="NÃO",0,IF(VLOOKUP($B47,FROTA!$B$5:$R$305,17,0)=K$3,0.02,0)))</f>
        <v/>
      </c>
      <c r="L47" s="193" t="str">
        <f>IF($B47="","",IF(L$4="NÃO",0,IF(VLOOKUP($B47,FROTA!$B$5:$R$305,17,0)=L$3,0.02,0)))</f>
        <v/>
      </c>
      <c r="M47" s="193" t="str">
        <f>IF($B47="","",IF(M$4="NÃO",0,IF(VLOOKUP($B47,FROTA!$B$5:$R$305,17,0)=M$3,0.02,0)))</f>
        <v/>
      </c>
      <c r="N47" s="193" t="str">
        <f>IF($B47="","",IF(M$4="NÃO",0,IF(VLOOKUP($B47,FROTA!$B$5:$R$305,17,0)=N$3,0.02,0)))</f>
        <v/>
      </c>
      <c r="O47" s="311" t="str">
        <f>IF($B47="","",IF(O$4="NÃO",0,IF(VLOOKUP($B47,FROTA!$B$5:$R$305,10,0)=O$3,0.01,0)))</f>
        <v/>
      </c>
      <c r="P47" s="307" t="str">
        <f>IF($B47="","",IF(P$4="NÃO",0,IF(VLOOKUP($B47,FROTA!$B$5:$R$305,10,0)=P$3,0.01,0)))</f>
        <v/>
      </c>
      <c r="Q47" s="307" t="str">
        <f>IF($B47="","",IF(Q$4="NÃO",0,IF(VLOOKUP($B47,FROTA!$B$5:$R$305,10,0)=Q$3,0.01,0)))</f>
        <v/>
      </c>
      <c r="R47" s="307" t="str">
        <f>IF($B47="","",IF(R$4="NÃO",0,IF(VLOOKUP($B47,FROTA!$B$5:$R$305,10,0)=R$3,0.01,0)))</f>
        <v/>
      </c>
      <c r="S47" s="307" t="str">
        <f>IF($B47="","",IF(S$4="NÃO",0,IF(VLOOKUP($B47,FROTA!$B$5:$R$305,10,0)=S$3,0.01,0)))</f>
        <v/>
      </c>
      <c r="T47" s="307" t="str">
        <f>IF($B47="","",IF(T$4="NÃO",0,IF(VLOOKUP($B47,FROTA!$B$5:$R$305,10,0)=T$3,0.01,0)))</f>
        <v/>
      </c>
      <c r="U47" s="307" t="str">
        <f>IF($B47="","",IF(U$4="NÃO",0,IF(VLOOKUP($B47,FROTA!$B$5:$R$305,10,0)=U$3,0.01,0)))</f>
        <v/>
      </c>
      <c r="V47" s="306" t="str">
        <f t="shared" si="17"/>
        <v/>
      </c>
      <c r="W47" s="238" t="str">
        <f t="shared" si="18"/>
        <v/>
      </c>
      <c r="X47" s="576" t="str">
        <f t="shared" si="19"/>
        <v/>
      </c>
      <c r="BA47" s="581">
        <v>44880</v>
      </c>
      <c r="BB47" s="582">
        <v>2023</v>
      </c>
    </row>
    <row r="48" spans="2:54" ht="15" customHeight="1" x14ac:dyDescent="0.2">
      <c r="B48" s="192" t="str">
        <f>IF(FROTA!B49="","",FROTA!B49)</f>
        <v/>
      </c>
      <c r="C48" s="192" t="str">
        <f>IF(B48="","",FROTA!Z49)</f>
        <v/>
      </c>
      <c r="D48" s="192" t="str">
        <f>IF(B48="","",VLOOKUP(B48,FROTA!$B$5:$C$310,2,0))</f>
        <v/>
      </c>
      <c r="E48" s="233" t="str">
        <f>IF(D48="","",VLOOKUP(D48,ESCALA!$B$3:$H$19,7,0))</f>
        <v/>
      </c>
      <c r="F48" s="219" t="s">
        <v>222</v>
      </c>
      <c r="G48" s="305" t="str">
        <f t="shared" si="16"/>
        <v/>
      </c>
      <c r="H48" s="314" t="str">
        <f>IF($B48="","",IF(H$4="NÃO",0,IF(VLOOKUP($B48,FROTA!$B$5:$R$305,17,0)=H$3,0.02,0)))</f>
        <v/>
      </c>
      <c r="I48" s="193" t="str">
        <f>IF($B48="","",IF(I$4="NÃO",0,IF(VLOOKUP($B48,FROTA!$B$5:$R$305,17,0)=I$3,0.02,0)))</f>
        <v/>
      </c>
      <c r="J48" s="193" t="str">
        <f>IF($B48="","",IF(J$4="NÃO",0,IF(VLOOKUP($B48,FROTA!$B$5:$R$305,17,0)=J$3,0.02,0)))</f>
        <v/>
      </c>
      <c r="K48" s="193" t="str">
        <f>IF($B48="","",IF(K$4="NÃO",0,IF(VLOOKUP($B48,FROTA!$B$5:$R$305,17,0)=K$3,0.02,0)))</f>
        <v/>
      </c>
      <c r="L48" s="193" t="str">
        <f>IF($B48="","",IF(L$4="NÃO",0,IF(VLOOKUP($B48,FROTA!$B$5:$R$305,17,0)=L$3,0.02,0)))</f>
        <v/>
      </c>
      <c r="M48" s="193" t="str">
        <f>IF($B48="","",IF(M$4="NÃO",0,IF(VLOOKUP($B48,FROTA!$B$5:$R$305,17,0)=M$3,0.02,0)))</f>
        <v/>
      </c>
      <c r="N48" s="193" t="str">
        <f>IF($B48="","",IF(M$4="NÃO",0,IF(VLOOKUP($B48,FROTA!$B$5:$R$305,17,0)=N$3,0.02,0)))</f>
        <v/>
      </c>
      <c r="O48" s="311" t="str">
        <f>IF($B48="","",IF(O$4="NÃO",0,IF(VLOOKUP($B48,FROTA!$B$5:$R$305,10,0)=O$3,0.01,0)))</f>
        <v/>
      </c>
      <c r="P48" s="307" t="str">
        <f>IF($B48="","",IF(P$4="NÃO",0,IF(VLOOKUP($B48,FROTA!$B$5:$R$305,10,0)=P$3,0.01,0)))</f>
        <v/>
      </c>
      <c r="Q48" s="307" t="str">
        <f>IF($B48="","",IF(Q$4="NÃO",0,IF(VLOOKUP($B48,FROTA!$B$5:$R$305,10,0)=Q$3,0.01,0)))</f>
        <v/>
      </c>
      <c r="R48" s="307" t="str">
        <f>IF($B48="","",IF(R$4="NÃO",0,IF(VLOOKUP($B48,FROTA!$B$5:$R$305,10,0)=R$3,0.01,0)))</f>
        <v/>
      </c>
      <c r="S48" s="307" t="str">
        <f>IF($B48="","",IF(S$4="NÃO",0,IF(VLOOKUP($B48,FROTA!$B$5:$R$305,10,0)=S$3,0.01,0)))</f>
        <v/>
      </c>
      <c r="T48" s="307" t="str">
        <f>IF($B48="","",IF(T$4="NÃO",0,IF(VLOOKUP($B48,FROTA!$B$5:$R$305,10,0)=T$3,0.01,0)))</f>
        <v/>
      </c>
      <c r="U48" s="307" t="str">
        <f>IF($B48="","",IF(U$4="NÃO",0,IF(VLOOKUP($B48,FROTA!$B$5:$R$305,10,0)=U$3,0.01,0)))</f>
        <v/>
      </c>
      <c r="V48" s="306" t="str">
        <f t="shared" si="17"/>
        <v/>
      </c>
      <c r="W48" s="238" t="str">
        <f t="shared" si="18"/>
        <v/>
      </c>
      <c r="X48" s="576" t="str">
        <f t="shared" si="19"/>
        <v/>
      </c>
      <c r="BA48" s="581">
        <v>44881</v>
      </c>
      <c r="BB48" s="582">
        <v>2023</v>
      </c>
    </row>
    <row r="49" spans="2:54" ht="15" customHeight="1" x14ac:dyDescent="0.2">
      <c r="B49" s="192" t="str">
        <f>IF(FROTA!B50="","",FROTA!B50)</f>
        <v/>
      </c>
      <c r="C49" s="192" t="str">
        <f>IF(B49="","",FROTA!Z50)</f>
        <v/>
      </c>
      <c r="D49" s="192" t="str">
        <f>IF(B49="","",VLOOKUP(B49,FROTA!$B$5:$C$310,2,0))</f>
        <v/>
      </c>
      <c r="E49" s="233" t="str">
        <f>IF(D49="","",VLOOKUP(D49,ESCALA!$B$3:$H$19,7,0))</f>
        <v/>
      </c>
      <c r="F49" s="219" t="s">
        <v>222</v>
      </c>
      <c r="G49" s="305" t="str">
        <f t="shared" si="16"/>
        <v/>
      </c>
      <c r="H49" s="314" t="str">
        <f>IF($B49="","",IF(H$4="NÃO",0,IF(VLOOKUP($B49,FROTA!$B$5:$R$305,17,0)=H$3,0.02,0)))</f>
        <v/>
      </c>
      <c r="I49" s="193" t="str">
        <f>IF($B49="","",IF(I$4="NÃO",0,IF(VLOOKUP($B49,FROTA!$B$5:$R$305,17,0)=I$3,0.02,0)))</f>
        <v/>
      </c>
      <c r="J49" s="193" t="str">
        <f>IF($B49="","",IF(J$4="NÃO",0,IF(VLOOKUP($B49,FROTA!$B$5:$R$305,17,0)=J$3,0.02,0)))</f>
        <v/>
      </c>
      <c r="K49" s="193" t="str">
        <f>IF($B49="","",IF(K$4="NÃO",0,IF(VLOOKUP($B49,FROTA!$B$5:$R$305,17,0)=K$3,0.02,0)))</f>
        <v/>
      </c>
      <c r="L49" s="193" t="str">
        <f>IF($B49="","",IF(L$4="NÃO",0,IF(VLOOKUP($B49,FROTA!$B$5:$R$305,17,0)=L$3,0.02,0)))</f>
        <v/>
      </c>
      <c r="M49" s="193" t="str">
        <f>IF($B49="","",IF(M$4="NÃO",0,IF(VLOOKUP($B49,FROTA!$B$5:$R$305,17,0)=M$3,0.02,0)))</f>
        <v/>
      </c>
      <c r="N49" s="193" t="str">
        <f>IF($B49="","",IF(M$4="NÃO",0,IF(VLOOKUP($B49,FROTA!$B$5:$R$305,17,0)=N$3,0.02,0)))</f>
        <v/>
      </c>
      <c r="O49" s="311" t="str">
        <f>IF($B49="","",IF(O$4="NÃO",0,IF(VLOOKUP($B49,FROTA!$B$5:$R$305,10,0)=O$3,0.01,0)))</f>
        <v/>
      </c>
      <c r="P49" s="307" t="str">
        <f>IF($B49="","",IF(P$4="NÃO",0,IF(VLOOKUP($B49,FROTA!$B$5:$R$305,10,0)=P$3,0.01,0)))</f>
        <v/>
      </c>
      <c r="Q49" s="307" t="str">
        <f>IF($B49="","",IF(Q$4="NÃO",0,IF(VLOOKUP($B49,FROTA!$B$5:$R$305,10,0)=Q$3,0.01,0)))</f>
        <v/>
      </c>
      <c r="R49" s="307" t="str">
        <f>IF($B49="","",IF(R$4="NÃO",0,IF(VLOOKUP($B49,FROTA!$B$5:$R$305,10,0)=R$3,0.01,0)))</f>
        <v/>
      </c>
      <c r="S49" s="307" t="str">
        <f>IF($B49="","",IF(S$4="NÃO",0,IF(VLOOKUP($B49,FROTA!$B$5:$R$305,10,0)=S$3,0.01,0)))</f>
        <v/>
      </c>
      <c r="T49" s="307" t="str">
        <f>IF($B49="","",IF(T$4="NÃO",0,IF(VLOOKUP($B49,FROTA!$B$5:$R$305,10,0)=T$3,0.01,0)))</f>
        <v/>
      </c>
      <c r="U49" s="307" t="str">
        <f>IF($B49="","",IF(U$4="NÃO",0,IF(VLOOKUP($B49,FROTA!$B$5:$R$305,10,0)=U$3,0.01,0)))</f>
        <v/>
      </c>
      <c r="V49" s="306" t="str">
        <f t="shared" si="17"/>
        <v/>
      </c>
      <c r="W49" s="238" t="str">
        <f t="shared" si="18"/>
        <v/>
      </c>
      <c r="X49" s="576" t="str">
        <f t="shared" si="19"/>
        <v/>
      </c>
      <c r="BA49" s="581">
        <v>44882</v>
      </c>
      <c r="BB49" s="582">
        <v>2023</v>
      </c>
    </row>
    <row r="50" spans="2:54" ht="15" customHeight="1" x14ac:dyDescent="0.2">
      <c r="B50" s="192" t="str">
        <f>IF(FROTA!B51="","",FROTA!B51)</f>
        <v/>
      </c>
      <c r="C50" s="192" t="str">
        <f>IF(B50="","",FROTA!Z51)</f>
        <v/>
      </c>
      <c r="D50" s="192" t="str">
        <f>IF(B50="","",VLOOKUP(B50,FROTA!$B$5:$C$310,2,0))</f>
        <v/>
      </c>
      <c r="E50" s="233" t="str">
        <f>IF(D50="","",VLOOKUP(D50,ESCALA!$B$3:$H$19,7,0))</f>
        <v/>
      </c>
      <c r="F50" s="219" t="s">
        <v>222</v>
      </c>
      <c r="G50" s="305" t="str">
        <f t="shared" si="16"/>
        <v/>
      </c>
      <c r="H50" s="314" t="str">
        <f>IF($B50="","",IF(H$4="NÃO",0,IF(VLOOKUP($B50,FROTA!$B$5:$R$305,17,0)=H$3,0.02,0)))</f>
        <v/>
      </c>
      <c r="I50" s="193" t="str">
        <f>IF($B50="","",IF(I$4="NÃO",0,IF(VLOOKUP($B50,FROTA!$B$5:$R$305,17,0)=I$3,0.02,0)))</f>
        <v/>
      </c>
      <c r="J50" s="193" t="str">
        <f>IF($B50="","",IF(J$4="NÃO",0,IF(VLOOKUP($B50,FROTA!$B$5:$R$305,17,0)=J$3,0.02,0)))</f>
        <v/>
      </c>
      <c r="K50" s="193" t="str">
        <f>IF($B50="","",IF(K$4="NÃO",0,IF(VLOOKUP($B50,FROTA!$B$5:$R$305,17,0)=K$3,0.02,0)))</f>
        <v/>
      </c>
      <c r="L50" s="193" t="str">
        <f>IF($B50="","",IF(L$4="NÃO",0,IF(VLOOKUP($B50,FROTA!$B$5:$R$305,17,0)=L$3,0.02,0)))</f>
        <v/>
      </c>
      <c r="M50" s="193" t="str">
        <f>IF($B50="","",IF(M$4="NÃO",0,IF(VLOOKUP($B50,FROTA!$B$5:$R$305,17,0)=M$3,0.02,0)))</f>
        <v/>
      </c>
      <c r="N50" s="193" t="str">
        <f>IF($B50="","",IF(M$4="NÃO",0,IF(VLOOKUP($B50,FROTA!$B$5:$R$305,17,0)=N$3,0.02,0)))</f>
        <v/>
      </c>
      <c r="O50" s="311" t="str">
        <f>IF($B50="","",IF(O$4="NÃO",0,IF(VLOOKUP($B50,FROTA!$B$5:$R$305,10,0)=O$3,0.01,0)))</f>
        <v/>
      </c>
      <c r="P50" s="307" t="str">
        <f>IF($B50="","",IF(P$4="NÃO",0,IF(VLOOKUP($B50,FROTA!$B$5:$R$305,10,0)=P$3,0.01,0)))</f>
        <v/>
      </c>
      <c r="Q50" s="307" t="str">
        <f>IF($B50="","",IF(Q$4="NÃO",0,IF(VLOOKUP($B50,FROTA!$B$5:$R$305,10,0)=Q$3,0.01,0)))</f>
        <v/>
      </c>
      <c r="R50" s="307" t="str">
        <f>IF($B50="","",IF(R$4="NÃO",0,IF(VLOOKUP($B50,FROTA!$B$5:$R$305,10,0)=R$3,0.01,0)))</f>
        <v/>
      </c>
      <c r="S50" s="307" t="str">
        <f>IF($B50="","",IF(S$4="NÃO",0,IF(VLOOKUP($B50,FROTA!$B$5:$R$305,10,0)=S$3,0.01,0)))</f>
        <v/>
      </c>
      <c r="T50" s="307" t="str">
        <f>IF($B50="","",IF(T$4="NÃO",0,IF(VLOOKUP($B50,FROTA!$B$5:$R$305,10,0)=T$3,0.01,0)))</f>
        <v/>
      </c>
      <c r="U50" s="307" t="str">
        <f>IF($B50="","",IF(U$4="NÃO",0,IF(VLOOKUP($B50,FROTA!$B$5:$R$305,10,0)=U$3,0.01,0)))</f>
        <v/>
      </c>
      <c r="V50" s="306" t="str">
        <f t="shared" si="17"/>
        <v/>
      </c>
      <c r="W50" s="238" t="str">
        <f t="shared" si="18"/>
        <v/>
      </c>
      <c r="X50" s="576" t="str">
        <f t="shared" si="19"/>
        <v/>
      </c>
      <c r="BA50" s="581">
        <v>44883</v>
      </c>
      <c r="BB50" s="582">
        <v>2023</v>
      </c>
    </row>
    <row r="51" spans="2:54" ht="15" customHeight="1" x14ac:dyDescent="0.2">
      <c r="B51" s="192" t="str">
        <f>IF(FROTA!B52="","",FROTA!B52)</f>
        <v/>
      </c>
      <c r="C51" s="192" t="str">
        <f>IF(B51="","",FROTA!Z52)</f>
        <v/>
      </c>
      <c r="D51" s="192" t="str">
        <f>IF(B51="","",VLOOKUP(B51,FROTA!$B$5:$C$310,2,0))</f>
        <v/>
      </c>
      <c r="E51" s="233" t="str">
        <f>IF(D51="","",VLOOKUP(D51,ESCALA!$B$3:$H$19,7,0))</f>
        <v/>
      </c>
      <c r="F51" s="219" t="s">
        <v>222</v>
      </c>
      <c r="G51" s="305" t="str">
        <f t="shared" si="16"/>
        <v/>
      </c>
      <c r="H51" s="314" t="str">
        <f>IF($B51="","",IF(H$4="NÃO",0,IF(VLOOKUP($B51,FROTA!$B$5:$R$305,17,0)=H$3,0.02,0)))</f>
        <v/>
      </c>
      <c r="I51" s="193" t="str">
        <f>IF($B51="","",IF(I$4="NÃO",0,IF(VLOOKUP($B51,FROTA!$B$5:$R$305,17,0)=I$3,0.02,0)))</f>
        <v/>
      </c>
      <c r="J51" s="193" t="str">
        <f>IF($B51="","",IF(J$4="NÃO",0,IF(VLOOKUP($B51,FROTA!$B$5:$R$305,17,0)=J$3,0.02,0)))</f>
        <v/>
      </c>
      <c r="K51" s="193" t="str">
        <f>IF($B51="","",IF(K$4="NÃO",0,IF(VLOOKUP($B51,FROTA!$B$5:$R$305,17,0)=K$3,0.02,0)))</f>
        <v/>
      </c>
      <c r="L51" s="193" t="str">
        <f>IF($B51="","",IF(L$4="NÃO",0,IF(VLOOKUP($B51,FROTA!$B$5:$R$305,17,0)=L$3,0.02,0)))</f>
        <v/>
      </c>
      <c r="M51" s="193" t="str">
        <f>IF($B51="","",IF(M$4="NÃO",0,IF(VLOOKUP($B51,FROTA!$B$5:$R$305,17,0)=M$3,0.02,0)))</f>
        <v/>
      </c>
      <c r="N51" s="193" t="str">
        <f>IF($B51="","",IF(M$4="NÃO",0,IF(VLOOKUP($B51,FROTA!$B$5:$R$305,17,0)=N$3,0.02,0)))</f>
        <v/>
      </c>
      <c r="O51" s="311" t="str">
        <f>IF($B51="","",IF(O$4="NÃO",0,IF(VLOOKUP($B51,FROTA!$B$5:$R$305,10,0)=O$3,0.01,0)))</f>
        <v/>
      </c>
      <c r="P51" s="307" t="str">
        <f>IF($B51="","",IF(P$4="NÃO",0,IF(VLOOKUP($B51,FROTA!$B$5:$R$305,10,0)=P$3,0.01,0)))</f>
        <v/>
      </c>
      <c r="Q51" s="307" t="str">
        <f>IF($B51="","",IF(Q$4="NÃO",0,IF(VLOOKUP($B51,FROTA!$B$5:$R$305,10,0)=Q$3,0.01,0)))</f>
        <v/>
      </c>
      <c r="R51" s="307" t="str">
        <f>IF($B51="","",IF(R$4="NÃO",0,IF(VLOOKUP($B51,FROTA!$B$5:$R$305,10,0)=R$3,0.01,0)))</f>
        <v/>
      </c>
      <c r="S51" s="307" t="str">
        <f>IF($B51="","",IF(S$4="NÃO",0,IF(VLOOKUP($B51,FROTA!$B$5:$R$305,10,0)=S$3,0.01,0)))</f>
        <v/>
      </c>
      <c r="T51" s="307" t="str">
        <f>IF($B51="","",IF(T$4="NÃO",0,IF(VLOOKUP($B51,FROTA!$B$5:$R$305,10,0)=T$3,0.01,0)))</f>
        <v/>
      </c>
      <c r="U51" s="307" t="str">
        <f>IF($B51="","",IF(U$4="NÃO",0,IF(VLOOKUP($B51,FROTA!$B$5:$R$305,10,0)=U$3,0.01,0)))</f>
        <v/>
      </c>
      <c r="V51" s="306" t="str">
        <f t="shared" si="17"/>
        <v/>
      </c>
      <c r="W51" s="238" t="str">
        <f t="shared" si="18"/>
        <v/>
      </c>
      <c r="X51" s="576" t="str">
        <f t="shared" si="19"/>
        <v/>
      </c>
      <c r="BA51" s="581">
        <v>44884</v>
      </c>
      <c r="BB51" s="582">
        <v>2023</v>
      </c>
    </row>
    <row r="52" spans="2:54" ht="15" customHeight="1" x14ac:dyDescent="0.2">
      <c r="B52" s="192" t="str">
        <f>IF(FROTA!B53="","",FROTA!B53)</f>
        <v/>
      </c>
      <c r="C52" s="192" t="str">
        <f>IF(B52="","",FROTA!Z53)</f>
        <v/>
      </c>
      <c r="D52" s="192" t="str">
        <f>IF(B52="","",VLOOKUP(B52,FROTA!$B$5:$C$310,2,0))</f>
        <v/>
      </c>
      <c r="E52" s="233" t="str">
        <f>IF(D52="","",VLOOKUP(D52,ESCALA!$B$3:$H$19,7,0))</f>
        <v/>
      </c>
      <c r="F52" s="219" t="s">
        <v>222</v>
      </c>
      <c r="G52" s="305" t="str">
        <f t="shared" si="16"/>
        <v/>
      </c>
      <c r="H52" s="314" t="str">
        <f>IF($B52="","",IF(H$4="NÃO",0,IF(VLOOKUP($B52,FROTA!$B$5:$R$305,17,0)=H$3,0.02,0)))</f>
        <v/>
      </c>
      <c r="I52" s="193" t="str">
        <f>IF($B52="","",IF(I$4="NÃO",0,IF(VLOOKUP($B52,FROTA!$B$5:$R$305,17,0)=I$3,0.02,0)))</f>
        <v/>
      </c>
      <c r="J52" s="193" t="str">
        <f>IF($B52="","",IF(J$4="NÃO",0,IF(VLOOKUP($B52,FROTA!$B$5:$R$305,17,0)=J$3,0.02,0)))</f>
        <v/>
      </c>
      <c r="K52" s="193" t="str">
        <f>IF($B52="","",IF(K$4="NÃO",0,IF(VLOOKUP($B52,FROTA!$B$5:$R$305,17,0)=K$3,0.02,0)))</f>
        <v/>
      </c>
      <c r="L52" s="193" t="str">
        <f>IF($B52="","",IF(L$4="NÃO",0,IF(VLOOKUP($B52,FROTA!$B$5:$R$305,17,0)=L$3,0.02,0)))</f>
        <v/>
      </c>
      <c r="M52" s="193" t="str">
        <f>IF($B52="","",IF(M$4="NÃO",0,IF(VLOOKUP($B52,FROTA!$B$5:$R$305,17,0)=M$3,0.02,0)))</f>
        <v/>
      </c>
      <c r="N52" s="193" t="str">
        <f>IF($B52="","",IF(M$4="NÃO",0,IF(VLOOKUP($B52,FROTA!$B$5:$R$305,17,0)=N$3,0.02,0)))</f>
        <v/>
      </c>
      <c r="O52" s="311" t="str">
        <f>IF($B52="","",IF(O$4="NÃO",0,IF(VLOOKUP($B52,FROTA!$B$5:$R$305,10,0)=O$3,0.01,0)))</f>
        <v/>
      </c>
      <c r="P52" s="307" t="str">
        <f>IF($B52="","",IF(P$4="NÃO",0,IF(VLOOKUP($B52,FROTA!$B$5:$R$305,10,0)=P$3,0.01,0)))</f>
        <v/>
      </c>
      <c r="Q52" s="307" t="str">
        <f>IF($B52="","",IF(Q$4="NÃO",0,IF(VLOOKUP($B52,FROTA!$B$5:$R$305,10,0)=Q$3,0.01,0)))</f>
        <v/>
      </c>
      <c r="R52" s="307" t="str">
        <f>IF($B52="","",IF(R$4="NÃO",0,IF(VLOOKUP($B52,FROTA!$B$5:$R$305,10,0)=R$3,0.01,0)))</f>
        <v/>
      </c>
      <c r="S52" s="307" t="str">
        <f>IF($B52="","",IF(S$4="NÃO",0,IF(VLOOKUP($B52,FROTA!$B$5:$R$305,10,0)=S$3,0.01,0)))</f>
        <v/>
      </c>
      <c r="T52" s="307" t="str">
        <f>IF($B52="","",IF(T$4="NÃO",0,IF(VLOOKUP($B52,FROTA!$B$5:$R$305,10,0)=T$3,0.01,0)))</f>
        <v/>
      </c>
      <c r="U52" s="307" t="str">
        <f>IF($B52="","",IF(U$4="NÃO",0,IF(VLOOKUP($B52,FROTA!$B$5:$R$305,10,0)=U$3,0.01,0)))</f>
        <v/>
      </c>
      <c r="V52" s="306" t="str">
        <f t="shared" si="17"/>
        <v/>
      </c>
      <c r="W52" s="238" t="str">
        <f t="shared" si="18"/>
        <v/>
      </c>
      <c r="X52" s="576" t="str">
        <f t="shared" si="19"/>
        <v/>
      </c>
      <c r="BA52" s="581">
        <v>44885</v>
      </c>
      <c r="BB52" s="582">
        <v>2023</v>
      </c>
    </row>
    <row r="53" spans="2:54" ht="15" customHeight="1" x14ac:dyDescent="0.2">
      <c r="B53" s="192" t="str">
        <f>IF(FROTA!B54="","",FROTA!B54)</f>
        <v/>
      </c>
      <c r="C53" s="192" t="str">
        <f>IF(B53="","",FROTA!Z54)</f>
        <v/>
      </c>
      <c r="D53" s="192" t="str">
        <f>IF(B53="","",VLOOKUP(B53,FROTA!$B$5:$C$310,2,0))</f>
        <v/>
      </c>
      <c r="E53" s="233" t="str">
        <f>IF(D53="","",VLOOKUP(D53,ESCALA!$B$3:$H$19,7,0))</f>
        <v/>
      </c>
      <c r="F53" s="219" t="s">
        <v>222</v>
      </c>
      <c r="G53" s="305" t="str">
        <f t="shared" si="16"/>
        <v/>
      </c>
      <c r="H53" s="314" t="str">
        <f>IF($B53="","",IF(H$4="NÃO",0,IF(VLOOKUP($B53,FROTA!$B$5:$R$305,17,0)=H$3,0.02,0)))</f>
        <v/>
      </c>
      <c r="I53" s="193" t="str">
        <f>IF($B53="","",IF(I$4="NÃO",0,IF(VLOOKUP($B53,FROTA!$B$5:$R$305,17,0)=I$3,0.02,0)))</f>
        <v/>
      </c>
      <c r="J53" s="193" t="str">
        <f>IF($B53="","",IF(J$4="NÃO",0,IF(VLOOKUP($B53,FROTA!$B$5:$R$305,17,0)=J$3,0.02,0)))</f>
        <v/>
      </c>
      <c r="K53" s="193" t="str">
        <f>IF($B53="","",IF(K$4="NÃO",0,IF(VLOOKUP($B53,FROTA!$B$5:$R$305,17,0)=K$3,0.02,0)))</f>
        <v/>
      </c>
      <c r="L53" s="193" t="str">
        <f>IF($B53="","",IF(L$4="NÃO",0,IF(VLOOKUP($B53,FROTA!$B$5:$R$305,17,0)=L$3,0.02,0)))</f>
        <v/>
      </c>
      <c r="M53" s="193" t="str">
        <f>IF($B53="","",IF(M$4="NÃO",0,IF(VLOOKUP($B53,FROTA!$B$5:$R$305,17,0)=M$3,0.02,0)))</f>
        <v/>
      </c>
      <c r="N53" s="193" t="str">
        <f>IF($B53="","",IF(M$4="NÃO",0,IF(VLOOKUP($B53,FROTA!$B$5:$R$305,17,0)=N$3,0.02,0)))</f>
        <v/>
      </c>
      <c r="O53" s="311" t="str">
        <f>IF($B53="","",IF(O$4="NÃO",0,IF(VLOOKUP($B53,FROTA!$B$5:$R$305,10,0)=O$3,0.01,0)))</f>
        <v/>
      </c>
      <c r="P53" s="307" t="str">
        <f>IF($B53="","",IF(P$4="NÃO",0,IF(VLOOKUP($B53,FROTA!$B$5:$R$305,10,0)=P$3,0.01,0)))</f>
        <v/>
      </c>
      <c r="Q53" s="307" t="str">
        <f>IF($B53="","",IF(Q$4="NÃO",0,IF(VLOOKUP($B53,FROTA!$B$5:$R$305,10,0)=Q$3,0.01,0)))</f>
        <v/>
      </c>
      <c r="R53" s="307" t="str">
        <f>IF($B53="","",IF(R$4="NÃO",0,IF(VLOOKUP($B53,FROTA!$B$5:$R$305,10,0)=R$3,0.01,0)))</f>
        <v/>
      </c>
      <c r="S53" s="307" t="str">
        <f>IF($B53="","",IF(S$4="NÃO",0,IF(VLOOKUP($B53,FROTA!$B$5:$R$305,10,0)=S$3,0.01,0)))</f>
        <v/>
      </c>
      <c r="T53" s="307" t="str">
        <f>IF($B53="","",IF(T$4="NÃO",0,IF(VLOOKUP($B53,FROTA!$B$5:$R$305,10,0)=T$3,0.01,0)))</f>
        <v/>
      </c>
      <c r="U53" s="307" t="str">
        <f>IF($B53="","",IF(U$4="NÃO",0,IF(VLOOKUP($B53,FROTA!$B$5:$R$305,10,0)=U$3,0.01,0)))</f>
        <v/>
      </c>
      <c r="V53" s="306" t="str">
        <f t="shared" si="17"/>
        <v/>
      </c>
      <c r="W53" s="238" t="str">
        <f t="shared" si="18"/>
        <v/>
      </c>
      <c r="X53" s="576" t="str">
        <f t="shared" si="19"/>
        <v/>
      </c>
      <c r="BA53" s="581">
        <v>44886</v>
      </c>
      <c r="BB53" s="582">
        <v>2023</v>
      </c>
    </row>
    <row r="54" spans="2:54" ht="15" customHeight="1" x14ac:dyDescent="0.2">
      <c r="B54" s="192" t="str">
        <f>IF(FROTA!B55="","",FROTA!B55)</f>
        <v/>
      </c>
      <c r="C54" s="192" t="str">
        <f>IF(B54="","",FROTA!Z55)</f>
        <v/>
      </c>
      <c r="D54" s="192" t="str">
        <f>IF(B54="","",VLOOKUP(B54,FROTA!$B$5:$C$310,2,0))</f>
        <v/>
      </c>
      <c r="E54" s="233" t="str">
        <f>IF(D54="","",VLOOKUP(D54,ESCALA!$B$3:$H$19,7,0))</f>
        <v/>
      </c>
      <c r="F54" s="219" t="s">
        <v>222</v>
      </c>
      <c r="G54" s="305" t="str">
        <f t="shared" si="16"/>
        <v/>
      </c>
      <c r="H54" s="314" t="str">
        <f>IF($B54="","",IF(H$4="NÃO",0,IF(VLOOKUP($B54,FROTA!$B$5:$R$305,17,0)=H$3,0.02,0)))</f>
        <v/>
      </c>
      <c r="I54" s="193" t="str">
        <f>IF($B54="","",IF(I$4="NÃO",0,IF(VLOOKUP($B54,FROTA!$B$5:$R$305,17,0)=I$3,0.02,0)))</f>
        <v/>
      </c>
      <c r="J54" s="193" t="str">
        <f>IF($B54="","",IF(J$4="NÃO",0,IF(VLOOKUP($B54,FROTA!$B$5:$R$305,17,0)=J$3,0.02,0)))</f>
        <v/>
      </c>
      <c r="K54" s="193" t="str">
        <f>IF($B54="","",IF(K$4="NÃO",0,IF(VLOOKUP($B54,FROTA!$B$5:$R$305,17,0)=K$3,0.02,0)))</f>
        <v/>
      </c>
      <c r="L54" s="193" t="str">
        <f>IF($B54="","",IF(L$4="NÃO",0,IF(VLOOKUP($B54,FROTA!$B$5:$R$305,17,0)=L$3,0.02,0)))</f>
        <v/>
      </c>
      <c r="M54" s="193" t="str">
        <f>IF($B54="","",IF(M$4="NÃO",0,IF(VLOOKUP($B54,FROTA!$B$5:$R$305,17,0)=M$3,0.02,0)))</f>
        <v/>
      </c>
      <c r="N54" s="193" t="str">
        <f>IF($B54="","",IF(M$4="NÃO",0,IF(VLOOKUP($B54,FROTA!$B$5:$R$305,17,0)=N$3,0.02,0)))</f>
        <v/>
      </c>
      <c r="O54" s="311" t="str">
        <f>IF($B54="","",IF(O$4="NÃO",0,IF(VLOOKUP($B54,FROTA!$B$5:$R$305,10,0)=O$3,0.01,0)))</f>
        <v/>
      </c>
      <c r="P54" s="307" t="str">
        <f>IF($B54="","",IF(P$4="NÃO",0,IF(VLOOKUP($B54,FROTA!$B$5:$R$305,10,0)=P$3,0.01,0)))</f>
        <v/>
      </c>
      <c r="Q54" s="307" t="str">
        <f>IF($B54="","",IF(Q$4="NÃO",0,IF(VLOOKUP($B54,FROTA!$B$5:$R$305,10,0)=Q$3,0.01,0)))</f>
        <v/>
      </c>
      <c r="R54" s="307" t="str">
        <f>IF($B54="","",IF(R$4="NÃO",0,IF(VLOOKUP($B54,FROTA!$B$5:$R$305,10,0)=R$3,0.01,0)))</f>
        <v/>
      </c>
      <c r="S54" s="307" t="str">
        <f>IF($B54="","",IF(S$4="NÃO",0,IF(VLOOKUP($B54,FROTA!$B$5:$R$305,10,0)=S$3,0.01,0)))</f>
        <v/>
      </c>
      <c r="T54" s="307" t="str">
        <f>IF($B54="","",IF(T$4="NÃO",0,IF(VLOOKUP($B54,FROTA!$B$5:$R$305,10,0)=T$3,0.01,0)))</f>
        <v/>
      </c>
      <c r="U54" s="307" t="str">
        <f>IF($B54="","",IF(U$4="NÃO",0,IF(VLOOKUP($B54,FROTA!$B$5:$R$305,10,0)=U$3,0.01,0)))</f>
        <v/>
      </c>
      <c r="V54" s="306" t="str">
        <f t="shared" si="17"/>
        <v/>
      </c>
      <c r="W54" s="238" t="str">
        <f t="shared" si="18"/>
        <v/>
      </c>
      <c r="X54" s="576" t="str">
        <f t="shared" si="19"/>
        <v/>
      </c>
      <c r="BA54" s="581">
        <v>44887</v>
      </c>
      <c r="BB54" s="582">
        <v>2023</v>
      </c>
    </row>
    <row r="55" spans="2:54" ht="15" customHeight="1" x14ac:dyDescent="0.2">
      <c r="B55" s="192" t="str">
        <f>IF(FROTA!B56="","",FROTA!B56)</f>
        <v/>
      </c>
      <c r="C55" s="192" t="str">
        <f>IF(B55="","",FROTA!Z56)</f>
        <v/>
      </c>
      <c r="D55" s="192" t="str">
        <f>IF(B55="","",VLOOKUP(B55,FROTA!$B$5:$C$310,2,0))</f>
        <v/>
      </c>
      <c r="E55" s="233" t="str">
        <f>IF(D55="","",VLOOKUP(D55,ESCALA!$B$3:$H$19,7,0))</f>
        <v/>
      </c>
      <c r="F55" s="219" t="s">
        <v>222</v>
      </c>
      <c r="G55" s="305" t="str">
        <f t="shared" si="16"/>
        <v/>
      </c>
      <c r="H55" s="314" t="str">
        <f>IF($B55="","",IF(H$4="NÃO",0,IF(VLOOKUP($B55,FROTA!$B$5:$R$305,17,0)=H$3,0.02,0)))</f>
        <v/>
      </c>
      <c r="I55" s="193" t="str">
        <f>IF($B55="","",IF(I$4="NÃO",0,IF(VLOOKUP($B55,FROTA!$B$5:$R$305,17,0)=I$3,0.02,0)))</f>
        <v/>
      </c>
      <c r="J55" s="193" t="str">
        <f>IF($B55="","",IF(J$4="NÃO",0,IF(VLOOKUP($B55,FROTA!$B$5:$R$305,17,0)=J$3,0.02,0)))</f>
        <v/>
      </c>
      <c r="K55" s="193" t="str">
        <f>IF($B55="","",IF(K$4="NÃO",0,IF(VLOOKUP($B55,FROTA!$B$5:$R$305,17,0)=K$3,0.02,0)))</f>
        <v/>
      </c>
      <c r="L55" s="193" t="str">
        <f>IF($B55="","",IF(L$4="NÃO",0,IF(VLOOKUP($B55,FROTA!$B$5:$R$305,17,0)=L$3,0.02,0)))</f>
        <v/>
      </c>
      <c r="M55" s="193" t="str">
        <f>IF($B55="","",IF(M$4="NÃO",0,IF(VLOOKUP($B55,FROTA!$B$5:$R$305,17,0)=M$3,0.02,0)))</f>
        <v/>
      </c>
      <c r="N55" s="193" t="str">
        <f>IF($B55="","",IF(M$4="NÃO",0,IF(VLOOKUP($B55,FROTA!$B$5:$R$305,17,0)=N$3,0.02,0)))</f>
        <v/>
      </c>
      <c r="O55" s="311" t="str">
        <f>IF($B55="","",IF(O$4="NÃO",0,IF(VLOOKUP($B55,FROTA!$B$5:$R$305,10,0)=O$3,0.01,0)))</f>
        <v/>
      </c>
      <c r="P55" s="307" t="str">
        <f>IF($B55="","",IF(P$4="NÃO",0,IF(VLOOKUP($B55,FROTA!$B$5:$R$305,10,0)=P$3,0.01,0)))</f>
        <v/>
      </c>
      <c r="Q55" s="307" t="str">
        <f>IF($B55="","",IF(Q$4="NÃO",0,IF(VLOOKUP($B55,FROTA!$B$5:$R$305,10,0)=Q$3,0.01,0)))</f>
        <v/>
      </c>
      <c r="R55" s="307" t="str">
        <f>IF($B55="","",IF(R$4="NÃO",0,IF(VLOOKUP($B55,FROTA!$B$5:$R$305,10,0)=R$3,0.01,0)))</f>
        <v/>
      </c>
      <c r="S55" s="307" t="str">
        <f>IF($B55="","",IF(S$4="NÃO",0,IF(VLOOKUP($B55,FROTA!$B$5:$R$305,10,0)=S$3,0.01,0)))</f>
        <v/>
      </c>
      <c r="T55" s="307" t="str">
        <f>IF($B55="","",IF(T$4="NÃO",0,IF(VLOOKUP($B55,FROTA!$B$5:$R$305,10,0)=T$3,0.01,0)))</f>
        <v/>
      </c>
      <c r="U55" s="307" t="str">
        <f>IF($B55="","",IF(U$4="NÃO",0,IF(VLOOKUP($B55,FROTA!$B$5:$R$305,10,0)=U$3,0.01,0)))</f>
        <v/>
      </c>
      <c r="V55" s="306" t="str">
        <f t="shared" si="17"/>
        <v/>
      </c>
      <c r="W55" s="238" t="str">
        <f t="shared" si="18"/>
        <v/>
      </c>
      <c r="X55" s="576" t="str">
        <f t="shared" si="19"/>
        <v/>
      </c>
      <c r="BA55" s="581">
        <v>44888</v>
      </c>
      <c r="BB55" s="582">
        <v>2023</v>
      </c>
    </row>
    <row r="56" spans="2:54" ht="15" customHeight="1" x14ac:dyDescent="0.2">
      <c r="B56" s="192" t="str">
        <f>IF(FROTA!B57="","",FROTA!B57)</f>
        <v/>
      </c>
      <c r="C56" s="192" t="str">
        <f>IF(B56="","",FROTA!Z57)</f>
        <v/>
      </c>
      <c r="D56" s="192" t="str">
        <f>IF(B56="","",VLOOKUP(B56,FROTA!$B$5:$C$310,2,0))</f>
        <v/>
      </c>
      <c r="E56" s="233" t="str">
        <f>IF(D56="","",VLOOKUP(D56,ESCALA!$B$3:$H$19,7,0))</f>
        <v/>
      </c>
      <c r="F56" s="219" t="s">
        <v>222</v>
      </c>
      <c r="G56" s="305" t="str">
        <f t="shared" si="16"/>
        <v/>
      </c>
      <c r="H56" s="314" t="str">
        <f>IF($B56="","",IF(H$4="NÃO",0,IF(VLOOKUP($B56,FROTA!$B$5:$R$305,17,0)=H$3,0.02,0)))</f>
        <v/>
      </c>
      <c r="I56" s="193" t="str">
        <f>IF($B56="","",IF(I$4="NÃO",0,IF(VLOOKUP($B56,FROTA!$B$5:$R$305,17,0)=I$3,0.02,0)))</f>
        <v/>
      </c>
      <c r="J56" s="193" t="str">
        <f>IF($B56="","",IF(J$4="NÃO",0,IF(VLOOKUP($B56,FROTA!$B$5:$R$305,17,0)=J$3,0.02,0)))</f>
        <v/>
      </c>
      <c r="K56" s="193" t="str">
        <f>IF($B56="","",IF(K$4="NÃO",0,IF(VLOOKUP($B56,FROTA!$B$5:$R$305,17,0)=K$3,0.02,0)))</f>
        <v/>
      </c>
      <c r="L56" s="193" t="str">
        <f>IF($B56="","",IF(L$4="NÃO",0,IF(VLOOKUP($B56,FROTA!$B$5:$R$305,17,0)=L$3,0.02,0)))</f>
        <v/>
      </c>
      <c r="M56" s="193" t="str">
        <f>IF($B56="","",IF(M$4="NÃO",0,IF(VLOOKUP($B56,FROTA!$B$5:$R$305,17,0)=M$3,0.02,0)))</f>
        <v/>
      </c>
      <c r="N56" s="193" t="str">
        <f>IF($B56="","",IF(M$4="NÃO",0,IF(VLOOKUP($B56,FROTA!$B$5:$R$305,17,0)=N$3,0.02,0)))</f>
        <v/>
      </c>
      <c r="O56" s="311" t="str">
        <f>IF($B56="","",IF(O$4="NÃO",0,IF(VLOOKUP($B56,FROTA!$B$5:$R$305,10,0)=O$3,0.01,0)))</f>
        <v/>
      </c>
      <c r="P56" s="307" t="str">
        <f>IF($B56="","",IF(P$4="NÃO",0,IF(VLOOKUP($B56,FROTA!$B$5:$R$305,10,0)=P$3,0.01,0)))</f>
        <v/>
      </c>
      <c r="Q56" s="307" t="str">
        <f>IF($B56="","",IF(Q$4="NÃO",0,IF(VLOOKUP($B56,FROTA!$B$5:$R$305,10,0)=Q$3,0.01,0)))</f>
        <v/>
      </c>
      <c r="R56" s="307" t="str">
        <f>IF($B56="","",IF(R$4="NÃO",0,IF(VLOOKUP($B56,FROTA!$B$5:$R$305,10,0)=R$3,0.01,0)))</f>
        <v/>
      </c>
      <c r="S56" s="307" t="str">
        <f>IF($B56="","",IF(S$4="NÃO",0,IF(VLOOKUP($B56,FROTA!$B$5:$R$305,10,0)=S$3,0.01,0)))</f>
        <v/>
      </c>
      <c r="T56" s="307" t="str">
        <f>IF($B56="","",IF(T$4="NÃO",0,IF(VLOOKUP($B56,FROTA!$B$5:$R$305,10,0)=T$3,0.01,0)))</f>
        <v/>
      </c>
      <c r="U56" s="307" t="str">
        <f>IF($B56="","",IF(U$4="NÃO",0,IF(VLOOKUP($B56,FROTA!$B$5:$R$305,10,0)=U$3,0.01,0)))</f>
        <v/>
      </c>
      <c r="V56" s="306" t="str">
        <f t="shared" si="17"/>
        <v/>
      </c>
      <c r="W56" s="238" t="str">
        <f t="shared" si="18"/>
        <v/>
      </c>
      <c r="X56" s="576" t="str">
        <f t="shared" si="19"/>
        <v/>
      </c>
      <c r="BA56" s="581">
        <v>44889</v>
      </c>
      <c r="BB56" s="582">
        <v>2023</v>
      </c>
    </row>
    <row r="57" spans="2:54" ht="15" customHeight="1" x14ac:dyDescent="0.2">
      <c r="B57" s="192" t="str">
        <f>IF(FROTA!B58="","",FROTA!B58)</f>
        <v/>
      </c>
      <c r="C57" s="192" t="str">
        <f>IF(B57="","",FROTA!Z58)</f>
        <v/>
      </c>
      <c r="D57" s="192" t="str">
        <f>IF(B57="","",VLOOKUP(B57,FROTA!$B$5:$C$310,2,0))</f>
        <v/>
      </c>
      <c r="E57" s="233" t="str">
        <f>IF(D57="","",VLOOKUP(D57,ESCALA!$B$3:$H$19,7,0))</f>
        <v/>
      </c>
      <c r="F57" s="219" t="s">
        <v>222</v>
      </c>
      <c r="G57" s="305" t="str">
        <f t="shared" si="16"/>
        <v/>
      </c>
      <c r="H57" s="314" t="str">
        <f>IF($B57="","",IF(H$4="NÃO",0,IF(VLOOKUP($B57,FROTA!$B$5:$R$305,17,0)=H$3,0.02,0)))</f>
        <v/>
      </c>
      <c r="I57" s="193" t="str">
        <f>IF($B57="","",IF(I$4="NÃO",0,IF(VLOOKUP($B57,FROTA!$B$5:$R$305,17,0)=I$3,0.02,0)))</f>
        <v/>
      </c>
      <c r="J57" s="193" t="str">
        <f>IF($B57="","",IF(J$4="NÃO",0,IF(VLOOKUP($B57,FROTA!$B$5:$R$305,17,0)=J$3,0.02,0)))</f>
        <v/>
      </c>
      <c r="K57" s="193" t="str">
        <f>IF($B57="","",IF(K$4="NÃO",0,IF(VLOOKUP($B57,FROTA!$B$5:$R$305,17,0)=K$3,0.02,0)))</f>
        <v/>
      </c>
      <c r="L57" s="193" t="str">
        <f>IF($B57="","",IF(L$4="NÃO",0,IF(VLOOKUP($B57,FROTA!$B$5:$R$305,17,0)=L$3,0.02,0)))</f>
        <v/>
      </c>
      <c r="M57" s="193" t="str">
        <f>IF($B57="","",IF(M$4="NÃO",0,IF(VLOOKUP($B57,FROTA!$B$5:$R$305,17,0)=M$3,0.02,0)))</f>
        <v/>
      </c>
      <c r="N57" s="193" t="str">
        <f>IF($B57="","",IF(M$4="NÃO",0,IF(VLOOKUP($B57,FROTA!$B$5:$R$305,17,0)=N$3,0.02,0)))</f>
        <v/>
      </c>
      <c r="O57" s="311" t="str">
        <f>IF($B57="","",IF(O$4="NÃO",0,IF(VLOOKUP($B57,FROTA!$B$5:$R$305,10,0)=O$3,0.01,0)))</f>
        <v/>
      </c>
      <c r="P57" s="307" t="str">
        <f>IF($B57="","",IF(P$4="NÃO",0,IF(VLOOKUP($B57,FROTA!$B$5:$R$305,10,0)=P$3,0.01,0)))</f>
        <v/>
      </c>
      <c r="Q57" s="307" t="str">
        <f>IF($B57="","",IF(Q$4="NÃO",0,IF(VLOOKUP($B57,FROTA!$B$5:$R$305,10,0)=Q$3,0.01,0)))</f>
        <v/>
      </c>
      <c r="R57" s="307" t="str">
        <f>IF($B57="","",IF(R$4="NÃO",0,IF(VLOOKUP($B57,FROTA!$B$5:$R$305,10,0)=R$3,0.01,0)))</f>
        <v/>
      </c>
      <c r="S57" s="307" t="str">
        <f>IF($B57="","",IF(S$4="NÃO",0,IF(VLOOKUP($B57,FROTA!$B$5:$R$305,10,0)=S$3,0.01,0)))</f>
        <v/>
      </c>
      <c r="T57" s="307" t="str">
        <f>IF($B57="","",IF(T$4="NÃO",0,IF(VLOOKUP($B57,FROTA!$B$5:$R$305,10,0)=T$3,0.01,0)))</f>
        <v/>
      </c>
      <c r="U57" s="307" t="str">
        <f>IF($B57="","",IF(U$4="NÃO",0,IF(VLOOKUP($B57,FROTA!$B$5:$R$305,10,0)=U$3,0.01,0)))</f>
        <v/>
      </c>
      <c r="V57" s="306" t="str">
        <f t="shared" si="17"/>
        <v/>
      </c>
      <c r="W57" s="238" t="str">
        <f t="shared" si="18"/>
        <v/>
      </c>
      <c r="X57" s="576" t="str">
        <f t="shared" si="19"/>
        <v/>
      </c>
      <c r="BA57" s="581">
        <v>44890</v>
      </c>
      <c r="BB57" s="582">
        <v>2023</v>
      </c>
    </row>
    <row r="58" spans="2:54" ht="15" customHeight="1" x14ac:dyDescent="0.2">
      <c r="B58" s="192" t="str">
        <f>IF(FROTA!B59="","",FROTA!B59)</f>
        <v/>
      </c>
      <c r="C58" s="192" t="str">
        <f>IF(B58="","",FROTA!Z59)</f>
        <v/>
      </c>
      <c r="D58" s="192" t="str">
        <f>IF(B58="","",VLOOKUP(B58,FROTA!$B$5:$C$310,2,0))</f>
        <v/>
      </c>
      <c r="E58" s="233" t="str">
        <f>IF(D58="","",VLOOKUP(D58,ESCALA!$B$3:$H$19,7,0))</f>
        <v/>
      </c>
      <c r="F58" s="219" t="s">
        <v>222</v>
      </c>
      <c r="G58" s="305" t="str">
        <f t="shared" si="16"/>
        <v/>
      </c>
      <c r="H58" s="314" t="str">
        <f>IF($B58="","",IF(H$4="NÃO",0,IF(VLOOKUP($B58,FROTA!$B$5:$R$305,17,0)=H$3,0.02,0)))</f>
        <v/>
      </c>
      <c r="I58" s="193" t="str">
        <f>IF($B58="","",IF(I$4="NÃO",0,IF(VLOOKUP($B58,FROTA!$B$5:$R$305,17,0)=I$3,0.02,0)))</f>
        <v/>
      </c>
      <c r="J58" s="193" t="str">
        <f>IF($B58="","",IF(J$4="NÃO",0,IF(VLOOKUP($B58,FROTA!$B$5:$R$305,17,0)=J$3,0.02,0)))</f>
        <v/>
      </c>
      <c r="K58" s="193" t="str">
        <f>IF($B58="","",IF(K$4="NÃO",0,IF(VLOOKUP($B58,FROTA!$B$5:$R$305,17,0)=K$3,0.02,0)))</f>
        <v/>
      </c>
      <c r="L58" s="193" t="str">
        <f>IF($B58="","",IF(L$4="NÃO",0,IF(VLOOKUP($B58,FROTA!$B$5:$R$305,17,0)=L$3,0.02,0)))</f>
        <v/>
      </c>
      <c r="M58" s="193" t="str">
        <f>IF($B58="","",IF(M$4="NÃO",0,IF(VLOOKUP($B58,FROTA!$B$5:$R$305,17,0)=M$3,0.02,0)))</f>
        <v/>
      </c>
      <c r="N58" s="193" t="str">
        <f>IF($B58="","",IF(M$4="NÃO",0,IF(VLOOKUP($B58,FROTA!$B$5:$R$305,17,0)=N$3,0.02,0)))</f>
        <v/>
      </c>
      <c r="O58" s="311" t="str">
        <f>IF($B58="","",IF(O$4="NÃO",0,IF(VLOOKUP($B58,FROTA!$B$5:$R$305,10,0)=O$3,0.01,0)))</f>
        <v/>
      </c>
      <c r="P58" s="307" t="str">
        <f>IF($B58="","",IF(P$4="NÃO",0,IF(VLOOKUP($B58,FROTA!$B$5:$R$305,10,0)=P$3,0.01,0)))</f>
        <v/>
      </c>
      <c r="Q58" s="307" t="str">
        <f>IF($B58="","",IF(Q$4="NÃO",0,IF(VLOOKUP($B58,FROTA!$B$5:$R$305,10,0)=Q$3,0.01,0)))</f>
        <v/>
      </c>
      <c r="R58" s="307" t="str">
        <f>IF($B58="","",IF(R$4="NÃO",0,IF(VLOOKUP($B58,FROTA!$B$5:$R$305,10,0)=R$3,0.01,0)))</f>
        <v/>
      </c>
      <c r="S58" s="307" t="str">
        <f>IF($B58="","",IF(S$4="NÃO",0,IF(VLOOKUP($B58,FROTA!$B$5:$R$305,10,0)=S$3,0.01,0)))</f>
        <v/>
      </c>
      <c r="T58" s="307" t="str">
        <f>IF($B58="","",IF(T$4="NÃO",0,IF(VLOOKUP($B58,FROTA!$B$5:$R$305,10,0)=T$3,0.01,0)))</f>
        <v/>
      </c>
      <c r="U58" s="307" t="str">
        <f>IF($B58="","",IF(U$4="NÃO",0,IF(VLOOKUP($B58,FROTA!$B$5:$R$305,10,0)=U$3,0.01,0)))</f>
        <v/>
      </c>
      <c r="V58" s="306" t="str">
        <f t="shared" si="17"/>
        <v/>
      </c>
      <c r="W58" s="238" t="str">
        <f t="shared" si="18"/>
        <v/>
      </c>
      <c r="X58" s="576" t="str">
        <f t="shared" si="19"/>
        <v/>
      </c>
      <c r="BA58" s="581">
        <v>44891</v>
      </c>
      <c r="BB58" s="582">
        <v>2023</v>
      </c>
    </row>
    <row r="59" spans="2:54" ht="15" customHeight="1" x14ac:dyDescent="0.2">
      <c r="B59" s="192" t="str">
        <f>IF(FROTA!B60="","",FROTA!B60)</f>
        <v/>
      </c>
      <c r="C59" s="192" t="str">
        <f>IF(B59="","",FROTA!Z60)</f>
        <v/>
      </c>
      <c r="D59" s="192" t="str">
        <f>IF(B59="","",VLOOKUP(B59,FROTA!$B$5:$C$310,2,0))</f>
        <v/>
      </c>
      <c r="E59" s="233" t="str">
        <f>IF(D59="","",VLOOKUP(D59,ESCALA!$B$3:$H$19,7,0))</f>
        <v/>
      </c>
      <c r="F59" s="219" t="s">
        <v>222</v>
      </c>
      <c r="G59" s="305" t="str">
        <f t="shared" si="16"/>
        <v/>
      </c>
      <c r="H59" s="314" t="str">
        <f>IF($B59="","",IF(H$4="NÃO",0,IF(VLOOKUP($B59,FROTA!$B$5:$R$305,17,0)=H$3,0.02,0)))</f>
        <v/>
      </c>
      <c r="I59" s="193" t="str">
        <f>IF($B59="","",IF(I$4="NÃO",0,IF(VLOOKUP($B59,FROTA!$B$5:$R$305,17,0)=I$3,0.02,0)))</f>
        <v/>
      </c>
      <c r="J59" s="193" t="str">
        <f>IF($B59="","",IF(J$4="NÃO",0,IF(VLOOKUP($B59,FROTA!$B$5:$R$305,17,0)=J$3,0.02,0)))</f>
        <v/>
      </c>
      <c r="K59" s="193" t="str">
        <f>IF($B59="","",IF(K$4="NÃO",0,IF(VLOOKUP($B59,FROTA!$B$5:$R$305,17,0)=K$3,0.02,0)))</f>
        <v/>
      </c>
      <c r="L59" s="193" t="str">
        <f>IF($B59="","",IF(L$4="NÃO",0,IF(VLOOKUP($B59,FROTA!$B$5:$R$305,17,0)=L$3,0.02,0)))</f>
        <v/>
      </c>
      <c r="M59" s="193" t="str">
        <f>IF($B59="","",IF(M$4="NÃO",0,IF(VLOOKUP($B59,FROTA!$B$5:$R$305,17,0)=M$3,0.02,0)))</f>
        <v/>
      </c>
      <c r="N59" s="193" t="str">
        <f>IF($B59="","",IF(M$4="NÃO",0,IF(VLOOKUP($B59,FROTA!$B$5:$R$305,17,0)=N$3,0.02,0)))</f>
        <v/>
      </c>
      <c r="O59" s="311" t="str">
        <f>IF($B59="","",IF(O$4="NÃO",0,IF(VLOOKUP($B59,FROTA!$B$5:$R$305,10,0)=O$3,0.01,0)))</f>
        <v/>
      </c>
      <c r="P59" s="307" t="str">
        <f>IF($B59="","",IF(P$4="NÃO",0,IF(VLOOKUP($B59,FROTA!$B$5:$R$305,10,0)=P$3,0.01,0)))</f>
        <v/>
      </c>
      <c r="Q59" s="307" t="str">
        <f>IF($B59="","",IF(Q$4="NÃO",0,IF(VLOOKUP($B59,FROTA!$B$5:$R$305,10,0)=Q$3,0.01,0)))</f>
        <v/>
      </c>
      <c r="R59" s="307" t="str">
        <f>IF($B59="","",IF(R$4="NÃO",0,IF(VLOOKUP($B59,FROTA!$B$5:$R$305,10,0)=R$3,0.01,0)))</f>
        <v/>
      </c>
      <c r="S59" s="307" t="str">
        <f>IF($B59="","",IF(S$4="NÃO",0,IF(VLOOKUP($B59,FROTA!$B$5:$R$305,10,0)=S$3,0.01,0)))</f>
        <v/>
      </c>
      <c r="T59" s="307" t="str">
        <f>IF($B59="","",IF(T$4="NÃO",0,IF(VLOOKUP($B59,FROTA!$B$5:$R$305,10,0)=T$3,0.01,0)))</f>
        <v/>
      </c>
      <c r="U59" s="307" t="str">
        <f>IF($B59="","",IF(U$4="NÃO",0,IF(VLOOKUP($B59,FROTA!$B$5:$R$305,10,0)=U$3,0.01,0)))</f>
        <v/>
      </c>
      <c r="V59" s="306" t="str">
        <f t="shared" si="17"/>
        <v/>
      </c>
      <c r="W59" s="238" t="str">
        <f t="shared" si="18"/>
        <v/>
      </c>
      <c r="X59" s="576" t="str">
        <f t="shared" si="19"/>
        <v/>
      </c>
      <c r="BA59" s="581">
        <v>44892</v>
      </c>
      <c r="BB59" s="582">
        <v>2023</v>
      </c>
    </row>
    <row r="60" spans="2:54" ht="15" customHeight="1" x14ac:dyDescent="0.2">
      <c r="B60" s="192" t="str">
        <f>IF(FROTA!B61="","",FROTA!B61)</f>
        <v/>
      </c>
      <c r="C60" s="192" t="str">
        <f>IF(B60="","",FROTA!Z61)</f>
        <v/>
      </c>
      <c r="D60" s="192" t="str">
        <f>IF(B60="","",VLOOKUP(B60,FROTA!$B$5:$C$310,2,0))</f>
        <v/>
      </c>
      <c r="E60" s="233" t="str">
        <f>IF(D60="","",VLOOKUP(D60,ESCALA!$B$3:$H$19,7,0))</f>
        <v/>
      </c>
      <c r="F60" s="219" t="s">
        <v>222</v>
      </c>
      <c r="G60" s="305" t="str">
        <f t="shared" si="16"/>
        <v/>
      </c>
      <c r="H60" s="314" t="str">
        <f>IF($B60="","",IF(H$4="NÃO",0,IF(VLOOKUP($B60,FROTA!$B$5:$R$305,17,0)=H$3,0.02,0)))</f>
        <v/>
      </c>
      <c r="I60" s="193" t="str">
        <f>IF($B60="","",IF(I$4="NÃO",0,IF(VLOOKUP($B60,FROTA!$B$5:$R$305,17,0)=I$3,0.02,0)))</f>
        <v/>
      </c>
      <c r="J60" s="193" t="str">
        <f>IF($B60="","",IF(J$4="NÃO",0,IF(VLOOKUP($B60,FROTA!$B$5:$R$305,17,0)=J$3,0.02,0)))</f>
        <v/>
      </c>
      <c r="K60" s="193" t="str">
        <f>IF($B60="","",IF(K$4="NÃO",0,IF(VLOOKUP($B60,FROTA!$B$5:$R$305,17,0)=K$3,0.02,0)))</f>
        <v/>
      </c>
      <c r="L60" s="193" t="str">
        <f>IF($B60="","",IF(L$4="NÃO",0,IF(VLOOKUP($B60,FROTA!$B$5:$R$305,17,0)=L$3,0.02,0)))</f>
        <v/>
      </c>
      <c r="M60" s="193" t="str">
        <f>IF($B60="","",IF(M$4="NÃO",0,IF(VLOOKUP($B60,FROTA!$B$5:$R$305,17,0)=M$3,0.02,0)))</f>
        <v/>
      </c>
      <c r="N60" s="193" t="str">
        <f>IF($B60="","",IF(M$4="NÃO",0,IF(VLOOKUP($B60,FROTA!$B$5:$R$305,17,0)=N$3,0.02,0)))</f>
        <v/>
      </c>
      <c r="O60" s="311" t="str">
        <f>IF($B60="","",IF(O$4="NÃO",0,IF(VLOOKUP($B60,FROTA!$B$5:$R$305,10,0)=O$3,0.01,0)))</f>
        <v/>
      </c>
      <c r="P60" s="307" t="str">
        <f>IF($B60="","",IF(P$4="NÃO",0,IF(VLOOKUP($B60,FROTA!$B$5:$R$305,10,0)=P$3,0.01,0)))</f>
        <v/>
      </c>
      <c r="Q60" s="307" t="str">
        <f>IF($B60="","",IF(Q$4="NÃO",0,IF(VLOOKUP($B60,FROTA!$B$5:$R$305,10,0)=Q$3,0.01,0)))</f>
        <v/>
      </c>
      <c r="R60" s="307" t="str">
        <f>IF($B60="","",IF(R$4="NÃO",0,IF(VLOOKUP($B60,FROTA!$B$5:$R$305,10,0)=R$3,0.01,0)))</f>
        <v/>
      </c>
      <c r="S60" s="307" t="str">
        <f>IF($B60="","",IF(S$4="NÃO",0,IF(VLOOKUP($B60,FROTA!$B$5:$R$305,10,0)=S$3,0.01,0)))</f>
        <v/>
      </c>
      <c r="T60" s="307" t="str">
        <f>IF($B60="","",IF(T$4="NÃO",0,IF(VLOOKUP($B60,FROTA!$B$5:$R$305,10,0)=T$3,0.01,0)))</f>
        <v/>
      </c>
      <c r="U60" s="307" t="str">
        <f>IF($B60="","",IF(U$4="NÃO",0,IF(VLOOKUP($B60,FROTA!$B$5:$R$305,10,0)=U$3,0.01,0)))</f>
        <v/>
      </c>
      <c r="V60" s="306" t="str">
        <f t="shared" si="17"/>
        <v/>
      </c>
      <c r="W60" s="238" t="str">
        <f t="shared" si="18"/>
        <v/>
      </c>
      <c r="X60" s="576" t="str">
        <f t="shared" si="19"/>
        <v/>
      </c>
      <c r="BA60" s="581">
        <v>44893</v>
      </c>
      <c r="BB60" s="582">
        <v>2023</v>
      </c>
    </row>
    <row r="61" spans="2:54" ht="15" customHeight="1" x14ac:dyDescent="0.2">
      <c r="B61" s="192" t="str">
        <f>IF(FROTA!B62="","",FROTA!B62)</f>
        <v/>
      </c>
      <c r="C61" s="192" t="str">
        <f>IF(B61="","",FROTA!Z62)</f>
        <v/>
      </c>
      <c r="D61" s="192" t="str">
        <f>IF(B61="","",VLOOKUP(B61,FROTA!$B$5:$C$310,2,0))</f>
        <v/>
      </c>
      <c r="E61" s="233" t="str">
        <f>IF(D61="","",VLOOKUP(D61,ESCALA!$B$3:$H$19,7,0))</f>
        <v/>
      </c>
      <c r="F61" s="219" t="s">
        <v>222</v>
      </c>
      <c r="G61" s="305" t="str">
        <f t="shared" si="16"/>
        <v/>
      </c>
      <c r="H61" s="314" t="str">
        <f>IF($B61="","",IF(H$4="NÃO",0,IF(VLOOKUP($B61,FROTA!$B$5:$R$305,17,0)=H$3,0.02,0)))</f>
        <v/>
      </c>
      <c r="I61" s="193" t="str">
        <f>IF($B61="","",IF(I$4="NÃO",0,IF(VLOOKUP($B61,FROTA!$B$5:$R$305,17,0)=I$3,0.02,0)))</f>
        <v/>
      </c>
      <c r="J61" s="193" t="str">
        <f>IF($B61="","",IF(J$4="NÃO",0,IF(VLOOKUP($B61,FROTA!$B$5:$R$305,17,0)=J$3,0.02,0)))</f>
        <v/>
      </c>
      <c r="K61" s="193" t="str">
        <f>IF($B61="","",IF(K$4="NÃO",0,IF(VLOOKUP($B61,FROTA!$B$5:$R$305,17,0)=K$3,0.02,0)))</f>
        <v/>
      </c>
      <c r="L61" s="193" t="str">
        <f>IF($B61="","",IF(L$4="NÃO",0,IF(VLOOKUP($B61,FROTA!$B$5:$R$305,17,0)=L$3,0.02,0)))</f>
        <v/>
      </c>
      <c r="M61" s="193" t="str">
        <f>IF($B61="","",IF(M$4="NÃO",0,IF(VLOOKUP($B61,FROTA!$B$5:$R$305,17,0)=M$3,0.02,0)))</f>
        <v/>
      </c>
      <c r="N61" s="193" t="str">
        <f>IF($B61="","",IF(M$4="NÃO",0,IF(VLOOKUP($B61,FROTA!$B$5:$R$305,17,0)=N$3,0.02,0)))</f>
        <v/>
      </c>
      <c r="O61" s="311" t="str">
        <f>IF($B61="","",IF(O$4="NÃO",0,IF(VLOOKUP($B61,FROTA!$B$5:$R$305,10,0)=O$3,0.01,0)))</f>
        <v/>
      </c>
      <c r="P61" s="307" t="str">
        <f>IF($B61="","",IF(P$4="NÃO",0,IF(VLOOKUP($B61,FROTA!$B$5:$R$305,10,0)=P$3,0.01,0)))</f>
        <v/>
      </c>
      <c r="Q61" s="307" t="str">
        <f>IF($B61="","",IF(Q$4="NÃO",0,IF(VLOOKUP($B61,FROTA!$B$5:$R$305,10,0)=Q$3,0.01,0)))</f>
        <v/>
      </c>
      <c r="R61" s="307" t="str">
        <f>IF($B61="","",IF(R$4="NÃO",0,IF(VLOOKUP($B61,FROTA!$B$5:$R$305,10,0)=R$3,0.01,0)))</f>
        <v/>
      </c>
      <c r="S61" s="307" t="str">
        <f>IF($B61="","",IF(S$4="NÃO",0,IF(VLOOKUP($B61,FROTA!$B$5:$R$305,10,0)=S$3,0.01,0)))</f>
        <v/>
      </c>
      <c r="T61" s="307" t="str">
        <f>IF($B61="","",IF(T$4="NÃO",0,IF(VLOOKUP($B61,FROTA!$B$5:$R$305,10,0)=T$3,0.01,0)))</f>
        <v/>
      </c>
      <c r="U61" s="307" t="str">
        <f>IF($B61="","",IF(U$4="NÃO",0,IF(VLOOKUP($B61,FROTA!$B$5:$R$305,10,0)=U$3,0.01,0)))</f>
        <v/>
      </c>
      <c r="V61" s="306" t="str">
        <f t="shared" si="17"/>
        <v/>
      </c>
      <c r="W61" s="238" t="str">
        <f t="shared" si="18"/>
        <v/>
      </c>
      <c r="X61" s="576" t="str">
        <f t="shared" si="19"/>
        <v/>
      </c>
      <c r="BA61" s="581">
        <v>44894</v>
      </c>
      <c r="BB61" s="582">
        <v>2023</v>
      </c>
    </row>
    <row r="62" spans="2:54" ht="15" customHeight="1" x14ac:dyDescent="0.2">
      <c r="B62" s="192" t="str">
        <f>IF(FROTA!B63="","",FROTA!B63)</f>
        <v/>
      </c>
      <c r="C62" s="192" t="str">
        <f>IF(B62="","",FROTA!Z63)</f>
        <v/>
      </c>
      <c r="D62" s="192" t="str">
        <f>IF(B62="","",VLOOKUP(B62,FROTA!$B$5:$C$310,2,0))</f>
        <v/>
      </c>
      <c r="E62" s="233" t="str">
        <f>IF(D62="","",VLOOKUP(D62,ESCALA!$B$3:$H$19,7,0))</f>
        <v/>
      </c>
      <c r="F62" s="219" t="s">
        <v>222</v>
      </c>
      <c r="G62" s="305" t="str">
        <f t="shared" si="16"/>
        <v/>
      </c>
      <c r="H62" s="314" t="str">
        <f>IF($B62="","",IF(H$4="NÃO",0,IF(VLOOKUP($B62,FROTA!$B$5:$R$305,17,0)=H$3,0.02,0)))</f>
        <v/>
      </c>
      <c r="I62" s="193" t="str">
        <f>IF($B62="","",IF(I$4="NÃO",0,IF(VLOOKUP($B62,FROTA!$B$5:$R$305,17,0)=I$3,0.02,0)))</f>
        <v/>
      </c>
      <c r="J62" s="193" t="str">
        <f>IF($B62="","",IF(J$4="NÃO",0,IF(VLOOKUP($B62,FROTA!$B$5:$R$305,17,0)=J$3,0.02,0)))</f>
        <v/>
      </c>
      <c r="K62" s="193" t="str">
        <f>IF($B62="","",IF(K$4="NÃO",0,IF(VLOOKUP($B62,FROTA!$B$5:$R$305,17,0)=K$3,0.02,0)))</f>
        <v/>
      </c>
      <c r="L62" s="193" t="str">
        <f>IF($B62="","",IF(L$4="NÃO",0,IF(VLOOKUP($B62,FROTA!$B$5:$R$305,17,0)=L$3,0.02,0)))</f>
        <v/>
      </c>
      <c r="M62" s="193" t="str">
        <f>IF($B62="","",IF(M$4="NÃO",0,IF(VLOOKUP($B62,FROTA!$B$5:$R$305,17,0)=M$3,0.02,0)))</f>
        <v/>
      </c>
      <c r="N62" s="193" t="str">
        <f>IF($B62="","",IF(M$4="NÃO",0,IF(VLOOKUP($B62,FROTA!$B$5:$R$305,17,0)=N$3,0.02,0)))</f>
        <v/>
      </c>
      <c r="O62" s="311" t="str">
        <f>IF($B62="","",IF(O$4="NÃO",0,IF(VLOOKUP($B62,FROTA!$B$5:$R$305,10,0)=O$3,0.01,0)))</f>
        <v/>
      </c>
      <c r="P62" s="307" t="str">
        <f>IF($B62="","",IF(P$4="NÃO",0,IF(VLOOKUP($B62,FROTA!$B$5:$R$305,10,0)=P$3,0.01,0)))</f>
        <v/>
      </c>
      <c r="Q62" s="307" t="str">
        <f>IF($B62="","",IF(Q$4="NÃO",0,IF(VLOOKUP($B62,FROTA!$B$5:$R$305,10,0)=Q$3,0.01,0)))</f>
        <v/>
      </c>
      <c r="R62" s="307" t="str">
        <f>IF($B62="","",IF(R$4="NÃO",0,IF(VLOOKUP($B62,FROTA!$B$5:$R$305,10,0)=R$3,0.01,0)))</f>
        <v/>
      </c>
      <c r="S62" s="307" t="str">
        <f>IF($B62="","",IF(S$4="NÃO",0,IF(VLOOKUP($B62,FROTA!$B$5:$R$305,10,0)=S$3,0.01,0)))</f>
        <v/>
      </c>
      <c r="T62" s="307" t="str">
        <f>IF($B62="","",IF(T$4="NÃO",0,IF(VLOOKUP($B62,FROTA!$B$5:$R$305,10,0)=T$3,0.01,0)))</f>
        <v/>
      </c>
      <c r="U62" s="307" t="str">
        <f>IF($B62="","",IF(U$4="NÃO",0,IF(VLOOKUP($B62,FROTA!$B$5:$R$305,10,0)=U$3,0.01,0)))</f>
        <v/>
      </c>
      <c r="V62" s="306" t="str">
        <f t="shared" si="17"/>
        <v/>
      </c>
      <c r="W62" s="238" t="str">
        <f t="shared" si="18"/>
        <v/>
      </c>
      <c r="X62" s="576" t="str">
        <f t="shared" si="19"/>
        <v/>
      </c>
      <c r="BA62" s="581">
        <v>44895</v>
      </c>
      <c r="BB62" s="582">
        <v>2023</v>
      </c>
    </row>
    <row r="63" spans="2:54" ht="15" customHeight="1" x14ac:dyDescent="0.2">
      <c r="B63" s="192" t="str">
        <f>IF(FROTA!B64="","",FROTA!B64)</f>
        <v/>
      </c>
      <c r="C63" s="192" t="str">
        <f>IF(B63="","",FROTA!Z64)</f>
        <v/>
      </c>
      <c r="D63" s="192" t="str">
        <f>IF(B63="","",VLOOKUP(B63,FROTA!$B$5:$C$310,2,0))</f>
        <v/>
      </c>
      <c r="E63" s="233" t="str">
        <f>IF(D63="","",VLOOKUP(D63,ESCALA!$B$3:$H$19,7,0))</f>
        <v/>
      </c>
      <c r="F63" s="219" t="s">
        <v>222</v>
      </c>
      <c r="G63" s="305" t="str">
        <f t="shared" si="16"/>
        <v/>
      </c>
      <c r="H63" s="314" t="str">
        <f>IF($B63="","",IF(H$4="NÃO",0,IF(VLOOKUP($B63,FROTA!$B$5:$R$305,17,0)=H$3,0.02,0)))</f>
        <v/>
      </c>
      <c r="I63" s="193" t="str">
        <f>IF($B63="","",IF(I$4="NÃO",0,IF(VLOOKUP($B63,FROTA!$B$5:$R$305,17,0)=I$3,0.02,0)))</f>
        <v/>
      </c>
      <c r="J63" s="193" t="str">
        <f>IF($B63="","",IF(J$4="NÃO",0,IF(VLOOKUP($B63,FROTA!$B$5:$R$305,17,0)=J$3,0.02,0)))</f>
        <v/>
      </c>
      <c r="K63" s="193" t="str">
        <f>IF($B63="","",IF(K$4="NÃO",0,IF(VLOOKUP($B63,FROTA!$B$5:$R$305,17,0)=K$3,0.02,0)))</f>
        <v/>
      </c>
      <c r="L63" s="193" t="str">
        <f>IF($B63="","",IF(L$4="NÃO",0,IF(VLOOKUP($B63,FROTA!$B$5:$R$305,17,0)=L$3,0.02,0)))</f>
        <v/>
      </c>
      <c r="M63" s="193" t="str">
        <f>IF($B63="","",IF(M$4="NÃO",0,IF(VLOOKUP($B63,FROTA!$B$5:$R$305,17,0)=M$3,0.02,0)))</f>
        <v/>
      </c>
      <c r="N63" s="193" t="str">
        <f>IF($B63="","",IF(M$4="NÃO",0,IF(VLOOKUP($B63,FROTA!$B$5:$R$305,17,0)=N$3,0.02,0)))</f>
        <v/>
      </c>
      <c r="O63" s="311" t="str">
        <f>IF($B63="","",IF(O$4="NÃO",0,IF(VLOOKUP($B63,FROTA!$B$5:$R$305,10,0)=O$3,0.01,0)))</f>
        <v/>
      </c>
      <c r="P63" s="307" t="str">
        <f>IF($B63="","",IF(P$4="NÃO",0,IF(VLOOKUP($B63,FROTA!$B$5:$R$305,10,0)=P$3,0.01,0)))</f>
        <v/>
      </c>
      <c r="Q63" s="307" t="str">
        <f>IF($B63="","",IF(Q$4="NÃO",0,IF(VLOOKUP($B63,FROTA!$B$5:$R$305,10,0)=Q$3,0.01,0)))</f>
        <v/>
      </c>
      <c r="R63" s="307" t="str">
        <f>IF($B63="","",IF(R$4="NÃO",0,IF(VLOOKUP($B63,FROTA!$B$5:$R$305,10,0)=R$3,0.01,0)))</f>
        <v/>
      </c>
      <c r="S63" s="307" t="str">
        <f>IF($B63="","",IF(S$4="NÃO",0,IF(VLOOKUP($B63,FROTA!$B$5:$R$305,10,0)=S$3,0.01,0)))</f>
        <v/>
      </c>
      <c r="T63" s="307" t="str">
        <f>IF($B63="","",IF(T$4="NÃO",0,IF(VLOOKUP($B63,FROTA!$B$5:$R$305,10,0)=T$3,0.01,0)))</f>
        <v/>
      </c>
      <c r="U63" s="307" t="str">
        <f>IF($B63="","",IF(U$4="NÃO",0,IF(VLOOKUP($B63,FROTA!$B$5:$R$305,10,0)=U$3,0.01,0)))</f>
        <v/>
      </c>
      <c r="V63" s="306" t="str">
        <f t="shared" si="17"/>
        <v/>
      </c>
      <c r="W63" s="238" t="str">
        <f t="shared" si="18"/>
        <v/>
      </c>
      <c r="X63" s="576" t="str">
        <f t="shared" si="19"/>
        <v/>
      </c>
      <c r="BA63" s="581">
        <v>44896</v>
      </c>
      <c r="BB63" s="582">
        <v>2023</v>
      </c>
    </row>
    <row r="64" spans="2:54" ht="15" customHeight="1" x14ac:dyDescent="0.2">
      <c r="B64" s="192" t="str">
        <f>IF(FROTA!B65="","",FROTA!B65)</f>
        <v/>
      </c>
      <c r="C64" s="192" t="str">
        <f>IF(B64="","",FROTA!Z65)</f>
        <v/>
      </c>
      <c r="D64" s="192" t="str">
        <f>IF(B64="","",VLOOKUP(B64,FROTA!$B$5:$C$310,2,0))</f>
        <v/>
      </c>
      <c r="E64" s="233" t="str">
        <f>IF(D64="","",VLOOKUP(D64,ESCALA!$B$3:$H$19,7,0))</f>
        <v/>
      </c>
      <c r="F64" s="219" t="s">
        <v>222</v>
      </c>
      <c r="G64" s="305" t="str">
        <f t="shared" si="16"/>
        <v/>
      </c>
      <c r="H64" s="314" t="str">
        <f>IF($B64="","",IF(H$4="NÃO",0,IF(VLOOKUP($B64,FROTA!$B$5:$R$305,17,0)=H$3,0.02,0)))</f>
        <v/>
      </c>
      <c r="I64" s="193" t="str">
        <f>IF($B64="","",IF(I$4="NÃO",0,IF(VLOOKUP($B64,FROTA!$B$5:$R$305,17,0)=I$3,0.02,0)))</f>
        <v/>
      </c>
      <c r="J64" s="193" t="str">
        <f>IF($B64="","",IF(J$4="NÃO",0,IF(VLOOKUP($B64,FROTA!$B$5:$R$305,17,0)=J$3,0.02,0)))</f>
        <v/>
      </c>
      <c r="K64" s="193" t="str">
        <f>IF($B64="","",IF(K$4="NÃO",0,IF(VLOOKUP($B64,FROTA!$B$5:$R$305,17,0)=K$3,0.02,0)))</f>
        <v/>
      </c>
      <c r="L64" s="193" t="str">
        <f>IF($B64="","",IF(L$4="NÃO",0,IF(VLOOKUP($B64,FROTA!$B$5:$R$305,17,0)=L$3,0.02,0)))</f>
        <v/>
      </c>
      <c r="M64" s="193" t="str">
        <f>IF($B64="","",IF(M$4="NÃO",0,IF(VLOOKUP($B64,FROTA!$B$5:$R$305,17,0)=M$3,0.02,0)))</f>
        <v/>
      </c>
      <c r="N64" s="193" t="str">
        <f>IF($B64="","",IF(M$4="NÃO",0,IF(VLOOKUP($B64,FROTA!$B$5:$R$305,17,0)=N$3,0.02,0)))</f>
        <v/>
      </c>
      <c r="O64" s="311" t="str">
        <f>IF($B64="","",IF(O$4="NÃO",0,IF(VLOOKUP($B64,FROTA!$B$5:$R$305,10,0)=O$3,0.01,0)))</f>
        <v/>
      </c>
      <c r="P64" s="307" t="str">
        <f>IF($B64="","",IF(P$4="NÃO",0,IF(VLOOKUP($B64,FROTA!$B$5:$R$305,10,0)=P$3,0.01,0)))</f>
        <v/>
      </c>
      <c r="Q64" s="307" t="str">
        <f>IF($B64="","",IF(Q$4="NÃO",0,IF(VLOOKUP($B64,FROTA!$B$5:$R$305,10,0)=Q$3,0.01,0)))</f>
        <v/>
      </c>
      <c r="R64" s="307" t="str">
        <f>IF($B64="","",IF(R$4="NÃO",0,IF(VLOOKUP($B64,FROTA!$B$5:$R$305,10,0)=R$3,0.01,0)))</f>
        <v/>
      </c>
      <c r="S64" s="307" t="str">
        <f>IF($B64="","",IF(S$4="NÃO",0,IF(VLOOKUP($B64,FROTA!$B$5:$R$305,10,0)=S$3,0.01,0)))</f>
        <v/>
      </c>
      <c r="T64" s="307" t="str">
        <f>IF($B64="","",IF(T$4="NÃO",0,IF(VLOOKUP($B64,FROTA!$B$5:$R$305,10,0)=T$3,0.01,0)))</f>
        <v/>
      </c>
      <c r="U64" s="307" t="str">
        <f>IF($B64="","",IF(U$4="NÃO",0,IF(VLOOKUP($B64,FROTA!$B$5:$R$305,10,0)=U$3,0.01,0)))</f>
        <v/>
      </c>
      <c r="V64" s="306" t="str">
        <f t="shared" si="17"/>
        <v/>
      </c>
      <c r="W64" s="238" t="str">
        <f t="shared" si="18"/>
        <v/>
      </c>
      <c r="X64" s="576" t="str">
        <f t="shared" si="19"/>
        <v/>
      </c>
      <c r="BA64" s="581">
        <v>44897</v>
      </c>
      <c r="BB64" s="582">
        <v>2023</v>
      </c>
    </row>
    <row r="65" spans="2:54" ht="15" customHeight="1" x14ac:dyDescent="0.2">
      <c r="B65" s="192" t="str">
        <f>IF(FROTA!B66="","",FROTA!B66)</f>
        <v/>
      </c>
      <c r="C65" s="192" t="str">
        <f>IF(B65="","",FROTA!Z66)</f>
        <v/>
      </c>
      <c r="D65" s="192" t="str">
        <f>IF(B65="","",VLOOKUP(B65,FROTA!$B$5:$C$310,2,0))</f>
        <v/>
      </c>
      <c r="E65" s="233" t="str">
        <f>IF(D65="","",VLOOKUP(D65,ESCALA!$B$3:$H$19,7,0))</f>
        <v/>
      </c>
      <c r="F65" s="219" t="s">
        <v>222</v>
      </c>
      <c r="G65" s="305" t="str">
        <f t="shared" si="16"/>
        <v/>
      </c>
      <c r="H65" s="314" t="str">
        <f>IF($B65="","",IF(H$4="NÃO",0,IF(VLOOKUP($B65,FROTA!$B$5:$R$305,17,0)=H$3,0.02,0)))</f>
        <v/>
      </c>
      <c r="I65" s="193" t="str">
        <f>IF($B65="","",IF(I$4="NÃO",0,IF(VLOOKUP($B65,FROTA!$B$5:$R$305,17,0)=I$3,0.02,0)))</f>
        <v/>
      </c>
      <c r="J65" s="193" t="str">
        <f>IF($B65="","",IF(J$4="NÃO",0,IF(VLOOKUP($B65,FROTA!$B$5:$R$305,17,0)=J$3,0.02,0)))</f>
        <v/>
      </c>
      <c r="K65" s="193" t="str">
        <f>IF($B65="","",IF(K$4="NÃO",0,IF(VLOOKUP($B65,FROTA!$B$5:$R$305,17,0)=K$3,0.02,0)))</f>
        <v/>
      </c>
      <c r="L65" s="193" t="str">
        <f>IF($B65="","",IF(L$4="NÃO",0,IF(VLOOKUP($B65,FROTA!$B$5:$R$305,17,0)=L$3,0.02,0)))</f>
        <v/>
      </c>
      <c r="M65" s="193" t="str">
        <f>IF($B65="","",IF(M$4="NÃO",0,IF(VLOOKUP($B65,FROTA!$B$5:$R$305,17,0)=M$3,0.02,0)))</f>
        <v/>
      </c>
      <c r="N65" s="193" t="str">
        <f>IF($B65="","",IF(M$4="NÃO",0,IF(VLOOKUP($B65,FROTA!$B$5:$R$305,17,0)=N$3,0.02,0)))</f>
        <v/>
      </c>
      <c r="O65" s="311" t="str">
        <f>IF($B65="","",IF(O$4="NÃO",0,IF(VLOOKUP($B65,FROTA!$B$5:$R$305,10,0)=O$3,0.01,0)))</f>
        <v/>
      </c>
      <c r="P65" s="307" t="str">
        <f>IF($B65="","",IF(P$4="NÃO",0,IF(VLOOKUP($B65,FROTA!$B$5:$R$305,10,0)=P$3,0.01,0)))</f>
        <v/>
      </c>
      <c r="Q65" s="307" t="str">
        <f>IF($B65="","",IF(Q$4="NÃO",0,IF(VLOOKUP($B65,FROTA!$B$5:$R$305,10,0)=Q$3,0.01,0)))</f>
        <v/>
      </c>
      <c r="R65" s="307" t="str">
        <f>IF($B65="","",IF(R$4="NÃO",0,IF(VLOOKUP($B65,FROTA!$B$5:$R$305,10,0)=R$3,0.01,0)))</f>
        <v/>
      </c>
      <c r="S65" s="307" t="str">
        <f>IF($B65="","",IF(S$4="NÃO",0,IF(VLOOKUP($B65,FROTA!$B$5:$R$305,10,0)=S$3,0.01,0)))</f>
        <v/>
      </c>
      <c r="T65" s="307" t="str">
        <f>IF($B65="","",IF(T$4="NÃO",0,IF(VLOOKUP($B65,FROTA!$B$5:$R$305,10,0)=T$3,0.01,0)))</f>
        <v/>
      </c>
      <c r="U65" s="307" t="str">
        <f>IF($B65="","",IF(U$4="NÃO",0,IF(VLOOKUP($B65,FROTA!$B$5:$R$305,10,0)=U$3,0.01,0)))</f>
        <v/>
      </c>
      <c r="V65" s="306" t="str">
        <f t="shared" si="17"/>
        <v/>
      </c>
      <c r="W65" s="238" t="str">
        <f t="shared" si="18"/>
        <v/>
      </c>
      <c r="X65" s="576" t="str">
        <f t="shared" si="19"/>
        <v/>
      </c>
      <c r="BA65" s="581">
        <v>44898</v>
      </c>
      <c r="BB65" s="582">
        <v>2023</v>
      </c>
    </row>
    <row r="66" spans="2:54" ht="15" customHeight="1" x14ac:dyDescent="0.2">
      <c r="B66" s="192" t="str">
        <f>IF(FROTA!B67="","",FROTA!B67)</f>
        <v/>
      </c>
      <c r="C66" s="192" t="str">
        <f>IF(B66="","",FROTA!Z67)</f>
        <v/>
      </c>
      <c r="D66" s="192" t="str">
        <f>IF(B66="","",VLOOKUP(B66,FROTA!$B$5:$C$310,2,0))</f>
        <v/>
      </c>
      <c r="E66" s="233" t="str">
        <f>IF(D66="","",VLOOKUP(D66,ESCALA!$B$3:$H$19,7,0))</f>
        <v/>
      </c>
      <c r="F66" s="219" t="s">
        <v>222</v>
      </c>
      <c r="G66" s="305" t="str">
        <f t="shared" si="16"/>
        <v/>
      </c>
      <c r="H66" s="314" t="str">
        <f>IF($B66="","",IF(H$4="NÃO",0,IF(VLOOKUP($B66,FROTA!$B$5:$R$305,17,0)=H$3,0.02,0)))</f>
        <v/>
      </c>
      <c r="I66" s="193" t="str">
        <f>IF($B66="","",IF(I$4="NÃO",0,IF(VLOOKUP($B66,FROTA!$B$5:$R$305,17,0)=I$3,0.02,0)))</f>
        <v/>
      </c>
      <c r="J66" s="193" t="str">
        <f>IF($B66="","",IF(J$4="NÃO",0,IF(VLOOKUP($B66,FROTA!$B$5:$R$305,17,0)=J$3,0.02,0)))</f>
        <v/>
      </c>
      <c r="K66" s="193" t="str">
        <f>IF($B66="","",IF(K$4="NÃO",0,IF(VLOOKUP($B66,FROTA!$B$5:$R$305,17,0)=K$3,0.02,0)))</f>
        <v/>
      </c>
      <c r="L66" s="193" t="str">
        <f>IF($B66="","",IF(L$4="NÃO",0,IF(VLOOKUP($B66,FROTA!$B$5:$R$305,17,0)=L$3,0.02,0)))</f>
        <v/>
      </c>
      <c r="M66" s="193" t="str">
        <f>IF($B66="","",IF(M$4="NÃO",0,IF(VLOOKUP($B66,FROTA!$B$5:$R$305,17,0)=M$3,0.02,0)))</f>
        <v/>
      </c>
      <c r="N66" s="193" t="str">
        <f>IF($B66="","",IF(M$4="NÃO",0,IF(VLOOKUP($B66,FROTA!$B$5:$R$305,17,0)=N$3,0.02,0)))</f>
        <v/>
      </c>
      <c r="O66" s="311" t="str">
        <f>IF($B66="","",IF(O$4="NÃO",0,IF(VLOOKUP($B66,FROTA!$B$5:$R$305,10,0)=O$3,0.01,0)))</f>
        <v/>
      </c>
      <c r="P66" s="307" t="str">
        <f>IF($B66="","",IF(P$4="NÃO",0,IF(VLOOKUP($B66,FROTA!$B$5:$R$305,10,0)=P$3,0.01,0)))</f>
        <v/>
      </c>
      <c r="Q66" s="307" t="str">
        <f>IF($B66="","",IF(Q$4="NÃO",0,IF(VLOOKUP($B66,FROTA!$B$5:$R$305,10,0)=Q$3,0.01,0)))</f>
        <v/>
      </c>
      <c r="R66" s="307" t="str">
        <f>IF($B66="","",IF(R$4="NÃO",0,IF(VLOOKUP($B66,FROTA!$B$5:$R$305,10,0)=R$3,0.01,0)))</f>
        <v/>
      </c>
      <c r="S66" s="307" t="str">
        <f>IF($B66="","",IF(S$4="NÃO",0,IF(VLOOKUP($B66,FROTA!$B$5:$R$305,10,0)=S$3,0.01,0)))</f>
        <v/>
      </c>
      <c r="T66" s="307" t="str">
        <f>IF($B66="","",IF(T$4="NÃO",0,IF(VLOOKUP($B66,FROTA!$B$5:$R$305,10,0)=T$3,0.01,0)))</f>
        <v/>
      </c>
      <c r="U66" s="307" t="str">
        <f>IF($B66="","",IF(U$4="NÃO",0,IF(VLOOKUP($B66,FROTA!$B$5:$R$305,10,0)=U$3,0.01,0)))</f>
        <v/>
      </c>
      <c r="V66" s="306" t="str">
        <f t="shared" si="17"/>
        <v/>
      </c>
      <c r="W66" s="238" t="str">
        <f t="shared" si="18"/>
        <v/>
      </c>
      <c r="X66" s="576" t="str">
        <f t="shared" si="19"/>
        <v/>
      </c>
      <c r="BA66" s="581">
        <v>44899</v>
      </c>
      <c r="BB66" s="582">
        <v>2023</v>
      </c>
    </row>
    <row r="67" spans="2:54" ht="15" customHeight="1" x14ac:dyDescent="0.2">
      <c r="B67" s="192" t="str">
        <f>IF(FROTA!B68="","",FROTA!B68)</f>
        <v/>
      </c>
      <c r="C67" s="192" t="str">
        <f>IF(B67="","",FROTA!Z68)</f>
        <v/>
      </c>
      <c r="D67" s="192" t="str">
        <f>IF(B67="","",VLOOKUP(B67,FROTA!$B$5:$C$310,2,0))</f>
        <v/>
      </c>
      <c r="E67" s="233" t="str">
        <f>IF(D67="","",VLOOKUP(D67,ESCALA!$B$3:$H$19,7,0))</f>
        <v/>
      </c>
      <c r="F67" s="219" t="s">
        <v>222</v>
      </c>
      <c r="G67" s="305" t="str">
        <f t="shared" si="16"/>
        <v/>
      </c>
      <c r="H67" s="314" t="str">
        <f>IF($B67="","",IF(H$4="NÃO",0,IF(VLOOKUP($B67,FROTA!$B$5:$R$305,17,0)=H$3,0.02,0)))</f>
        <v/>
      </c>
      <c r="I67" s="193" t="str">
        <f>IF($B67="","",IF(I$4="NÃO",0,IF(VLOOKUP($B67,FROTA!$B$5:$R$305,17,0)=I$3,0.02,0)))</f>
        <v/>
      </c>
      <c r="J67" s="193" t="str">
        <f>IF($B67="","",IF(J$4="NÃO",0,IF(VLOOKUP($B67,FROTA!$B$5:$R$305,17,0)=J$3,0.02,0)))</f>
        <v/>
      </c>
      <c r="K67" s="193" t="str">
        <f>IF($B67="","",IF(K$4="NÃO",0,IF(VLOOKUP($B67,FROTA!$B$5:$R$305,17,0)=K$3,0.02,0)))</f>
        <v/>
      </c>
      <c r="L67" s="193" t="str">
        <f>IF($B67="","",IF(L$4="NÃO",0,IF(VLOOKUP($B67,FROTA!$B$5:$R$305,17,0)=L$3,0.02,0)))</f>
        <v/>
      </c>
      <c r="M67" s="193" t="str">
        <f>IF($B67="","",IF(M$4="NÃO",0,IF(VLOOKUP($B67,FROTA!$B$5:$R$305,17,0)=M$3,0.02,0)))</f>
        <v/>
      </c>
      <c r="N67" s="193" t="str">
        <f>IF($B67="","",IF(M$4="NÃO",0,IF(VLOOKUP($B67,FROTA!$B$5:$R$305,17,0)=N$3,0.02,0)))</f>
        <v/>
      </c>
      <c r="O67" s="311" t="str">
        <f>IF($B67="","",IF(O$4="NÃO",0,IF(VLOOKUP($B67,FROTA!$B$5:$R$305,10,0)=O$3,0.01,0)))</f>
        <v/>
      </c>
      <c r="P67" s="307" t="str">
        <f>IF($B67="","",IF(P$4="NÃO",0,IF(VLOOKUP($B67,FROTA!$B$5:$R$305,10,0)=P$3,0.01,0)))</f>
        <v/>
      </c>
      <c r="Q67" s="307" t="str">
        <f>IF($B67="","",IF(Q$4="NÃO",0,IF(VLOOKUP($B67,FROTA!$B$5:$R$305,10,0)=Q$3,0.01,0)))</f>
        <v/>
      </c>
      <c r="R67" s="307" t="str">
        <f>IF($B67="","",IF(R$4="NÃO",0,IF(VLOOKUP($B67,FROTA!$B$5:$R$305,10,0)=R$3,0.01,0)))</f>
        <v/>
      </c>
      <c r="S67" s="307" t="str">
        <f>IF($B67="","",IF(S$4="NÃO",0,IF(VLOOKUP($B67,FROTA!$B$5:$R$305,10,0)=S$3,0.01,0)))</f>
        <v/>
      </c>
      <c r="T67" s="307" t="str">
        <f>IF($B67="","",IF(T$4="NÃO",0,IF(VLOOKUP($B67,FROTA!$B$5:$R$305,10,0)=T$3,0.01,0)))</f>
        <v/>
      </c>
      <c r="U67" s="307" t="str">
        <f>IF($B67="","",IF(U$4="NÃO",0,IF(VLOOKUP($B67,FROTA!$B$5:$R$305,10,0)=U$3,0.01,0)))</f>
        <v/>
      </c>
      <c r="V67" s="306" t="str">
        <f t="shared" si="17"/>
        <v/>
      </c>
      <c r="W67" s="238" t="str">
        <f t="shared" si="18"/>
        <v/>
      </c>
      <c r="X67" s="576" t="str">
        <f t="shared" si="19"/>
        <v/>
      </c>
      <c r="BA67" s="581">
        <v>44900</v>
      </c>
      <c r="BB67" s="582">
        <v>2023</v>
      </c>
    </row>
    <row r="68" spans="2:54" ht="15" customHeight="1" x14ac:dyDescent="0.2">
      <c r="B68" s="192" t="str">
        <f>IF(FROTA!B69="","",FROTA!B69)</f>
        <v/>
      </c>
      <c r="C68" s="192" t="str">
        <f>IF(B68="","",FROTA!Z69)</f>
        <v/>
      </c>
      <c r="D68" s="192" t="str">
        <f>IF(B68="","",VLOOKUP(B68,FROTA!$B$5:$C$310,2,0))</f>
        <v/>
      </c>
      <c r="E68" s="233" t="str">
        <f>IF(D68="","",VLOOKUP(D68,ESCALA!$B$3:$H$19,7,0))</f>
        <v/>
      </c>
      <c r="F68" s="219" t="s">
        <v>222</v>
      </c>
      <c r="G68" s="305" t="str">
        <f t="shared" si="16"/>
        <v/>
      </c>
      <c r="H68" s="314" t="str">
        <f>IF($B68="","",IF(H$4="NÃO",0,IF(VLOOKUP($B68,FROTA!$B$5:$R$305,17,0)=H$3,0.02,0)))</f>
        <v/>
      </c>
      <c r="I68" s="193" t="str">
        <f>IF($B68="","",IF(I$4="NÃO",0,IF(VLOOKUP($B68,FROTA!$B$5:$R$305,17,0)=I$3,0.02,0)))</f>
        <v/>
      </c>
      <c r="J68" s="193" t="str">
        <f>IF($B68="","",IF(J$4="NÃO",0,IF(VLOOKUP($B68,FROTA!$B$5:$R$305,17,0)=J$3,0.02,0)))</f>
        <v/>
      </c>
      <c r="K68" s="193" t="str">
        <f>IF($B68="","",IF(K$4="NÃO",0,IF(VLOOKUP($B68,FROTA!$B$5:$R$305,17,0)=K$3,0.02,0)))</f>
        <v/>
      </c>
      <c r="L68" s="193" t="str">
        <f>IF($B68="","",IF(L$4="NÃO",0,IF(VLOOKUP($B68,FROTA!$B$5:$R$305,17,0)=L$3,0.02,0)))</f>
        <v/>
      </c>
      <c r="M68" s="193" t="str">
        <f>IF($B68="","",IF(M$4="NÃO",0,IF(VLOOKUP($B68,FROTA!$B$5:$R$305,17,0)=M$3,0.02,0)))</f>
        <v/>
      </c>
      <c r="N68" s="193" t="str">
        <f>IF($B68="","",IF(M$4="NÃO",0,IF(VLOOKUP($B68,FROTA!$B$5:$R$305,17,0)=N$3,0.02,0)))</f>
        <v/>
      </c>
      <c r="O68" s="311" t="str">
        <f>IF($B68="","",IF(O$4="NÃO",0,IF(VLOOKUP($B68,FROTA!$B$5:$R$305,10,0)=O$3,0.01,0)))</f>
        <v/>
      </c>
      <c r="P68" s="307" t="str">
        <f>IF($B68="","",IF(P$4="NÃO",0,IF(VLOOKUP($B68,FROTA!$B$5:$R$305,10,0)=P$3,0.01,0)))</f>
        <v/>
      </c>
      <c r="Q68" s="307" t="str">
        <f>IF($B68="","",IF(Q$4="NÃO",0,IF(VLOOKUP($B68,FROTA!$B$5:$R$305,10,0)=Q$3,0.01,0)))</f>
        <v/>
      </c>
      <c r="R68" s="307" t="str">
        <f>IF($B68="","",IF(R$4="NÃO",0,IF(VLOOKUP($B68,FROTA!$B$5:$R$305,10,0)=R$3,0.01,0)))</f>
        <v/>
      </c>
      <c r="S68" s="307" t="str">
        <f>IF($B68="","",IF(S$4="NÃO",0,IF(VLOOKUP($B68,FROTA!$B$5:$R$305,10,0)=S$3,0.01,0)))</f>
        <v/>
      </c>
      <c r="T68" s="307" t="str">
        <f>IF($B68="","",IF(T$4="NÃO",0,IF(VLOOKUP($B68,FROTA!$B$5:$R$305,10,0)=T$3,0.01,0)))</f>
        <v/>
      </c>
      <c r="U68" s="307" t="str">
        <f>IF($B68="","",IF(U$4="NÃO",0,IF(VLOOKUP($B68,FROTA!$B$5:$R$305,10,0)=U$3,0.01,0)))</f>
        <v/>
      </c>
      <c r="V68" s="306" t="str">
        <f t="shared" si="17"/>
        <v/>
      </c>
      <c r="W68" s="238" t="str">
        <f t="shared" si="18"/>
        <v/>
      </c>
      <c r="X68" s="576" t="str">
        <f t="shared" si="19"/>
        <v/>
      </c>
      <c r="BA68" s="581">
        <v>44901</v>
      </c>
      <c r="BB68" s="582">
        <v>2023</v>
      </c>
    </row>
    <row r="69" spans="2:54" ht="15" customHeight="1" x14ac:dyDescent="0.2">
      <c r="B69" s="192" t="str">
        <f>IF(FROTA!B70="","",FROTA!B70)</f>
        <v/>
      </c>
      <c r="C69" s="192" t="str">
        <f>IF(B69="","",FROTA!Z70)</f>
        <v/>
      </c>
      <c r="D69" s="192" t="str">
        <f>IF(B69="","",VLOOKUP(B69,FROTA!$B$5:$C$310,2,0))</f>
        <v/>
      </c>
      <c r="E69" s="233" t="str">
        <f>IF(D69="","",VLOOKUP(D69,ESCALA!$B$3:$H$19,7,0))</f>
        <v/>
      </c>
      <c r="F69" s="219" t="s">
        <v>222</v>
      </c>
      <c r="G69" s="305" t="str">
        <f t="shared" si="16"/>
        <v/>
      </c>
      <c r="H69" s="314" t="str">
        <f>IF($B69="","",IF(H$4="NÃO",0,IF(VLOOKUP($B69,FROTA!$B$5:$R$305,17,0)=H$3,0.02,0)))</f>
        <v/>
      </c>
      <c r="I69" s="193" t="str">
        <f>IF($B69="","",IF(I$4="NÃO",0,IF(VLOOKUP($B69,FROTA!$B$5:$R$305,17,0)=I$3,0.02,0)))</f>
        <v/>
      </c>
      <c r="J69" s="193" t="str">
        <f>IF($B69="","",IF(J$4="NÃO",0,IF(VLOOKUP($B69,FROTA!$B$5:$R$305,17,0)=J$3,0.02,0)))</f>
        <v/>
      </c>
      <c r="K69" s="193" t="str">
        <f>IF($B69="","",IF(K$4="NÃO",0,IF(VLOOKUP($B69,FROTA!$B$5:$R$305,17,0)=K$3,0.02,0)))</f>
        <v/>
      </c>
      <c r="L69" s="193" t="str">
        <f>IF($B69="","",IF(L$4="NÃO",0,IF(VLOOKUP($B69,FROTA!$B$5:$R$305,17,0)=L$3,0.02,0)))</f>
        <v/>
      </c>
      <c r="M69" s="193" t="str">
        <f>IF($B69="","",IF(M$4="NÃO",0,IF(VLOOKUP($B69,FROTA!$B$5:$R$305,17,0)=M$3,0.02,0)))</f>
        <v/>
      </c>
      <c r="N69" s="193" t="str">
        <f>IF($B69="","",IF(M$4="NÃO",0,IF(VLOOKUP($B69,FROTA!$B$5:$R$305,17,0)=N$3,0.02,0)))</f>
        <v/>
      </c>
      <c r="O69" s="311" t="str">
        <f>IF($B69="","",IF(O$4="NÃO",0,IF(VLOOKUP($B69,FROTA!$B$5:$R$305,10,0)=O$3,0.01,0)))</f>
        <v/>
      </c>
      <c r="P69" s="307" t="str">
        <f>IF($B69="","",IF(P$4="NÃO",0,IF(VLOOKUP($B69,FROTA!$B$5:$R$305,10,0)=P$3,0.01,0)))</f>
        <v/>
      </c>
      <c r="Q69" s="307" t="str">
        <f>IF($B69="","",IF(Q$4="NÃO",0,IF(VLOOKUP($B69,FROTA!$B$5:$R$305,10,0)=Q$3,0.01,0)))</f>
        <v/>
      </c>
      <c r="R69" s="307" t="str">
        <f>IF($B69="","",IF(R$4="NÃO",0,IF(VLOOKUP($B69,FROTA!$B$5:$R$305,10,0)=R$3,0.01,0)))</f>
        <v/>
      </c>
      <c r="S69" s="307" t="str">
        <f>IF($B69="","",IF(S$4="NÃO",0,IF(VLOOKUP($B69,FROTA!$B$5:$R$305,10,0)=S$3,0.01,0)))</f>
        <v/>
      </c>
      <c r="T69" s="307" t="str">
        <f>IF($B69="","",IF(T$4="NÃO",0,IF(VLOOKUP($B69,FROTA!$B$5:$R$305,10,0)=T$3,0.01,0)))</f>
        <v/>
      </c>
      <c r="U69" s="307" t="str">
        <f>IF($B69="","",IF(U$4="NÃO",0,IF(VLOOKUP($B69,FROTA!$B$5:$R$305,10,0)=U$3,0.01,0)))</f>
        <v/>
      </c>
      <c r="V69" s="306" t="str">
        <f t="shared" si="17"/>
        <v/>
      </c>
      <c r="W69" s="238" t="str">
        <f t="shared" ref="W69:W132" si="20">IF($E69="","",IF($E69="",0,IF($E69=0,AVERAGE(F69,0.8),IF($E69=1,AVERAGE(F69,VLOOKUP($C69,$Y$1:$Z$30,2,0)),IF($E69=2,AVERAGE(F69,VLOOKUP($C69,$AB$1:$AC$30,2,0)),IF($E69=3,AVERAGE(F69,VLOOKUP($C69,$AE$1:$AF$30,2,0)),""))))))</f>
        <v/>
      </c>
      <c r="X69" s="576" t="str">
        <f t="shared" si="19"/>
        <v/>
      </c>
      <c r="BA69" s="581">
        <v>44902</v>
      </c>
      <c r="BB69" s="582">
        <v>2023</v>
      </c>
    </row>
    <row r="70" spans="2:54" ht="15" customHeight="1" x14ac:dyDescent="0.2">
      <c r="B70" s="192" t="str">
        <f>IF(FROTA!B71="","",FROTA!B71)</f>
        <v/>
      </c>
      <c r="C70" s="192" t="str">
        <f>IF(B70="","",FROTA!Z71)</f>
        <v/>
      </c>
      <c r="D70" s="192" t="str">
        <f>IF(B70="","",VLOOKUP(B70,FROTA!$B$5:$C$310,2,0))</f>
        <v/>
      </c>
      <c r="E70" s="233" t="str">
        <f>IF(D70="","",VLOOKUP(D70,ESCALA!$B$3:$H$19,7,0))</f>
        <v/>
      </c>
      <c r="F70" s="219" t="s">
        <v>222</v>
      </c>
      <c r="G70" s="305" t="str">
        <f t="shared" ref="G70:G133" si="21">IF(W70="",IF(X70="","",X70),W70)</f>
        <v/>
      </c>
      <c r="H70" s="314" t="str">
        <f>IF($B70="","",IF(H$4="NÃO",0,IF(VLOOKUP($B70,FROTA!$B$5:$R$305,17,0)=H$3,0.02,0)))</f>
        <v/>
      </c>
      <c r="I70" s="193" t="str">
        <f>IF($B70="","",IF(I$4="NÃO",0,IF(VLOOKUP($B70,FROTA!$B$5:$R$305,17,0)=I$3,0.02,0)))</f>
        <v/>
      </c>
      <c r="J70" s="193" t="str">
        <f>IF($B70="","",IF(J$4="NÃO",0,IF(VLOOKUP($B70,FROTA!$B$5:$R$305,17,0)=J$3,0.02,0)))</f>
        <v/>
      </c>
      <c r="K70" s="193" t="str">
        <f>IF($B70="","",IF(K$4="NÃO",0,IF(VLOOKUP($B70,FROTA!$B$5:$R$305,17,0)=K$3,0.02,0)))</f>
        <v/>
      </c>
      <c r="L70" s="193" t="str">
        <f>IF($B70="","",IF(L$4="NÃO",0,IF(VLOOKUP($B70,FROTA!$B$5:$R$305,17,0)=L$3,0.02,0)))</f>
        <v/>
      </c>
      <c r="M70" s="193" t="str">
        <f>IF($B70="","",IF(M$4="NÃO",0,IF(VLOOKUP($B70,FROTA!$B$5:$R$305,17,0)=M$3,0.02,0)))</f>
        <v/>
      </c>
      <c r="N70" s="193" t="str">
        <f>IF($B70="","",IF(M$4="NÃO",0,IF(VLOOKUP($B70,FROTA!$B$5:$R$305,17,0)=N$3,0.02,0)))</f>
        <v/>
      </c>
      <c r="O70" s="311" t="str">
        <f>IF($B70="","",IF(O$4="NÃO",0,IF(VLOOKUP($B70,FROTA!$B$5:$R$305,10,0)=O$3,0.01,0)))</f>
        <v/>
      </c>
      <c r="P70" s="307" t="str">
        <f>IF($B70="","",IF(P$4="NÃO",0,IF(VLOOKUP($B70,FROTA!$B$5:$R$305,10,0)=P$3,0.01,0)))</f>
        <v/>
      </c>
      <c r="Q70" s="307" t="str">
        <f>IF($B70="","",IF(Q$4="NÃO",0,IF(VLOOKUP($B70,FROTA!$B$5:$R$305,10,0)=Q$3,0.01,0)))</f>
        <v/>
      </c>
      <c r="R70" s="307" t="str">
        <f>IF($B70="","",IF(R$4="NÃO",0,IF(VLOOKUP($B70,FROTA!$B$5:$R$305,10,0)=R$3,0.01,0)))</f>
        <v/>
      </c>
      <c r="S70" s="307" t="str">
        <f>IF($B70="","",IF(S$4="NÃO",0,IF(VLOOKUP($B70,FROTA!$B$5:$R$305,10,0)=S$3,0.01,0)))</f>
        <v/>
      </c>
      <c r="T70" s="307" t="str">
        <f>IF($B70="","",IF(T$4="NÃO",0,IF(VLOOKUP($B70,FROTA!$B$5:$R$305,10,0)=T$3,0.01,0)))</f>
        <v/>
      </c>
      <c r="U70" s="307" t="str">
        <f>IF($B70="","",IF(U$4="NÃO",0,IF(VLOOKUP($B70,FROTA!$B$5:$R$305,10,0)=U$3,0.01,0)))</f>
        <v/>
      </c>
      <c r="V70" s="306" t="str">
        <f t="shared" ref="V70:V133" si="22">IF(B70="","",IF(G70="","",IF(G70-SUM(H70:U70)&lt;0,0,G70-SUM(H70:U70))))</f>
        <v/>
      </c>
      <c r="W70" s="238" t="str">
        <f t="shared" si="20"/>
        <v/>
      </c>
      <c r="X70" s="576" t="str">
        <f t="shared" ref="X70:X133" si="23">IF(E70="","",IF(E70=4,AVERAGE(F70,VLOOKUP(C70,$AH$1:$AI$30,2,0)),IF(E70=5,AVERAGE(F70,VLOOKUP(C70,$AK$1:$AL$30,2,0)),IF(E70=6,AVERAGE(F70,VLOOKUP(C70,$AN$1:$AO$30,2,0)),IF(E70&gt;=7,AVERAGE(F70,VLOOKUP(C70,$AQ$1:$AR$30,2,0)),"")))))</f>
        <v/>
      </c>
      <c r="BA70" s="581">
        <v>44903</v>
      </c>
      <c r="BB70" s="582">
        <v>2023</v>
      </c>
    </row>
    <row r="71" spans="2:54" ht="15" customHeight="1" x14ac:dyDescent="0.2">
      <c r="B71" s="192" t="str">
        <f>IF(FROTA!B72="","",FROTA!B72)</f>
        <v/>
      </c>
      <c r="C71" s="192" t="str">
        <f>IF(B71="","",FROTA!Z72)</f>
        <v/>
      </c>
      <c r="D71" s="192" t="str">
        <f>IF(B71="","",VLOOKUP(B71,FROTA!$B$5:$C$310,2,0))</f>
        <v/>
      </c>
      <c r="E71" s="233" t="str">
        <f>IF(D71="","",VLOOKUP(D71,ESCALA!$B$3:$H$19,7,0))</f>
        <v/>
      </c>
      <c r="F71" s="219" t="s">
        <v>222</v>
      </c>
      <c r="G71" s="305" t="str">
        <f t="shared" si="21"/>
        <v/>
      </c>
      <c r="H71" s="314" t="str">
        <f>IF($B71="","",IF(H$4="NÃO",0,IF(VLOOKUP($B71,FROTA!$B$5:$R$305,17,0)=H$3,0.02,0)))</f>
        <v/>
      </c>
      <c r="I71" s="193" t="str">
        <f>IF($B71="","",IF(I$4="NÃO",0,IF(VLOOKUP($B71,FROTA!$B$5:$R$305,17,0)=I$3,0.02,0)))</f>
        <v/>
      </c>
      <c r="J71" s="193" t="str">
        <f>IF($B71="","",IF(J$4="NÃO",0,IF(VLOOKUP($B71,FROTA!$B$5:$R$305,17,0)=J$3,0.02,0)))</f>
        <v/>
      </c>
      <c r="K71" s="193" t="str">
        <f>IF($B71="","",IF(K$4="NÃO",0,IF(VLOOKUP($B71,FROTA!$B$5:$R$305,17,0)=K$3,0.02,0)))</f>
        <v/>
      </c>
      <c r="L71" s="193" t="str">
        <f>IF($B71="","",IF(L$4="NÃO",0,IF(VLOOKUP($B71,FROTA!$B$5:$R$305,17,0)=L$3,0.02,0)))</f>
        <v/>
      </c>
      <c r="M71" s="193" t="str">
        <f>IF($B71="","",IF(M$4="NÃO",0,IF(VLOOKUP($B71,FROTA!$B$5:$R$305,17,0)=M$3,0.02,0)))</f>
        <v/>
      </c>
      <c r="N71" s="193" t="str">
        <f>IF($B71="","",IF(M$4="NÃO",0,IF(VLOOKUP($B71,FROTA!$B$5:$R$305,17,0)=N$3,0.02,0)))</f>
        <v/>
      </c>
      <c r="O71" s="311" t="str">
        <f>IF($B71="","",IF(O$4="NÃO",0,IF(VLOOKUP($B71,FROTA!$B$5:$R$305,10,0)=O$3,0.01,0)))</f>
        <v/>
      </c>
      <c r="P71" s="307" t="str">
        <f>IF($B71="","",IF(P$4="NÃO",0,IF(VLOOKUP($B71,FROTA!$B$5:$R$305,10,0)=P$3,0.01,0)))</f>
        <v/>
      </c>
      <c r="Q71" s="307" t="str">
        <f>IF($B71="","",IF(Q$4="NÃO",0,IF(VLOOKUP($B71,FROTA!$B$5:$R$305,10,0)=Q$3,0.01,0)))</f>
        <v/>
      </c>
      <c r="R71" s="307" t="str">
        <f>IF($B71="","",IF(R$4="NÃO",0,IF(VLOOKUP($B71,FROTA!$B$5:$R$305,10,0)=R$3,0.01,0)))</f>
        <v/>
      </c>
      <c r="S71" s="307" t="str">
        <f>IF($B71="","",IF(S$4="NÃO",0,IF(VLOOKUP($B71,FROTA!$B$5:$R$305,10,0)=S$3,0.01,0)))</f>
        <v/>
      </c>
      <c r="T71" s="307" t="str">
        <f>IF($B71="","",IF(T$4="NÃO",0,IF(VLOOKUP($B71,FROTA!$B$5:$R$305,10,0)=T$3,0.01,0)))</f>
        <v/>
      </c>
      <c r="U71" s="307" t="str">
        <f>IF($B71="","",IF(U$4="NÃO",0,IF(VLOOKUP($B71,FROTA!$B$5:$R$305,10,0)=U$3,0.01,0)))</f>
        <v/>
      </c>
      <c r="V71" s="306" t="str">
        <f t="shared" si="22"/>
        <v/>
      </c>
      <c r="W71" s="238" t="str">
        <f t="shared" si="20"/>
        <v/>
      </c>
      <c r="X71" s="576" t="str">
        <f t="shared" si="23"/>
        <v/>
      </c>
      <c r="BA71" s="581">
        <v>44904</v>
      </c>
      <c r="BB71" s="582">
        <v>2023</v>
      </c>
    </row>
    <row r="72" spans="2:54" ht="15" customHeight="1" x14ac:dyDescent="0.2">
      <c r="B72" s="192" t="str">
        <f>IF(FROTA!B73="","",FROTA!B73)</f>
        <v/>
      </c>
      <c r="C72" s="192" t="str">
        <f>IF(B72="","",FROTA!Z73)</f>
        <v/>
      </c>
      <c r="D72" s="192" t="str">
        <f>IF(B72="","",VLOOKUP(B72,FROTA!$B$5:$C$310,2,0))</f>
        <v/>
      </c>
      <c r="E72" s="233" t="str">
        <f>IF(D72="","",VLOOKUP(D72,ESCALA!$B$3:$H$19,7,0))</f>
        <v/>
      </c>
      <c r="F72" s="219" t="s">
        <v>222</v>
      </c>
      <c r="G72" s="305" t="str">
        <f t="shared" si="21"/>
        <v/>
      </c>
      <c r="H72" s="314" t="str">
        <f>IF($B72="","",IF(H$4="NÃO",0,IF(VLOOKUP($B72,FROTA!$B$5:$R$305,17,0)=H$3,0.02,0)))</f>
        <v/>
      </c>
      <c r="I72" s="193" t="str">
        <f>IF($B72="","",IF(I$4="NÃO",0,IF(VLOOKUP($B72,FROTA!$B$5:$R$305,17,0)=I$3,0.02,0)))</f>
        <v/>
      </c>
      <c r="J72" s="193" t="str">
        <f>IF($B72="","",IF(J$4="NÃO",0,IF(VLOOKUP($B72,FROTA!$B$5:$R$305,17,0)=J$3,0.02,0)))</f>
        <v/>
      </c>
      <c r="K72" s="193" t="str">
        <f>IF($B72="","",IF(K$4="NÃO",0,IF(VLOOKUP($B72,FROTA!$B$5:$R$305,17,0)=K$3,0.02,0)))</f>
        <v/>
      </c>
      <c r="L72" s="193" t="str">
        <f>IF($B72="","",IF(L$4="NÃO",0,IF(VLOOKUP($B72,FROTA!$B$5:$R$305,17,0)=L$3,0.02,0)))</f>
        <v/>
      </c>
      <c r="M72" s="193" t="str">
        <f>IF($B72="","",IF(M$4="NÃO",0,IF(VLOOKUP($B72,FROTA!$B$5:$R$305,17,0)=M$3,0.02,0)))</f>
        <v/>
      </c>
      <c r="N72" s="193" t="str">
        <f>IF($B72="","",IF(M$4="NÃO",0,IF(VLOOKUP($B72,FROTA!$B$5:$R$305,17,0)=N$3,0.02,0)))</f>
        <v/>
      </c>
      <c r="O72" s="311" t="str">
        <f>IF($B72="","",IF(O$4="NÃO",0,IF(VLOOKUP($B72,FROTA!$B$5:$R$305,10,0)=O$3,0.01,0)))</f>
        <v/>
      </c>
      <c r="P72" s="307" t="str">
        <f>IF($B72="","",IF(P$4="NÃO",0,IF(VLOOKUP($B72,FROTA!$B$5:$R$305,10,0)=P$3,0.01,0)))</f>
        <v/>
      </c>
      <c r="Q72" s="307" t="str">
        <f>IF($B72="","",IF(Q$4="NÃO",0,IF(VLOOKUP($B72,FROTA!$B$5:$R$305,10,0)=Q$3,0.01,0)))</f>
        <v/>
      </c>
      <c r="R72" s="307" t="str">
        <f>IF($B72="","",IF(R$4="NÃO",0,IF(VLOOKUP($B72,FROTA!$B$5:$R$305,10,0)=R$3,0.01,0)))</f>
        <v/>
      </c>
      <c r="S72" s="307" t="str">
        <f>IF($B72="","",IF(S$4="NÃO",0,IF(VLOOKUP($B72,FROTA!$B$5:$R$305,10,0)=S$3,0.01,0)))</f>
        <v/>
      </c>
      <c r="T72" s="307" t="str">
        <f>IF($B72="","",IF(T$4="NÃO",0,IF(VLOOKUP($B72,FROTA!$B$5:$R$305,10,0)=T$3,0.01,0)))</f>
        <v/>
      </c>
      <c r="U72" s="307" t="str">
        <f>IF($B72="","",IF(U$4="NÃO",0,IF(VLOOKUP($B72,FROTA!$B$5:$R$305,10,0)=U$3,0.01,0)))</f>
        <v/>
      </c>
      <c r="V72" s="306" t="str">
        <f t="shared" si="22"/>
        <v/>
      </c>
      <c r="W72" s="238" t="str">
        <f t="shared" si="20"/>
        <v/>
      </c>
      <c r="X72" s="576" t="str">
        <f t="shared" si="23"/>
        <v/>
      </c>
      <c r="BA72" s="581">
        <v>44905</v>
      </c>
      <c r="BB72" s="582">
        <v>2023</v>
      </c>
    </row>
    <row r="73" spans="2:54" ht="15" customHeight="1" x14ac:dyDescent="0.2">
      <c r="B73" s="192" t="str">
        <f>IF(FROTA!B74="","",FROTA!B74)</f>
        <v/>
      </c>
      <c r="C73" s="192" t="str">
        <f>IF(B73="","",FROTA!Z74)</f>
        <v/>
      </c>
      <c r="D73" s="192" t="str">
        <f>IF(B73="","",VLOOKUP(B73,FROTA!$B$5:$C$310,2,0))</f>
        <v/>
      </c>
      <c r="E73" s="233" t="str">
        <f>IF(D73="","",VLOOKUP(D73,ESCALA!$B$3:$H$19,7,0))</f>
        <v/>
      </c>
      <c r="F73" s="219" t="s">
        <v>222</v>
      </c>
      <c r="G73" s="305" t="str">
        <f t="shared" si="21"/>
        <v/>
      </c>
      <c r="H73" s="314" t="str">
        <f>IF($B73="","",IF(H$4="NÃO",0,IF(VLOOKUP($B73,FROTA!$B$5:$R$305,17,0)=H$3,0.02,0)))</f>
        <v/>
      </c>
      <c r="I73" s="193" t="str">
        <f>IF($B73="","",IF(I$4="NÃO",0,IF(VLOOKUP($B73,FROTA!$B$5:$R$305,17,0)=I$3,0.02,0)))</f>
        <v/>
      </c>
      <c r="J73" s="193" t="str">
        <f>IF($B73="","",IF(J$4="NÃO",0,IF(VLOOKUP($B73,FROTA!$B$5:$R$305,17,0)=J$3,0.02,0)))</f>
        <v/>
      </c>
      <c r="K73" s="193" t="str">
        <f>IF($B73="","",IF(K$4="NÃO",0,IF(VLOOKUP($B73,FROTA!$B$5:$R$305,17,0)=K$3,0.02,0)))</f>
        <v/>
      </c>
      <c r="L73" s="193" t="str">
        <f>IF($B73="","",IF(L$4="NÃO",0,IF(VLOOKUP($B73,FROTA!$B$5:$R$305,17,0)=L$3,0.02,0)))</f>
        <v/>
      </c>
      <c r="M73" s="193" t="str">
        <f>IF($B73="","",IF(M$4="NÃO",0,IF(VLOOKUP($B73,FROTA!$B$5:$R$305,17,0)=M$3,0.02,0)))</f>
        <v/>
      </c>
      <c r="N73" s="193" t="str">
        <f>IF($B73="","",IF(M$4="NÃO",0,IF(VLOOKUP($B73,FROTA!$B$5:$R$305,17,0)=N$3,0.02,0)))</f>
        <v/>
      </c>
      <c r="O73" s="311" t="str">
        <f>IF($B73="","",IF(O$4="NÃO",0,IF(VLOOKUP($B73,FROTA!$B$5:$R$305,10,0)=O$3,0.01,0)))</f>
        <v/>
      </c>
      <c r="P73" s="307" t="str">
        <f>IF($B73="","",IF(P$4="NÃO",0,IF(VLOOKUP($B73,FROTA!$B$5:$R$305,10,0)=P$3,0.01,0)))</f>
        <v/>
      </c>
      <c r="Q73" s="307" t="str">
        <f>IF($B73="","",IF(Q$4="NÃO",0,IF(VLOOKUP($B73,FROTA!$B$5:$R$305,10,0)=Q$3,0.01,0)))</f>
        <v/>
      </c>
      <c r="R73" s="307" t="str">
        <f>IF($B73="","",IF(R$4="NÃO",0,IF(VLOOKUP($B73,FROTA!$B$5:$R$305,10,0)=R$3,0.01,0)))</f>
        <v/>
      </c>
      <c r="S73" s="307" t="str">
        <f>IF($B73="","",IF(S$4="NÃO",0,IF(VLOOKUP($B73,FROTA!$B$5:$R$305,10,0)=S$3,0.01,0)))</f>
        <v/>
      </c>
      <c r="T73" s="307" t="str">
        <f>IF($B73="","",IF(T$4="NÃO",0,IF(VLOOKUP($B73,FROTA!$B$5:$R$305,10,0)=T$3,0.01,0)))</f>
        <v/>
      </c>
      <c r="U73" s="307" t="str">
        <f>IF($B73="","",IF(U$4="NÃO",0,IF(VLOOKUP($B73,FROTA!$B$5:$R$305,10,0)=U$3,0.01,0)))</f>
        <v/>
      </c>
      <c r="V73" s="306" t="str">
        <f t="shared" si="22"/>
        <v/>
      </c>
      <c r="W73" s="238" t="str">
        <f t="shared" si="20"/>
        <v/>
      </c>
      <c r="X73" s="576" t="str">
        <f t="shared" si="23"/>
        <v/>
      </c>
      <c r="BA73" s="581">
        <v>44906</v>
      </c>
      <c r="BB73" s="582">
        <v>2023</v>
      </c>
    </row>
    <row r="74" spans="2:54" ht="15" customHeight="1" x14ac:dyDescent="0.2">
      <c r="B74" s="192" t="str">
        <f>IF(FROTA!B75="","",FROTA!B75)</f>
        <v/>
      </c>
      <c r="C74" s="192" t="str">
        <f>IF(B74="","",FROTA!Z75)</f>
        <v/>
      </c>
      <c r="D74" s="192" t="str">
        <f>IF(B74="","",VLOOKUP(B74,FROTA!$B$5:$C$310,2,0))</f>
        <v/>
      </c>
      <c r="E74" s="233" t="str">
        <f>IF(D74="","",VLOOKUP(D74,ESCALA!$B$3:$H$19,7,0))</f>
        <v/>
      </c>
      <c r="F74" s="219" t="s">
        <v>222</v>
      </c>
      <c r="G74" s="305" t="str">
        <f t="shared" si="21"/>
        <v/>
      </c>
      <c r="H74" s="314" t="str">
        <f>IF($B74="","",IF(H$4="NÃO",0,IF(VLOOKUP($B74,FROTA!$B$5:$R$305,17,0)=H$3,0.02,0)))</f>
        <v/>
      </c>
      <c r="I74" s="193" t="str">
        <f>IF($B74="","",IF(I$4="NÃO",0,IF(VLOOKUP($B74,FROTA!$B$5:$R$305,17,0)=I$3,0.02,0)))</f>
        <v/>
      </c>
      <c r="J74" s="193" t="str">
        <f>IF($B74="","",IF(J$4="NÃO",0,IF(VLOOKUP($B74,FROTA!$B$5:$R$305,17,0)=J$3,0.02,0)))</f>
        <v/>
      </c>
      <c r="K74" s="193" t="str">
        <f>IF($B74="","",IF(K$4="NÃO",0,IF(VLOOKUP($B74,FROTA!$B$5:$R$305,17,0)=K$3,0.02,0)))</f>
        <v/>
      </c>
      <c r="L74" s="193" t="str">
        <f>IF($B74="","",IF(L$4="NÃO",0,IF(VLOOKUP($B74,FROTA!$B$5:$R$305,17,0)=L$3,0.02,0)))</f>
        <v/>
      </c>
      <c r="M74" s="193" t="str">
        <f>IF($B74="","",IF(M$4="NÃO",0,IF(VLOOKUP($B74,FROTA!$B$5:$R$305,17,0)=M$3,0.02,0)))</f>
        <v/>
      </c>
      <c r="N74" s="193" t="str">
        <f>IF($B74="","",IF(M$4="NÃO",0,IF(VLOOKUP($B74,FROTA!$B$5:$R$305,17,0)=N$3,0.02,0)))</f>
        <v/>
      </c>
      <c r="O74" s="311" t="str">
        <f>IF($B74="","",IF(O$4="NÃO",0,IF(VLOOKUP($B74,FROTA!$B$5:$R$305,10,0)=O$3,0.01,0)))</f>
        <v/>
      </c>
      <c r="P74" s="307" t="str">
        <f>IF($B74="","",IF(P$4="NÃO",0,IF(VLOOKUP($B74,FROTA!$B$5:$R$305,10,0)=P$3,0.01,0)))</f>
        <v/>
      </c>
      <c r="Q74" s="307" t="str">
        <f>IF($B74="","",IF(Q$4="NÃO",0,IF(VLOOKUP($B74,FROTA!$B$5:$R$305,10,0)=Q$3,0.01,0)))</f>
        <v/>
      </c>
      <c r="R74" s="307" t="str">
        <f>IF($B74="","",IF(R$4="NÃO",0,IF(VLOOKUP($B74,FROTA!$B$5:$R$305,10,0)=R$3,0.01,0)))</f>
        <v/>
      </c>
      <c r="S74" s="307" t="str">
        <f>IF($B74="","",IF(S$4="NÃO",0,IF(VLOOKUP($B74,FROTA!$B$5:$R$305,10,0)=S$3,0.01,0)))</f>
        <v/>
      </c>
      <c r="T74" s="307" t="str">
        <f>IF($B74="","",IF(T$4="NÃO",0,IF(VLOOKUP($B74,FROTA!$B$5:$R$305,10,0)=T$3,0.01,0)))</f>
        <v/>
      </c>
      <c r="U74" s="307" t="str">
        <f>IF($B74="","",IF(U$4="NÃO",0,IF(VLOOKUP($B74,FROTA!$B$5:$R$305,10,0)=U$3,0.01,0)))</f>
        <v/>
      </c>
      <c r="V74" s="306" t="str">
        <f t="shared" si="22"/>
        <v/>
      </c>
      <c r="W74" s="238" t="str">
        <f t="shared" si="20"/>
        <v/>
      </c>
      <c r="X74" s="576" t="str">
        <f t="shared" si="23"/>
        <v/>
      </c>
      <c r="BA74" s="581">
        <v>44907</v>
      </c>
      <c r="BB74" s="582">
        <v>2023</v>
      </c>
    </row>
    <row r="75" spans="2:54" ht="15" customHeight="1" x14ac:dyDescent="0.2">
      <c r="B75" s="192" t="str">
        <f>IF(FROTA!B76="","",FROTA!B76)</f>
        <v/>
      </c>
      <c r="C75" s="192" t="str">
        <f>IF(B75="","",FROTA!Z76)</f>
        <v/>
      </c>
      <c r="D75" s="192" t="str">
        <f>IF(B75="","",VLOOKUP(B75,FROTA!$B$5:$C$310,2,0))</f>
        <v/>
      </c>
      <c r="E75" s="233" t="str">
        <f>IF(D75="","",VLOOKUP(D75,ESCALA!$B$3:$H$19,7,0))</f>
        <v/>
      </c>
      <c r="F75" s="219" t="s">
        <v>222</v>
      </c>
      <c r="G75" s="305" t="str">
        <f t="shared" si="21"/>
        <v/>
      </c>
      <c r="H75" s="314" t="str">
        <f>IF($B75="","",IF(H$4="NÃO",0,IF(VLOOKUP($B75,FROTA!$B$5:$R$305,17,0)=H$3,0.02,0)))</f>
        <v/>
      </c>
      <c r="I75" s="193" t="str">
        <f>IF($B75="","",IF(I$4="NÃO",0,IF(VLOOKUP($B75,FROTA!$B$5:$R$305,17,0)=I$3,0.02,0)))</f>
        <v/>
      </c>
      <c r="J75" s="193" t="str">
        <f>IF($B75="","",IF(J$4="NÃO",0,IF(VLOOKUP($B75,FROTA!$B$5:$R$305,17,0)=J$3,0.02,0)))</f>
        <v/>
      </c>
      <c r="K75" s="193" t="str">
        <f>IF($B75="","",IF(K$4="NÃO",0,IF(VLOOKUP($B75,FROTA!$B$5:$R$305,17,0)=K$3,0.02,0)))</f>
        <v/>
      </c>
      <c r="L75" s="193" t="str">
        <f>IF($B75="","",IF(L$4="NÃO",0,IF(VLOOKUP($B75,FROTA!$B$5:$R$305,17,0)=L$3,0.02,0)))</f>
        <v/>
      </c>
      <c r="M75" s="193" t="str">
        <f>IF($B75="","",IF(M$4="NÃO",0,IF(VLOOKUP($B75,FROTA!$B$5:$R$305,17,0)=M$3,0.02,0)))</f>
        <v/>
      </c>
      <c r="N75" s="193" t="str">
        <f>IF($B75="","",IF(M$4="NÃO",0,IF(VLOOKUP($B75,FROTA!$B$5:$R$305,17,0)=N$3,0.02,0)))</f>
        <v/>
      </c>
      <c r="O75" s="311" t="str">
        <f>IF($B75="","",IF(O$4="NÃO",0,IF(VLOOKUP($B75,FROTA!$B$5:$R$305,10,0)=O$3,0.01,0)))</f>
        <v/>
      </c>
      <c r="P75" s="307" t="str">
        <f>IF($B75="","",IF(P$4="NÃO",0,IF(VLOOKUP($B75,FROTA!$B$5:$R$305,10,0)=P$3,0.01,0)))</f>
        <v/>
      </c>
      <c r="Q75" s="307" t="str">
        <f>IF($B75="","",IF(Q$4="NÃO",0,IF(VLOOKUP($B75,FROTA!$B$5:$R$305,10,0)=Q$3,0.01,0)))</f>
        <v/>
      </c>
      <c r="R75" s="307" t="str">
        <f>IF($B75="","",IF(R$4="NÃO",0,IF(VLOOKUP($B75,FROTA!$B$5:$R$305,10,0)=R$3,0.01,0)))</f>
        <v/>
      </c>
      <c r="S75" s="307" t="str">
        <f>IF($B75="","",IF(S$4="NÃO",0,IF(VLOOKUP($B75,FROTA!$B$5:$R$305,10,0)=S$3,0.01,0)))</f>
        <v/>
      </c>
      <c r="T75" s="307" t="str">
        <f>IF($B75="","",IF(T$4="NÃO",0,IF(VLOOKUP($B75,FROTA!$B$5:$R$305,10,0)=T$3,0.01,0)))</f>
        <v/>
      </c>
      <c r="U75" s="307" t="str">
        <f>IF($B75="","",IF(U$4="NÃO",0,IF(VLOOKUP($B75,FROTA!$B$5:$R$305,10,0)=U$3,0.01,0)))</f>
        <v/>
      </c>
      <c r="V75" s="306" t="str">
        <f t="shared" si="22"/>
        <v/>
      </c>
      <c r="W75" s="238" t="str">
        <f t="shared" si="20"/>
        <v/>
      </c>
      <c r="X75" s="576" t="str">
        <f t="shared" si="23"/>
        <v/>
      </c>
      <c r="BA75" s="581">
        <v>44908</v>
      </c>
      <c r="BB75" s="582">
        <v>2023</v>
      </c>
    </row>
    <row r="76" spans="2:54" ht="15" customHeight="1" x14ac:dyDescent="0.2">
      <c r="B76" s="192" t="str">
        <f>IF(FROTA!B77="","",FROTA!B77)</f>
        <v/>
      </c>
      <c r="C76" s="192" t="str">
        <f>IF(B76="","",FROTA!Z77)</f>
        <v/>
      </c>
      <c r="D76" s="192" t="str">
        <f>IF(B76="","",VLOOKUP(B76,FROTA!$B$5:$C$310,2,0))</f>
        <v/>
      </c>
      <c r="E76" s="233" t="str">
        <f>IF(D76="","",VLOOKUP(D76,ESCALA!$B$3:$H$19,7,0))</f>
        <v/>
      </c>
      <c r="F76" s="219" t="s">
        <v>222</v>
      </c>
      <c r="G76" s="305" t="str">
        <f t="shared" si="21"/>
        <v/>
      </c>
      <c r="H76" s="314" t="str">
        <f>IF($B76="","",IF(H$4="NÃO",0,IF(VLOOKUP($B76,FROTA!$B$5:$R$305,17,0)=H$3,0.02,0)))</f>
        <v/>
      </c>
      <c r="I76" s="193" t="str">
        <f>IF($B76="","",IF(I$4="NÃO",0,IF(VLOOKUP($B76,FROTA!$B$5:$R$305,17,0)=I$3,0.02,0)))</f>
        <v/>
      </c>
      <c r="J76" s="193" t="str">
        <f>IF($B76="","",IF(J$4="NÃO",0,IF(VLOOKUP($B76,FROTA!$B$5:$R$305,17,0)=J$3,0.02,0)))</f>
        <v/>
      </c>
      <c r="K76" s="193" t="str">
        <f>IF($B76="","",IF(K$4="NÃO",0,IF(VLOOKUP($B76,FROTA!$B$5:$R$305,17,0)=K$3,0.02,0)))</f>
        <v/>
      </c>
      <c r="L76" s="193" t="str">
        <f>IF($B76="","",IF(L$4="NÃO",0,IF(VLOOKUP($B76,FROTA!$B$5:$R$305,17,0)=L$3,0.02,0)))</f>
        <v/>
      </c>
      <c r="M76" s="193" t="str">
        <f>IF($B76="","",IF(M$4="NÃO",0,IF(VLOOKUP($B76,FROTA!$B$5:$R$305,17,0)=M$3,0.02,0)))</f>
        <v/>
      </c>
      <c r="N76" s="193" t="str">
        <f>IF($B76="","",IF(M$4="NÃO",0,IF(VLOOKUP($B76,FROTA!$B$5:$R$305,17,0)=N$3,0.02,0)))</f>
        <v/>
      </c>
      <c r="O76" s="311" t="str">
        <f>IF($B76="","",IF(O$4="NÃO",0,IF(VLOOKUP($B76,FROTA!$B$5:$R$305,10,0)=O$3,0.01,0)))</f>
        <v/>
      </c>
      <c r="P76" s="307" t="str">
        <f>IF($B76="","",IF(P$4="NÃO",0,IF(VLOOKUP($B76,FROTA!$B$5:$R$305,10,0)=P$3,0.01,0)))</f>
        <v/>
      </c>
      <c r="Q76" s="307" t="str">
        <f>IF($B76="","",IF(Q$4="NÃO",0,IF(VLOOKUP($B76,FROTA!$B$5:$R$305,10,0)=Q$3,0.01,0)))</f>
        <v/>
      </c>
      <c r="R76" s="307" t="str">
        <f>IF($B76="","",IF(R$4="NÃO",0,IF(VLOOKUP($B76,FROTA!$B$5:$R$305,10,0)=R$3,0.01,0)))</f>
        <v/>
      </c>
      <c r="S76" s="307" t="str">
        <f>IF($B76="","",IF(S$4="NÃO",0,IF(VLOOKUP($B76,FROTA!$B$5:$R$305,10,0)=S$3,0.01,0)))</f>
        <v/>
      </c>
      <c r="T76" s="307" t="str">
        <f>IF($B76="","",IF(T$4="NÃO",0,IF(VLOOKUP($B76,FROTA!$B$5:$R$305,10,0)=T$3,0.01,0)))</f>
        <v/>
      </c>
      <c r="U76" s="307" t="str">
        <f>IF($B76="","",IF(U$4="NÃO",0,IF(VLOOKUP($B76,FROTA!$B$5:$R$305,10,0)=U$3,0.01,0)))</f>
        <v/>
      </c>
      <c r="V76" s="306" t="str">
        <f t="shared" si="22"/>
        <v/>
      </c>
      <c r="W76" s="238" t="str">
        <f t="shared" si="20"/>
        <v/>
      </c>
      <c r="X76" s="576" t="str">
        <f t="shared" si="23"/>
        <v/>
      </c>
      <c r="BA76" s="581">
        <v>44909</v>
      </c>
      <c r="BB76" s="582">
        <v>2023</v>
      </c>
    </row>
    <row r="77" spans="2:54" ht="15" customHeight="1" x14ac:dyDescent="0.2">
      <c r="B77" s="192" t="str">
        <f>IF(FROTA!B78="","",FROTA!B78)</f>
        <v/>
      </c>
      <c r="C77" s="192" t="str">
        <f>IF(B77="","",FROTA!Z78)</f>
        <v/>
      </c>
      <c r="D77" s="192" t="str">
        <f>IF(B77="","",VLOOKUP(B77,FROTA!$B$5:$C$310,2,0))</f>
        <v/>
      </c>
      <c r="E77" s="233" t="str">
        <f>IF(D77="","",VLOOKUP(D77,ESCALA!$B$3:$H$19,7,0))</f>
        <v/>
      </c>
      <c r="F77" s="219" t="s">
        <v>222</v>
      </c>
      <c r="G77" s="305" t="str">
        <f t="shared" si="21"/>
        <v/>
      </c>
      <c r="H77" s="314" t="str">
        <f>IF($B77="","",IF(H$4="NÃO",0,IF(VLOOKUP($B77,FROTA!$B$5:$R$305,17,0)=H$3,0.02,0)))</f>
        <v/>
      </c>
      <c r="I77" s="193" t="str">
        <f>IF($B77="","",IF(I$4="NÃO",0,IF(VLOOKUP($B77,FROTA!$B$5:$R$305,17,0)=I$3,0.02,0)))</f>
        <v/>
      </c>
      <c r="J77" s="193" t="str">
        <f>IF($B77="","",IF(J$4="NÃO",0,IF(VLOOKUP($B77,FROTA!$B$5:$R$305,17,0)=J$3,0.02,0)))</f>
        <v/>
      </c>
      <c r="K77" s="193" t="str">
        <f>IF($B77="","",IF(K$4="NÃO",0,IF(VLOOKUP($B77,FROTA!$B$5:$R$305,17,0)=K$3,0.02,0)))</f>
        <v/>
      </c>
      <c r="L77" s="193" t="str">
        <f>IF($B77="","",IF(L$4="NÃO",0,IF(VLOOKUP($B77,FROTA!$B$5:$R$305,17,0)=L$3,0.02,0)))</f>
        <v/>
      </c>
      <c r="M77" s="193" t="str">
        <f>IF($B77="","",IF(M$4="NÃO",0,IF(VLOOKUP($B77,FROTA!$B$5:$R$305,17,0)=M$3,0.02,0)))</f>
        <v/>
      </c>
      <c r="N77" s="193" t="str">
        <f>IF($B77="","",IF(M$4="NÃO",0,IF(VLOOKUP($B77,FROTA!$B$5:$R$305,17,0)=N$3,0.02,0)))</f>
        <v/>
      </c>
      <c r="O77" s="311" t="str">
        <f>IF($B77="","",IF(O$4="NÃO",0,IF(VLOOKUP($B77,FROTA!$B$5:$R$305,10,0)=O$3,0.01,0)))</f>
        <v/>
      </c>
      <c r="P77" s="307" t="str">
        <f>IF($B77="","",IF(P$4="NÃO",0,IF(VLOOKUP($B77,FROTA!$B$5:$R$305,10,0)=P$3,0.01,0)))</f>
        <v/>
      </c>
      <c r="Q77" s="307" t="str">
        <f>IF($B77="","",IF(Q$4="NÃO",0,IF(VLOOKUP($B77,FROTA!$B$5:$R$305,10,0)=Q$3,0.01,0)))</f>
        <v/>
      </c>
      <c r="R77" s="307" t="str">
        <f>IF($B77="","",IF(R$4="NÃO",0,IF(VLOOKUP($B77,FROTA!$B$5:$R$305,10,0)=R$3,0.01,0)))</f>
        <v/>
      </c>
      <c r="S77" s="307" t="str">
        <f>IF($B77="","",IF(S$4="NÃO",0,IF(VLOOKUP($B77,FROTA!$B$5:$R$305,10,0)=S$3,0.01,0)))</f>
        <v/>
      </c>
      <c r="T77" s="307" t="str">
        <f>IF($B77="","",IF(T$4="NÃO",0,IF(VLOOKUP($B77,FROTA!$B$5:$R$305,10,0)=T$3,0.01,0)))</f>
        <v/>
      </c>
      <c r="U77" s="307" t="str">
        <f>IF($B77="","",IF(U$4="NÃO",0,IF(VLOOKUP($B77,FROTA!$B$5:$R$305,10,0)=U$3,0.01,0)))</f>
        <v/>
      </c>
      <c r="V77" s="306" t="str">
        <f t="shared" si="22"/>
        <v/>
      </c>
      <c r="W77" s="238" t="str">
        <f t="shared" si="20"/>
        <v/>
      </c>
      <c r="X77" s="576" t="str">
        <f t="shared" si="23"/>
        <v/>
      </c>
      <c r="BA77" s="581">
        <v>44910</v>
      </c>
      <c r="BB77" s="582">
        <v>2023</v>
      </c>
    </row>
    <row r="78" spans="2:54" ht="15" customHeight="1" x14ac:dyDescent="0.2">
      <c r="B78" s="192" t="str">
        <f>IF(FROTA!B79="","",FROTA!B79)</f>
        <v/>
      </c>
      <c r="C78" s="192" t="str">
        <f>IF(B78="","",FROTA!Z79)</f>
        <v/>
      </c>
      <c r="D78" s="192" t="str">
        <f>IF(B78="","",VLOOKUP(B78,FROTA!$B$5:$C$310,2,0))</f>
        <v/>
      </c>
      <c r="E78" s="233" t="str">
        <f>IF(D78="","",VLOOKUP(D78,ESCALA!$B$3:$H$19,7,0))</f>
        <v/>
      </c>
      <c r="F78" s="219" t="s">
        <v>222</v>
      </c>
      <c r="G78" s="305" t="str">
        <f t="shared" si="21"/>
        <v/>
      </c>
      <c r="H78" s="314" t="str">
        <f>IF($B78="","",IF(H$4="NÃO",0,IF(VLOOKUP($B78,FROTA!$B$5:$R$305,17,0)=H$3,0.02,0)))</f>
        <v/>
      </c>
      <c r="I78" s="193" t="str">
        <f>IF($B78="","",IF(I$4="NÃO",0,IF(VLOOKUP($B78,FROTA!$B$5:$R$305,17,0)=I$3,0.02,0)))</f>
        <v/>
      </c>
      <c r="J78" s="193" t="str">
        <f>IF($B78="","",IF(J$4="NÃO",0,IF(VLOOKUP($B78,FROTA!$B$5:$R$305,17,0)=J$3,0.02,0)))</f>
        <v/>
      </c>
      <c r="K78" s="193" t="str">
        <f>IF($B78="","",IF(K$4="NÃO",0,IF(VLOOKUP($B78,FROTA!$B$5:$R$305,17,0)=K$3,0.02,0)))</f>
        <v/>
      </c>
      <c r="L78" s="193" t="str">
        <f>IF($B78="","",IF(L$4="NÃO",0,IF(VLOOKUP($B78,FROTA!$B$5:$R$305,17,0)=L$3,0.02,0)))</f>
        <v/>
      </c>
      <c r="M78" s="193" t="str">
        <f>IF($B78="","",IF(M$4="NÃO",0,IF(VLOOKUP($B78,FROTA!$B$5:$R$305,17,0)=M$3,0.02,0)))</f>
        <v/>
      </c>
      <c r="N78" s="193" t="str">
        <f>IF($B78="","",IF(M$4="NÃO",0,IF(VLOOKUP($B78,FROTA!$B$5:$R$305,17,0)=N$3,0.02,0)))</f>
        <v/>
      </c>
      <c r="O78" s="311" t="str">
        <f>IF($B78="","",IF(O$4="NÃO",0,IF(VLOOKUP($B78,FROTA!$B$5:$R$305,10,0)=O$3,0.01,0)))</f>
        <v/>
      </c>
      <c r="P78" s="307" t="str">
        <f>IF($B78="","",IF(P$4="NÃO",0,IF(VLOOKUP($B78,FROTA!$B$5:$R$305,10,0)=P$3,0.01,0)))</f>
        <v/>
      </c>
      <c r="Q78" s="307" t="str">
        <f>IF($B78="","",IF(Q$4="NÃO",0,IF(VLOOKUP($B78,FROTA!$B$5:$R$305,10,0)=Q$3,0.01,0)))</f>
        <v/>
      </c>
      <c r="R78" s="307" t="str">
        <f>IF($B78="","",IF(R$4="NÃO",0,IF(VLOOKUP($B78,FROTA!$B$5:$R$305,10,0)=R$3,0.01,0)))</f>
        <v/>
      </c>
      <c r="S78" s="307" t="str">
        <f>IF($B78="","",IF(S$4="NÃO",0,IF(VLOOKUP($B78,FROTA!$B$5:$R$305,10,0)=S$3,0.01,0)))</f>
        <v/>
      </c>
      <c r="T78" s="307" t="str">
        <f>IF($B78="","",IF(T$4="NÃO",0,IF(VLOOKUP($B78,FROTA!$B$5:$R$305,10,0)=T$3,0.01,0)))</f>
        <v/>
      </c>
      <c r="U78" s="307" t="str">
        <f>IF($B78="","",IF(U$4="NÃO",0,IF(VLOOKUP($B78,FROTA!$B$5:$R$305,10,0)=U$3,0.01,0)))</f>
        <v/>
      </c>
      <c r="V78" s="306" t="str">
        <f t="shared" si="22"/>
        <v/>
      </c>
      <c r="W78" s="238" t="str">
        <f t="shared" si="20"/>
        <v/>
      </c>
      <c r="X78" s="576" t="str">
        <f t="shared" si="23"/>
        <v/>
      </c>
      <c r="BA78" s="581">
        <v>44911</v>
      </c>
      <c r="BB78" s="582">
        <v>2023</v>
      </c>
    </row>
    <row r="79" spans="2:54" ht="15" customHeight="1" x14ac:dyDescent="0.2">
      <c r="B79" s="192" t="str">
        <f>IF(FROTA!B80="","",FROTA!B80)</f>
        <v/>
      </c>
      <c r="C79" s="192" t="str">
        <f>IF(B79="","",FROTA!Z80)</f>
        <v/>
      </c>
      <c r="D79" s="192" t="str">
        <f>IF(B79="","",VLOOKUP(B79,FROTA!$B$5:$C$310,2,0))</f>
        <v/>
      </c>
      <c r="E79" s="233" t="str">
        <f>IF(D79="","",VLOOKUP(D79,ESCALA!$B$3:$H$19,7,0))</f>
        <v/>
      </c>
      <c r="F79" s="219" t="s">
        <v>222</v>
      </c>
      <c r="G79" s="305" t="str">
        <f t="shared" si="21"/>
        <v/>
      </c>
      <c r="H79" s="314" t="str">
        <f>IF($B79="","",IF(H$4="NÃO",0,IF(VLOOKUP($B79,FROTA!$B$5:$R$305,17,0)=H$3,0.02,0)))</f>
        <v/>
      </c>
      <c r="I79" s="193" t="str">
        <f>IF($B79="","",IF(I$4="NÃO",0,IF(VLOOKUP($B79,FROTA!$B$5:$R$305,17,0)=I$3,0.02,0)))</f>
        <v/>
      </c>
      <c r="J79" s="193" t="str">
        <f>IF($B79="","",IF(J$4="NÃO",0,IF(VLOOKUP($B79,FROTA!$B$5:$R$305,17,0)=J$3,0.02,0)))</f>
        <v/>
      </c>
      <c r="K79" s="193" t="str">
        <f>IF($B79="","",IF(K$4="NÃO",0,IF(VLOOKUP($B79,FROTA!$B$5:$R$305,17,0)=K$3,0.02,0)))</f>
        <v/>
      </c>
      <c r="L79" s="193" t="str">
        <f>IF($B79="","",IF(L$4="NÃO",0,IF(VLOOKUP($B79,FROTA!$B$5:$R$305,17,0)=L$3,0.02,0)))</f>
        <v/>
      </c>
      <c r="M79" s="193" t="str">
        <f>IF($B79="","",IF(M$4="NÃO",0,IF(VLOOKUP($B79,FROTA!$B$5:$R$305,17,0)=M$3,0.02,0)))</f>
        <v/>
      </c>
      <c r="N79" s="193" t="str">
        <f>IF($B79="","",IF(M$4="NÃO",0,IF(VLOOKUP($B79,FROTA!$B$5:$R$305,17,0)=N$3,0.02,0)))</f>
        <v/>
      </c>
      <c r="O79" s="311" t="str">
        <f>IF($B79="","",IF(O$4="NÃO",0,IF(VLOOKUP($B79,FROTA!$B$5:$R$305,10,0)=O$3,0.01,0)))</f>
        <v/>
      </c>
      <c r="P79" s="307" t="str">
        <f>IF($B79="","",IF(P$4="NÃO",0,IF(VLOOKUP($B79,FROTA!$B$5:$R$305,10,0)=P$3,0.01,0)))</f>
        <v/>
      </c>
      <c r="Q79" s="307" t="str">
        <f>IF($B79="","",IF(Q$4="NÃO",0,IF(VLOOKUP($B79,FROTA!$B$5:$R$305,10,0)=Q$3,0.01,0)))</f>
        <v/>
      </c>
      <c r="R79" s="307" t="str">
        <f>IF($B79="","",IF(R$4="NÃO",0,IF(VLOOKUP($B79,FROTA!$B$5:$R$305,10,0)=R$3,0.01,0)))</f>
        <v/>
      </c>
      <c r="S79" s="307" t="str">
        <f>IF($B79="","",IF(S$4="NÃO",0,IF(VLOOKUP($B79,FROTA!$B$5:$R$305,10,0)=S$3,0.01,0)))</f>
        <v/>
      </c>
      <c r="T79" s="307" t="str">
        <f>IF($B79="","",IF(T$4="NÃO",0,IF(VLOOKUP($B79,FROTA!$B$5:$R$305,10,0)=T$3,0.01,0)))</f>
        <v/>
      </c>
      <c r="U79" s="307" t="str">
        <f>IF($B79="","",IF(U$4="NÃO",0,IF(VLOOKUP($B79,FROTA!$B$5:$R$305,10,0)=U$3,0.01,0)))</f>
        <v/>
      </c>
      <c r="V79" s="306" t="str">
        <f t="shared" si="22"/>
        <v/>
      </c>
      <c r="W79" s="238" t="str">
        <f t="shared" si="20"/>
        <v/>
      </c>
      <c r="X79" s="576" t="str">
        <f t="shared" si="23"/>
        <v/>
      </c>
      <c r="BA79" s="581">
        <v>44912</v>
      </c>
      <c r="BB79" s="582">
        <v>2023</v>
      </c>
    </row>
    <row r="80" spans="2:54" ht="15" customHeight="1" x14ac:dyDescent="0.2">
      <c r="B80" s="192" t="str">
        <f>IF(FROTA!B81="","",FROTA!B81)</f>
        <v/>
      </c>
      <c r="C80" s="192" t="str">
        <f>IF(B80="","",FROTA!Z81)</f>
        <v/>
      </c>
      <c r="D80" s="192" t="str">
        <f>IF(B80="","",VLOOKUP(B80,FROTA!$B$5:$C$310,2,0))</f>
        <v/>
      </c>
      <c r="E80" s="233" t="str">
        <f>IF(D80="","",VLOOKUP(D80,ESCALA!$B$3:$H$19,7,0))</f>
        <v/>
      </c>
      <c r="F80" s="219" t="s">
        <v>222</v>
      </c>
      <c r="G80" s="305" t="str">
        <f t="shared" si="21"/>
        <v/>
      </c>
      <c r="H80" s="314" t="str">
        <f>IF($B80="","",IF(H$4="NÃO",0,IF(VLOOKUP($B80,FROTA!$B$5:$R$305,17,0)=H$3,0.02,0)))</f>
        <v/>
      </c>
      <c r="I80" s="193" t="str">
        <f>IF($B80="","",IF(I$4="NÃO",0,IF(VLOOKUP($B80,FROTA!$B$5:$R$305,17,0)=I$3,0.02,0)))</f>
        <v/>
      </c>
      <c r="J80" s="193" t="str">
        <f>IF($B80="","",IF(J$4="NÃO",0,IF(VLOOKUP($B80,FROTA!$B$5:$R$305,17,0)=J$3,0.02,0)))</f>
        <v/>
      </c>
      <c r="K80" s="193" t="str">
        <f>IF($B80="","",IF(K$4="NÃO",0,IF(VLOOKUP($B80,FROTA!$B$5:$R$305,17,0)=K$3,0.02,0)))</f>
        <v/>
      </c>
      <c r="L80" s="193" t="str">
        <f>IF($B80="","",IF(L$4="NÃO",0,IF(VLOOKUP($B80,FROTA!$B$5:$R$305,17,0)=L$3,0.02,0)))</f>
        <v/>
      </c>
      <c r="M80" s="193" t="str">
        <f>IF($B80="","",IF(M$4="NÃO",0,IF(VLOOKUP($B80,FROTA!$B$5:$R$305,17,0)=M$3,0.02,0)))</f>
        <v/>
      </c>
      <c r="N80" s="193" t="str">
        <f>IF($B80="","",IF(M$4="NÃO",0,IF(VLOOKUP($B80,FROTA!$B$5:$R$305,17,0)=N$3,0.02,0)))</f>
        <v/>
      </c>
      <c r="O80" s="311" t="str">
        <f>IF($B80="","",IF(O$4="NÃO",0,IF(VLOOKUP($B80,FROTA!$B$5:$R$305,10,0)=O$3,0.01,0)))</f>
        <v/>
      </c>
      <c r="P80" s="307" t="str">
        <f>IF($B80="","",IF(P$4="NÃO",0,IF(VLOOKUP($B80,FROTA!$B$5:$R$305,10,0)=P$3,0.01,0)))</f>
        <v/>
      </c>
      <c r="Q80" s="307" t="str">
        <f>IF($B80="","",IF(Q$4="NÃO",0,IF(VLOOKUP($B80,FROTA!$B$5:$R$305,10,0)=Q$3,0.01,0)))</f>
        <v/>
      </c>
      <c r="R80" s="307" t="str">
        <f>IF($B80="","",IF(R$4="NÃO",0,IF(VLOOKUP($B80,FROTA!$B$5:$R$305,10,0)=R$3,0.01,0)))</f>
        <v/>
      </c>
      <c r="S80" s="307" t="str">
        <f>IF($B80="","",IF(S$4="NÃO",0,IF(VLOOKUP($B80,FROTA!$B$5:$R$305,10,0)=S$3,0.01,0)))</f>
        <v/>
      </c>
      <c r="T80" s="307" t="str">
        <f>IF($B80="","",IF(T$4="NÃO",0,IF(VLOOKUP($B80,FROTA!$B$5:$R$305,10,0)=T$3,0.01,0)))</f>
        <v/>
      </c>
      <c r="U80" s="307" t="str">
        <f>IF($B80="","",IF(U$4="NÃO",0,IF(VLOOKUP($B80,FROTA!$B$5:$R$305,10,0)=U$3,0.01,0)))</f>
        <v/>
      </c>
      <c r="V80" s="306" t="str">
        <f t="shared" si="22"/>
        <v/>
      </c>
      <c r="W80" s="238" t="str">
        <f t="shared" si="20"/>
        <v/>
      </c>
      <c r="X80" s="576" t="str">
        <f t="shared" si="23"/>
        <v/>
      </c>
      <c r="BA80" s="581">
        <v>44913</v>
      </c>
      <c r="BB80" s="582">
        <v>2023</v>
      </c>
    </row>
    <row r="81" spans="2:54" ht="15" customHeight="1" x14ac:dyDescent="0.2">
      <c r="B81" s="192" t="str">
        <f>IF(FROTA!B82="","",FROTA!B82)</f>
        <v/>
      </c>
      <c r="C81" s="192" t="str">
        <f>IF(B81="","",FROTA!Z82)</f>
        <v/>
      </c>
      <c r="D81" s="192" t="str">
        <f>IF(B81="","",VLOOKUP(B81,FROTA!$B$5:$C$310,2,0))</f>
        <v/>
      </c>
      <c r="E81" s="233" t="str">
        <f>IF(D81="","",VLOOKUP(D81,ESCALA!$B$3:$H$19,7,0))</f>
        <v/>
      </c>
      <c r="F81" s="219" t="s">
        <v>222</v>
      </c>
      <c r="G81" s="305" t="str">
        <f t="shared" si="21"/>
        <v/>
      </c>
      <c r="H81" s="314" t="str">
        <f>IF($B81="","",IF(H$4="NÃO",0,IF(VLOOKUP($B81,FROTA!$B$5:$R$305,17,0)=H$3,0.02,0)))</f>
        <v/>
      </c>
      <c r="I81" s="193" t="str">
        <f>IF($B81="","",IF(I$4="NÃO",0,IF(VLOOKUP($B81,FROTA!$B$5:$R$305,17,0)=I$3,0.02,0)))</f>
        <v/>
      </c>
      <c r="J81" s="193" t="str">
        <f>IF($B81="","",IF(J$4="NÃO",0,IF(VLOOKUP($B81,FROTA!$B$5:$R$305,17,0)=J$3,0.02,0)))</f>
        <v/>
      </c>
      <c r="K81" s="193" t="str">
        <f>IF($B81="","",IF(K$4="NÃO",0,IF(VLOOKUP($B81,FROTA!$B$5:$R$305,17,0)=K$3,0.02,0)))</f>
        <v/>
      </c>
      <c r="L81" s="193" t="str">
        <f>IF($B81="","",IF(L$4="NÃO",0,IF(VLOOKUP($B81,FROTA!$B$5:$R$305,17,0)=L$3,0.02,0)))</f>
        <v/>
      </c>
      <c r="M81" s="193" t="str">
        <f>IF($B81="","",IF(M$4="NÃO",0,IF(VLOOKUP($B81,FROTA!$B$5:$R$305,17,0)=M$3,0.02,0)))</f>
        <v/>
      </c>
      <c r="N81" s="193" t="str">
        <f>IF($B81="","",IF(M$4="NÃO",0,IF(VLOOKUP($B81,FROTA!$B$5:$R$305,17,0)=N$3,0.02,0)))</f>
        <v/>
      </c>
      <c r="O81" s="311" t="str">
        <f>IF($B81="","",IF(O$4="NÃO",0,IF(VLOOKUP($B81,FROTA!$B$5:$R$305,10,0)=O$3,0.01,0)))</f>
        <v/>
      </c>
      <c r="P81" s="307" t="str">
        <f>IF($B81="","",IF(P$4="NÃO",0,IF(VLOOKUP($B81,FROTA!$B$5:$R$305,10,0)=P$3,0.01,0)))</f>
        <v/>
      </c>
      <c r="Q81" s="307" t="str">
        <f>IF($B81="","",IF(Q$4="NÃO",0,IF(VLOOKUP($B81,FROTA!$B$5:$R$305,10,0)=Q$3,0.01,0)))</f>
        <v/>
      </c>
      <c r="R81" s="307" t="str">
        <f>IF($B81="","",IF(R$4="NÃO",0,IF(VLOOKUP($B81,FROTA!$B$5:$R$305,10,0)=R$3,0.01,0)))</f>
        <v/>
      </c>
      <c r="S81" s="307" t="str">
        <f>IF($B81="","",IF(S$4="NÃO",0,IF(VLOOKUP($B81,FROTA!$B$5:$R$305,10,0)=S$3,0.01,0)))</f>
        <v/>
      </c>
      <c r="T81" s="307" t="str">
        <f>IF($B81="","",IF(T$4="NÃO",0,IF(VLOOKUP($B81,FROTA!$B$5:$R$305,10,0)=T$3,0.01,0)))</f>
        <v/>
      </c>
      <c r="U81" s="307" t="str">
        <f>IF($B81="","",IF(U$4="NÃO",0,IF(VLOOKUP($B81,FROTA!$B$5:$R$305,10,0)=U$3,0.01,0)))</f>
        <v/>
      </c>
      <c r="V81" s="306" t="str">
        <f t="shared" si="22"/>
        <v/>
      </c>
      <c r="W81" s="238" t="str">
        <f t="shared" si="20"/>
        <v/>
      </c>
      <c r="X81" s="576" t="str">
        <f t="shared" si="23"/>
        <v/>
      </c>
      <c r="BA81" s="581">
        <v>44914</v>
      </c>
      <c r="BB81" s="582">
        <v>2023</v>
      </c>
    </row>
    <row r="82" spans="2:54" ht="15" customHeight="1" x14ac:dyDescent="0.2">
      <c r="B82" s="192" t="str">
        <f>IF(FROTA!B83="","",FROTA!B83)</f>
        <v/>
      </c>
      <c r="C82" s="192" t="str">
        <f>IF(B82="","",FROTA!Z83)</f>
        <v/>
      </c>
      <c r="D82" s="192" t="str">
        <f>IF(B82="","",VLOOKUP(B82,FROTA!$B$5:$C$310,2,0))</f>
        <v/>
      </c>
      <c r="E82" s="233" t="str">
        <f>IF(D82="","",VLOOKUP(D82,ESCALA!$B$3:$H$19,7,0))</f>
        <v/>
      </c>
      <c r="F82" s="219" t="s">
        <v>222</v>
      </c>
      <c r="G82" s="305" t="str">
        <f t="shared" si="21"/>
        <v/>
      </c>
      <c r="H82" s="314" t="str">
        <f>IF($B82="","",IF(H$4="NÃO",0,IF(VLOOKUP($B82,FROTA!$B$5:$R$305,17,0)=H$3,0.02,0)))</f>
        <v/>
      </c>
      <c r="I82" s="193" t="str">
        <f>IF($B82="","",IF(I$4="NÃO",0,IF(VLOOKUP($B82,FROTA!$B$5:$R$305,17,0)=I$3,0.02,0)))</f>
        <v/>
      </c>
      <c r="J82" s="193" t="str">
        <f>IF($B82="","",IF(J$4="NÃO",0,IF(VLOOKUP($B82,FROTA!$B$5:$R$305,17,0)=J$3,0.02,0)))</f>
        <v/>
      </c>
      <c r="K82" s="193" t="str">
        <f>IF($B82="","",IF(K$4="NÃO",0,IF(VLOOKUP($B82,FROTA!$B$5:$R$305,17,0)=K$3,0.02,0)))</f>
        <v/>
      </c>
      <c r="L82" s="193" t="str">
        <f>IF($B82="","",IF(L$4="NÃO",0,IF(VLOOKUP($B82,FROTA!$B$5:$R$305,17,0)=L$3,0.02,0)))</f>
        <v/>
      </c>
      <c r="M82" s="193" t="str">
        <f>IF($B82="","",IF(M$4="NÃO",0,IF(VLOOKUP($B82,FROTA!$B$5:$R$305,17,0)=M$3,0.02,0)))</f>
        <v/>
      </c>
      <c r="N82" s="193" t="str">
        <f>IF($B82="","",IF(M$4="NÃO",0,IF(VLOOKUP($B82,FROTA!$B$5:$R$305,17,0)=N$3,0.02,0)))</f>
        <v/>
      </c>
      <c r="O82" s="311" t="str">
        <f>IF($B82="","",IF(O$4="NÃO",0,IF(VLOOKUP($B82,FROTA!$B$5:$R$305,10,0)=O$3,0.01,0)))</f>
        <v/>
      </c>
      <c r="P82" s="307" t="str">
        <f>IF($B82="","",IF(P$4="NÃO",0,IF(VLOOKUP($B82,FROTA!$B$5:$R$305,10,0)=P$3,0.01,0)))</f>
        <v/>
      </c>
      <c r="Q82" s="307" t="str">
        <f>IF($B82="","",IF(Q$4="NÃO",0,IF(VLOOKUP($B82,FROTA!$B$5:$R$305,10,0)=Q$3,0.01,0)))</f>
        <v/>
      </c>
      <c r="R82" s="307" t="str">
        <f>IF($B82="","",IF(R$4="NÃO",0,IF(VLOOKUP($B82,FROTA!$B$5:$R$305,10,0)=R$3,0.01,0)))</f>
        <v/>
      </c>
      <c r="S82" s="307" t="str">
        <f>IF($B82="","",IF(S$4="NÃO",0,IF(VLOOKUP($B82,FROTA!$B$5:$R$305,10,0)=S$3,0.01,0)))</f>
        <v/>
      </c>
      <c r="T82" s="307" t="str">
        <f>IF($B82="","",IF(T$4="NÃO",0,IF(VLOOKUP($B82,FROTA!$B$5:$R$305,10,0)=T$3,0.01,0)))</f>
        <v/>
      </c>
      <c r="U82" s="307" t="str">
        <f>IF($B82="","",IF(U$4="NÃO",0,IF(VLOOKUP($B82,FROTA!$B$5:$R$305,10,0)=U$3,0.01,0)))</f>
        <v/>
      </c>
      <c r="V82" s="306" t="str">
        <f t="shared" si="22"/>
        <v/>
      </c>
      <c r="W82" s="238" t="str">
        <f t="shared" si="20"/>
        <v/>
      </c>
      <c r="X82" s="576" t="str">
        <f t="shared" si="23"/>
        <v/>
      </c>
      <c r="BA82" s="581">
        <v>44915</v>
      </c>
      <c r="BB82" s="582">
        <v>2023</v>
      </c>
    </row>
    <row r="83" spans="2:54" ht="15" customHeight="1" x14ac:dyDescent="0.2">
      <c r="B83" s="192" t="str">
        <f>IF(FROTA!B84="","",FROTA!B84)</f>
        <v/>
      </c>
      <c r="C83" s="192" t="str">
        <f>IF(B83="","",FROTA!Z84)</f>
        <v/>
      </c>
      <c r="D83" s="192" t="str">
        <f>IF(B83="","",VLOOKUP(B83,FROTA!$B$5:$C$310,2,0))</f>
        <v/>
      </c>
      <c r="E83" s="233" t="str">
        <f>IF(D83="","",VLOOKUP(D83,ESCALA!$B$3:$H$19,7,0))</f>
        <v/>
      </c>
      <c r="F83" s="219" t="s">
        <v>222</v>
      </c>
      <c r="G83" s="305" t="str">
        <f t="shared" si="21"/>
        <v/>
      </c>
      <c r="H83" s="314" t="str">
        <f>IF($B83="","",IF(H$4="NÃO",0,IF(VLOOKUP($B83,FROTA!$B$5:$R$305,17,0)=H$3,0.02,0)))</f>
        <v/>
      </c>
      <c r="I83" s="193" t="str">
        <f>IF($B83="","",IF(I$4="NÃO",0,IF(VLOOKUP($B83,FROTA!$B$5:$R$305,17,0)=I$3,0.02,0)))</f>
        <v/>
      </c>
      <c r="J83" s="193" t="str">
        <f>IF($B83="","",IF(J$4="NÃO",0,IF(VLOOKUP($B83,FROTA!$B$5:$R$305,17,0)=J$3,0.02,0)))</f>
        <v/>
      </c>
      <c r="K83" s="193" t="str">
        <f>IF($B83="","",IF(K$4="NÃO",0,IF(VLOOKUP($B83,FROTA!$B$5:$R$305,17,0)=K$3,0.02,0)))</f>
        <v/>
      </c>
      <c r="L83" s="193" t="str">
        <f>IF($B83="","",IF(L$4="NÃO",0,IF(VLOOKUP($B83,FROTA!$B$5:$R$305,17,0)=L$3,0.02,0)))</f>
        <v/>
      </c>
      <c r="M83" s="193" t="str">
        <f>IF($B83="","",IF(M$4="NÃO",0,IF(VLOOKUP($B83,FROTA!$B$5:$R$305,17,0)=M$3,0.02,0)))</f>
        <v/>
      </c>
      <c r="N83" s="193" t="str">
        <f>IF($B83="","",IF(M$4="NÃO",0,IF(VLOOKUP($B83,FROTA!$B$5:$R$305,17,0)=N$3,0.02,0)))</f>
        <v/>
      </c>
      <c r="O83" s="311" t="str">
        <f>IF($B83="","",IF(O$4="NÃO",0,IF(VLOOKUP($B83,FROTA!$B$5:$R$305,10,0)=O$3,0.01,0)))</f>
        <v/>
      </c>
      <c r="P83" s="307" t="str">
        <f>IF($B83="","",IF(P$4="NÃO",0,IF(VLOOKUP($B83,FROTA!$B$5:$R$305,10,0)=P$3,0.01,0)))</f>
        <v/>
      </c>
      <c r="Q83" s="307" t="str">
        <f>IF($B83="","",IF(Q$4="NÃO",0,IF(VLOOKUP($B83,FROTA!$B$5:$R$305,10,0)=Q$3,0.01,0)))</f>
        <v/>
      </c>
      <c r="R83" s="307" t="str">
        <f>IF($B83="","",IF(R$4="NÃO",0,IF(VLOOKUP($B83,FROTA!$B$5:$R$305,10,0)=R$3,0.01,0)))</f>
        <v/>
      </c>
      <c r="S83" s="307" t="str">
        <f>IF($B83="","",IF(S$4="NÃO",0,IF(VLOOKUP($B83,FROTA!$B$5:$R$305,10,0)=S$3,0.01,0)))</f>
        <v/>
      </c>
      <c r="T83" s="307" t="str">
        <f>IF($B83="","",IF(T$4="NÃO",0,IF(VLOOKUP($B83,FROTA!$B$5:$R$305,10,0)=T$3,0.01,0)))</f>
        <v/>
      </c>
      <c r="U83" s="307" t="str">
        <f>IF($B83="","",IF(U$4="NÃO",0,IF(VLOOKUP($B83,FROTA!$B$5:$R$305,10,0)=U$3,0.01,0)))</f>
        <v/>
      </c>
      <c r="V83" s="306" t="str">
        <f t="shared" si="22"/>
        <v/>
      </c>
      <c r="W83" s="238" t="str">
        <f t="shared" si="20"/>
        <v/>
      </c>
      <c r="X83" s="576" t="str">
        <f t="shared" si="23"/>
        <v/>
      </c>
      <c r="BA83" s="581">
        <v>44916</v>
      </c>
      <c r="BB83" s="582">
        <v>2023</v>
      </c>
    </row>
    <row r="84" spans="2:54" ht="15" customHeight="1" x14ac:dyDescent="0.2">
      <c r="B84" s="192" t="str">
        <f>IF(FROTA!B85="","",FROTA!B85)</f>
        <v/>
      </c>
      <c r="C84" s="192" t="str">
        <f>IF(B84="","",FROTA!Z85)</f>
        <v/>
      </c>
      <c r="D84" s="192" t="str">
        <f>IF(B84="","",VLOOKUP(B84,FROTA!$B$5:$C$310,2,0))</f>
        <v/>
      </c>
      <c r="E84" s="233" t="str">
        <f>IF(D84="","",VLOOKUP(D84,ESCALA!$B$3:$H$19,7,0))</f>
        <v/>
      </c>
      <c r="F84" s="219" t="s">
        <v>222</v>
      </c>
      <c r="G84" s="305" t="str">
        <f t="shared" si="21"/>
        <v/>
      </c>
      <c r="H84" s="314" t="str">
        <f>IF($B84="","",IF(H$4="NÃO",0,IF(VLOOKUP($B84,FROTA!$B$5:$R$305,17,0)=H$3,0.02,0)))</f>
        <v/>
      </c>
      <c r="I84" s="193" t="str">
        <f>IF($B84="","",IF(I$4="NÃO",0,IF(VLOOKUP($B84,FROTA!$B$5:$R$305,17,0)=I$3,0.02,0)))</f>
        <v/>
      </c>
      <c r="J84" s="193" t="str">
        <f>IF($B84="","",IF(J$4="NÃO",0,IF(VLOOKUP($B84,FROTA!$B$5:$R$305,17,0)=J$3,0.02,0)))</f>
        <v/>
      </c>
      <c r="K84" s="193" t="str">
        <f>IF($B84="","",IF(K$4="NÃO",0,IF(VLOOKUP($B84,FROTA!$B$5:$R$305,17,0)=K$3,0.02,0)))</f>
        <v/>
      </c>
      <c r="L84" s="193" t="str">
        <f>IF($B84="","",IF(L$4="NÃO",0,IF(VLOOKUP($B84,FROTA!$B$5:$R$305,17,0)=L$3,0.02,0)))</f>
        <v/>
      </c>
      <c r="M84" s="193" t="str">
        <f>IF($B84="","",IF(M$4="NÃO",0,IF(VLOOKUP($B84,FROTA!$B$5:$R$305,17,0)=M$3,0.02,0)))</f>
        <v/>
      </c>
      <c r="N84" s="193" t="str">
        <f>IF($B84="","",IF(M$4="NÃO",0,IF(VLOOKUP($B84,FROTA!$B$5:$R$305,17,0)=N$3,0.02,0)))</f>
        <v/>
      </c>
      <c r="O84" s="311" t="str">
        <f>IF($B84="","",IF(O$4="NÃO",0,IF(VLOOKUP($B84,FROTA!$B$5:$R$305,10,0)=O$3,0.01,0)))</f>
        <v/>
      </c>
      <c r="P84" s="307" t="str">
        <f>IF($B84="","",IF(P$4="NÃO",0,IF(VLOOKUP($B84,FROTA!$B$5:$R$305,10,0)=P$3,0.01,0)))</f>
        <v/>
      </c>
      <c r="Q84" s="307" t="str">
        <f>IF($B84="","",IF(Q$4="NÃO",0,IF(VLOOKUP($B84,FROTA!$B$5:$R$305,10,0)=Q$3,0.01,0)))</f>
        <v/>
      </c>
      <c r="R84" s="307" t="str">
        <f>IF($B84="","",IF(R$4="NÃO",0,IF(VLOOKUP($B84,FROTA!$B$5:$R$305,10,0)=R$3,0.01,0)))</f>
        <v/>
      </c>
      <c r="S84" s="307" t="str">
        <f>IF($B84="","",IF(S$4="NÃO",0,IF(VLOOKUP($B84,FROTA!$B$5:$R$305,10,0)=S$3,0.01,0)))</f>
        <v/>
      </c>
      <c r="T84" s="307" t="str">
        <f>IF($B84="","",IF(T$4="NÃO",0,IF(VLOOKUP($B84,FROTA!$B$5:$R$305,10,0)=T$3,0.01,0)))</f>
        <v/>
      </c>
      <c r="U84" s="307" t="str">
        <f>IF($B84="","",IF(U$4="NÃO",0,IF(VLOOKUP($B84,FROTA!$B$5:$R$305,10,0)=U$3,0.01,0)))</f>
        <v/>
      </c>
      <c r="V84" s="306" t="str">
        <f t="shared" si="22"/>
        <v/>
      </c>
      <c r="W84" s="238" t="str">
        <f t="shared" si="20"/>
        <v/>
      </c>
      <c r="X84" s="576" t="str">
        <f t="shared" si="23"/>
        <v/>
      </c>
      <c r="BA84" s="581">
        <v>44917</v>
      </c>
      <c r="BB84" s="582">
        <v>2023</v>
      </c>
    </row>
    <row r="85" spans="2:54" ht="15" customHeight="1" x14ac:dyDescent="0.2">
      <c r="B85" s="192" t="str">
        <f>IF(FROTA!B86="","",FROTA!B86)</f>
        <v/>
      </c>
      <c r="C85" s="192" t="str">
        <f>IF(B85="","",FROTA!Z86)</f>
        <v/>
      </c>
      <c r="D85" s="192" t="str">
        <f>IF(B85="","",VLOOKUP(B85,FROTA!$B$5:$C$310,2,0))</f>
        <v/>
      </c>
      <c r="E85" s="233" t="str">
        <f>IF(D85="","",VLOOKUP(D85,ESCALA!$B$3:$H$19,7,0))</f>
        <v/>
      </c>
      <c r="F85" s="219" t="s">
        <v>222</v>
      </c>
      <c r="G85" s="305" t="str">
        <f t="shared" si="21"/>
        <v/>
      </c>
      <c r="H85" s="314" t="str">
        <f>IF($B85="","",IF(H$4="NÃO",0,IF(VLOOKUP($B85,FROTA!$B$5:$R$305,17,0)=H$3,0.02,0)))</f>
        <v/>
      </c>
      <c r="I85" s="193" t="str">
        <f>IF($B85="","",IF(I$4="NÃO",0,IF(VLOOKUP($B85,FROTA!$B$5:$R$305,17,0)=I$3,0.02,0)))</f>
        <v/>
      </c>
      <c r="J85" s="193" t="str">
        <f>IF($B85="","",IF(J$4="NÃO",0,IF(VLOOKUP($B85,FROTA!$B$5:$R$305,17,0)=J$3,0.02,0)))</f>
        <v/>
      </c>
      <c r="K85" s="193" t="str">
        <f>IF($B85="","",IF(K$4="NÃO",0,IF(VLOOKUP($B85,FROTA!$B$5:$R$305,17,0)=K$3,0.02,0)))</f>
        <v/>
      </c>
      <c r="L85" s="193" t="str">
        <f>IF($B85="","",IF(L$4="NÃO",0,IF(VLOOKUP($B85,FROTA!$B$5:$R$305,17,0)=L$3,0.02,0)))</f>
        <v/>
      </c>
      <c r="M85" s="193" t="str">
        <f>IF($B85="","",IF(M$4="NÃO",0,IF(VLOOKUP($B85,FROTA!$B$5:$R$305,17,0)=M$3,0.02,0)))</f>
        <v/>
      </c>
      <c r="N85" s="193" t="str">
        <f>IF($B85="","",IF(M$4="NÃO",0,IF(VLOOKUP($B85,FROTA!$B$5:$R$305,17,0)=N$3,0.02,0)))</f>
        <v/>
      </c>
      <c r="O85" s="311" t="str">
        <f>IF($B85="","",IF(O$4="NÃO",0,IF(VLOOKUP($B85,FROTA!$B$5:$R$305,10,0)=O$3,0.01,0)))</f>
        <v/>
      </c>
      <c r="P85" s="307" t="str">
        <f>IF($B85="","",IF(P$4="NÃO",0,IF(VLOOKUP($B85,FROTA!$B$5:$R$305,10,0)=P$3,0.01,0)))</f>
        <v/>
      </c>
      <c r="Q85" s="307" t="str">
        <f>IF($B85="","",IF(Q$4="NÃO",0,IF(VLOOKUP($B85,FROTA!$B$5:$R$305,10,0)=Q$3,0.01,0)))</f>
        <v/>
      </c>
      <c r="R85" s="307" t="str">
        <f>IF($B85="","",IF(R$4="NÃO",0,IF(VLOOKUP($B85,FROTA!$B$5:$R$305,10,0)=R$3,0.01,0)))</f>
        <v/>
      </c>
      <c r="S85" s="307" t="str">
        <f>IF($B85="","",IF(S$4="NÃO",0,IF(VLOOKUP($B85,FROTA!$B$5:$R$305,10,0)=S$3,0.01,0)))</f>
        <v/>
      </c>
      <c r="T85" s="307" t="str">
        <f>IF($B85="","",IF(T$4="NÃO",0,IF(VLOOKUP($B85,FROTA!$B$5:$R$305,10,0)=T$3,0.01,0)))</f>
        <v/>
      </c>
      <c r="U85" s="307" t="str">
        <f>IF($B85="","",IF(U$4="NÃO",0,IF(VLOOKUP($B85,FROTA!$B$5:$R$305,10,0)=U$3,0.01,0)))</f>
        <v/>
      </c>
      <c r="V85" s="306" t="str">
        <f t="shared" si="22"/>
        <v/>
      </c>
      <c r="W85" s="238" t="str">
        <f t="shared" si="20"/>
        <v/>
      </c>
      <c r="X85" s="576" t="str">
        <f t="shared" si="23"/>
        <v/>
      </c>
      <c r="BA85" s="581">
        <v>44918</v>
      </c>
      <c r="BB85" s="582">
        <v>2023</v>
      </c>
    </row>
    <row r="86" spans="2:54" ht="15" customHeight="1" x14ac:dyDescent="0.2">
      <c r="B86" s="192" t="str">
        <f>IF(FROTA!B87="","",FROTA!B87)</f>
        <v/>
      </c>
      <c r="C86" s="192" t="str">
        <f>IF(B86="","",FROTA!Z87)</f>
        <v/>
      </c>
      <c r="D86" s="192" t="str">
        <f>IF(B86="","",VLOOKUP(B86,FROTA!$B$5:$C$310,2,0))</f>
        <v/>
      </c>
      <c r="E86" s="233" t="str">
        <f>IF(D86="","",VLOOKUP(D86,ESCALA!$B$3:$H$19,7,0))</f>
        <v/>
      </c>
      <c r="F86" s="219" t="s">
        <v>222</v>
      </c>
      <c r="G86" s="305" t="str">
        <f t="shared" si="21"/>
        <v/>
      </c>
      <c r="H86" s="314" t="str">
        <f>IF($B86="","",IF(H$4="NÃO",0,IF(VLOOKUP($B86,FROTA!$B$5:$R$305,17,0)=H$3,0.02,0)))</f>
        <v/>
      </c>
      <c r="I86" s="193" t="str">
        <f>IF($B86="","",IF(I$4="NÃO",0,IF(VLOOKUP($B86,FROTA!$B$5:$R$305,17,0)=I$3,0.02,0)))</f>
        <v/>
      </c>
      <c r="J86" s="193" t="str">
        <f>IF($B86="","",IF(J$4="NÃO",0,IF(VLOOKUP($B86,FROTA!$B$5:$R$305,17,0)=J$3,0.02,0)))</f>
        <v/>
      </c>
      <c r="K86" s="193" t="str">
        <f>IF($B86="","",IF(K$4="NÃO",0,IF(VLOOKUP($B86,FROTA!$B$5:$R$305,17,0)=K$3,0.02,0)))</f>
        <v/>
      </c>
      <c r="L86" s="193" t="str">
        <f>IF($B86="","",IF(L$4="NÃO",0,IF(VLOOKUP($B86,FROTA!$B$5:$R$305,17,0)=L$3,0.02,0)))</f>
        <v/>
      </c>
      <c r="M86" s="193" t="str">
        <f>IF($B86="","",IF(M$4="NÃO",0,IF(VLOOKUP($B86,FROTA!$B$5:$R$305,17,0)=M$3,0.02,0)))</f>
        <v/>
      </c>
      <c r="N86" s="193" t="str">
        <f>IF($B86="","",IF(M$4="NÃO",0,IF(VLOOKUP($B86,FROTA!$B$5:$R$305,17,0)=N$3,0.02,0)))</f>
        <v/>
      </c>
      <c r="O86" s="311" t="str">
        <f>IF($B86="","",IF(O$4="NÃO",0,IF(VLOOKUP($B86,FROTA!$B$5:$R$305,10,0)=O$3,0.01,0)))</f>
        <v/>
      </c>
      <c r="P86" s="307" t="str">
        <f>IF($B86="","",IF(P$4="NÃO",0,IF(VLOOKUP($B86,FROTA!$B$5:$R$305,10,0)=P$3,0.01,0)))</f>
        <v/>
      </c>
      <c r="Q86" s="307" t="str">
        <f>IF($B86="","",IF(Q$4="NÃO",0,IF(VLOOKUP($B86,FROTA!$B$5:$R$305,10,0)=Q$3,0.01,0)))</f>
        <v/>
      </c>
      <c r="R86" s="307" t="str">
        <f>IF($B86="","",IF(R$4="NÃO",0,IF(VLOOKUP($B86,FROTA!$B$5:$R$305,10,0)=R$3,0.01,0)))</f>
        <v/>
      </c>
      <c r="S86" s="307" t="str">
        <f>IF($B86="","",IF(S$4="NÃO",0,IF(VLOOKUP($B86,FROTA!$B$5:$R$305,10,0)=S$3,0.01,0)))</f>
        <v/>
      </c>
      <c r="T86" s="307" t="str">
        <f>IF($B86="","",IF(T$4="NÃO",0,IF(VLOOKUP($B86,FROTA!$B$5:$R$305,10,0)=T$3,0.01,0)))</f>
        <v/>
      </c>
      <c r="U86" s="307" t="str">
        <f>IF($B86="","",IF(U$4="NÃO",0,IF(VLOOKUP($B86,FROTA!$B$5:$R$305,10,0)=U$3,0.01,0)))</f>
        <v/>
      </c>
      <c r="V86" s="306" t="str">
        <f t="shared" si="22"/>
        <v/>
      </c>
      <c r="W86" s="238" t="str">
        <f t="shared" si="20"/>
        <v/>
      </c>
      <c r="X86" s="576" t="str">
        <f t="shared" si="23"/>
        <v/>
      </c>
      <c r="BA86" s="581">
        <v>44919</v>
      </c>
      <c r="BB86" s="582">
        <v>2023</v>
      </c>
    </row>
    <row r="87" spans="2:54" ht="15" customHeight="1" x14ac:dyDescent="0.2">
      <c r="B87" s="192" t="str">
        <f>IF(FROTA!B88="","",FROTA!B88)</f>
        <v/>
      </c>
      <c r="C87" s="192" t="str">
        <f>IF(B87="","",FROTA!Z88)</f>
        <v/>
      </c>
      <c r="D87" s="192" t="str">
        <f>IF(B87="","",VLOOKUP(B87,FROTA!$B$5:$C$310,2,0))</f>
        <v/>
      </c>
      <c r="E87" s="233" t="str">
        <f>IF(D87="","",VLOOKUP(D87,ESCALA!$B$3:$H$19,7,0))</f>
        <v/>
      </c>
      <c r="F87" s="219" t="s">
        <v>222</v>
      </c>
      <c r="G87" s="305" t="str">
        <f t="shared" si="21"/>
        <v/>
      </c>
      <c r="H87" s="314" t="str">
        <f>IF($B87="","",IF(H$4="NÃO",0,IF(VLOOKUP($B87,FROTA!$B$5:$R$305,17,0)=H$3,0.02,0)))</f>
        <v/>
      </c>
      <c r="I87" s="193" t="str">
        <f>IF($B87="","",IF(I$4="NÃO",0,IF(VLOOKUP($B87,FROTA!$B$5:$R$305,17,0)=I$3,0.02,0)))</f>
        <v/>
      </c>
      <c r="J87" s="193" t="str">
        <f>IF($B87="","",IF(J$4="NÃO",0,IF(VLOOKUP($B87,FROTA!$B$5:$R$305,17,0)=J$3,0.02,0)))</f>
        <v/>
      </c>
      <c r="K87" s="193" t="str">
        <f>IF($B87="","",IF(K$4="NÃO",0,IF(VLOOKUP($B87,FROTA!$B$5:$R$305,17,0)=K$3,0.02,0)))</f>
        <v/>
      </c>
      <c r="L87" s="193" t="str">
        <f>IF($B87="","",IF(L$4="NÃO",0,IF(VLOOKUP($B87,FROTA!$B$5:$R$305,17,0)=L$3,0.02,0)))</f>
        <v/>
      </c>
      <c r="M87" s="193" t="str">
        <f>IF($B87="","",IF(M$4="NÃO",0,IF(VLOOKUP($B87,FROTA!$B$5:$R$305,17,0)=M$3,0.02,0)))</f>
        <v/>
      </c>
      <c r="N87" s="193" t="str">
        <f>IF($B87="","",IF(M$4="NÃO",0,IF(VLOOKUP($B87,FROTA!$B$5:$R$305,17,0)=N$3,0.02,0)))</f>
        <v/>
      </c>
      <c r="O87" s="311" t="str">
        <f>IF($B87="","",IF(O$4="NÃO",0,IF(VLOOKUP($B87,FROTA!$B$5:$R$305,10,0)=O$3,0.01,0)))</f>
        <v/>
      </c>
      <c r="P87" s="307" t="str">
        <f>IF($B87="","",IF(P$4="NÃO",0,IF(VLOOKUP($B87,FROTA!$B$5:$R$305,10,0)=P$3,0.01,0)))</f>
        <v/>
      </c>
      <c r="Q87" s="307" t="str">
        <f>IF($B87="","",IF(Q$4="NÃO",0,IF(VLOOKUP($B87,FROTA!$B$5:$R$305,10,0)=Q$3,0.01,0)))</f>
        <v/>
      </c>
      <c r="R87" s="307" t="str">
        <f>IF($B87="","",IF(R$4="NÃO",0,IF(VLOOKUP($B87,FROTA!$B$5:$R$305,10,0)=R$3,0.01,0)))</f>
        <v/>
      </c>
      <c r="S87" s="307" t="str">
        <f>IF($B87="","",IF(S$4="NÃO",0,IF(VLOOKUP($B87,FROTA!$B$5:$R$305,10,0)=S$3,0.01,0)))</f>
        <v/>
      </c>
      <c r="T87" s="307" t="str">
        <f>IF($B87="","",IF(T$4="NÃO",0,IF(VLOOKUP($B87,FROTA!$B$5:$R$305,10,0)=T$3,0.01,0)))</f>
        <v/>
      </c>
      <c r="U87" s="307" t="str">
        <f>IF($B87="","",IF(U$4="NÃO",0,IF(VLOOKUP($B87,FROTA!$B$5:$R$305,10,0)=U$3,0.01,0)))</f>
        <v/>
      </c>
      <c r="V87" s="306" t="str">
        <f t="shared" si="22"/>
        <v/>
      </c>
      <c r="W87" s="238" t="str">
        <f t="shared" si="20"/>
        <v/>
      </c>
      <c r="X87" s="576" t="str">
        <f t="shared" si="23"/>
        <v/>
      </c>
      <c r="BA87" s="581">
        <v>44920</v>
      </c>
      <c r="BB87" s="582">
        <v>2023</v>
      </c>
    </row>
    <row r="88" spans="2:54" ht="15" customHeight="1" x14ac:dyDescent="0.2">
      <c r="B88" s="192" t="str">
        <f>IF(FROTA!B89="","",FROTA!B89)</f>
        <v/>
      </c>
      <c r="C88" s="192" t="str">
        <f>IF(B88="","",FROTA!Z89)</f>
        <v/>
      </c>
      <c r="D88" s="192" t="str">
        <f>IF(B88="","",VLOOKUP(B88,FROTA!$B$5:$C$310,2,0))</f>
        <v/>
      </c>
      <c r="E88" s="233" t="str">
        <f>IF(D88="","",VLOOKUP(D88,ESCALA!$B$3:$H$19,7,0))</f>
        <v/>
      </c>
      <c r="F88" s="219" t="s">
        <v>222</v>
      </c>
      <c r="G88" s="305" t="str">
        <f t="shared" si="21"/>
        <v/>
      </c>
      <c r="H88" s="314" t="str">
        <f>IF($B88="","",IF(H$4="NÃO",0,IF(VLOOKUP($B88,FROTA!$B$5:$R$305,17,0)=H$3,0.02,0)))</f>
        <v/>
      </c>
      <c r="I88" s="193" t="str">
        <f>IF($B88="","",IF(I$4="NÃO",0,IF(VLOOKUP($B88,FROTA!$B$5:$R$305,17,0)=I$3,0.02,0)))</f>
        <v/>
      </c>
      <c r="J88" s="193" t="str">
        <f>IF($B88="","",IF(J$4="NÃO",0,IF(VLOOKUP($B88,FROTA!$B$5:$R$305,17,0)=J$3,0.02,0)))</f>
        <v/>
      </c>
      <c r="K88" s="193" t="str">
        <f>IF($B88="","",IF(K$4="NÃO",0,IF(VLOOKUP($B88,FROTA!$B$5:$R$305,17,0)=K$3,0.02,0)))</f>
        <v/>
      </c>
      <c r="L88" s="193" t="str">
        <f>IF($B88="","",IF(L$4="NÃO",0,IF(VLOOKUP($B88,FROTA!$B$5:$R$305,17,0)=L$3,0.02,0)))</f>
        <v/>
      </c>
      <c r="M88" s="193" t="str">
        <f>IF($B88="","",IF(M$4="NÃO",0,IF(VLOOKUP($B88,FROTA!$B$5:$R$305,17,0)=M$3,0.02,0)))</f>
        <v/>
      </c>
      <c r="N88" s="193" t="str">
        <f>IF($B88="","",IF(M$4="NÃO",0,IF(VLOOKUP($B88,FROTA!$B$5:$R$305,17,0)=N$3,0.02,0)))</f>
        <v/>
      </c>
      <c r="O88" s="311" t="str">
        <f>IF($B88="","",IF(O$4="NÃO",0,IF(VLOOKUP($B88,FROTA!$B$5:$R$305,10,0)=O$3,0.01,0)))</f>
        <v/>
      </c>
      <c r="P88" s="307" t="str">
        <f>IF($B88="","",IF(P$4="NÃO",0,IF(VLOOKUP($B88,FROTA!$B$5:$R$305,10,0)=P$3,0.01,0)))</f>
        <v/>
      </c>
      <c r="Q88" s="307" t="str">
        <f>IF($B88="","",IF(Q$4="NÃO",0,IF(VLOOKUP($B88,FROTA!$B$5:$R$305,10,0)=Q$3,0.01,0)))</f>
        <v/>
      </c>
      <c r="R88" s="307" t="str">
        <f>IF($B88="","",IF(R$4="NÃO",0,IF(VLOOKUP($B88,FROTA!$B$5:$R$305,10,0)=R$3,0.01,0)))</f>
        <v/>
      </c>
      <c r="S88" s="307" t="str">
        <f>IF($B88="","",IF(S$4="NÃO",0,IF(VLOOKUP($B88,FROTA!$B$5:$R$305,10,0)=S$3,0.01,0)))</f>
        <v/>
      </c>
      <c r="T88" s="307" t="str">
        <f>IF($B88="","",IF(T$4="NÃO",0,IF(VLOOKUP($B88,FROTA!$B$5:$R$305,10,0)=T$3,0.01,0)))</f>
        <v/>
      </c>
      <c r="U88" s="307" t="str">
        <f>IF($B88="","",IF(U$4="NÃO",0,IF(VLOOKUP($B88,FROTA!$B$5:$R$305,10,0)=U$3,0.01,0)))</f>
        <v/>
      </c>
      <c r="V88" s="306" t="str">
        <f t="shared" si="22"/>
        <v/>
      </c>
      <c r="W88" s="238" t="str">
        <f t="shared" si="20"/>
        <v/>
      </c>
      <c r="X88" s="576" t="str">
        <f t="shared" si="23"/>
        <v/>
      </c>
      <c r="BA88" s="581">
        <v>44921</v>
      </c>
      <c r="BB88" s="582">
        <v>2023</v>
      </c>
    </row>
    <row r="89" spans="2:54" ht="15" customHeight="1" x14ac:dyDescent="0.2">
      <c r="B89" s="192" t="str">
        <f>IF(FROTA!B90="","",FROTA!B90)</f>
        <v/>
      </c>
      <c r="C89" s="192" t="str">
        <f>IF(B89="","",FROTA!Z90)</f>
        <v/>
      </c>
      <c r="D89" s="192" t="str">
        <f>IF(B89="","",VLOOKUP(B89,FROTA!$B$5:$C$310,2,0))</f>
        <v/>
      </c>
      <c r="E89" s="233" t="str">
        <f>IF(D89="","",VLOOKUP(D89,ESCALA!$B$3:$H$19,7,0))</f>
        <v/>
      </c>
      <c r="F89" s="219" t="s">
        <v>222</v>
      </c>
      <c r="G89" s="305" t="str">
        <f t="shared" si="21"/>
        <v/>
      </c>
      <c r="H89" s="314" t="str">
        <f>IF($B89="","",IF(H$4="NÃO",0,IF(VLOOKUP($B89,FROTA!$B$5:$R$305,17,0)=H$3,0.02,0)))</f>
        <v/>
      </c>
      <c r="I89" s="193" t="str">
        <f>IF($B89="","",IF(I$4="NÃO",0,IF(VLOOKUP($B89,FROTA!$B$5:$R$305,17,0)=I$3,0.02,0)))</f>
        <v/>
      </c>
      <c r="J89" s="193" t="str">
        <f>IF($B89="","",IF(J$4="NÃO",0,IF(VLOOKUP($B89,FROTA!$B$5:$R$305,17,0)=J$3,0.02,0)))</f>
        <v/>
      </c>
      <c r="K89" s="193" t="str">
        <f>IF($B89="","",IF(K$4="NÃO",0,IF(VLOOKUP($B89,FROTA!$B$5:$R$305,17,0)=K$3,0.02,0)))</f>
        <v/>
      </c>
      <c r="L89" s="193" t="str">
        <f>IF($B89="","",IF(L$4="NÃO",0,IF(VLOOKUP($B89,FROTA!$B$5:$R$305,17,0)=L$3,0.02,0)))</f>
        <v/>
      </c>
      <c r="M89" s="193" t="str">
        <f>IF($B89="","",IF(M$4="NÃO",0,IF(VLOOKUP($B89,FROTA!$B$5:$R$305,17,0)=M$3,0.02,0)))</f>
        <v/>
      </c>
      <c r="N89" s="193" t="str">
        <f>IF($B89="","",IF(M$4="NÃO",0,IF(VLOOKUP($B89,FROTA!$B$5:$R$305,17,0)=N$3,0.02,0)))</f>
        <v/>
      </c>
      <c r="O89" s="311" t="str">
        <f>IF($B89="","",IF(O$4="NÃO",0,IF(VLOOKUP($B89,FROTA!$B$5:$R$305,10,0)=O$3,0.01,0)))</f>
        <v/>
      </c>
      <c r="P89" s="307" t="str">
        <f>IF($B89="","",IF(P$4="NÃO",0,IF(VLOOKUP($B89,FROTA!$B$5:$R$305,10,0)=P$3,0.01,0)))</f>
        <v/>
      </c>
      <c r="Q89" s="307" t="str">
        <f>IF($B89="","",IF(Q$4="NÃO",0,IF(VLOOKUP($B89,FROTA!$B$5:$R$305,10,0)=Q$3,0.01,0)))</f>
        <v/>
      </c>
      <c r="R89" s="307" t="str">
        <f>IF($B89="","",IF(R$4="NÃO",0,IF(VLOOKUP($B89,FROTA!$B$5:$R$305,10,0)=R$3,0.01,0)))</f>
        <v/>
      </c>
      <c r="S89" s="307" t="str">
        <f>IF($B89="","",IF(S$4="NÃO",0,IF(VLOOKUP($B89,FROTA!$B$5:$R$305,10,0)=S$3,0.01,0)))</f>
        <v/>
      </c>
      <c r="T89" s="307" t="str">
        <f>IF($B89="","",IF(T$4="NÃO",0,IF(VLOOKUP($B89,FROTA!$B$5:$R$305,10,0)=T$3,0.01,0)))</f>
        <v/>
      </c>
      <c r="U89" s="307" t="str">
        <f>IF($B89="","",IF(U$4="NÃO",0,IF(VLOOKUP($B89,FROTA!$B$5:$R$305,10,0)=U$3,0.01,0)))</f>
        <v/>
      </c>
      <c r="V89" s="306" t="str">
        <f t="shared" si="22"/>
        <v/>
      </c>
      <c r="W89" s="238" t="str">
        <f t="shared" si="20"/>
        <v/>
      </c>
      <c r="X89" s="576" t="str">
        <f t="shared" si="23"/>
        <v/>
      </c>
      <c r="BA89" s="581">
        <v>44922</v>
      </c>
      <c r="BB89" s="582">
        <v>2023</v>
      </c>
    </row>
    <row r="90" spans="2:54" ht="15" customHeight="1" x14ac:dyDescent="0.2">
      <c r="B90" s="192" t="str">
        <f>IF(FROTA!B91="","",FROTA!B91)</f>
        <v/>
      </c>
      <c r="C90" s="192" t="str">
        <f>IF(B90="","",FROTA!Z91)</f>
        <v/>
      </c>
      <c r="D90" s="192" t="str">
        <f>IF(B90="","",VLOOKUP(B90,FROTA!$B$5:$C$310,2,0))</f>
        <v/>
      </c>
      <c r="E90" s="233" t="str">
        <f>IF(D90="","",VLOOKUP(D90,ESCALA!$B$3:$H$19,7,0))</f>
        <v/>
      </c>
      <c r="F90" s="219" t="s">
        <v>222</v>
      </c>
      <c r="G90" s="305" t="str">
        <f t="shared" si="21"/>
        <v/>
      </c>
      <c r="H90" s="314" t="str">
        <f>IF($B90="","",IF(H$4="NÃO",0,IF(VLOOKUP($B90,FROTA!$B$5:$R$305,17,0)=H$3,0.02,0)))</f>
        <v/>
      </c>
      <c r="I90" s="193" t="str">
        <f>IF($B90="","",IF(I$4="NÃO",0,IF(VLOOKUP($B90,FROTA!$B$5:$R$305,17,0)=I$3,0.02,0)))</f>
        <v/>
      </c>
      <c r="J90" s="193" t="str">
        <f>IF($B90="","",IF(J$4="NÃO",0,IF(VLOOKUP($B90,FROTA!$B$5:$R$305,17,0)=J$3,0.02,0)))</f>
        <v/>
      </c>
      <c r="K90" s="193" t="str">
        <f>IF($B90="","",IF(K$4="NÃO",0,IF(VLOOKUP($B90,FROTA!$B$5:$R$305,17,0)=K$3,0.02,0)))</f>
        <v/>
      </c>
      <c r="L90" s="193" t="str">
        <f>IF($B90="","",IF(L$4="NÃO",0,IF(VLOOKUP($B90,FROTA!$B$5:$R$305,17,0)=L$3,0.02,0)))</f>
        <v/>
      </c>
      <c r="M90" s="193" t="str">
        <f>IF($B90="","",IF(M$4="NÃO",0,IF(VLOOKUP($B90,FROTA!$B$5:$R$305,17,0)=M$3,0.02,0)))</f>
        <v/>
      </c>
      <c r="N90" s="193" t="str">
        <f>IF($B90="","",IF(M$4="NÃO",0,IF(VLOOKUP($B90,FROTA!$B$5:$R$305,17,0)=N$3,0.02,0)))</f>
        <v/>
      </c>
      <c r="O90" s="311" t="str">
        <f>IF($B90="","",IF(O$4="NÃO",0,IF(VLOOKUP($B90,FROTA!$B$5:$R$305,10,0)=O$3,0.01,0)))</f>
        <v/>
      </c>
      <c r="P90" s="307" t="str">
        <f>IF($B90="","",IF(P$4="NÃO",0,IF(VLOOKUP($B90,FROTA!$B$5:$R$305,10,0)=P$3,0.01,0)))</f>
        <v/>
      </c>
      <c r="Q90" s="307" t="str">
        <f>IF($B90="","",IF(Q$4="NÃO",0,IF(VLOOKUP($B90,FROTA!$B$5:$R$305,10,0)=Q$3,0.01,0)))</f>
        <v/>
      </c>
      <c r="R90" s="307" t="str">
        <f>IF($B90="","",IF(R$4="NÃO",0,IF(VLOOKUP($B90,FROTA!$B$5:$R$305,10,0)=R$3,0.01,0)))</f>
        <v/>
      </c>
      <c r="S90" s="307" t="str">
        <f>IF($B90="","",IF(S$4="NÃO",0,IF(VLOOKUP($B90,FROTA!$B$5:$R$305,10,0)=S$3,0.01,0)))</f>
        <v/>
      </c>
      <c r="T90" s="307" t="str">
        <f>IF($B90="","",IF(T$4="NÃO",0,IF(VLOOKUP($B90,FROTA!$B$5:$R$305,10,0)=T$3,0.01,0)))</f>
        <v/>
      </c>
      <c r="U90" s="307" t="str">
        <f>IF($B90="","",IF(U$4="NÃO",0,IF(VLOOKUP($B90,FROTA!$B$5:$R$305,10,0)=U$3,0.01,0)))</f>
        <v/>
      </c>
      <c r="V90" s="306" t="str">
        <f t="shared" si="22"/>
        <v/>
      </c>
      <c r="W90" s="238" t="str">
        <f t="shared" si="20"/>
        <v/>
      </c>
      <c r="X90" s="576" t="str">
        <f t="shared" si="23"/>
        <v/>
      </c>
      <c r="BA90" s="581">
        <v>44923</v>
      </c>
      <c r="BB90" s="582">
        <v>2023</v>
      </c>
    </row>
    <row r="91" spans="2:54" ht="15" customHeight="1" x14ac:dyDescent="0.2">
      <c r="B91" s="192" t="str">
        <f>IF(FROTA!B92="","",FROTA!B92)</f>
        <v/>
      </c>
      <c r="C91" s="192" t="str">
        <f>IF(B91="","",FROTA!Z92)</f>
        <v/>
      </c>
      <c r="D91" s="192" t="str">
        <f>IF(B91="","",VLOOKUP(B91,FROTA!$B$5:$C$310,2,0))</f>
        <v/>
      </c>
      <c r="E91" s="233" t="str">
        <f>IF(D91="","",VLOOKUP(D91,ESCALA!$B$3:$H$19,7,0))</f>
        <v/>
      </c>
      <c r="F91" s="219" t="s">
        <v>222</v>
      </c>
      <c r="G91" s="305" t="str">
        <f t="shared" si="21"/>
        <v/>
      </c>
      <c r="H91" s="314" t="str">
        <f>IF($B91="","",IF(H$4="NÃO",0,IF(VLOOKUP($B91,FROTA!$B$5:$R$305,17,0)=H$3,0.02,0)))</f>
        <v/>
      </c>
      <c r="I91" s="193" t="str">
        <f>IF($B91="","",IF(I$4="NÃO",0,IF(VLOOKUP($B91,FROTA!$B$5:$R$305,17,0)=I$3,0.02,0)))</f>
        <v/>
      </c>
      <c r="J91" s="193" t="str">
        <f>IF($B91="","",IF(J$4="NÃO",0,IF(VLOOKUP($B91,FROTA!$B$5:$R$305,17,0)=J$3,0.02,0)))</f>
        <v/>
      </c>
      <c r="K91" s="193" t="str">
        <f>IF($B91="","",IF(K$4="NÃO",0,IF(VLOOKUP($B91,FROTA!$B$5:$R$305,17,0)=K$3,0.02,0)))</f>
        <v/>
      </c>
      <c r="L91" s="193" t="str">
        <f>IF($B91="","",IF(L$4="NÃO",0,IF(VLOOKUP($B91,FROTA!$B$5:$R$305,17,0)=L$3,0.02,0)))</f>
        <v/>
      </c>
      <c r="M91" s="193" t="str">
        <f>IF($B91="","",IF(M$4="NÃO",0,IF(VLOOKUP($B91,FROTA!$B$5:$R$305,17,0)=M$3,0.02,0)))</f>
        <v/>
      </c>
      <c r="N91" s="193" t="str">
        <f>IF($B91="","",IF(M$4="NÃO",0,IF(VLOOKUP($B91,FROTA!$B$5:$R$305,17,0)=N$3,0.02,0)))</f>
        <v/>
      </c>
      <c r="O91" s="311" t="str">
        <f>IF($B91="","",IF(O$4="NÃO",0,IF(VLOOKUP($B91,FROTA!$B$5:$R$305,10,0)=O$3,0.01,0)))</f>
        <v/>
      </c>
      <c r="P91" s="307" t="str">
        <f>IF($B91="","",IF(P$4="NÃO",0,IF(VLOOKUP($B91,FROTA!$B$5:$R$305,10,0)=P$3,0.01,0)))</f>
        <v/>
      </c>
      <c r="Q91" s="307" t="str">
        <f>IF($B91="","",IF(Q$4="NÃO",0,IF(VLOOKUP($B91,FROTA!$B$5:$R$305,10,0)=Q$3,0.01,0)))</f>
        <v/>
      </c>
      <c r="R91" s="307" t="str">
        <f>IF($B91="","",IF(R$4="NÃO",0,IF(VLOOKUP($B91,FROTA!$B$5:$R$305,10,0)=R$3,0.01,0)))</f>
        <v/>
      </c>
      <c r="S91" s="307" t="str">
        <f>IF($B91="","",IF(S$4="NÃO",0,IF(VLOOKUP($B91,FROTA!$B$5:$R$305,10,0)=S$3,0.01,0)))</f>
        <v/>
      </c>
      <c r="T91" s="307" t="str">
        <f>IF($B91="","",IF(T$4="NÃO",0,IF(VLOOKUP($B91,FROTA!$B$5:$R$305,10,0)=T$3,0.01,0)))</f>
        <v/>
      </c>
      <c r="U91" s="307" t="str">
        <f>IF($B91="","",IF(U$4="NÃO",0,IF(VLOOKUP($B91,FROTA!$B$5:$R$305,10,0)=U$3,0.01,0)))</f>
        <v/>
      </c>
      <c r="V91" s="306" t="str">
        <f t="shared" si="22"/>
        <v/>
      </c>
      <c r="W91" s="238" t="str">
        <f t="shared" si="20"/>
        <v/>
      </c>
      <c r="X91" s="576" t="str">
        <f t="shared" si="23"/>
        <v/>
      </c>
      <c r="BA91" s="581">
        <v>44924</v>
      </c>
      <c r="BB91" s="582">
        <v>2023</v>
      </c>
    </row>
    <row r="92" spans="2:54" ht="15" customHeight="1" x14ac:dyDescent="0.2">
      <c r="B92" s="192" t="str">
        <f>IF(FROTA!B93="","",FROTA!B93)</f>
        <v/>
      </c>
      <c r="C92" s="192" t="str">
        <f>IF(B92="","",FROTA!Z93)</f>
        <v/>
      </c>
      <c r="D92" s="192" t="str">
        <f>IF(B92="","",VLOOKUP(B92,FROTA!$B$5:$C$310,2,0))</f>
        <v/>
      </c>
      <c r="E92" s="233" t="str">
        <f>IF(D92="","",VLOOKUP(D92,ESCALA!$B$3:$H$19,7,0))</f>
        <v/>
      </c>
      <c r="F92" s="219" t="s">
        <v>222</v>
      </c>
      <c r="G92" s="305" t="str">
        <f t="shared" si="21"/>
        <v/>
      </c>
      <c r="H92" s="314" t="str">
        <f>IF($B92="","",IF(H$4="NÃO",0,IF(VLOOKUP($B92,FROTA!$B$5:$R$305,17,0)=H$3,0.02,0)))</f>
        <v/>
      </c>
      <c r="I92" s="193" t="str">
        <f>IF($B92="","",IF(I$4="NÃO",0,IF(VLOOKUP($B92,FROTA!$B$5:$R$305,17,0)=I$3,0.02,0)))</f>
        <v/>
      </c>
      <c r="J92" s="193" t="str">
        <f>IF($B92="","",IF(J$4="NÃO",0,IF(VLOOKUP($B92,FROTA!$B$5:$R$305,17,0)=J$3,0.02,0)))</f>
        <v/>
      </c>
      <c r="K92" s="193" t="str">
        <f>IF($B92="","",IF(K$4="NÃO",0,IF(VLOOKUP($B92,FROTA!$B$5:$R$305,17,0)=K$3,0.02,0)))</f>
        <v/>
      </c>
      <c r="L92" s="193" t="str">
        <f>IF($B92="","",IF(L$4="NÃO",0,IF(VLOOKUP($B92,FROTA!$B$5:$R$305,17,0)=L$3,0.02,0)))</f>
        <v/>
      </c>
      <c r="M92" s="193" t="str">
        <f>IF($B92="","",IF(M$4="NÃO",0,IF(VLOOKUP($B92,FROTA!$B$5:$R$305,17,0)=M$3,0.02,0)))</f>
        <v/>
      </c>
      <c r="N92" s="193" t="str">
        <f>IF($B92="","",IF(M$4="NÃO",0,IF(VLOOKUP($B92,FROTA!$B$5:$R$305,17,0)=N$3,0.02,0)))</f>
        <v/>
      </c>
      <c r="O92" s="311" t="str">
        <f>IF($B92="","",IF(O$4="NÃO",0,IF(VLOOKUP($B92,FROTA!$B$5:$R$305,10,0)=O$3,0.01,0)))</f>
        <v/>
      </c>
      <c r="P92" s="307" t="str">
        <f>IF($B92="","",IF(P$4="NÃO",0,IF(VLOOKUP($B92,FROTA!$B$5:$R$305,10,0)=P$3,0.01,0)))</f>
        <v/>
      </c>
      <c r="Q92" s="307" t="str">
        <f>IF($B92="","",IF(Q$4="NÃO",0,IF(VLOOKUP($B92,FROTA!$B$5:$R$305,10,0)=Q$3,0.01,0)))</f>
        <v/>
      </c>
      <c r="R92" s="307" t="str">
        <f>IF($B92="","",IF(R$4="NÃO",0,IF(VLOOKUP($B92,FROTA!$B$5:$R$305,10,0)=R$3,0.01,0)))</f>
        <v/>
      </c>
      <c r="S92" s="307" t="str">
        <f>IF($B92="","",IF(S$4="NÃO",0,IF(VLOOKUP($B92,FROTA!$B$5:$R$305,10,0)=S$3,0.01,0)))</f>
        <v/>
      </c>
      <c r="T92" s="307" t="str">
        <f>IF($B92="","",IF(T$4="NÃO",0,IF(VLOOKUP($B92,FROTA!$B$5:$R$305,10,0)=T$3,0.01,0)))</f>
        <v/>
      </c>
      <c r="U92" s="307" t="str">
        <f>IF($B92="","",IF(U$4="NÃO",0,IF(VLOOKUP($B92,FROTA!$B$5:$R$305,10,0)=U$3,0.01,0)))</f>
        <v/>
      </c>
      <c r="V92" s="306" t="str">
        <f t="shared" si="22"/>
        <v/>
      </c>
      <c r="W92" s="238" t="str">
        <f t="shared" si="20"/>
        <v/>
      </c>
      <c r="X92" s="576" t="str">
        <f t="shared" si="23"/>
        <v/>
      </c>
      <c r="BA92" s="581">
        <v>44925</v>
      </c>
      <c r="BB92" s="582">
        <v>2023</v>
      </c>
    </row>
    <row r="93" spans="2:54" ht="15" customHeight="1" x14ac:dyDescent="0.2">
      <c r="B93" s="192" t="str">
        <f>IF(FROTA!B94="","",FROTA!B94)</f>
        <v/>
      </c>
      <c r="C93" s="192" t="str">
        <f>IF(B93="","",FROTA!Z94)</f>
        <v/>
      </c>
      <c r="D93" s="192" t="str">
        <f>IF(B93="","",VLOOKUP(B93,FROTA!$B$5:$C$310,2,0))</f>
        <v/>
      </c>
      <c r="E93" s="233" t="str">
        <f>IF(D93="","",VLOOKUP(D93,ESCALA!$B$3:$H$19,7,0))</f>
        <v/>
      </c>
      <c r="F93" s="219" t="s">
        <v>222</v>
      </c>
      <c r="G93" s="305" t="str">
        <f t="shared" si="21"/>
        <v/>
      </c>
      <c r="H93" s="314" t="str">
        <f>IF($B93="","",IF(H$4="NÃO",0,IF(VLOOKUP($B93,FROTA!$B$5:$R$305,17,0)=H$3,0.02,0)))</f>
        <v/>
      </c>
      <c r="I93" s="193" t="str">
        <f>IF($B93="","",IF(I$4="NÃO",0,IF(VLOOKUP($B93,FROTA!$B$5:$R$305,17,0)=I$3,0.02,0)))</f>
        <v/>
      </c>
      <c r="J93" s="193" t="str">
        <f>IF($B93="","",IF(J$4="NÃO",0,IF(VLOOKUP($B93,FROTA!$B$5:$R$305,17,0)=J$3,0.02,0)))</f>
        <v/>
      </c>
      <c r="K93" s="193" t="str">
        <f>IF($B93="","",IF(K$4="NÃO",0,IF(VLOOKUP($B93,FROTA!$B$5:$R$305,17,0)=K$3,0.02,0)))</f>
        <v/>
      </c>
      <c r="L93" s="193" t="str">
        <f>IF($B93="","",IF(L$4="NÃO",0,IF(VLOOKUP($B93,FROTA!$B$5:$R$305,17,0)=L$3,0.02,0)))</f>
        <v/>
      </c>
      <c r="M93" s="193" t="str">
        <f>IF($B93="","",IF(M$4="NÃO",0,IF(VLOOKUP($B93,FROTA!$B$5:$R$305,17,0)=M$3,0.02,0)))</f>
        <v/>
      </c>
      <c r="N93" s="193" t="str">
        <f>IF($B93="","",IF(M$4="NÃO",0,IF(VLOOKUP($B93,FROTA!$B$5:$R$305,17,0)=N$3,0.02,0)))</f>
        <v/>
      </c>
      <c r="O93" s="311" t="str">
        <f>IF($B93="","",IF(O$4="NÃO",0,IF(VLOOKUP($B93,FROTA!$B$5:$R$305,10,0)=O$3,0.01,0)))</f>
        <v/>
      </c>
      <c r="P93" s="307" t="str">
        <f>IF($B93="","",IF(P$4="NÃO",0,IF(VLOOKUP($B93,FROTA!$B$5:$R$305,10,0)=P$3,0.01,0)))</f>
        <v/>
      </c>
      <c r="Q93" s="307" t="str">
        <f>IF($B93="","",IF(Q$4="NÃO",0,IF(VLOOKUP($B93,FROTA!$B$5:$R$305,10,0)=Q$3,0.01,0)))</f>
        <v/>
      </c>
      <c r="R93" s="307" t="str">
        <f>IF($B93="","",IF(R$4="NÃO",0,IF(VLOOKUP($B93,FROTA!$B$5:$R$305,10,0)=R$3,0.01,0)))</f>
        <v/>
      </c>
      <c r="S93" s="307" t="str">
        <f>IF($B93="","",IF(S$4="NÃO",0,IF(VLOOKUP($B93,FROTA!$B$5:$R$305,10,0)=S$3,0.01,0)))</f>
        <v/>
      </c>
      <c r="T93" s="307" t="str">
        <f>IF($B93="","",IF(T$4="NÃO",0,IF(VLOOKUP($B93,FROTA!$B$5:$R$305,10,0)=T$3,0.01,0)))</f>
        <v/>
      </c>
      <c r="U93" s="307" t="str">
        <f>IF($B93="","",IF(U$4="NÃO",0,IF(VLOOKUP($B93,FROTA!$B$5:$R$305,10,0)=U$3,0.01,0)))</f>
        <v/>
      </c>
      <c r="V93" s="306" t="str">
        <f t="shared" si="22"/>
        <v/>
      </c>
      <c r="W93" s="238" t="str">
        <f t="shared" si="20"/>
        <v/>
      </c>
      <c r="X93" s="576" t="str">
        <f t="shared" si="23"/>
        <v/>
      </c>
      <c r="BA93" s="581">
        <v>44926</v>
      </c>
      <c r="BB93" s="582">
        <v>2023</v>
      </c>
    </row>
    <row r="94" spans="2:54" ht="15" customHeight="1" x14ac:dyDescent="0.2">
      <c r="B94" s="192" t="str">
        <f>IF(FROTA!B95="","",FROTA!B95)</f>
        <v/>
      </c>
      <c r="C94" s="192" t="str">
        <f>IF(B94="","",FROTA!Z95)</f>
        <v/>
      </c>
      <c r="D94" s="192" t="str">
        <f>IF(B94="","",VLOOKUP(B94,FROTA!$B$5:$C$310,2,0))</f>
        <v/>
      </c>
      <c r="E94" s="233" t="str">
        <f>IF(D94="","",VLOOKUP(D94,ESCALA!$B$3:$H$19,7,0))</f>
        <v/>
      </c>
      <c r="F94" s="219" t="s">
        <v>222</v>
      </c>
      <c r="G94" s="305" t="str">
        <f t="shared" si="21"/>
        <v/>
      </c>
      <c r="H94" s="314" t="str">
        <f>IF($B94="","",IF(H$4="NÃO",0,IF(VLOOKUP($B94,FROTA!$B$5:$R$305,17,0)=H$3,0.02,0)))</f>
        <v/>
      </c>
      <c r="I94" s="193" t="str">
        <f>IF($B94="","",IF(I$4="NÃO",0,IF(VLOOKUP($B94,FROTA!$B$5:$R$305,17,0)=I$3,0.02,0)))</f>
        <v/>
      </c>
      <c r="J94" s="193" t="str">
        <f>IF($B94="","",IF(J$4="NÃO",0,IF(VLOOKUP($B94,FROTA!$B$5:$R$305,17,0)=J$3,0.02,0)))</f>
        <v/>
      </c>
      <c r="K94" s="193" t="str">
        <f>IF($B94="","",IF(K$4="NÃO",0,IF(VLOOKUP($B94,FROTA!$B$5:$R$305,17,0)=K$3,0.02,0)))</f>
        <v/>
      </c>
      <c r="L94" s="193" t="str">
        <f>IF($B94="","",IF(L$4="NÃO",0,IF(VLOOKUP($B94,FROTA!$B$5:$R$305,17,0)=L$3,0.02,0)))</f>
        <v/>
      </c>
      <c r="M94" s="193" t="str">
        <f>IF($B94="","",IF(M$4="NÃO",0,IF(VLOOKUP($B94,FROTA!$B$5:$R$305,17,0)=M$3,0.02,0)))</f>
        <v/>
      </c>
      <c r="N94" s="193" t="str">
        <f>IF($B94="","",IF(M$4="NÃO",0,IF(VLOOKUP($B94,FROTA!$B$5:$R$305,17,0)=N$3,0.02,0)))</f>
        <v/>
      </c>
      <c r="O94" s="311" t="str">
        <f>IF($B94="","",IF(O$4="NÃO",0,IF(VLOOKUP($B94,FROTA!$B$5:$R$305,10,0)=O$3,0.01,0)))</f>
        <v/>
      </c>
      <c r="P94" s="307" t="str">
        <f>IF($B94="","",IF(P$4="NÃO",0,IF(VLOOKUP($B94,FROTA!$B$5:$R$305,10,0)=P$3,0.01,0)))</f>
        <v/>
      </c>
      <c r="Q94" s="307" t="str">
        <f>IF($B94="","",IF(Q$4="NÃO",0,IF(VLOOKUP($B94,FROTA!$B$5:$R$305,10,0)=Q$3,0.01,0)))</f>
        <v/>
      </c>
      <c r="R94" s="307" t="str">
        <f>IF($B94="","",IF(R$4="NÃO",0,IF(VLOOKUP($B94,FROTA!$B$5:$R$305,10,0)=R$3,0.01,0)))</f>
        <v/>
      </c>
      <c r="S94" s="307" t="str">
        <f>IF($B94="","",IF(S$4="NÃO",0,IF(VLOOKUP($B94,FROTA!$B$5:$R$305,10,0)=S$3,0.01,0)))</f>
        <v/>
      </c>
      <c r="T94" s="307" t="str">
        <f>IF($B94="","",IF(T$4="NÃO",0,IF(VLOOKUP($B94,FROTA!$B$5:$R$305,10,0)=T$3,0.01,0)))</f>
        <v/>
      </c>
      <c r="U94" s="307" t="str">
        <f>IF($B94="","",IF(U$4="NÃO",0,IF(VLOOKUP($B94,FROTA!$B$5:$R$305,10,0)=U$3,0.01,0)))</f>
        <v/>
      </c>
      <c r="V94" s="306" t="str">
        <f t="shared" si="22"/>
        <v/>
      </c>
      <c r="W94" s="238" t="str">
        <f t="shared" si="20"/>
        <v/>
      </c>
      <c r="X94" s="576" t="str">
        <f t="shared" si="23"/>
        <v/>
      </c>
      <c r="BA94" s="581">
        <v>44927</v>
      </c>
      <c r="BB94" s="582">
        <v>2023</v>
      </c>
    </row>
    <row r="95" spans="2:54" ht="15" customHeight="1" x14ac:dyDescent="0.2">
      <c r="B95" s="192" t="str">
        <f>IF(FROTA!B96="","",FROTA!B96)</f>
        <v/>
      </c>
      <c r="C95" s="192" t="str">
        <f>IF(B95="","",FROTA!Z96)</f>
        <v/>
      </c>
      <c r="D95" s="192" t="str">
        <f>IF(B95="","",VLOOKUP(B95,FROTA!$B$5:$C$310,2,0))</f>
        <v/>
      </c>
      <c r="E95" s="233" t="str">
        <f>IF(D95="","",VLOOKUP(D95,ESCALA!$B$3:$H$19,7,0))</f>
        <v/>
      </c>
      <c r="F95" s="219" t="s">
        <v>222</v>
      </c>
      <c r="G95" s="305" t="str">
        <f t="shared" si="21"/>
        <v/>
      </c>
      <c r="H95" s="314" t="str">
        <f>IF($B95="","",IF(H$4="NÃO",0,IF(VLOOKUP($B95,FROTA!$B$5:$R$305,17,0)=H$3,0.02,0)))</f>
        <v/>
      </c>
      <c r="I95" s="193" t="str">
        <f>IF($B95="","",IF(I$4="NÃO",0,IF(VLOOKUP($B95,FROTA!$B$5:$R$305,17,0)=I$3,0.02,0)))</f>
        <v/>
      </c>
      <c r="J95" s="193" t="str">
        <f>IF($B95="","",IF(J$4="NÃO",0,IF(VLOOKUP($B95,FROTA!$B$5:$R$305,17,0)=J$3,0.02,0)))</f>
        <v/>
      </c>
      <c r="K95" s="193" t="str">
        <f>IF($B95="","",IF(K$4="NÃO",0,IF(VLOOKUP($B95,FROTA!$B$5:$R$305,17,0)=K$3,0.02,0)))</f>
        <v/>
      </c>
      <c r="L95" s="193" t="str">
        <f>IF($B95="","",IF(L$4="NÃO",0,IF(VLOOKUP($B95,FROTA!$B$5:$R$305,17,0)=L$3,0.02,0)))</f>
        <v/>
      </c>
      <c r="M95" s="193" t="str">
        <f>IF($B95="","",IF(M$4="NÃO",0,IF(VLOOKUP($B95,FROTA!$B$5:$R$305,17,0)=M$3,0.02,0)))</f>
        <v/>
      </c>
      <c r="N95" s="193" t="str">
        <f>IF($B95="","",IF(M$4="NÃO",0,IF(VLOOKUP($B95,FROTA!$B$5:$R$305,17,0)=N$3,0.02,0)))</f>
        <v/>
      </c>
      <c r="O95" s="311" t="str">
        <f>IF($B95="","",IF(O$4="NÃO",0,IF(VLOOKUP($B95,FROTA!$B$5:$R$305,10,0)=O$3,0.01,0)))</f>
        <v/>
      </c>
      <c r="P95" s="307" t="str">
        <f>IF($B95="","",IF(P$4="NÃO",0,IF(VLOOKUP($B95,FROTA!$B$5:$R$305,10,0)=P$3,0.01,0)))</f>
        <v/>
      </c>
      <c r="Q95" s="307" t="str">
        <f>IF($B95="","",IF(Q$4="NÃO",0,IF(VLOOKUP($B95,FROTA!$B$5:$R$305,10,0)=Q$3,0.01,0)))</f>
        <v/>
      </c>
      <c r="R95" s="307" t="str">
        <f>IF($B95="","",IF(R$4="NÃO",0,IF(VLOOKUP($B95,FROTA!$B$5:$R$305,10,0)=R$3,0.01,0)))</f>
        <v/>
      </c>
      <c r="S95" s="307" t="str">
        <f>IF($B95="","",IF(S$4="NÃO",0,IF(VLOOKUP($B95,FROTA!$B$5:$R$305,10,0)=S$3,0.01,0)))</f>
        <v/>
      </c>
      <c r="T95" s="307" t="str">
        <f>IF($B95="","",IF(T$4="NÃO",0,IF(VLOOKUP($B95,FROTA!$B$5:$R$305,10,0)=T$3,0.01,0)))</f>
        <v/>
      </c>
      <c r="U95" s="307" t="str">
        <f>IF($B95="","",IF(U$4="NÃO",0,IF(VLOOKUP($B95,FROTA!$B$5:$R$305,10,0)=U$3,0.01,0)))</f>
        <v/>
      </c>
      <c r="V95" s="306" t="str">
        <f t="shared" si="22"/>
        <v/>
      </c>
      <c r="W95" s="238" t="str">
        <f t="shared" si="20"/>
        <v/>
      </c>
      <c r="X95" s="576" t="str">
        <f t="shared" si="23"/>
        <v/>
      </c>
      <c r="BA95" s="581">
        <v>44928</v>
      </c>
      <c r="BB95" s="582">
        <v>2023</v>
      </c>
    </row>
    <row r="96" spans="2:54" ht="15" customHeight="1" x14ac:dyDescent="0.2">
      <c r="B96" s="192" t="str">
        <f>IF(FROTA!B97="","",FROTA!B97)</f>
        <v/>
      </c>
      <c r="C96" s="192" t="str">
        <f>IF(B96="","",FROTA!Z97)</f>
        <v/>
      </c>
      <c r="D96" s="192" t="str">
        <f>IF(B96="","",VLOOKUP(B96,FROTA!$B$5:$C$310,2,0))</f>
        <v/>
      </c>
      <c r="E96" s="233" t="str">
        <f>IF(D96="","",VLOOKUP(D96,ESCALA!$B$3:$H$19,7,0))</f>
        <v/>
      </c>
      <c r="F96" s="219" t="s">
        <v>222</v>
      </c>
      <c r="G96" s="305" t="str">
        <f t="shared" si="21"/>
        <v/>
      </c>
      <c r="H96" s="314" t="str">
        <f>IF($B96="","",IF(H$4="NÃO",0,IF(VLOOKUP($B96,FROTA!$B$5:$R$305,17,0)=H$3,0.02,0)))</f>
        <v/>
      </c>
      <c r="I96" s="193" t="str">
        <f>IF($B96="","",IF(I$4="NÃO",0,IF(VLOOKUP($B96,FROTA!$B$5:$R$305,17,0)=I$3,0.02,0)))</f>
        <v/>
      </c>
      <c r="J96" s="193" t="str">
        <f>IF($B96="","",IF(J$4="NÃO",0,IF(VLOOKUP($B96,FROTA!$B$5:$R$305,17,0)=J$3,0.02,0)))</f>
        <v/>
      </c>
      <c r="K96" s="193" t="str">
        <f>IF($B96="","",IF(K$4="NÃO",0,IF(VLOOKUP($B96,FROTA!$B$5:$R$305,17,0)=K$3,0.02,0)))</f>
        <v/>
      </c>
      <c r="L96" s="193" t="str">
        <f>IF($B96="","",IF(L$4="NÃO",0,IF(VLOOKUP($B96,FROTA!$B$5:$R$305,17,0)=L$3,0.02,0)))</f>
        <v/>
      </c>
      <c r="M96" s="193" t="str">
        <f>IF($B96="","",IF(M$4="NÃO",0,IF(VLOOKUP($B96,FROTA!$B$5:$R$305,17,0)=M$3,0.02,0)))</f>
        <v/>
      </c>
      <c r="N96" s="193" t="str">
        <f>IF($B96="","",IF(M$4="NÃO",0,IF(VLOOKUP($B96,FROTA!$B$5:$R$305,17,0)=N$3,0.02,0)))</f>
        <v/>
      </c>
      <c r="O96" s="311" t="str">
        <f>IF($B96="","",IF(O$4="NÃO",0,IF(VLOOKUP($B96,FROTA!$B$5:$R$305,10,0)=O$3,0.01,0)))</f>
        <v/>
      </c>
      <c r="P96" s="307" t="str">
        <f>IF($B96="","",IF(P$4="NÃO",0,IF(VLOOKUP($B96,FROTA!$B$5:$R$305,10,0)=P$3,0.01,0)))</f>
        <v/>
      </c>
      <c r="Q96" s="307" t="str">
        <f>IF($B96="","",IF(Q$4="NÃO",0,IF(VLOOKUP($B96,FROTA!$B$5:$R$305,10,0)=Q$3,0.01,0)))</f>
        <v/>
      </c>
      <c r="R96" s="307" t="str">
        <f>IF($B96="","",IF(R$4="NÃO",0,IF(VLOOKUP($B96,FROTA!$B$5:$R$305,10,0)=R$3,0.01,0)))</f>
        <v/>
      </c>
      <c r="S96" s="307" t="str">
        <f>IF($B96="","",IF(S$4="NÃO",0,IF(VLOOKUP($B96,FROTA!$B$5:$R$305,10,0)=S$3,0.01,0)))</f>
        <v/>
      </c>
      <c r="T96" s="307" t="str">
        <f>IF($B96="","",IF(T$4="NÃO",0,IF(VLOOKUP($B96,FROTA!$B$5:$R$305,10,0)=T$3,0.01,0)))</f>
        <v/>
      </c>
      <c r="U96" s="307" t="str">
        <f>IF($B96="","",IF(U$4="NÃO",0,IF(VLOOKUP($B96,FROTA!$B$5:$R$305,10,0)=U$3,0.01,0)))</f>
        <v/>
      </c>
      <c r="V96" s="306" t="str">
        <f t="shared" si="22"/>
        <v/>
      </c>
      <c r="W96" s="238" t="str">
        <f t="shared" si="20"/>
        <v/>
      </c>
      <c r="X96" s="576" t="str">
        <f t="shared" si="23"/>
        <v/>
      </c>
      <c r="BA96" s="581">
        <v>44929</v>
      </c>
      <c r="BB96" s="582">
        <v>2023</v>
      </c>
    </row>
    <row r="97" spans="2:54" ht="15" customHeight="1" x14ac:dyDescent="0.2">
      <c r="B97" s="192" t="str">
        <f>IF(FROTA!B98="","",FROTA!B98)</f>
        <v/>
      </c>
      <c r="C97" s="192" t="str">
        <f>IF(B97="","",FROTA!Z98)</f>
        <v/>
      </c>
      <c r="D97" s="192" t="str">
        <f>IF(B97="","",VLOOKUP(B97,FROTA!$B$5:$C$310,2,0))</f>
        <v/>
      </c>
      <c r="E97" s="233" t="str">
        <f>IF(D97="","",VLOOKUP(D97,ESCALA!$B$3:$H$19,7,0))</f>
        <v/>
      </c>
      <c r="F97" s="219" t="s">
        <v>222</v>
      </c>
      <c r="G97" s="305" t="str">
        <f t="shared" si="21"/>
        <v/>
      </c>
      <c r="H97" s="314" t="str">
        <f>IF($B97="","",IF(H$4="NÃO",0,IF(VLOOKUP($B97,FROTA!$B$5:$R$305,17,0)=H$3,0.02,0)))</f>
        <v/>
      </c>
      <c r="I97" s="193" t="str">
        <f>IF($B97="","",IF(I$4="NÃO",0,IF(VLOOKUP($B97,FROTA!$B$5:$R$305,17,0)=I$3,0.02,0)))</f>
        <v/>
      </c>
      <c r="J97" s="193" t="str">
        <f>IF($B97="","",IF(J$4="NÃO",0,IF(VLOOKUP($B97,FROTA!$B$5:$R$305,17,0)=J$3,0.02,0)))</f>
        <v/>
      </c>
      <c r="K97" s="193" t="str">
        <f>IF($B97="","",IF(K$4="NÃO",0,IF(VLOOKUP($B97,FROTA!$B$5:$R$305,17,0)=K$3,0.02,0)))</f>
        <v/>
      </c>
      <c r="L97" s="193" t="str">
        <f>IF($B97="","",IF(L$4="NÃO",0,IF(VLOOKUP($B97,FROTA!$B$5:$R$305,17,0)=L$3,0.02,0)))</f>
        <v/>
      </c>
      <c r="M97" s="193" t="str">
        <f>IF($B97="","",IF(M$4="NÃO",0,IF(VLOOKUP($B97,FROTA!$B$5:$R$305,17,0)=M$3,0.02,0)))</f>
        <v/>
      </c>
      <c r="N97" s="193" t="str">
        <f>IF($B97="","",IF(M$4="NÃO",0,IF(VLOOKUP($B97,FROTA!$B$5:$R$305,17,0)=N$3,0.02,0)))</f>
        <v/>
      </c>
      <c r="O97" s="311" t="str">
        <f>IF($B97="","",IF(O$4="NÃO",0,IF(VLOOKUP($B97,FROTA!$B$5:$R$305,10,0)=O$3,0.01,0)))</f>
        <v/>
      </c>
      <c r="P97" s="307" t="str">
        <f>IF($B97="","",IF(P$4="NÃO",0,IF(VLOOKUP($B97,FROTA!$B$5:$R$305,10,0)=P$3,0.01,0)))</f>
        <v/>
      </c>
      <c r="Q97" s="307" t="str">
        <f>IF($B97="","",IF(Q$4="NÃO",0,IF(VLOOKUP($B97,FROTA!$B$5:$R$305,10,0)=Q$3,0.01,0)))</f>
        <v/>
      </c>
      <c r="R97" s="307" t="str">
        <f>IF($B97="","",IF(R$4="NÃO",0,IF(VLOOKUP($B97,FROTA!$B$5:$R$305,10,0)=R$3,0.01,0)))</f>
        <v/>
      </c>
      <c r="S97" s="307" t="str">
        <f>IF($B97="","",IF(S$4="NÃO",0,IF(VLOOKUP($B97,FROTA!$B$5:$R$305,10,0)=S$3,0.01,0)))</f>
        <v/>
      </c>
      <c r="T97" s="307" t="str">
        <f>IF($B97="","",IF(T$4="NÃO",0,IF(VLOOKUP($B97,FROTA!$B$5:$R$305,10,0)=T$3,0.01,0)))</f>
        <v/>
      </c>
      <c r="U97" s="307" t="str">
        <f>IF($B97="","",IF(U$4="NÃO",0,IF(VLOOKUP($B97,FROTA!$B$5:$R$305,10,0)=U$3,0.01,0)))</f>
        <v/>
      </c>
      <c r="V97" s="306" t="str">
        <f t="shared" si="22"/>
        <v/>
      </c>
      <c r="W97" s="238" t="str">
        <f t="shared" si="20"/>
        <v/>
      </c>
      <c r="X97" s="576" t="str">
        <f t="shared" si="23"/>
        <v/>
      </c>
      <c r="BA97" s="581">
        <v>44930</v>
      </c>
      <c r="BB97" s="582">
        <v>2023</v>
      </c>
    </row>
    <row r="98" spans="2:54" ht="15" customHeight="1" x14ac:dyDescent="0.2">
      <c r="B98" s="192" t="str">
        <f>IF(FROTA!B99="","",FROTA!B99)</f>
        <v/>
      </c>
      <c r="C98" s="192" t="str">
        <f>IF(B98="","",FROTA!Z99)</f>
        <v/>
      </c>
      <c r="D98" s="192" t="str">
        <f>IF(B98="","",VLOOKUP(B98,FROTA!$B$5:$C$310,2,0))</f>
        <v/>
      </c>
      <c r="E98" s="233" t="str">
        <f>IF(D98="","",VLOOKUP(D98,ESCALA!$B$3:$H$19,7,0))</f>
        <v/>
      </c>
      <c r="F98" s="219" t="s">
        <v>222</v>
      </c>
      <c r="G98" s="305" t="str">
        <f t="shared" si="21"/>
        <v/>
      </c>
      <c r="H98" s="314" t="str">
        <f>IF($B98="","",IF(H$4="NÃO",0,IF(VLOOKUP($B98,FROTA!$B$5:$R$305,17,0)=H$3,0.02,0)))</f>
        <v/>
      </c>
      <c r="I98" s="193" t="str">
        <f>IF($B98="","",IF(I$4="NÃO",0,IF(VLOOKUP($B98,FROTA!$B$5:$R$305,17,0)=I$3,0.02,0)))</f>
        <v/>
      </c>
      <c r="J98" s="193" t="str">
        <f>IF($B98="","",IF(J$4="NÃO",0,IF(VLOOKUP($B98,FROTA!$B$5:$R$305,17,0)=J$3,0.02,0)))</f>
        <v/>
      </c>
      <c r="K98" s="193" t="str">
        <f>IF($B98="","",IF(K$4="NÃO",0,IF(VLOOKUP($B98,FROTA!$B$5:$R$305,17,0)=K$3,0.02,0)))</f>
        <v/>
      </c>
      <c r="L98" s="193" t="str">
        <f>IF($B98="","",IF(L$4="NÃO",0,IF(VLOOKUP($B98,FROTA!$B$5:$R$305,17,0)=L$3,0.02,0)))</f>
        <v/>
      </c>
      <c r="M98" s="193" t="str">
        <f>IF($B98="","",IF(M$4="NÃO",0,IF(VLOOKUP($B98,FROTA!$B$5:$R$305,17,0)=M$3,0.02,0)))</f>
        <v/>
      </c>
      <c r="N98" s="193" t="str">
        <f>IF($B98="","",IF(M$4="NÃO",0,IF(VLOOKUP($B98,FROTA!$B$5:$R$305,17,0)=N$3,0.02,0)))</f>
        <v/>
      </c>
      <c r="O98" s="311" t="str">
        <f>IF($B98="","",IF(O$4="NÃO",0,IF(VLOOKUP($B98,FROTA!$B$5:$R$305,10,0)=O$3,0.01,0)))</f>
        <v/>
      </c>
      <c r="P98" s="307" t="str">
        <f>IF($B98="","",IF(P$4="NÃO",0,IF(VLOOKUP($B98,FROTA!$B$5:$R$305,10,0)=P$3,0.01,0)))</f>
        <v/>
      </c>
      <c r="Q98" s="307" t="str">
        <f>IF($B98="","",IF(Q$4="NÃO",0,IF(VLOOKUP($B98,FROTA!$B$5:$R$305,10,0)=Q$3,0.01,0)))</f>
        <v/>
      </c>
      <c r="R98" s="307" t="str">
        <f>IF($B98="","",IF(R$4="NÃO",0,IF(VLOOKUP($B98,FROTA!$B$5:$R$305,10,0)=R$3,0.01,0)))</f>
        <v/>
      </c>
      <c r="S98" s="307" t="str">
        <f>IF($B98="","",IF(S$4="NÃO",0,IF(VLOOKUP($B98,FROTA!$B$5:$R$305,10,0)=S$3,0.01,0)))</f>
        <v/>
      </c>
      <c r="T98" s="307" t="str">
        <f>IF($B98="","",IF(T$4="NÃO",0,IF(VLOOKUP($B98,FROTA!$B$5:$R$305,10,0)=T$3,0.01,0)))</f>
        <v/>
      </c>
      <c r="U98" s="307" t="str">
        <f>IF($B98="","",IF(U$4="NÃO",0,IF(VLOOKUP($B98,FROTA!$B$5:$R$305,10,0)=U$3,0.01,0)))</f>
        <v/>
      </c>
      <c r="V98" s="306" t="str">
        <f t="shared" si="22"/>
        <v/>
      </c>
      <c r="W98" s="238" t="str">
        <f t="shared" si="20"/>
        <v/>
      </c>
      <c r="X98" s="576" t="str">
        <f t="shared" si="23"/>
        <v/>
      </c>
      <c r="BA98" s="581">
        <v>44931</v>
      </c>
      <c r="BB98" s="582">
        <v>2023</v>
      </c>
    </row>
    <row r="99" spans="2:54" ht="15" customHeight="1" x14ac:dyDescent="0.2">
      <c r="B99" s="192" t="str">
        <f>IF(FROTA!B100="","",FROTA!B100)</f>
        <v/>
      </c>
      <c r="C99" s="192" t="str">
        <f>IF(B99="","",FROTA!Z100)</f>
        <v/>
      </c>
      <c r="D99" s="192" t="str">
        <f>IF(B99="","",VLOOKUP(B99,FROTA!$B$5:$C$310,2,0))</f>
        <v/>
      </c>
      <c r="E99" s="233" t="str">
        <f>IF(D99="","",VLOOKUP(D99,ESCALA!$B$3:$H$19,7,0))</f>
        <v/>
      </c>
      <c r="F99" s="219" t="s">
        <v>222</v>
      </c>
      <c r="G99" s="305" t="str">
        <f t="shared" si="21"/>
        <v/>
      </c>
      <c r="H99" s="314" t="str">
        <f>IF($B99="","",IF(H$4="NÃO",0,IF(VLOOKUP($B99,FROTA!$B$5:$R$305,17,0)=H$3,0.02,0)))</f>
        <v/>
      </c>
      <c r="I99" s="193" t="str">
        <f>IF($B99="","",IF(I$4="NÃO",0,IF(VLOOKUP($B99,FROTA!$B$5:$R$305,17,0)=I$3,0.02,0)))</f>
        <v/>
      </c>
      <c r="J99" s="193" t="str">
        <f>IF($B99="","",IF(J$4="NÃO",0,IF(VLOOKUP($B99,FROTA!$B$5:$R$305,17,0)=J$3,0.02,0)))</f>
        <v/>
      </c>
      <c r="K99" s="193" t="str">
        <f>IF($B99="","",IF(K$4="NÃO",0,IF(VLOOKUP($B99,FROTA!$B$5:$R$305,17,0)=K$3,0.02,0)))</f>
        <v/>
      </c>
      <c r="L99" s="193" t="str">
        <f>IF($B99="","",IF(L$4="NÃO",0,IF(VLOOKUP($B99,FROTA!$B$5:$R$305,17,0)=L$3,0.02,0)))</f>
        <v/>
      </c>
      <c r="M99" s="193" t="str">
        <f>IF($B99="","",IF(M$4="NÃO",0,IF(VLOOKUP($B99,FROTA!$B$5:$R$305,17,0)=M$3,0.02,0)))</f>
        <v/>
      </c>
      <c r="N99" s="193" t="str">
        <f>IF($B99="","",IF(M$4="NÃO",0,IF(VLOOKUP($B99,FROTA!$B$5:$R$305,17,0)=N$3,0.02,0)))</f>
        <v/>
      </c>
      <c r="O99" s="311" t="str">
        <f>IF($B99="","",IF(O$4="NÃO",0,IF(VLOOKUP($B99,FROTA!$B$5:$R$305,10,0)=O$3,0.01,0)))</f>
        <v/>
      </c>
      <c r="P99" s="307" t="str">
        <f>IF($B99="","",IF(P$4="NÃO",0,IF(VLOOKUP($B99,FROTA!$B$5:$R$305,10,0)=P$3,0.01,0)))</f>
        <v/>
      </c>
      <c r="Q99" s="307" t="str">
        <f>IF($B99="","",IF(Q$4="NÃO",0,IF(VLOOKUP($B99,FROTA!$B$5:$R$305,10,0)=Q$3,0.01,0)))</f>
        <v/>
      </c>
      <c r="R99" s="307" t="str">
        <f>IF($B99="","",IF(R$4="NÃO",0,IF(VLOOKUP($B99,FROTA!$B$5:$R$305,10,0)=R$3,0.01,0)))</f>
        <v/>
      </c>
      <c r="S99" s="307" t="str">
        <f>IF($B99="","",IF(S$4="NÃO",0,IF(VLOOKUP($B99,FROTA!$B$5:$R$305,10,0)=S$3,0.01,0)))</f>
        <v/>
      </c>
      <c r="T99" s="307" t="str">
        <f>IF($B99="","",IF(T$4="NÃO",0,IF(VLOOKUP($B99,FROTA!$B$5:$R$305,10,0)=T$3,0.01,0)))</f>
        <v/>
      </c>
      <c r="U99" s="307" t="str">
        <f>IF($B99="","",IF(U$4="NÃO",0,IF(VLOOKUP($B99,FROTA!$B$5:$R$305,10,0)=U$3,0.01,0)))</f>
        <v/>
      </c>
      <c r="V99" s="306" t="str">
        <f t="shared" si="22"/>
        <v/>
      </c>
      <c r="W99" s="238" t="str">
        <f t="shared" si="20"/>
        <v/>
      </c>
      <c r="X99" s="576" t="str">
        <f t="shared" si="23"/>
        <v/>
      </c>
      <c r="BA99" s="581">
        <v>44932</v>
      </c>
      <c r="BB99" s="582">
        <v>2023</v>
      </c>
    </row>
    <row r="100" spans="2:54" ht="15" customHeight="1" x14ac:dyDescent="0.2">
      <c r="B100" s="192" t="str">
        <f>IF(FROTA!B101="","",FROTA!B101)</f>
        <v/>
      </c>
      <c r="C100" s="192" t="str">
        <f>IF(B100="","",FROTA!Z101)</f>
        <v/>
      </c>
      <c r="D100" s="192" t="str">
        <f>IF(B100="","",VLOOKUP(B100,FROTA!$B$5:$C$310,2,0))</f>
        <v/>
      </c>
      <c r="E100" s="233" t="str">
        <f>IF(D100="","",VLOOKUP(D100,ESCALA!$B$3:$H$19,7,0))</f>
        <v/>
      </c>
      <c r="F100" s="219" t="s">
        <v>222</v>
      </c>
      <c r="G100" s="305" t="str">
        <f t="shared" si="21"/>
        <v/>
      </c>
      <c r="H100" s="314" t="str">
        <f>IF($B100="","",IF(H$4="NÃO",0,IF(VLOOKUP($B100,FROTA!$B$5:$R$305,17,0)=H$3,0.02,0)))</f>
        <v/>
      </c>
      <c r="I100" s="193" t="str">
        <f>IF($B100="","",IF(I$4="NÃO",0,IF(VLOOKUP($B100,FROTA!$B$5:$R$305,17,0)=I$3,0.02,0)))</f>
        <v/>
      </c>
      <c r="J100" s="193" t="str">
        <f>IF($B100="","",IF(J$4="NÃO",0,IF(VLOOKUP($B100,FROTA!$B$5:$R$305,17,0)=J$3,0.02,0)))</f>
        <v/>
      </c>
      <c r="K100" s="193" t="str">
        <f>IF($B100="","",IF(K$4="NÃO",0,IF(VLOOKUP($B100,FROTA!$B$5:$R$305,17,0)=K$3,0.02,0)))</f>
        <v/>
      </c>
      <c r="L100" s="193" t="str">
        <f>IF($B100="","",IF(L$4="NÃO",0,IF(VLOOKUP($B100,FROTA!$B$5:$R$305,17,0)=L$3,0.02,0)))</f>
        <v/>
      </c>
      <c r="M100" s="193" t="str">
        <f>IF($B100="","",IF(M$4="NÃO",0,IF(VLOOKUP($B100,FROTA!$B$5:$R$305,17,0)=M$3,0.02,0)))</f>
        <v/>
      </c>
      <c r="N100" s="193" t="str">
        <f>IF($B100="","",IF(M$4="NÃO",0,IF(VLOOKUP($B100,FROTA!$B$5:$R$305,17,0)=N$3,0.02,0)))</f>
        <v/>
      </c>
      <c r="O100" s="311" t="str">
        <f>IF($B100="","",IF(O$4="NÃO",0,IF(VLOOKUP($B100,FROTA!$B$5:$R$305,10,0)=O$3,0.01,0)))</f>
        <v/>
      </c>
      <c r="P100" s="307" t="str">
        <f>IF($B100="","",IF(P$4="NÃO",0,IF(VLOOKUP($B100,FROTA!$B$5:$R$305,10,0)=P$3,0.01,0)))</f>
        <v/>
      </c>
      <c r="Q100" s="307" t="str">
        <f>IF($B100="","",IF(Q$4="NÃO",0,IF(VLOOKUP($B100,FROTA!$B$5:$R$305,10,0)=Q$3,0.01,0)))</f>
        <v/>
      </c>
      <c r="R100" s="307" t="str">
        <f>IF($B100="","",IF(R$4="NÃO",0,IF(VLOOKUP($B100,FROTA!$B$5:$R$305,10,0)=R$3,0.01,0)))</f>
        <v/>
      </c>
      <c r="S100" s="307" t="str">
        <f>IF($B100="","",IF(S$4="NÃO",0,IF(VLOOKUP($B100,FROTA!$B$5:$R$305,10,0)=S$3,0.01,0)))</f>
        <v/>
      </c>
      <c r="T100" s="307" t="str">
        <f>IF($B100="","",IF(T$4="NÃO",0,IF(VLOOKUP($B100,FROTA!$B$5:$R$305,10,0)=T$3,0.01,0)))</f>
        <v/>
      </c>
      <c r="U100" s="307" t="str">
        <f>IF($B100="","",IF(U$4="NÃO",0,IF(VLOOKUP($B100,FROTA!$B$5:$R$305,10,0)=U$3,0.01,0)))</f>
        <v/>
      </c>
      <c r="V100" s="306" t="str">
        <f t="shared" si="22"/>
        <v/>
      </c>
      <c r="W100" s="238" t="str">
        <f t="shared" si="20"/>
        <v/>
      </c>
      <c r="X100" s="576" t="str">
        <f t="shared" si="23"/>
        <v/>
      </c>
      <c r="BA100" s="581">
        <v>44933</v>
      </c>
      <c r="BB100" s="582">
        <v>2023</v>
      </c>
    </row>
    <row r="101" spans="2:54" ht="15" customHeight="1" x14ac:dyDescent="0.2">
      <c r="B101" s="192" t="str">
        <f>IF(FROTA!B102="","",FROTA!B102)</f>
        <v/>
      </c>
      <c r="C101" s="192" t="str">
        <f>IF(B101="","",FROTA!Z102)</f>
        <v/>
      </c>
      <c r="D101" s="192" t="str">
        <f>IF(B101="","",VLOOKUP(B101,FROTA!$B$5:$C$310,2,0))</f>
        <v/>
      </c>
      <c r="E101" s="233" t="str">
        <f>IF(D101="","",VLOOKUP(D101,ESCALA!$B$3:$H$19,7,0))</f>
        <v/>
      </c>
      <c r="F101" s="219" t="s">
        <v>222</v>
      </c>
      <c r="G101" s="305" t="str">
        <f t="shared" si="21"/>
        <v/>
      </c>
      <c r="H101" s="314" t="str">
        <f>IF($B101="","",IF(H$4="NÃO",0,IF(VLOOKUP($B101,FROTA!$B$5:$R$305,17,0)=H$3,0.02,0)))</f>
        <v/>
      </c>
      <c r="I101" s="193" t="str">
        <f>IF($B101="","",IF(I$4="NÃO",0,IF(VLOOKUP($B101,FROTA!$B$5:$R$305,17,0)=I$3,0.02,0)))</f>
        <v/>
      </c>
      <c r="J101" s="193" t="str">
        <f>IF($B101="","",IF(J$4="NÃO",0,IF(VLOOKUP($B101,FROTA!$B$5:$R$305,17,0)=J$3,0.02,0)))</f>
        <v/>
      </c>
      <c r="K101" s="193" t="str">
        <f>IF($B101="","",IF(K$4="NÃO",0,IF(VLOOKUP($B101,FROTA!$B$5:$R$305,17,0)=K$3,0.02,0)))</f>
        <v/>
      </c>
      <c r="L101" s="193" t="str">
        <f>IF($B101="","",IF(L$4="NÃO",0,IF(VLOOKUP($B101,FROTA!$B$5:$R$305,17,0)=L$3,0.02,0)))</f>
        <v/>
      </c>
      <c r="M101" s="193" t="str">
        <f>IF($B101="","",IF(M$4="NÃO",0,IF(VLOOKUP($B101,FROTA!$B$5:$R$305,17,0)=M$3,0.02,0)))</f>
        <v/>
      </c>
      <c r="N101" s="193" t="str">
        <f>IF($B101="","",IF(M$4="NÃO",0,IF(VLOOKUP($B101,FROTA!$B$5:$R$305,17,0)=N$3,0.02,0)))</f>
        <v/>
      </c>
      <c r="O101" s="311" t="str">
        <f>IF($B101="","",IF(O$4="NÃO",0,IF(VLOOKUP($B101,FROTA!$B$5:$R$305,10,0)=O$3,0.01,0)))</f>
        <v/>
      </c>
      <c r="P101" s="307" t="str">
        <f>IF($B101="","",IF(P$4="NÃO",0,IF(VLOOKUP($B101,FROTA!$B$5:$R$305,10,0)=P$3,0.01,0)))</f>
        <v/>
      </c>
      <c r="Q101" s="307" t="str">
        <f>IF($B101="","",IF(Q$4="NÃO",0,IF(VLOOKUP($B101,FROTA!$B$5:$R$305,10,0)=Q$3,0.01,0)))</f>
        <v/>
      </c>
      <c r="R101" s="307" t="str">
        <f>IF($B101="","",IF(R$4="NÃO",0,IF(VLOOKUP($B101,FROTA!$B$5:$R$305,10,0)=R$3,0.01,0)))</f>
        <v/>
      </c>
      <c r="S101" s="307" t="str">
        <f>IF($B101="","",IF(S$4="NÃO",0,IF(VLOOKUP($B101,FROTA!$B$5:$R$305,10,0)=S$3,0.01,0)))</f>
        <v/>
      </c>
      <c r="T101" s="307" t="str">
        <f>IF($B101="","",IF(T$4="NÃO",0,IF(VLOOKUP($B101,FROTA!$B$5:$R$305,10,0)=T$3,0.01,0)))</f>
        <v/>
      </c>
      <c r="U101" s="307" t="str">
        <f>IF($B101="","",IF(U$4="NÃO",0,IF(VLOOKUP($B101,FROTA!$B$5:$R$305,10,0)=U$3,0.01,0)))</f>
        <v/>
      </c>
      <c r="V101" s="306" t="str">
        <f t="shared" si="22"/>
        <v/>
      </c>
      <c r="W101" s="238" t="str">
        <f t="shared" si="20"/>
        <v/>
      </c>
      <c r="X101" s="576" t="str">
        <f t="shared" si="23"/>
        <v/>
      </c>
      <c r="BA101" s="581">
        <v>44934</v>
      </c>
      <c r="BB101" s="582">
        <v>2023</v>
      </c>
    </row>
    <row r="102" spans="2:54" ht="15" customHeight="1" x14ac:dyDescent="0.2">
      <c r="B102" s="192" t="str">
        <f>IF(FROTA!B103="","",FROTA!B103)</f>
        <v/>
      </c>
      <c r="C102" s="192" t="str">
        <f>IF(B102="","",FROTA!Z103)</f>
        <v/>
      </c>
      <c r="D102" s="192" t="str">
        <f>IF(B102="","",VLOOKUP(B102,FROTA!$B$5:$C$310,2,0))</f>
        <v/>
      </c>
      <c r="E102" s="233" t="str">
        <f>IF(D102="","",VLOOKUP(D102,ESCALA!$B$3:$H$19,7,0))</f>
        <v/>
      </c>
      <c r="F102" s="219" t="s">
        <v>222</v>
      </c>
      <c r="G102" s="305" t="str">
        <f t="shared" si="21"/>
        <v/>
      </c>
      <c r="H102" s="314" t="str">
        <f>IF($B102="","",IF(H$4="NÃO",0,IF(VLOOKUP($B102,FROTA!$B$5:$R$305,17,0)=H$3,0.02,0)))</f>
        <v/>
      </c>
      <c r="I102" s="193" t="str">
        <f>IF($B102="","",IF(I$4="NÃO",0,IF(VLOOKUP($B102,FROTA!$B$5:$R$305,17,0)=I$3,0.02,0)))</f>
        <v/>
      </c>
      <c r="J102" s="193" t="str">
        <f>IF($B102="","",IF(J$4="NÃO",0,IF(VLOOKUP($B102,FROTA!$B$5:$R$305,17,0)=J$3,0.02,0)))</f>
        <v/>
      </c>
      <c r="K102" s="193" t="str">
        <f>IF($B102="","",IF(K$4="NÃO",0,IF(VLOOKUP($B102,FROTA!$B$5:$R$305,17,0)=K$3,0.02,0)))</f>
        <v/>
      </c>
      <c r="L102" s="193" t="str">
        <f>IF($B102="","",IF(L$4="NÃO",0,IF(VLOOKUP($B102,FROTA!$B$5:$R$305,17,0)=L$3,0.02,0)))</f>
        <v/>
      </c>
      <c r="M102" s="193" t="str">
        <f>IF($B102="","",IF(M$4="NÃO",0,IF(VLOOKUP($B102,FROTA!$B$5:$R$305,17,0)=M$3,0.02,0)))</f>
        <v/>
      </c>
      <c r="N102" s="193" t="str">
        <f>IF($B102="","",IF(M$4="NÃO",0,IF(VLOOKUP($B102,FROTA!$B$5:$R$305,17,0)=N$3,0.02,0)))</f>
        <v/>
      </c>
      <c r="O102" s="311" t="str">
        <f>IF($B102="","",IF(O$4="NÃO",0,IF(VLOOKUP($B102,FROTA!$B$5:$R$305,10,0)=O$3,0.01,0)))</f>
        <v/>
      </c>
      <c r="P102" s="307" t="str">
        <f>IF($B102="","",IF(P$4="NÃO",0,IF(VLOOKUP($B102,FROTA!$B$5:$R$305,10,0)=P$3,0.01,0)))</f>
        <v/>
      </c>
      <c r="Q102" s="307" t="str">
        <f>IF($B102="","",IF(Q$4="NÃO",0,IF(VLOOKUP($B102,FROTA!$B$5:$R$305,10,0)=Q$3,0.01,0)))</f>
        <v/>
      </c>
      <c r="R102" s="307" t="str">
        <f>IF($B102="","",IF(R$4="NÃO",0,IF(VLOOKUP($B102,FROTA!$B$5:$R$305,10,0)=R$3,0.01,0)))</f>
        <v/>
      </c>
      <c r="S102" s="307" t="str">
        <f>IF($B102="","",IF(S$4="NÃO",0,IF(VLOOKUP($B102,FROTA!$B$5:$R$305,10,0)=S$3,0.01,0)))</f>
        <v/>
      </c>
      <c r="T102" s="307" t="str">
        <f>IF($B102="","",IF(T$4="NÃO",0,IF(VLOOKUP($B102,FROTA!$B$5:$R$305,10,0)=T$3,0.01,0)))</f>
        <v/>
      </c>
      <c r="U102" s="307" t="str">
        <f>IF($B102="","",IF(U$4="NÃO",0,IF(VLOOKUP($B102,FROTA!$B$5:$R$305,10,0)=U$3,0.01,0)))</f>
        <v/>
      </c>
      <c r="V102" s="306" t="str">
        <f t="shared" si="22"/>
        <v/>
      </c>
      <c r="W102" s="238" t="str">
        <f t="shared" si="20"/>
        <v/>
      </c>
      <c r="X102" s="576" t="str">
        <f t="shared" si="23"/>
        <v/>
      </c>
      <c r="BA102" s="581">
        <v>44935</v>
      </c>
      <c r="BB102" s="582">
        <v>2023</v>
      </c>
    </row>
    <row r="103" spans="2:54" ht="15" customHeight="1" x14ac:dyDescent="0.2">
      <c r="B103" s="192" t="str">
        <f>IF(FROTA!B104="","",FROTA!B104)</f>
        <v/>
      </c>
      <c r="C103" s="192" t="str">
        <f>IF(B103="","",FROTA!Z104)</f>
        <v/>
      </c>
      <c r="D103" s="192" t="str">
        <f>IF(B103="","",VLOOKUP(B103,FROTA!$B$5:$C$310,2,0))</f>
        <v/>
      </c>
      <c r="E103" s="233" t="str">
        <f>IF(D103="","",VLOOKUP(D103,ESCALA!$B$3:$H$19,7,0))</f>
        <v/>
      </c>
      <c r="F103" s="219" t="s">
        <v>222</v>
      </c>
      <c r="G103" s="305" t="str">
        <f t="shared" si="21"/>
        <v/>
      </c>
      <c r="H103" s="314" t="str">
        <f>IF($B103="","",IF(H$4="NÃO",0,IF(VLOOKUP($B103,FROTA!$B$5:$R$305,17,0)=H$3,0.02,0)))</f>
        <v/>
      </c>
      <c r="I103" s="193" t="str">
        <f>IF($B103="","",IF(I$4="NÃO",0,IF(VLOOKUP($B103,FROTA!$B$5:$R$305,17,0)=I$3,0.02,0)))</f>
        <v/>
      </c>
      <c r="J103" s="193" t="str">
        <f>IF($B103="","",IF(J$4="NÃO",0,IF(VLOOKUP($B103,FROTA!$B$5:$R$305,17,0)=J$3,0.02,0)))</f>
        <v/>
      </c>
      <c r="K103" s="193" t="str">
        <f>IF($B103="","",IF(K$4="NÃO",0,IF(VLOOKUP($B103,FROTA!$B$5:$R$305,17,0)=K$3,0.02,0)))</f>
        <v/>
      </c>
      <c r="L103" s="193" t="str">
        <f>IF($B103="","",IF(L$4="NÃO",0,IF(VLOOKUP($B103,FROTA!$B$5:$R$305,17,0)=L$3,0.02,0)))</f>
        <v/>
      </c>
      <c r="M103" s="193" t="str">
        <f>IF($B103="","",IF(M$4="NÃO",0,IF(VLOOKUP($B103,FROTA!$B$5:$R$305,17,0)=M$3,0.02,0)))</f>
        <v/>
      </c>
      <c r="N103" s="193" t="str">
        <f>IF($B103="","",IF(M$4="NÃO",0,IF(VLOOKUP($B103,FROTA!$B$5:$R$305,17,0)=N$3,0.02,0)))</f>
        <v/>
      </c>
      <c r="O103" s="311" t="str">
        <f>IF($B103="","",IF(O$4="NÃO",0,IF(VLOOKUP($B103,FROTA!$B$5:$R$305,10,0)=O$3,0.01,0)))</f>
        <v/>
      </c>
      <c r="P103" s="307" t="str">
        <f>IF($B103="","",IF(P$4="NÃO",0,IF(VLOOKUP($B103,FROTA!$B$5:$R$305,10,0)=P$3,0.01,0)))</f>
        <v/>
      </c>
      <c r="Q103" s="307" t="str">
        <f>IF($B103="","",IF(Q$4="NÃO",0,IF(VLOOKUP($B103,FROTA!$B$5:$R$305,10,0)=Q$3,0.01,0)))</f>
        <v/>
      </c>
      <c r="R103" s="307" t="str">
        <f>IF($B103="","",IF(R$4="NÃO",0,IF(VLOOKUP($B103,FROTA!$B$5:$R$305,10,0)=R$3,0.01,0)))</f>
        <v/>
      </c>
      <c r="S103" s="307" t="str">
        <f>IF($B103="","",IF(S$4="NÃO",0,IF(VLOOKUP($B103,FROTA!$B$5:$R$305,10,0)=S$3,0.01,0)))</f>
        <v/>
      </c>
      <c r="T103" s="307" t="str">
        <f>IF($B103="","",IF(T$4="NÃO",0,IF(VLOOKUP($B103,FROTA!$B$5:$R$305,10,0)=T$3,0.01,0)))</f>
        <v/>
      </c>
      <c r="U103" s="307" t="str">
        <f>IF($B103="","",IF(U$4="NÃO",0,IF(VLOOKUP($B103,FROTA!$B$5:$R$305,10,0)=U$3,0.01,0)))</f>
        <v/>
      </c>
      <c r="V103" s="306" t="str">
        <f t="shared" si="22"/>
        <v/>
      </c>
      <c r="W103" s="238" t="str">
        <f t="shared" si="20"/>
        <v/>
      </c>
      <c r="X103" s="576" t="str">
        <f t="shared" si="23"/>
        <v/>
      </c>
      <c r="BA103" s="581">
        <v>44936</v>
      </c>
      <c r="BB103" s="582">
        <v>2023</v>
      </c>
    </row>
    <row r="104" spans="2:54" ht="15" customHeight="1" x14ac:dyDescent="0.2">
      <c r="B104" s="192" t="str">
        <f>IF(FROTA!B105="","",FROTA!B105)</f>
        <v/>
      </c>
      <c r="C104" s="192" t="str">
        <f>IF(B104="","",FROTA!Z105)</f>
        <v/>
      </c>
      <c r="D104" s="192" t="str">
        <f>IF(B104="","",VLOOKUP(B104,FROTA!$B$5:$C$310,2,0))</f>
        <v/>
      </c>
      <c r="E104" s="233" t="str">
        <f>IF(D104="","",VLOOKUP(D104,ESCALA!$B$3:$H$19,7,0))</f>
        <v/>
      </c>
      <c r="F104" s="219" t="s">
        <v>222</v>
      </c>
      <c r="G104" s="305" t="str">
        <f t="shared" si="21"/>
        <v/>
      </c>
      <c r="H104" s="314" t="str">
        <f>IF($B104="","",IF(H$4="NÃO",0,IF(VLOOKUP($B104,FROTA!$B$5:$R$305,17,0)=H$3,0.02,0)))</f>
        <v/>
      </c>
      <c r="I104" s="193" t="str">
        <f>IF($B104="","",IF(I$4="NÃO",0,IF(VLOOKUP($B104,FROTA!$B$5:$R$305,17,0)=I$3,0.02,0)))</f>
        <v/>
      </c>
      <c r="J104" s="193" t="str">
        <f>IF($B104="","",IF(J$4="NÃO",0,IF(VLOOKUP($B104,FROTA!$B$5:$R$305,17,0)=J$3,0.02,0)))</f>
        <v/>
      </c>
      <c r="K104" s="193" t="str">
        <f>IF($B104="","",IF(K$4="NÃO",0,IF(VLOOKUP($B104,FROTA!$B$5:$R$305,17,0)=K$3,0.02,0)))</f>
        <v/>
      </c>
      <c r="L104" s="193" t="str">
        <f>IF($B104="","",IF(L$4="NÃO",0,IF(VLOOKUP($B104,FROTA!$B$5:$R$305,17,0)=L$3,0.02,0)))</f>
        <v/>
      </c>
      <c r="M104" s="193" t="str">
        <f>IF($B104="","",IF(M$4="NÃO",0,IF(VLOOKUP($B104,FROTA!$B$5:$R$305,17,0)=M$3,0.02,0)))</f>
        <v/>
      </c>
      <c r="N104" s="193" t="str">
        <f>IF($B104="","",IF(M$4="NÃO",0,IF(VLOOKUP($B104,FROTA!$B$5:$R$305,17,0)=N$3,0.02,0)))</f>
        <v/>
      </c>
      <c r="O104" s="311" t="str">
        <f>IF($B104="","",IF(O$4="NÃO",0,IF(VLOOKUP($B104,FROTA!$B$5:$R$305,10,0)=O$3,0.01,0)))</f>
        <v/>
      </c>
      <c r="P104" s="307" t="str">
        <f>IF($B104="","",IF(P$4="NÃO",0,IF(VLOOKUP($B104,FROTA!$B$5:$R$305,10,0)=P$3,0.01,0)))</f>
        <v/>
      </c>
      <c r="Q104" s="307" t="str">
        <f>IF($B104="","",IF(Q$4="NÃO",0,IF(VLOOKUP($B104,FROTA!$B$5:$R$305,10,0)=Q$3,0.01,0)))</f>
        <v/>
      </c>
      <c r="R104" s="307" t="str">
        <f>IF($B104="","",IF(R$4="NÃO",0,IF(VLOOKUP($B104,FROTA!$B$5:$R$305,10,0)=R$3,0.01,0)))</f>
        <v/>
      </c>
      <c r="S104" s="307" t="str">
        <f>IF($B104="","",IF(S$4="NÃO",0,IF(VLOOKUP($B104,FROTA!$B$5:$R$305,10,0)=S$3,0.01,0)))</f>
        <v/>
      </c>
      <c r="T104" s="307" t="str">
        <f>IF($B104="","",IF(T$4="NÃO",0,IF(VLOOKUP($B104,FROTA!$B$5:$R$305,10,0)=T$3,0.01,0)))</f>
        <v/>
      </c>
      <c r="U104" s="307" t="str">
        <f>IF($B104="","",IF(U$4="NÃO",0,IF(VLOOKUP($B104,FROTA!$B$5:$R$305,10,0)=U$3,0.01,0)))</f>
        <v/>
      </c>
      <c r="V104" s="306" t="str">
        <f t="shared" si="22"/>
        <v/>
      </c>
      <c r="W104" s="238" t="str">
        <f t="shared" si="20"/>
        <v/>
      </c>
      <c r="X104" s="576" t="str">
        <f t="shared" si="23"/>
        <v/>
      </c>
      <c r="BA104" s="581">
        <v>44937</v>
      </c>
      <c r="BB104" s="582">
        <v>2023</v>
      </c>
    </row>
    <row r="105" spans="2:54" ht="15" customHeight="1" x14ac:dyDescent="0.2">
      <c r="B105" s="192" t="str">
        <f>IF(FROTA!B106="","",FROTA!B106)</f>
        <v/>
      </c>
      <c r="C105" s="192" t="str">
        <f>IF(B105="","",FROTA!Z106)</f>
        <v/>
      </c>
      <c r="D105" s="192" t="str">
        <f>IF(B105="","",VLOOKUP(B105,FROTA!$B$5:$C$310,2,0))</f>
        <v/>
      </c>
      <c r="E105" s="233" t="str">
        <f>IF(D105="","",VLOOKUP(D105,ESCALA!$B$3:$H$19,7,0))</f>
        <v/>
      </c>
      <c r="F105" s="219" t="s">
        <v>222</v>
      </c>
      <c r="G105" s="305" t="str">
        <f t="shared" si="21"/>
        <v/>
      </c>
      <c r="H105" s="314" t="str">
        <f>IF($B105="","",IF(H$4="NÃO",0,IF(VLOOKUP($B105,FROTA!$B$5:$R$305,17,0)=H$3,0.02,0)))</f>
        <v/>
      </c>
      <c r="I105" s="193" t="str">
        <f>IF($B105="","",IF(I$4="NÃO",0,IF(VLOOKUP($B105,FROTA!$B$5:$R$305,17,0)=I$3,0.02,0)))</f>
        <v/>
      </c>
      <c r="J105" s="193" t="str">
        <f>IF($B105="","",IF(J$4="NÃO",0,IF(VLOOKUP($B105,FROTA!$B$5:$R$305,17,0)=J$3,0.02,0)))</f>
        <v/>
      </c>
      <c r="K105" s="193" t="str">
        <f>IF($B105="","",IF(K$4="NÃO",0,IF(VLOOKUP($B105,FROTA!$B$5:$R$305,17,0)=K$3,0.02,0)))</f>
        <v/>
      </c>
      <c r="L105" s="193" t="str">
        <f>IF($B105="","",IF(L$4="NÃO",0,IF(VLOOKUP($B105,FROTA!$B$5:$R$305,17,0)=L$3,0.02,0)))</f>
        <v/>
      </c>
      <c r="M105" s="193" t="str">
        <f>IF($B105="","",IF(M$4="NÃO",0,IF(VLOOKUP($B105,FROTA!$B$5:$R$305,17,0)=M$3,0.02,0)))</f>
        <v/>
      </c>
      <c r="N105" s="193" t="str">
        <f>IF($B105="","",IF(M$4="NÃO",0,IF(VLOOKUP($B105,FROTA!$B$5:$R$305,17,0)=N$3,0.02,0)))</f>
        <v/>
      </c>
      <c r="O105" s="311" t="str">
        <f>IF($B105="","",IF(O$4="NÃO",0,IF(VLOOKUP($B105,FROTA!$B$5:$R$305,10,0)=O$3,0.01,0)))</f>
        <v/>
      </c>
      <c r="P105" s="307" t="str">
        <f>IF($B105="","",IF(P$4="NÃO",0,IF(VLOOKUP($B105,FROTA!$B$5:$R$305,10,0)=P$3,0.01,0)))</f>
        <v/>
      </c>
      <c r="Q105" s="307" t="str">
        <f>IF($B105="","",IF(Q$4="NÃO",0,IF(VLOOKUP($B105,FROTA!$B$5:$R$305,10,0)=Q$3,0.01,0)))</f>
        <v/>
      </c>
      <c r="R105" s="307" t="str">
        <f>IF($B105="","",IF(R$4="NÃO",0,IF(VLOOKUP($B105,FROTA!$B$5:$R$305,10,0)=R$3,0.01,0)))</f>
        <v/>
      </c>
      <c r="S105" s="307" t="str">
        <f>IF($B105="","",IF(S$4="NÃO",0,IF(VLOOKUP($B105,FROTA!$B$5:$R$305,10,0)=S$3,0.01,0)))</f>
        <v/>
      </c>
      <c r="T105" s="307" t="str">
        <f>IF($B105="","",IF(T$4="NÃO",0,IF(VLOOKUP($B105,FROTA!$B$5:$R$305,10,0)=T$3,0.01,0)))</f>
        <v/>
      </c>
      <c r="U105" s="307" t="str">
        <f>IF($B105="","",IF(U$4="NÃO",0,IF(VLOOKUP($B105,FROTA!$B$5:$R$305,10,0)=U$3,0.01,0)))</f>
        <v/>
      </c>
      <c r="V105" s="306" t="str">
        <f t="shared" si="22"/>
        <v/>
      </c>
      <c r="W105" s="238" t="str">
        <f t="shared" si="20"/>
        <v/>
      </c>
      <c r="X105" s="576" t="str">
        <f t="shared" si="23"/>
        <v/>
      </c>
      <c r="BA105" s="581">
        <v>44938</v>
      </c>
      <c r="BB105" s="582">
        <v>2023</v>
      </c>
    </row>
    <row r="106" spans="2:54" ht="15" customHeight="1" x14ac:dyDescent="0.2">
      <c r="B106" s="192" t="str">
        <f>IF(FROTA!B107="","",FROTA!B107)</f>
        <v/>
      </c>
      <c r="C106" s="192" t="str">
        <f>IF(B106="","",FROTA!Z107)</f>
        <v/>
      </c>
      <c r="D106" s="192" t="str">
        <f>IF(B106="","",VLOOKUP(B106,FROTA!$B$5:$C$310,2,0))</f>
        <v/>
      </c>
      <c r="E106" s="233" t="str">
        <f>IF(D106="","",VLOOKUP(D106,ESCALA!$B$3:$H$19,7,0))</f>
        <v/>
      </c>
      <c r="F106" s="219" t="s">
        <v>222</v>
      </c>
      <c r="G106" s="305" t="str">
        <f t="shared" si="21"/>
        <v/>
      </c>
      <c r="H106" s="314" t="str">
        <f>IF($B106="","",IF(H$4="NÃO",0,IF(VLOOKUP($B106,FROTA!$B$5:$R$305,17,0)=H$3,0.02,0)))</f>
        <v/>
      </c>
      <c r="I106" s="193" t="str">
        <f>IF($B106="","",IF(I$4="NÃO",0,IF(VLOOKUP($B106,FROTA!$B$5:$R$305,17,0)=I$3,0.02,0)))</f>
        <v/>
      </c>
      <c r="J106" s="193" t="str">
        <f>IF($B106="","",IF(J$4="NÃO",0,IF(VLOOKUP($B106,FROTA!$B$5:$R$305,17,0)=J$3,0.02,0)))</f>
        <v/>
      </c>
      <c r="K106" s="193" t="str">
        <f>IF($B106="","",IF(K$4="NÃO",0,IF(VLOOKUP($B106,FROTA!$B$5:$R$305,17,0)=K$3,0.02,0)))</f>
        <v/>
      </c>
      <c r="L106" s="193" t="str">
        <f>IF($B106="","",IF(L$4="NÃO",0,IF(VLOOKUP($B106,FROTA!$B$5:$R$305,17,0)=L$3,0.02,0)))</f>
        <v/>
      </c>
      <c r="M106" s="193" t="str">
        <f>IF($B106="","",IF(M$4="NÃO",0,IF(VLOOKUP($B106,FROTA!$B$5:$R$305,17,0)=M$3,0.02,0)))</f>
        <v/>
      </c>
      <c r="N106" s="193" t="str">
        <f>IF($B106="","",IF(M$4="NÃO",0,IF(VLOOKUP($B106,FROTA!$B$5:$R$305,17,0)=N$3,0.02,0)))</f>
        <v/>
      </c>
      <c r="O106" s="311" t="str">
        <f>IF($B106="","",IF(O$4="NÃO",0,IF(VLOOKUP($B106,FROTA!$B$5:$R$305,10,0)=O$3,0.01,0)))</f>
        <v/>
      </c>
      <c r="P106" s="307" t="str">
        <f>IF($B106="","",IF(P$4="NÃO",0,IF(VLOOKUP($B106,FROTA!$B$5:$R$305,10,0)=P$3,0.01,0)))</f>
        <v/>
      </c>
      <c r="Q106" s="307" t="str">
        <f>IF($B106="","",IF(Q$4="NÃO",0,IF(VLOOKUP($B106,FROTA!$B$5:$R$305,10,0)=Q$3,0.01,0)))</f>
        <v/>
      </c>
      <c r="R106" s="307" t="str">
        <f>IF($B106="","",IF(R$4="NÃO",0,IF(VLOOKUP($B106,FROTA!$B$5:$R$305,10,0)=R$3,0.01,0)))</f>
        <v/>
      </c>
      <c r="S106" s="307" t="str">
        <f>IF($B106="","",IF(S$4="NÃO",0,IF(VLOOKUP($B106,FROTA!$B$5:$R$305,10,0)=S$3,0.01,0)))</f>
        <v/>
      </c>
      <c r="T106" s="307" t="str">
        <f>IF($B106="","",IF(T$4="NÃO",0,IF(VLOOKUP($B106,FROTA!$B$5:$R$305,10,0)=T$3,0.01,0)))</f>
        <v/>
      </c>
      <c r="U106" s="307" t="str">
        <f>IF($B106="","",IF(U$4="NÃO",0,IF(VLOOKUP($B106,FROTA!$B$5:$R$305,10,0)=U$3,0.01,0)))</f>
        <v/>
      </c>
      <c r="V106" s="306" t="str">
        <f t="shared" si="22"/>
        <v/>
      </c>
      <c r="W106" s="238" t="str">
        <f t="shared" si="20"/>
        <v/>
      </c>
      <c r="X106" s="576" t="str">
        <f t="shared" si="23"/>
        <v/>
      </c>
      <c r="BA106" s="581">
        <v>44939</v>
      </c>
      <c r="BB106" s="582">
        <v>2023</v>
      </c>
    </row>
    <row r="107" spans="2:54" ht="15" customHeight="1" x14ac:dyDescent="0.2">
      <c r="B107" s="192" t="str">
        <f>IF(FROTA!B108="","",FROTA!B108)</f>
        <v/>
      </c>
      <c r="C107" s="192" t="str">
        <f>IF(B107="","",FROTA!Z108)</f>
        <v/>
      </c>
      <c r="D107" s="192" t="str">
        <f>IF(B107="","",VLOOKUP(B107,FROTA!$B$5:$C$310,2,0))</f>
        <v/>
      </c>
      <c r="E107" s="233" t="str">
        <f>IF(D107="","",VLOOKUP(D107,ESCALA!$B$3:$H$19,7,0))</f>
        <v/>
      </c>
      <c r="F107" s="219" t="s">
        <v>222</v>
      </c>
      <c r="G107" s="305" t="str">
        <f t="shared" si="21"/>
        <v/>
      </c>
      <c r="H107" s="314" t="str">
        <f>IF($B107="","",IF(H$4="NÃO",0,IF(VLOOKUP($B107,FROTA!$B$5:$R$305,17,0)=H$3,0.02,0)))</f>
        <v/>
      </c>
      <c r="I107" s="193" t="str">
        <f>IF($B107="","",IF(I$4="NÃO",0,IF(VLOOKUP($B107,FROTA!$B$5:$R$305,17,0)=I$3,0.02,0)))</f>
        <v/>
      </c>
      <c r="J107" s="193" t="str">
        <f>IF($B107="","",IF(J$4="NÃO",0,IF(VLOOKUP($B107,FROTA!$B$5:$R$305,17,0)=J$3,0.02,0)))</f>
        <v/>
      </c>
      <c r="K107" s="193" t="str">
        <f>IF($B107="","",IF(K$4="NÃO",0,IF(VLOOKUP($B107,FROTA!$B$5:$R$305,17,0)=K$3,0.02,0)))</f>
        <v/>
      </c>
      <c r="L107" s="193" t="str">
        <f>IF($B107="","",IF(L$4="NÃO",0,IF(VLOOKUP($B107,FROTA!$B$5:$R$305,17,0)=L$3,0.02,0)))</f>
        <v/>
      </c>
      <c r="M107" s="193" t="str">
        <f>IF($B107="","",IF(M$4="NÃO",0,IF(VLOOKUP($B107,FROTA!$B$5:$R$305,17,0)=M$3,0.02,0)))</f>
        <v/>
      </c>
      <c r="N107" s="193" t="str">
        <f>IF($B107="","",IF(M$4="NÃO",0,IF(VLOOKUP($B107,FROTA!$B$5:$R$305,17,0)=N$3,0.02,0)))</f>
        <v/>
      </c>
      <c r="O107" s="311" t="str">
        <f>IF($B107="","",IF(O$4="NÃO",0,IF(VLOOKUP($B107,FROTA!$B$5:$R$305,10,0)=O$3,0.01,0)))</f>
        <v/>
      </c>
      <c r="P107" s="307" t="str">
        <f>IF($B107="","",IF(P$4="NÃO",0,IF(VLOOKUP($B107,FROTA!$B$5:$R$305,10,0)=P$3,0.01,0)))</f>
        <v/>
      </c>
      <c r="Q107" s="307" t="str">
        <f>IF($B107="","",IF(Q$4="NÃO",0,IF(VLOOKUP($B107,FROTA!$B$5:$R$305,10,0)=Q$3,0.01,0)))</f>
        <v/>
      </c>
      <c r="R107" s="307" t="str">
        <f>IF($B107="","",IF(R$4="NÃO",0,IF(VLOOKUP($B107,FROTA!$B$5:$R$305,10,0)=R$3,0.01,0)))</f>
        <v/>
      </c>
      <c r="S107" s="307" t="str">
        <f>IF($B107="","",IF(S$4="NÃO",0,IF(VLOOKUP($B107,FROTA!$B$5:$R$305,10,0)=S$3,0.01,0)))</f>
        <v/>
      </c>
      <c r="T107" s="307" t="str">
        <f>IF($B107="","",IF(T$4="NÃO",0,IF(VLOOKUP($B107,FROTA!$B$5:$R$305,10,0)=T$3,0.01,0)))</f>
        <v/>
      </c>
      <c r="U107" s="307" t="str">
        <f>IF($B107="","",IF(U$4="NÃO",0,IF(VLOOKUP($B107,FROTA!$B$5:$R$305,10,0)=U$3,0.01,0)))</f>
        <v/>
      </c>
      <c r="V107" s="306" t="str">
        <f t="shared" si="22"/>
        <v/>
      </c>
      <c r="W107" s="238" t="str">
        <f t="shared" si="20"/>
        <v/>
      </c>
      <c r="X107" s="576" t="str">
        <f t="shared" si="23"/>
        <v/>
      </c>
      <c r="BA107" s="581">
        <v>44940</v>
      </c>
      <c r="BB107" s="582">
        <v>2023</v>
      </c>
    </row>
    <row r="108" spans="2:54" ht="15" customHeight="1" x14ac:dyDescent="0.2">
      <c r="B108" s="192" t="str">
        <f>IF(FROTA!B109="","",FROTA!B109)</f>
        <v/>
      </c>
      <c r="C108" s="192" t="str">
        <f>IF(B108="","",FROTA!Z109)</f>
        <v/>
      </c>
      <c r="D108" s="192" t="str">
        <f>IF(B108="","",VLOOKUP(B108,FROTA!$B$5:$C$310,2,0))</f>
        <v/>
      </c>
      <c r="E108" s="233" t="str">
        <f>IF(D108="","",VLOOKUP(D108,ESCALA!$B$3:$H$19,7,0))</f>
        <v/>
      </c>
      <c r="F108" s="219" t="s">
        <v>222</v>
      </c>
      <c r="G108" s="305" t="str">
        <f t="shared" si="21"/>
        <v/>
      </c>
      <c r="H108" s="314" t="str">
        <f>IF($B108="","",IF(H$4="NÃO",0,IF(VLOOKUP($B108,FROTA!$B$5:$R$305,17,0)=H$3,0.02,0)))</f>
        <v/>
      </c>
      <c r="I108" s="193" t="str">
        <f>IF($B108="","",IF(I$4="NÃO",0,IF(VLOOKUP($B108,FROTA!$B$5:$R$305,17,0)=I$3,0.02,0)))</f>
        <v/>
      </c>
      <c r="J108" s="193" t="str">
        <f>IF($B108="","",IF(J$4="NÃO",0,IF(VLOOKUP($B108,FROTA!$B$5:$R$305,17,0)=J$3,0.02,0)))</f>
        <v/>
      </c>
      <c r="K108" s="193" t="str">
        <f>IF($B108="","",IF(K$4="NÃO",0,IF(VLOOKUP($B108,FROTA!$B$5:$R$305,17,0)=K$3,0.02,0)))</f>
        <v/>
      </c>
      <c r="L108" s="193" t="str">
        <f>IF($B108="","",IF(L$4="NÃO",0,IF(VLOOKUP($B108,FROTA!$B$5:$R$305,17,0)=L$3,0.02,0)))</f>
        <v/>
      </c>
      <c r="M108" s="193" t="str">
        <f>IF($B108="","",IF(M$4="NÃO",0,IF(VLOOKUP($B108,FROTA!$B$5:$R$305,17,0)=M$3,0.02,0)))</f>
        <v/>
      </c>
      <c r="N108" s="193" t="str">
        <f>IF($B108="","",IF(M$4="NÃO",0,IF(VLOOKUP($B108,FROTA!$B$5:$R$305,17,0)=N$3,0.02,0)))</f>
        <v/>
      </c>
      <c r="O108" s="311" t="str">
        <f>IF($B108="","",IF(O$4="NÃO",0,IF(VLOOKUP($B108,FROTA!$B$5:$R$305,10,0)=O$3,0.01,0)))</f>
        <v/>
      </c>
      <c r="P108" s="307" t="str">
        <f>IF($B108="","",IF(P$4="NÃO",0,IF(VLOOKUP($B108,FROTA!$B$5:$R$305,10,0)=P$3,0.01,0)))</f>
        <v/>
      </c>
      <c r="Q108" s="307" t="str">
        <f>IF($B108="","",IF(Q$4="NÃO",0,IF(VLOOKUP($B108,FROTA!$B$5:$R$305,10,0)=Q$3,0.01,0)))</f>
        <v/>
      </c>
      <c r="R108" s="307" t="str">
        <f>IF($B108="","",IF(R$4="NÃO",0,IF(VLOOKUP($B108,FROTA!$B$5:$R$305,10,0)=R$3,0.01,0)))</f>
        <v/>
      </c>
      <c r="S108" s="307" t="str">
        <f>IF($B108="","",IF(S$4="NÃO",0,IF(VLOOKUP($B108,FROTA!$B$5:$R$305,10,0)=S$3,0.01,0)))</f>
        <v/>
      </c>
      <c r="T108" s="307" t="str">
        <f>IF($B108="","",IF(T$4="NÃO",0,IF(VLOOKUP($B108,FROTA!$B$5:$R$305,10,0)=T$3,0.01,0)))</f>
        <v/>
      </c>
      <c r="U108" s="307" t="str">
        <f>IF($B108="","",IF(U$4="NÃO",0,IF(VLOOKUP($B108,FROTA!$B$5:$R$305,10,0)=U$3,0.01,0)))</f>
        <v/>
      </c>
      <c r="V108" s="306" t="str">
        <f t="shared" si="22"/>
        <v/>
      </c>
      <c r="W108" s="238" t="str">
        <f t="shared" si="20"/>
        <v/>
      </c>
      <c r="X108" s="576" t="str">
        <f t="shared" si="23"/>
        <v/>
      </c>
      <c r="BA108" s="581">
        <v>44941</v>
      </c>
      <c r="BB108" s="582">
        <v>2023</v>
      </c>
    </row>
    <row r="109" spans="2:54" ht="15" customHeight="1" x14ac:dyDescent="0.2">
      <c r="B109" s="192" t="str">
        <f>IF(FROTA!B110="","",FROTA!B110)</f>
        <v/>
      </c>
      <c r="C109" s="192" t="str">
        <f>IF(B109="","",FROTA!Z110)</f>
        <v/>
      </c>
      <c r="D109" s="192" t="str">
        <f>IF(B109="","",VLOOKUP(B109,FROTA!$B$5:$C$310,2,0))</f>
        <v/>
      </c>
      <c r="E109" s="233" t="str">
        <f>IF(D109="","",VLOOKUP(D109,ESCALA!$B$3:$H$19,7,0))</f>
        <v/>
      </c>
      <c r="F109" s="219" t="s">
        <v>222</v>
      </c>
      <c r="G109" s="305" t="str">
        <f t="shared" si="21"/>
        <v/>
      </c>
      <c r="H109" s="314" t="str">
        <f>IF($B109="","",IF(H$4="NÃO",0,IF(VLOOKUP($B109,FROTA!$B$5:$R$305,17,0)=H$3,0.02,0)))</f>
        <v/>
      </c>
      <c r="I109" s="193" t="str">
        <f>IF($B109="","",IF(I$4="NÃO",0,IF(VLOOKUP($B109,FROTA!$B$5:$R$305,17,0)=I$3,0.02,0)))</f>
        <v/>
      </c>
      <c r="J109" s="193" t="str">
        <f>IF($B109="","",IF(J$4="NÃO",0,IF(VLOOKUP($B109,FROTA!$B$5:$R$305,17,0)=J$3,0.02,0)))</f>
        <v/>
      </c>
      <c r="K109" s="193" t="str">
        <f>IF($B109="","",IF(K$4="NÃO",0,IF(VLOOKUP($B109,FROTA!$B$5:$R$305,17,0)=K$3,0.02,0)))</f>
        <v/>
      </c>
      <c r="L109" s="193" t="str">
        <f>IF($B109="","",IF(L$4="NÃO",0,IF(VLOOKUP($B109,FROTA!$B$5:$R$305,17,0)=L$3,0.02,0)))</f>
        <v/>
      </c>
      <c r="M109" s="193" t="str">
        <f>IF($B109="","",IF(M$4="NÃO",0,IF(VLOOKUP($B109,FROTA!$B$5:$R$305,17,0)=M$3,0.02,0)))</f>
        <v/>
      </c>
      <c r="N109" s="193" t="str">
        <f>IF($B109="","",IF(M$4="NÃO",0,IF(VLOOKUP($B109,FROTA!$B$5:$R$305,17,0)=N$3,0.02,0)))</f>
        <v/>
      </c>
      <c r="O109" s="311" t="str">
        <f>IF($B109="","",IF(O$4="NÃO",0,IF(VLOOKUP($B109,FROTA!$B$5:$R$305,10,0)=O$3,0.01,0)))</f>
        <v/>
      </c>
      <c r="P109" s="307" t="str">
        <f>IF($B109="","",IF(P$4="NÃO",0,IF(VLOOKUP($B109,FROTA!$B$5:$R$305,10,0)=P$3,0.01,0)))</f>
        <v/>
      </c>
      <c r="Q109" s="307" t="str">
        <f>IF($B109="","",IF(Q$4="NÃO",0,IF(VLOOKUP($B109,FROTA!$B$5:$R$305,10,0)=Q$3,0.01,0)))</f>
        <v/>
      </c>
      <c r="R109" s="307" t="str">
        <f>IF($B109="","",IF(R$4="NÃO",0,IF(VLOOKUP($B109,FROTA!$B$5:$R$305,10,0)=R$3,0.01,0)))</f>
        <v/>
      </c>
      <c r="S109" s="307" t="str">
        <f>IF($B109="","",IF(S$4="NÃO",0,IF(VLOOKUP($B109,FROTA!$B$5:$R$305,10,0)=S$3,0.01,0)))</f>
        <v/>
      </c>
      <c r="T109" s="307" t="str">
        <f>IF($B109="","",IF(T$4="NÃO",0,IF(VLOOKUP($B109,FROTA!$B$5:$R$305,10,0)=T$3,0.01,0)))</f>
        <v/>
      </c>
      <c r="U109" s="307" t="str">
        <f>IF($B109="","",IF(U$4="NÃO",0,IF(VLOOKUP($B109,FROTA!$B$5:$R$305,10,0)=U$3,0.01,0)))</f>
        <v/>
      </c>
      <c r="V109" s="306" t="str">
        <f t="shared" si="22"/>
        <v/>
      </c>
      <c r="W109" s="238" t="str">
        <f t="shared" si="20"/>
        <v/>
      </c>
      <c r="X109" s="576" t="str">
        <f t="shared" si="23"/>
        <v/>
      </c>
      <c r="BA109" s="581">
        <v>44942</v>
      </c>
      <c r="BB109" s="582">
        <v>2023</v>
      </c>
    </row>
    <row r="110" spans="2:54" ht="15" customHeight="1" x14ac:dyDescent="0.2">
      <c r="B110" s="192" t="str">
        <f>IF(FROTA!B111="","",FROTA!B111)</f>
        <v/>
      </c>
      <c r="C110" s="192" t="str">
        <f>IF(B110="","",FROTA!Z111)</f>
        <v/>
      </c>
      <c r="D110" s="192" t="str">
        <f>IF(B110="","",VLOOKUP(B110,FROTA!$B$5:$C$310,2,0))</f>
        <v/>
      </c>
      <c r="E110" s="233" t="str">
        <f>IF(D110="","",VLOOKUP(D110,ESCALA!$B$3:$H$19,7,0))</f>
        <v/>
      </c>
      <c r="F110" s="219" t="s">
        <v>222</v>
      </c>
      <c r="G110" s="305" t="str">
        <f t="shared" si="21"/>
        <v/>
      </c>
      <c r="H110" s="314" t="str">
        <f>IF($B110="","",IF(H$4="NÃO",0,IF(VLOOKUP($B110,FROTA!$B$5:$R$305,17,0)=H$3,0.02,0)))</f>
        <v/>
      </c>
      <c r="I110" s="193" t="str">
        <f>IF($B110="","",IF(I$4="NÃO",0,IF(VLOOKUP($B110,FROTA!$B$5:$R$305,17,0)=I$3,0.02,0)))</f>
        <v/>
      </c>
      <c r="J110" s="193" t="str">
        <f>IF($B110="","",IF(J$4="NÃO",0,IF(VLOOKUP($B110,FROTA!$B$5:$R$305,17,0)=J$3,0.02,0)))</f>
        <v/>
      </c>
      <c r="K110" s="193" t="str">
        <f>IF($B110="","",IF(K$4="NÃO",0,IF(VLOOKUP($B110,FROTA!$B$5:$R$305,17,0)=K$3,0.02,0)))</f>
        <v/>
      </c>
      <c r="L110" s="193" t="str">
        <f>IF($B110="","",IF(L$4="NÃO",0,IF(VLOOKUP($B110,FROTA!$B$5:$R$305,17,0)=L$3,0.02,0)))</f>
        <v/>
      </c>
      <c r="M110" s="193" t="str">
        <f>IF($B110="","",IF(M$4="NÃO",0,IF(VLOOKUP($B110,FROTA!$B$5:$R$305,17,0)=M$3,0.02,0)))</f>
        <v/>
      </c>
      <c r="N110" s="193" t="str">
        <f>IF($B110="","",IF(M$4="NÃO",0,IF(VLOOKUP($B110,FROTA!$B$5:$R$305,17,0)=N$3,0.02,0)))</f>
        <v/>
      </c>
      <c r="O110" s="311" t="str">
        <f>IF($B110="","",IF(O$4="NÃO",0,IF(VLOOKUP($B110,FROTA!$B$5:$R$305,10,0)=O$3,0.01,0)))</f>
        <v/>
      </c>
      <c r="P110" s="307" t="str">
        <f>IF($B110="","",IF(P$4="NÃO",0,IF(VLOOKUP($B110,FROTA!$B$5:$R$305,10,0)=P$3,0.01,0)))</f>
        <v/>
      </c>
      <c r="Q110" s="307" t="str">
        <f>IF($B110="","",IF(Q$4="NÃO",0,IF(VLOOKUP($B110,FROTA!$B$5:$R$305,10,0)=Q$3,0.01,0)))</f>
        <v/>
      </c>
      <c r="R110" s="307" t="str">
        <f>IF($B110="","",IF(R$4="NÃO",0,IF(VLOOKUP($B110,FROTA!$B$5:$R$305,10,0)=R$3,0.01,0)))</f>
        <v/>
      </c>
      <c r="S110" s="307" t="str">
        <f>IF($B110="","",IF(S$4="NÃO",0,IF(VLOOKUP($B110,FROTA!$B$5:$R$305,10,0)=S$3,0.01,0)))</f>
        <v/>
      </c>
      <c r="T110" s="307" t="str">
        <f>IF($B110="","",IF(T$4="NÃO",0,IF(VLOOKUP($B110,FROTA!$B$5:$R$305,10,0)=T$3,0.01,0)))</f>
        <v/>
      </c>
      <c r="U110" s="307" t="str">
        <f>IF($B110="","",IF(U$4="NÃO",0,IF(VLOOKUP($B110,FROTA!$B$5:$R$305,10,0)=U$3,0.01,0)))</f>
        <v/>
      </c>
      <c r="V110" s="306" t="str">
        <f t="shared" si="22"/>
        <v/>
      </c>
      <c r="W110" s="238" t="str">
        <f t="shared" si="20"/>
        <v/>
      </c>
      <c r="X110" s="576" t="str">
        <f t="shared" si="23"/>
        <v/>
      </c>
      <c r="BA110" s="581">
        <v>44943</v>
      </c>
      <c r="BB110" s="582">
        <v>2023</v>
      </c>
    </row>
    <row r="111" spans="2:54" ht="15" customHeight="1" x14ac:dyDescent="0.2">
      <c r="B111" s="192" t="str">
        <f>IF(FROTA!B112="","",FROTA!B112)</f>
        <v/>
      </c>
      <c r="C111" s="192" t="str">
        <f>IF(B111="","",FROTA!Z112)</f>
        <v/>
      </c>
      <c r="D111" s="192" t="str">
        <f>IF(B111="","",VLOOKUP(B111,FROTA!$B$5:$C$310,2,0))</f>
        <v/>
      </c>
      <c r="E111" s="233" t="str">
        <f>IF(D111="","",VLOOKUP(D111,ESCALA!$B$3:$H$19,7,0))</f>
        <v/>
      </c>
      <c r="F111" s="219" t="s">
        <v>222</v>
      </c>
      <c r="G111" s="305" t="str">
        <f t="shared" si="21"/>
        <v/>
      </c>
      <c r="H111" s="314" t="str">
        <f>IF($B111="","",IF(H$4="NÃO",0,IF(VLOOKUP($B111,FROTA!$B$5:$R$305,17,0)=H$3,0.02,0)))</f>
        <v/>
      </c>
      <c r="I111" s="193" t="str">
        <f>IF($B111="","",IF(I$4="NÃO",0,IF(VLOOKUP($B111,FROTA!$B$5:$R$305,17,0)=I$3,0.02,0)))</f>
        <v/>
      </c>
      <c r="J111" s="193" t="str">
        <f>IF($B111="","",IF(J$4="NÃO",0,IF(VLOOKUP($B111,FROTA!$B$5:$R$305,17,0)=J$3,0.02,0)))</f>
        <v/>
      </c>
      <c r="K111" s="193" t="str">
        <f>IF($B111="","",IF(K$4="NÃO",0,IF(VLOOKUP($B111,FROTA!$B$5:$R$305,17,0)=K$3,0.02,0)))</f>
        <v/>
      </c>
      <c r="L111" s="193" t="str">
        <f>IF($B111="","",IF(L$4="NÃO",0,IF(VLOOKUP($B111,FROTA!$B$5:$R$305,17,0)=L$3,0.02,0)))</f>
        <v/>
      </c>
      <c r="M111" s="193" t="str">
        <f>IF($B111="","",IF(M$4="NÃO",0,IF(VLOOKUP($B111,FROTA!$B$5:$R$305,17,0)=M$3,0.02,0)))</f>
        <v/>
      </c>
      <c r="N111" s="193" t="str">
        <f>IF($B111="","",IF(M$4="NÃO",0,IF(VLOOKUP($B111,FROTA!$B$5:$R$305,17,0)=N$3,0.02,0)))</f>
        <v/>
      </c>
      <c r="O111" s="311" t="str">
        <f>IF($B111="","",IF(O$4="NÃO",0,IF(VLOOKUP($B111,FROTA!$B$5:$R$305,10,0)=O$3,0.01,0)))</f>
        <v/>
      </c>
      <c r="P111" s="307" t="str">
        <f>IF($B111="","",IF(P$4="NÃO",0,IF(VLOOKUP($B111,FROTA!$B$5:$R$305,10,0)=P$3,0.01,0)))</f>
        <v/>
      </c>
      <c r="Q111" s="307" t="str">
        <f>IF($B111="","",IF(Q$4="NÃO",0,IF(VLOOKUP($B111,FROTA!$B$5:$R$305,10,0)=Q$3,0.01,0)))</f>
        <v/>
      </c>
      <c r="R111" s="307" t="str">
        <f>IF($B111="","",IF(R$4="NÃO",0,IF(VLOOKUP($B111,FROTA!$B$5:$R$305,10,0)=R$3,0.01,0)))</f>
        <v/>
      </c>
      <c r="S111" s="307" t="str">
        <f>IF($B111="","",IF(S$4="NÃO",0,IF(VLOOKUP($B111,FROTA!$B$5:$R$305,10,0)=S$3,0.01,0)))</f>
        <v/>
      </c>
      <c r="T111" s="307" t="str">
        <f>IF($B111="","",IF(T$4="NÃO",0,IF(VLOOKUP($B111,FROTA!$B$5:$R$305,10,0)=T$3,0.01,0)))</f>
        <v/>
      </c>
      <c r="U111" s="307" t="str">
        <f>IF($B111="","",IF(U$4="NÃO",0,IF(VLOOKUP($B111,FROTA!$B$5:$R$305,10,0)=U$3,0.01,0)))</f>
        <v/>
      </c>
      <c r="V111" s="306" t="str">
        <f t="shared" si="22"/>
        <v/>
      </c>
      <c r="W111" s="238" t="str">
        <f t="shared" si="20"/>
        <v/>
      </c>
      <c r="X111" s="576" t="str">
        <f t="shared" si="23"/>
        <v/>
      </c>
      <c r="BA111" s="581">
        <v>44944</v>
      </c>
      <c r="BB111" s="582">
        <v>2023</v>
      </c>
    </row>
    <row r="112" spans="2:54" ht="15" customHeight="1" x14ac:dyDescent="0.2">
      <c r="B112" s="192" t="str">
        <f>IF(FROTA!B113="","",FROTA!B113)</f>
        <v/>
      </c>
      <c r="C112" s="192" t="str">
        <f>IF(B112="","",FROTA!Z113)</f>
        <v/>
      </c>
      <c r="D112" s="192" t="str">
        <f>IF(B112="","",VLOOKUP(B112,FROTA!$B$5:$C$310,2,0))</f>
        <v/>
      </c>
      <c r="E112" s="233" t="str">
        <f>IF(D112="","",VLOOKUP(D112,ESCALA!$B$3:$H$19,7,0))</f>
        <v/>
      </c>
      <c r="F112" s="219" t="s">
        <v>222</v>
      </c>
      <c r="G112" s="305" t="str">
        <f t="shared" si="21"/>
        <v/>
      </c>
      <c r="H112" s="314" t="str">
        <f>IF($B112="","",IF(H$4="NÃO",0,IF(VLOOKUP($B112,FROTA!$B$5:$R$305,17,0)=H$3,0.02,0)))</f>
        <v/>
      </c>
      <c r="I112" s="193" t="str">
        <f>IF($B112="","",IF(I$4="NÃO",0,IF(VLOOKUP($B112,FROTA!$B$5:$R$305,17,0)=I$3,0.02,0)))</f>
        <v/>
      </c>
      <c r="J112" s="193" t="str">
        <f>IF($B112="","",IF(J$4="NÃO",0,IF(VLOOKUP($B112,FROTA!$B$5:$R$305,17,0)=J$3,0.02,0)))</f>
        <v/>
      </c>
      <c r="K112" s="193" t="str">
        <f>IF($B112="","",IF(K$4="NÃO",0,IF(VLOOKUP($B112,FROTA!$B$5:$R$305,17,0)=K$3,0.02,0)))</f>
        <v/>
      </c>
      <c r="L112" s="193" t="str">
        <f>IF($B112="","",IF(L$4="NÃO",0,IF(VLOOKUP($B112,FROTA!$B$5:$R$305,17,0)=L$3,0.02,0)))</f>
        <v/>
      </c>
      <c r="M112" s="193" t="str">
        <f>IF($B112="","",IF(M$4="NÃO",0,IF(VLOOKUP($B112,FROTA!$B$5:$R$305,17,0)=M$3,0.02,0)))</f>
        <v/>
      </c>
      <c r="N112" s="193" t="str">
        <f>IF($B112="","",IF(M$4="NÃO",0,IF(VLOOKUP($B112,FROTA!$B$5:$R$305,17,0)=N$3,0.02,0)))</f>
        <v/>
      </c>
      <c r="O112" s="311" t="str">
        <f>IF($B112="","",IF(O$4="NÃO",0,IF(VLOOKUP($B112,FROTA!$B$5:$R$305,10,0)=O$3,0.01,0)))</f>
        <v/>
      </c>
      <c r="P112" s="307" t="str">
        <f>IF($B112="","",IF(P$4="NÃO",0,IF(VLOOKUP($B112,FROTA!$B$5:$R$305,10,0)=P$3,0.01,0)))</f>
        <v/>
      </c>
      <c r="Q112" s="307" t="str">
        <f>IF($B112="","",IF(Q$4="NÃO",0,IF(VLOOKUP($B112,FROTA!$B$5:$R$305,10,0)=Q$3,0.01,0)))</f>
        <v/>
      </c>
      <c r="R112" s="307" t="str">
        <f>IF($B112="","",IF(R$4="NÃO",0,IF(VLOOKUP($B112,FROTA!$B$5:$R$305,10,0)=R$3,0.01,0)))</f>
        <v/>
      </c>
      <c r="S112" s="307" t="str">
        <f>IF($B112="","",IF(S$4="NÃO",0,IF(VLOOKUP($B112,FROTA!$B$5:$R$305,10,0)=S$3,0.01,0)))</f>
        <v/>
      </c>
      <c r="T112" s="307" t="str">
        <f>IF($B112="","",IF(T$4="NÃO",0,IF(VLOOKUP($B112,FROTA!$B$5:$R$305,10,0)=T$3,0.01,0)))</f>
        <v/>
      </c>
      <c r="U112" s="307" t="str">
        <f>IF($B112="","",IF(U$4="NÃO",0,IF(VLOOKUP($B112,FROTA!$B$5:$R$305,10,0)=U$3,0.01,0)))</f>
        <v/>
      </c>
      <c r="V112" s="306" t="str">
        <f t="shared" si="22"/>
        <v/>
      </c>
      <c r="W112" s="238" t="str">
        <f t="shared" si="20"/>
        <v/>
      </c>
      <c r="X112" s="576" t="str">
        <f t="shared" si="23"/>
        <v/>
      </c>
      <c r="BA112" s="581">
        <v>44945</v>
      </c>
      <c r="BB112" s="582">
        <v>2023</v>
      </c>
    </row>
    <row r="113" spans="2:54" ht="15" customHeight="1" x14ac:dyDescent="0.2">
      <c r="B113" s="192" t="str">
        <f>IF(FROTA!B114="","",FROTA!B114)</f>
        <v/>
      </c>
      <c r="C113" s="192" t="str">
        <f>IF(B113="","",FROTA!Z114)</f>
        <v/>
      </c>
      <c r="D113" s="192" t="str">
        <f>IF(B113="","",VLOOKUP(B113,FROTA!$B$5:$C$310,2,0))</f>
        <v/>
      </c>
      <c r="E113" s="233" t="str">
        <f>IF(D113="","",VLOOKUP(D113,ESCALA!$B$3:$H$19,7,0))</f>
        <v/>
      </c>
      <c r="F113" s="219" t="s">
        <v>222</v>
      </c>
      <c r="G113" s="305" t="str">
        <f t="shared" si="21"/>
        <v/>
      </c>
      <c r="H113" s="314" t="str">
        <f>IF($B113="","",IF(H$4="NÃO",0,IF(VLOOKUP($B113,FROTA!$B$5:$R$305,17,0)=H$3,0.02,0)))</f>
        <v/>
      </c>
      <c r="I113" s="193" t="str">
        <f>IF($B113="","",IF(I$4="NÃO",0,IF(VLOOKUP($B113,FROTA!$B$5:$R$305,17,0)=I$3,0.02,0)))</f>
        <v/>
      </c>
      <c r="J113" s="193" t="str">
        <f>IF($B113="","",IF(J$4="NÃO",0,IF(VLOOKUP($B113,FROTA!$B$5:$R$305,17,0)=J$3,0.02,0)))</f>
        <v/>
      </c>
      <c r="K113" s="193" t="str">
        <f>IF($B113="","",IF(K$4="NÃO",0,IF(VLOOKUP($B113,FROTA!$B$5:$R$305,17,0)=K$3,0.02,0)))</f>
        <v/>
      </c>
      <c r="L113" s="193" t="str">
        <f>IF($B113="","",IF(L$4="NÃO",0,IF(VLOOKUP($B113,FROTA!$B$5:$R$305,17,0)=L$3,0.02,0)))</f>
        <v/>
      </c>
      <c r="M113" s="193" t="str">
        <f>IF($B113="","",IF(M$4="NÃO",0,IF(VLOOKUP($B113,FROTA!$B$5:$R$305,17,0)=M$3,0.02,0)))</f>
        <v/>
      </c>
      <c r="N113" s="193" t="str">
        <f>IF($B113="","",IF(M$4="NÃO",0,IF(VLOOKUP($B113,FROTA!$B$5:$R$305,17,0)=N$3,0.02,0)))</f>
        <v/>
      </c>
      <c r="O113" s="311" t="str">
        <f>IF($B113="","",IF(O$4="NÃO",0,IF(VLOOKUP($B113,FROTA!$B$5:$R$305,10,0)=O$3,0.01,0)))</f>
        <v/>
      </c>
      <c r="P113" s="307" t="str">
        <f>IF($B113="","",IF(P$4="NÃO",0,IF(VLOOKUP($B113,FROTA!$B$5:$R$305,10,0)=P$3,0.01,0)))</f>
        <v/>
      </c>
      <c r="Q113" s="307" t="str">
        <f>IF($B113="","",IF(Q$4="NÃO",0,IF(VLOOKUP($B113,FROTA!$B$5:$R$305,10,0)=Q$3,0.01,0)))</f>
        <v/>
      </c>
      <c r="R113" s="307" t="str">
        <f>IF($B113="","",IF(R$4="NÃO",0,IF(VLOOKUP($B113,FROTA!$B$5:$R$305,10,0)=R$3,0.01,0)))</f>
        <v/>
      </c>
      <c r="S113" s="307" t="str">
        <f>IF($B113="","",IF(S$4="NÃO",0,IF(VLOOKUP($B113,FROTA!$B$5:$R$305,10,0)=S$3,0.01,0)))</f>
        <v/>
      </c>
      <c r="T113" s="307" t="str">
        <f>IF($B113="","",IF(T$4="NÃO",0,IF(VLOOKUP($B113,FROTA!$B$5:$R$305,10,0)=T$3,0.01,0)))</f>
        <v/>
      </c>
      <c r="U113" s="307" t="str">
        <f>IF($B113="","",IF(U$4="NÃO",0,IF(VLOOKUP($B113,FROTA!$B$5:$R$305,10,0)=U$3,0.01,0)))</f>
        <v/>
      </c>
      <c r="V113" s="306" t="str">
        <f t="shared" si="22"/>
        <v/>
      </c>
      <c r="W113" s="238" t="str">
        <f t="shared" si="20"/>
        <v/>
      </c>
      <c r="X113" s="576" t="str">
        <f t="shared" si="23"/>
        <v/>
      </c>
      <c r="BA113" s="581">
        <v>44946</v>
      </c>
      <c r="BB113" s="582">
        <v>2023</v>
      </c>
    </row>
    <row r="114" spans="2:54" ht="15" customHeight="1" x14ac:dyDescent="0.2">
      <c r="B114" s="192" t="str">
        <f>IF(FROTA!B115="","",FROTA!B115)</f>
        <v/>
      </c>
      <c r="C114" s="192" t="str">
        <f>IF(B114="","",FROTA!Z115)</f>
        <v/>
      </c>
      <c r="D114" s="192" t="str">
        <f>IF(B114="","",VLOOKUP(B114,FROTA!$B$5:$C$310,2,0))</f>
        <v/>
      </c>
      <c r="E114" s="233" t="str">
        <f>IF(D114="","",VLOOKUP(D114,ESCALA!$B$3:$H$19,7,0))</f>
        <v/>
      </c>
      <c r="F114" s="219" t="s">
        <v>222</v>
      </c>
      <c r="G114" s="305" t="str">
        <f t="shared" si="21"/>
        <v/>
      </c>
      <c r="H114" s="314" t="str">
        <f>IF($B114="","",IF(H$4="NÃO",0,IF(VLOOKUP($B114,FROTA!$B$5:$R$305,17,0)=H$3,0.02,0)))</f>
        <v/>
      </c>
      <c r="I114" s="193" t="str">
        <f>IF($B114="","",IF(I$4="NÃO",0,IF(VLOOKUP($B114,FROTA!$B$5:$R$305,17,0)=I$3,0.02,0)))</f>
        <v/>
      </c>
      <c r="J114" s="193" t="str">
        <f>IF($B114="","",IF(J$4="NÃO",0,IF(VLOOKUP($B114,FROTA!$B$5:$R$305,17,0)=J$3,0.02,0)))</f>
        <v/>
      </c>
      <c r="K114" s="193" t="str">
        <f>IF($B114="","",IF(K$4="NÃO",0,IF(VLOOKUP($B114,FROTA!$B$5:$R$305,17,0)=K$3,0.02,0)))</f>
        <v/>
      </c>
      <c r="L114" s="193" t="str">
        <f>IF($B114="","",IF(L$4="NÃO",0,IF(VLOOKUP($B114,FROTA!$B$5:$R$305,17,0)=L$3,0.02,0)))</f>
        <v/>
      </c>
      <c r="M114" s="193" t="str">
        <f>IF($B114="","",IF(M$4="NÃO",0,IF(VLOOKUP($B114,FROTA!$B$5:$R$305,17,0)=M$3,0.02,0)))</f>
        <v/>
      </c>
      <c r="N114" s="193" t="str">
        <f>IF($B114="","",IF(M$4="NÃO",0,IF(VLOOKUP($B114,FROTA!$B$5:$R$305,17,0)=N$3,0.02,0)))</f>
        <v/>
      </c>
      <c r="O114" s="311" t="str">
        <f>IF($B114="","",IF(O$4="NÃO",0,IF(VLOOKUP($B114,FROTA!$B$5:$R$305,10,0)=O$3,0.01,0)))</f>
        <v/>
      </c>
      <c r="P114" s="307" t="str">
        <f>IF($B114="","",IF(P$4="NÃO",0,IF(VLOOKUP($B114,FROTA!$B$5:$R$305,10,0)=P$3,0.01,0)))</f>
        <v/>
      </c>
      <c r="Q114" s="307" t="str">
        <f>IF($B114="","",IF(Q$4="NÃO",0,IF(VLOOKUP($B114,FROTA!$B$5:$R$305,10,0)=Q$3,0.01,0)))</f>
        <v/>
      </c>
      <c r="R114" s="307" t="str">
        <f>IF($B114="","",IF(R$4="NÃO",0,IF(VLOOKUP($B114,FROTA!$B$5:$R$305,10,0)=R$3,0.01,0)))</f>
        <v/>
      </c>
      <c r="S114" s="307" t="str">
        <f>IF($B114="","",IF(S$4="NÃO",0,IF(VLOOKUP($B114,FROTA!$B$5:$R$305,10,0)=S$3,0.01,0)))</f>
        <v/>
      </c>
      <c r="T114" s="307" t="str">
        <f>IF($B114="","",IF(T$4="NÃO",0,IF(VLOOKUP($B114,FROTA!$B$5:$R$305,10,0)=T$3,0.01,0)))</f>
        <v/>
      </c>
      <c r="U114" s="307" t="str">
        <f>IF($B114="","",IF(U$4="NÃO",0,IF(VLOOKUP($B114,FROTA!$B$5:$R$305,10,0)=U$3,0.01,0)))</f>
        <v/>
      </c>
      <c r="V114" s="306" t="str">
        <f t="shared" si="22"/>
        <v/>
      </c>
      <c r="W114" s="238" t="str">
        <f t="shared" si="20"/>
        <v/>
      </c>
      <c r="X114" s="576" t="str">
        <f t="shared" si="23"/>
        <v/>
      </c>
      <c r="BA114" s="581">
        <v>44947</v>
      </c>
      <c r="BB114" s="582">
        <v>2023</v>
      </c>
    </row>
    <row r="115" spans="2:54" ht="15" customHeight="1" x14ac:dyDescent="0.2">
      <c r="B115" s="192" t="str">
        <f>IF(FROTA!B116="","",FROTA!B116)</f>
        <v/>
      </c>
      <c r="C115" s="192" t="str">
        <f>IF(B115="","",FROTA!Z116)</f>
        <v/>
      </c>
      <c r="D115" s="192" t="str">
        <f>IF(B115="","",VLOOKUP(B115,FROTA!$B$5:$C$310,2,0))</f>
        <v/>
      </c>
      <c r="E115" s="233" t="str">
        <f>IF(D115="","",VLOOKUP(D115,ESCALA!$B$3:$H$19,7,0))</f>
        <v/>
      </c>
      <c r="F115" s="219" t="s">
        <v>222</v>
      </c>
      <c r="G115" s="305" t="str">
        <f t="shared" si="21"/>
        <v/>
      </c>
      <c r="H115" s="314" t="str">
        <f>IF($B115="","",IF(H$4="NÃO",0,IF(VLOOKUP($B115,FROTA!$B$5:$R$305,17,0)=H$3,0.02,0)))</f>
        <v/>
      </c>
      <c r="I115" s="193" t="str">
        <f>IF($B115="","",IF(I$4="NÃO",0,IF(VLOOKUP($B115,FROTA!$B$5:$R$305,17,0)=I$3,0.02,0)))</f>
        <v/>
      </c>
      <c r="J115" s="193" t="str">
        <f>IF($B115="","",IF(J$4="NÃO",0,IF(VLOOKUP($B115,FROTA!$B$5:$R$305,17,0)=J$3,0.02,0)))</f>
        <v/>
      </c>
      <c r="K115" s="193" t="str">
        <f>IF($B115="","",IF(K$4="NÃO",0,IF(VLOOKUP($B115,FROTA!$B$5:$R$305,17,0)=K$3,0.02,0)))</f>
        <v/>
      </c>
      <c r="L115" s="193" t="str">
        <f>IF($B115="","",IF(L$4="NÃO",0,IF(VLOOKUP($B115,FROTA!$B$5:$R$305,17,0)=L$3,0.02,0)))</f>
        <v/>
      </c>
      <c r="M115" s="193" t="str">
        <f>IF($B115="","",IF(M$4="NÃO",0,IF(VLOOKUP($B115,FROTA!$B$5:$R$305,17,0)=M$3,0.02,0)))</f>
        <v/>
      </c>
      <c r="N115" s="193" t="str">
        <f>IF($B115="","",IF(M$4="NÃO",0,IF(VLOOKUP($B115,FROTA!$B$5:$R$305,17,0)=N$3,0.02,0)))</f>
        <v/>
      </c>
      <c r="O115" s="311" t="str">
        <f>IF($B115="","",IF(O$4="NÃO",0,IF(VLOOKUP($B115,FROTA!$B$5:$R$305,10,0)=O$3,0.01,0)))</f>
        <v/>
      </c>
      <c r="P115" s="307" t="str">
        <f>IF($B115="","",IF(P$4="NÃO",0,IF(VLOOKUP($B115,FROTA!$B$5:$R$305,10,0)=P$3,0.01,0)))</f>
        <v/>
      </c>
      <c r="Q115" s="307" t="str">
        <f>IF($B115="","",IF(Q$4="NÃO",0,IF(VLOOKUP($B115,FROTA!$B$5:$R$305,10,0)=Q$3,0.01,0)))</f>
        <v/>
      </c>
      <c r="R115" s="307" t="str">
        <f>IF($B115="","",IF(R$4="NÃO",0,IF(VLOOKUP($B115,FROTA!$B$5:$R$305,10,0)=R$3,0.01,0)))</f>
        <v/>
      </c>
      <c r="S115" s="307" t="str">
        <f>IF($B115="","",IF(S$4="NÃO",0,IF(VLOOKUP($B115,FROTA!$B$5:$R$305,10,0)=S$3,0.01,0)))</f>
        <v/>
      </c>
      <c r="T115" s="307" t="str">
        <f>IF($B115="","",IF(T$4="NÃO",0,IF(VLOOKUP($B115,FROTA!$B$5:$R$305,10,0)=T$3,0.01,0)))</f>
        <v/>
      </c>
      <c r="U115" s="307" t="str">
        <f>IF($B115="","",IF(U$4="NÃO",0,IF(VLOOKUP($B115,FROTA!$B$5:$R$305,10,0)=U$3,0.01,0)))</f>
        <v/>
      </c>
      <c r="V115" s="306" t="str">
        <f t="shared" si="22"/>
        <v/>
      </c>
      <c r="W115" s="238" t="str">
        <f t="shared" si="20"/>
        <v/>
      </c>
      <c r="X115" s="576" t="str">
        <f t="shared" si="23"/>
        <v/>
      </c>
      <c r="BA115" s="581">
        <v>44948</v>
      </c>
      <c r="BB115" s="582">
        <v>2023</v>
      </c>
    </row>
    <row r="116" spans="2:54" ht="15" customHeight="1" x14ac:dyDescent="0.2">
      <c r="B116" s="192" t="str">
        <f>IF(FROTA!B117="","",FROTA!B117)</f>
        <v/>
      </c>
      <c r="C116" s="192" t="str">
        <f>IF(B116="","",FROTA!Z117)</f>
        <v/>
      </c>
      <c r="D116" s="192" t="str">
        <f>IF(B116="","",VLOOKUP(B116,FROTA!$B$5:$C$310,2,0))</f>
        <v/>
      </c>
      <c r="E116" s="233" t="str">
        <f>IF(D116="","",VLOOKUP(D116,ESCALA!$B$3:$H$19,7,0))</f>
        <v/>
      </c>
      <c r="F116" s="219" t="s">
        <v>222</v>
      </c>
      <c r="G116" s="305" t="str">
        <f t="shared" si="21"/>
        <v/>
      </c>
      <c r="H116" s="314" t="str">
        <f>IF($B116="","",IF(H$4="NÃO",0,IF(VLOOKUP($B116,FROTA!$B$5:$R$305,17,0)=H$3,0.02,0)))</f>
        <v/>
      </c>
      <c r="I116" s="193" t="str">
        <f>IF($B116="","",IF(I$4="NÃO",0,IF(VLOOKUP($B116,FROTA!$B$5:$R$305,17,0)=I$3,0.02,0)))</f>
        <v/>
      </c>
      <c r="J116" s="193" t="str">
        <f>IF($B116="","",IF(J$4="NÃO",0,IF(VLOOKUP($B116,FROTA!$B$5:$R$305,17,0)=J$3,0.02,0)))</f>
        <v/>
      </c>
      <c r="K116" s="193" t="str">
        <f>IF($B116="","",IF(K$4="NÃO",0,IF(VLOOKUP($B116,FROTA!$B$5:$R$305,17,0)=K$3,0.02,0)))</f>
        <v/>
      </c>
      <c r="L116" s="193" t="str">
        <f>IF($B116="","",IF(L$4="NÃO",0,IF(VLOOKUP($B116,FROTA!$B$5:$R$305,17,0)=L$3,0.02,0)))</f>
        <v/>
      </c>
      <c r="M116" s="193" t="str">
        <f>IF($B116="","",IF(M$4="NÃO",0,IF(VLOOKUP($B116,FROTA!$B$5:$R$305,17,0)=M$3,0.02,0)))</f>
        <v/>
      </c>
      <c r="N116" s="193" t="str">
        <f>IF($B116="","",IF(M$4="NÃO",0,IF(VLOOKUP($B116,FROTA!$B$5:$R$305,17,0)=N$3,0.02,0)))</f>
        <v/>
      </c>
      <c r="O116" s="311" t="str">
        <f>IF($B116="","",IF(O$4="NÃO",0,IF(VLOOKUP($B116,FROTA!$B$5:$R$305,10,0)=O$3,0.01,0)))</f>
        <v/>
      </c>
      <c r="P116" s="307" t="str">
        <f>IF($B116="","",IF(P$4="NÃO",0,IF(VLOOKUP($B116,FROTA!$B$5:$R$305,10,0)=P$3,0.01,0)))</f>
        <v/>
      </c>
      <c r="Q116" s="307" t="str">
        <f>IF($B116="","",IF(Q$4="NÃO",0,IF(VLOOKUP($B116,FROTA!$B$5:$R$305,10,0)=Q$3,0.01,0)))</f>
        <v/>
      </c>
      <c r="R116" s="307" t="str">
        <f>IF($B116="","",IF(R$4="NÃO",0,IF(VLOOKUP($B116,FROTA!$B$5:$R$305,10,0)=R$3,0.01,0)))</f>
        <v/>
      </c>
      <c r="S116" s="307" t="str">
        <f>IF($B116="","",IF(S$4="NÃO",0,IF(VLOOKUP($B116,FROTA!$B$5:$R$305,10,0)=S$3,0.01,0)))</f>
        <v/>
      </c>
      <c r="T116" s="307" t="str">
        <f>IF($B116="","",IF(T$4="NÃO",0,IF(VLOOKUP($B116,FROTA!$B$5:$R$305,10,0)=T$3,0.01,0)))</f>
        <v/>
      </c>
      <c r="U116" s="307" t="str">
        <f>IF($B116="","",IF(U$4="NÃO",0,IF(VLOOKUP($B116,FROTA!$B$5:$R$305,10,0)=U$3,0.01,0)))</f>
        <v/>
      </c>
      <c r="V116" s="306" t="str">
        <f t="shared" si="22"/>
        <v/>
      </c>
      <c r="W116" s="238" t="str">
        <f t="shared" si="20"/>
        <v/>
      </c>
      <c r="X116" s="576" t="str">
        <f t="shared" si="23"/>
        <v/>
      </c>
      <c r="BA116" s="581">
        <v>44949</v>
      </c>
      <c r="BB116" s="582">
        <v>2023</v>
      </c>
    </row>
    <row r="117" spans="2:54" ht="15" customHeight="1" x14ac:dyDescent="0.2">
      <c r="B117" s="192" t="str">
        <f>IF(FROTA!B118="","",FROTA!B118)</f>
        <v/>
      </c>
      <c r="C117" s="192" t="str">
        <f>IF(B117="","",FROTA!Z118)</f>
        <v/>
      </c>
      <c r="D117" s="192" t="str">
        <f>IF(B117="","",VLOOKUP(B117,FROTA!$B$5:$C$310,2,0))</f>
        <v/>
      </c>
      <c r="E117" s="233" t="str">
        <f>IF(D117="","",VLOOKUP(D117,ESCALA!$B$3:$H$19,7,0))</f>
        <v/>
      </c>
      <c r="F117" s="219" t="s">
        <v>222</v>
      </c>
      <c r="G117" s="305" t="str">
        <f t="shared" si="21"/>
        <v/>
      </c>
      <c r="H117" s="314" t="str">
        <f>IF($B117="","",IF(H$4="NÃO",0,IF(VLOOKUP($B117,FROTA!$B$5:$R$305,17,0)=H$3,0.02,0)))</f>
        <v/>
      </c>
      <c r="I117" s="193" t="str">
        <f>IF($B117="","",IF(I$4="NÃO",0,IF(VLOOKUP($B117,FROTA!$B$5:$R$305,17,0)=I$3,0.02,0)))</f>
        <v/>
      </c>
      <c r="J117" s="193" t="str">
        <f>IF($B117="","",IF(J$4="NÃO",0,IF(VLOOKUP($B117,FROTA!$B$5:$R$305,17,0)=J$3,0.02,0)))</f>
        <v/>
      </c>
      <c r="K117" s="193" t="str">
        <f>IF($B117="","",IF(K$4="NÃO",0,IF(VLOOKUP($B117,FROTA!$B$5:$R$305,17,0)=K$3,0.02,0)))</f>
        <v/>
      </c>
      <c r="L117" s="193" t="str">
        <f>IF($B117="","",IF(L$4="NÃO",0,IF(VLOOKUP($B117,FROTA!$B$5:$R$305,17,0)=L$3,0.02,0)))</f>
        <v/>
      </c>
      <c r="M117" s="193" t="str">
        <f>IF($B117="","",IF(M$4="NÃO",0,IF(VLOOKUP($B117,FROTA!$B$5:$R$305,17,0)=M$3,0.02,0)))</f>
        <v/>
      </c>
      <c r="N117" s="193" t="str">
        <f>IF($B117="","",IF(M$4="NÃO",0,IF(VLOOKUP($B117,FROTA!$B$5:$R$305,17,0)=N$3,0.02,0)))</f>
        <v/>
      </c>
      <c r="O117" s="311" t="str">
        <f>IF($B117="","",IF(O$4="NÃO",0,IF(VLOOKUP($B117,FROTA!$B$5:$R$305,10,0)=O$3,0.01,0)))</f>
        <v/>
      </c>
      <c r="P117" s="307" t="str">
        <f>IF($B117="","",IF(P$4="NÃO",0,IF(VLOOKUP($B117,FROTA!$B$5:$R$305,10,0)=P$3,0.01,0)))</f>
        <v/>
      </c>
      <c r="Q117" s="307" t="str">
        <f>IF($B117="","",IF(Q$4="NÃO",0,IF(VLOOKUP($B117,FROTA!$B$5:$R$305,10,0)=Q$3,0.01,0)))</f>
        <v/>
      </c>
      <c r="R117" s="307" t="str">
        <f>IF($B117="","",IF(R$4="NÃO",0,IF(VLOOKUP($B117,FROTA!$B$5:$R$305,10,0)=R$3,0.01,0)))</f>
        <v/>
      </c>
      <c r="S117" s="307" t="str">
        <f>IF($B117="","",IF(S$4="NÃO",0,IF(VLOOKUP($B117,FROTA!$B$5:$R$305,10,0)=S$3,0.01,0)))</f>
        <v/>
      </c>
      <c r="T117" s="307" t="str">
        <f>IF($B117="","",IF(T$4="NÃO",0,IF(VLOOKUP($B117,FROTA!$B$5:$R$305,10,0)=T$3,0.01,0)))</f>
        <v/>
      </c>
      <c r="U117" s="307" t="str">
        <f>IF($B117="","",IF(U$4="NÃO",0,IF(VLOOKUP($B117,FROTA!$B$5:$R$305,10,0)=U$3,0.01,0)))</f>
        <v/>
      </c>
      <c r="V117" s="306" t="str">
        <f t="shared" si="22"/>
        <v/>
      </c>
      <c r="W117" s="238" t="str">
        <f t="shared" si="20"/>
        <v/>
      </c>
      <c r="X117" s="576" t="str">
        <f t="shared" si="23"/>
        <v/>
      </c>
      <c r="BA117" s="581">
        <v>44950</v>
      </c>
      <c r="BB117" s="582">
        <v>2023</v>
      </c>
    </row>
    <row r="118" spans="2:54" ht="15" customHeight="1" x14ac:dyDescent="0.2">
      <c r="B118" s="192" t="str">
        <f>IF(FROTA!B119="","",FROTA!B119)</f>
        <v/>
      </c>
      <c r="C118" s="192" t="str">
        <f>IF(B118="","",FROTA!Z119)</f>
        <v/>
      </c>
      <c r="D118" s="192" t="str">
        <f>IF(B118="","",VLOOKUP(B118,FROTA!$B$5:$C$310,2,0))</f>
        <v/>
      </c>
      <c r="E118" s="233" t="str">
        <f>IF(D118="","",VLOOKUP(D118,ESCALA!$B$3:$H$19,7,0))</f>
        <v/>
      </c>
      <c r="F118" s="219" t="s">
        <v>222</v>
      </c>
      <c r="G118" s="305" t="str">
        <f t="shared" si="21"/>
        <v/>
      </c>
      <c r="H118" s="314" t="str">
        <f>IF($B118="","",IF(H$4="NÃO",0,IF(VLOOKUP($B118,FROTA!$B$5:$R$305,17,0)=H$3,0.02,0)))</f>
        <v/>
      </c>
      <c r="I118" s="193" t="str">
        <f>IF($B118="","",IF(I$4="NÃO",0,IF(VLOOKUP($B118,FROTA!$B$5:$R$305,17,0)=I$3,0.02,0)))</f>
        <v/>
      </c>
      <c r="J118" s="193" t="str">
        <f>IF($B118="","",IF(J$4="NÃO",0,IF(VLOOKUP($B118,FROTA!$B$5:$R$305,17,0)=J$3,0.02,0)))</f>
        <v/>
      </c>
      <c r="K118" s="193" t="str">
        <f>IF($B118="","",IF(K$4="NÃO",0,IF(VLOOKUP($B118,FROTA!$B$5:$R$305,17,0)=K$3,0.02,0)))</f>
        <v/>
      </c>
      <c r="L118" s="193" t="str">
        <f>IF($B118="","",IF(L$4="NÃO",0,IF(VLOOKUP($B118,FROTA!$B$5:$R$305,17,0)=L$3,0.02,0)))</f>
        <v/>
      </c>
      <c r="M118" s="193" t="str">
        <f>IF($B118="","",IF(M$4="NÃO",0,IF(VLOOKUP($B118,FROTA!$B$5:$R$305,17,0)=M$3,0.02,0)))</f>
        <v/>
      </c>
      <c r="N118" s="193" t="str">
        <f>IF($B118="","",IF(M$4="NÃO",0,IF(VLOOKUP($B118,FROTA!$B$5:$R$305,17,0)=N$3,0.02,0)))</f>
        <v/>
      </c>
      <c r="O118" s="311" t="str">
        <f>IF($B118="","",IF(O$4="NÃO",0,IF(VLOOKUP($B118,FROTA!$B$5:$R$305,10,0)=O$3,0.01,0)))</f>
        <v/>
      </c>
      <c r="P118" s="307" t="str">
        <f>IF($B118="","",IF(P$4="NÃO",0,IF(VLOOKUP($B118,FROTA!$B$5:$R$305,10,0)=P$3,0.01,0)))</f>
        <v/>
      </c>
      <c r="Q118" s="307" t="str">
        <f>IF($B118="","",IF(Q$4="NÃO",0,IF(VLOOKUP($B118,FROTA!$B$5:$R$305,10,0)=Q$3,0.01,0)))</f>
        <v/>
      </c>
      <c r="R118" s="307" t="str">
        <f>IF($B118="","",IF(R$4="NÃO",0,IF(VLOOKUP($B118,FROTA!$B$5:$R$305,10,0)=R$3,0.01,0)))</f>
        <v/>
      </c>
      <c r="S118" s="307" t="str">
        <f>IF($B118="","",IF(S$4="NÃO",0,IF(VLOOKUP($B118,FROTA!$B$5:$R$305,10,0)=S$3,0.01,0)))</f>
        <v/>
      </c>
      <c r="T118" s="307" t="str">
        <f>IF($B118="","",IF(T$4="NÃO",0,IF(VLOOKUP($B118,FROTA!$B$5:$R$305,10,0)=T$3,0.01,0)))</f>
        <v/>
      </c>
      <c r="U118" s="307" t="str">
        <f>IF($B118="","",IF(U$4="NÃO",0,IF(VLOOKUP($B118,FROTA!$B$5:$R$305,10,0)=U$3,0.01,0)))</f>
        <v/>
      </c>
      <c r="V118" s="306" t="str">
        <f t="shared" si="22"/>
        <v/>
      </c>
      <c r="W118" s="238" t="str">
        <f t="shared" si="20"/>
        <v/>
      </c>
      <c r="X118" s="576" t="str">
        <f t="shared" si="23"/>
        <v/>
      </c>
      <c r="BA118" s="581">
        <v>44951</v>
      </c>
      <c r="BB118" s="582">
        <v>2023</v>
      </c>
    </row>
    <row r="119" spans="2:54" ht="15" customHeight="1" x14ac:dyDescent="0.2">
      <c r="B119" s="192" t="str">
        <f>IF(FROTA!B120="","",FROTA!B120)</f>
        <v/>
      </c>
      <c r="C119" s="192" t="str">
        <f>IF(B119="","",FROTA!Z120)</f>
        <v/>
      </c>
      <c r="D119" s="192" t="str">
        <f>IF(B119="","",VLOOKUP(B119,FROTA!$B$5:$C$310,2,0))</f>
        <v/>
      </c>
      <c r="E119" s="233" t="str">
        <f>IF(D119="","",VLOOKUP(D119,ESCALA!$B$3:$H$19,7,0))</f>
        <v/>
      </c>
      <c r="F119" s="219" t="s">
        <v>222</v>
      </c>
      <c r="G119" s="305" t="str">
        <f t="shared" si="21"/>
        <v/>
      </c>
      <c r="H119" s="314" t="str">
        <f>IF($B119="","",IF(H$4="NÃO",0,IF(VLOOKUP($B119,FROTA!$B$5:$R$305,17,0)=H$3,0.02,0)))</f>
        <v/>
      </c>
      <c r="I119" s="193" t="str">
        <f>IF($B119="","",IF(I$4="NÃO",0,IF(VLOOKUP($B119,FROTA!$B$5:$R$305,17,0)=I$3,0.02,0)))</f>
        <v/>
      </c>
      <c r="J119" s="193" t="str">
        <f>IF($B119="","",IF(J$4="NÃO",0,IF(VLOOKUP($B119,FROTA!$B$5:$R$305,17,0)=J$3,0.02,0)))</f>
        <v/>
      </c>
      <c r="K119" s="193" t="str">
        <f>IF($B119="","",IF(K$4="NÃO",0,IF(VLOOKUP($B119,FROTA!$B$5:$R$305,17,0)=K$3,0.02,0)))</f>
        <v/>
      </c>
      <c r="L119" s="193" t="str">
        <f>IF($B119="","",IF(L$4="NÃO",0,IF(VLOOKUP($B119,FROTA!$B$5:$R$305,17,0)=L$3,0.02,0)))</f>
        <v/>
      </c>
      <c r="M119" s="193" t="str">
        <f>IF($B119="","",IF(M$4="NÃO",0,IF(VLOOKUP($B119,FROTA!$B$5:$R$305,17,0)=M$3,0.02,0)))</f>
        <v/>
      </c>
      <c r="N119" s="193" t="str">
        <f>IF($B119="","",IF(M$4="NÃO",0,IF(VLOOKUP($B119,FROTA!$B$5:$R$305,17,0)=N$3,0.02,0)))</f>
        <v/>
      </c>
      <c r="O119" s="311" t="str">
        <f>IF($B119="","",IF(O$4="NÃO",0,IF(VLOOKUP($B119,FROTA!$B$5:$R$305,10,0)=O$3,0.01,0)))</f>
        <v/>
      </c>
      <c r="P119" s="307" t="str">
        <f>IF($B119="","",IF(P$4="NÃO",0,IF(VLOOKUP($B119,FROTA!$B$5:$R$305,10,0)=P$3,0.01,0)))</f>
        <v/>
      </c>
      <c r="Q119" s="307" t="str">
        <f>IF($B119="","",IF(Q$4="NÃO",0,IF(VLOOKUP($B119,FROTA!$B$5:$R$305,10,0)=Q$3,0.01,0)))</f>
        <v/>
      </c>
      <c r="R119" s="307" t="str">
        <f>IF($B119="","",IF(R$4="NÃO",0,IF(VLOOKUP($B119,FROTA!$B$5:$R$305,10,0)=R$3,0.01,0)))</f>
        <v/>
      </c>
      <c r="S119" s="307" t="str">
        <f>IF($B119="","",IF(S$4="NÃO",0,IF(VLOOKUP($B119,FROTA!$B$5:$R$305,10,0)=S$3,0.01,0)))</f>
        <v/>
      </c>
      <c r="T119" s="307" t="str">
        <f>IF($B119="","",IF(T$4="NÃO",0,IF(VLOOKUP($B119,FROTA!$B$5:$R$305,10,0)=T$3,0.01,0)))</f>
        <v/>
      </c>
      <c r="U119" s="307" t="str">
        <f>IF($B119="","",IF(U$4="NÃO",0,IF(VLOOKUP($B119,FROTA!$B$5:$R$305,10,0)=U$3,0.01,0)))</f>
        <v/>
      </c>
      <c r="V119" s="306" t="str">
        <f t="shared" si="22"/>
        <v/>
      </c>
      <c r="W119" s="238" t="str">
        <f t="shared" si="20"/>
        <v/>
      </c>
      <c r="X119" s="576" t="str">
        <f t="shared" si="23"/>
        <v/>
      </c>
      <c r="BA119" s="581">
        <v>44952</v>
      </c>
      <c r="BB119" s="582">
        <v>2023</v>
      </c>
    </row>
    <row r="120" spans="2:54" ht="15" customHeight="1" x14ac:dyDescent="0.2">
      <c r="B120" s="192" t="str">
        <f>IF(FROTA!B121="","",FROTA!B121)</f>
        <v/>
      </c>
      <c r="C120" s="192" t="str">
        <f>IF(B120="","",FROTA!Z121)</f>
        <v/>
      </c>
      <c r="D120" s="192" t="str">
        <f>IF(B120="","",VLOOKUP(B120,FROTA!$B$5:$C$310,2,0))</f>
        <v/>
      </c>
      <c r="E120" s="233" t="str">
        <f>IF(D120="","",VLOOKUP(D120,ESCALA!$B$3:$H$19,7,0))</f>
        <v/>
      </c>
      <c r="F120" s="219" t="s">
        <v>222</v>
      </c>
      <c r="G120" s="305" t="str">
        <f t="shared" si="21"/>
        <v/>
      </c>
      <c r="H120" s="314" t="str">
        <f>IF($B120="","",IF(H$4="NÃO",0,IF(VLOOKUP($B120,FROTA!$B$5:$R$305,17,0)=H$3,0.02,0)))</f>
        <v/>
      </c>
      <c r="I120" s="193" t="str">
        <f>IF($B120="","",IF(I$4="NÃO",0,IF(VLOOKUP($B120,FROTA!$B$5:$R$305,17,0)=I$3,0.02,0)))</f>
        <v/>
      </c>
      <c r="J120" s="193" t="str">
        <f>IF($B120="","",IF(J$4="NÃO",0,IF(VLOOKUP($B120,FROTA!$B$5:$R$305,17,0)=J$3,0.02,0)))</f>
        <v/>
      </c>
      <c r="K120" s="193" t="str">
        <f>IF($B120="","",IF(K$4="NÃO",0,IF(VLOOKUP($B120,FROTA!$B$5:$R$305,17,0)=K$3,0.02,0)))</f>
        <v/>
      </c>
      <c r="L120" s="193" t="str">
        <f>IF($B120="","",IF(L$4="NÃO",0,IF(VLOOKUP($B120,FROTA!$B$5:$R$305,17,0)=L$3,0.02,0)))</f>
        <v/>
      </c>
      <c r="M120" s="193" t="str">
        <f>IF($B120="","",IF(M$4="NÃO",0,IF(VLOOKUP($B120,FROTA!$B$5:$R$305,17,0)=M$3,0.02,0)))</f>
        <v/>
      </c>
      <c r="N120" s="193" t="str">
        <f>IF($B120="","",IF(M$4="NÃO",0,IF(VLOOKUP($B120,FROTA!$B$5:$R$305,17,0)=N$3,0.02,0)))</f>
        <v/>
      </c>
      <c r="O120" s="311" t="str">
        <f>IF($B120="","",IF(O$4="NÃO",0,IF(VLOOKUP($B120,FROTA!$B$5:$R$305,10,0)=O$3,0.01,0)))</f>
        <v/>
      </c>
      <c r="P120" s="307" t="str">
        <f>IF($B120="","",IF(P$4="NÃO",0,IF(VLOOKUP($B120,FROTA!$B$5:$R$305,10,0)=P$3,0.01,0)))</f>
        <v/>
      </c>
      <c r="Q120" s="307" t="str">
        <f>IF($B120="","",IF(Q$4="NÃO",0,IF(VLOOKUP($B120,FROTA!$B$5:$R$305,10,0)=Q$3,0.01,0)))</f>
        <v/>
      </c>
      <c r="R120" s="307" t="str">
        <f>IF($B120="","",IF(R$4="NÃO",0,IF(VLOOKUP($B120,FROTA!$B$5:$R$305,10,0)=R$3,0.01,0)))</f>
        <v/>
      </c>
      <c r="S120" s="307" t="str">
        <f>IF($B120="","",IF(S$4="NÃO",0,IF(VLOOKUP($B120,FROTA!$B$5:$R$305,10,0)=S$3,0.01,0)))</f>
        <v/>
      </c>
      <c r="T120" s="307" t="str">
        <f>IF($B120="","",IF(T$4="NÃO",0,IF(VLOOKUP($B120,FROTA!$B$5:$R$305,10,0)=T$3,0.01,0)))</f>
        <v/>
      </c>
      <c r="U120" s="307" t="str">
        <f>IF($B120="","",IF(U$4="NÃO",0,IF(VLOOKUP($B120,FROTA!$B$5:$R$305,10,0)=U$3,0.01,0)))</f>
        <v/>
      </c>
      <c r="V120" s="306" t="str">
        <f t="shared" si="22"/>
        <v/>
      </c>
      <c r="W120" s="238" t="str">
        <f t="shared" si="20"/>
        <v/>
      </c>
      <c r="X120" s="576" t="str">
        <f t="shared" si="23"/>
        <v/>
      </c>
      <c r="BA120" s="581">
        <v>44953</v>
      </c>
      <c r="BB120" s="582">
        <v>2023</v>
      </c>
    </row>
    <row r="121" spans="2:54" ht="15" customHeight="1" x14ac:dyDescent="0.2">
      <c r="B121" s="192" t="str">
        <f>IF(FROTA!B122="","",FROTA!B122)</f>
        <v/>
      </c>
      <c r="C121" s="192" t="str">
        <f>IF(B121="","",FROTA!Z122)</f>
        <v/>
      </c>
      <c r="D121" s="192" t="str">
        <f>IF(B121="","",VLOOKUP(B121,FROTA!$B$5:$C$310,2,0))</f>
        <v/>
      </c>
      <c r="E121" s="233" t="str">
        <f>IF(D121="","",VLOOKUP(D121,ESCALA!$B$3:$H$19,7,0))</f>
        <v/>
      </c>
      <c r="F121" s="219" t="s">
        <v>222</v>
      </c>
      <c r="G121" s="305" t="str">
        <f t="shared" si="21"/>
        <v/>
      </c>
      <c r="H121" s="314" t="str">
        <f>IF($B121="","",IF(H$4="NÃO",0,IF(VLOOKUP($B121,FROTA!$B$5:$R$305,17,0)=H$3,0.02,0)))</f>
        <v/>
      </c>
      <c r="I121" s="193" t="str">
        <f>IF($B121="","",IF(I$4="NÃO",0,IF(VLOOKUP($B121,FROTA!$B$5:$R$305,17,0)=I$3,0.02,0)))</f>
        <v/>
      </c>
      <c r="J121" s="193" t="str">
        <f>IF($B121="","",IF(J$4="NÃO",0,IF(VLOOKUP($B121,FROTA!$B$5:$R$305,17,0)=J$3,0.02,0)))</f>
        <v/>
      </c>
      <c r="K121" s="193" t="str">
        <f>IF($B121="","",IF(K$4="NÃO",0,IF(VLOOKUP($B121,FROTA!$B$5:$R$305,17,0)=K$3,0.02,0)))</f>
        <v/>
      </c>
      <c r="L121" s="193" t="str">
        <f>IF($B121="","",IF(L$4="NÃO",0,IF(VLOOKUP($B121,FROTA!$B$5:$R$305,17,0)=L$3,0.02,0)))</f>
        <v/>
      </c>
      <c r="M121" s="193" t="str">
        <f>IF($B121="","",IF(M$4="NÃO",0,IF(VLOOKUP($B121,FROTA!$B$5:$R$305,17,0)=M$3,0.02,0)))</f>
        <v/>
      </c>
      <c r="N121" s="193" t="str">
        <f>IF($B121="","",IF(M$4="NÃO",0,IF(VLOOKUP($B121,FROTA!$B$5:$R$305,17,0)=N$3,0.02,0)))</f>
        <v/>
      </c>
      <c r="O121" s="311" t="str">
        <f>IF($B121="","",IF(O$4="NÃO",0,IF(VLOOKUP($B121,FROTA!$B$5:$R$305,10,0)=O$3,0.01,0)))</f>
        <v/>
      </c>
      <c r="P121" s="307" t="str">
        <f>IF($B121="","",IF(P$4="NÃO",0,IF(VLOOKUP($B121,FROTA!$B$5:$R$305,10,0)=P$3,0.01,0)))</f>
        <v/>
      </c>
      <c r="Q121" s="307" t="str">
        <f>IF($B121="","",IF(Q$4="NÃO",0,IF(VLOOKUP($B121,FROTA!$B$5:$R$305,10,0)=Q$3,0.01,0)))</f>
        <v/>
      </c>
      <c r="R121" s="307" t="str">
        <f>IF($B121="","",IF(R$4="NÃO",0,IF(VLOOKUP($B121,FROTA!$B$5:$R$305,10,0)=R$3,0.01,0)))</f>
        <v/>
      </c>
      <c r="S121" s="307" t="str">
        <f>IF($B121="","",IF(S$4="NÃO",0,IF(VLOOKUP($B121,FROTA!$B$5:$R$305,10,0)=S$3,0.01,0)))</f>
        <v/>
      </c>
      <c r="T121" s="307" t="str">
        <f>IF($B121="","",IF(T$4="NÃO",0,IF(VLOOKUP($B121,FROTA!$B$5:$R$305,10,0)=T$3,0.01,0)))</f>
        <v/>
      </c>
      <c r="U121" s="307" t="str">
        <f>IF($B121="","",IF(U$4="NÃO",0,IF(VLOOKUP($B121,FROTA!$B$5:$R$305,10,0)=U$3,0.01,0)))</f>
        <v/>
      </c>
      <c r="V121" s="306" t="str">
        <f t="shared" si="22"/>
        <v/>
      </c>
      <c r="W121" s="238" t="str">
        <f t="shared" si="20"/>
        <v/>
      </c>
      <c r="X121" s="576" t="str">
        <f t="shared" si="23"/>
        <v/>
      </c>
      <c r="BA121" s="581">
        <v>44954</v>
      </c>
      <c r="BB121" s="582">
        <v>2023</v>
      </c>
    </row>
    <row r="122" spans="2:54" ht="15" customHeight="1" x14ac:dyDescent="0.2">
      <c r="B122" s="192" t="str">
        <f>IF(FROTA!B123="","",FROTA!B123)</f>
        <v/>
      </c>
      <c r="C122" s="192" t="str">
        <f>IF(B122="","",FROTA!Z123)</f>
        <v/>
      </c>
      <c r="D122" s="192" t="str">
        <f>IF(B122="","",VLOOKUP(B122,FROTA!$B$5:$C$310,2,0))</f>
        <v/>
      </c>
      <c r="E122" s="233" t="str">
        <f>IF(D122="","",VLOOKUP(D122,ESCALA!$B$3:$H$19,7,0))</f>
        <v/>
      </c>
      <c r="F122" s="219" t="s">
        <v>222</v>
      </c>
      <c r="G122" s="305" t="str">
        <f t="shared" si="21"/>
        <v/>
      </c>
      <c r="H122" s="314" t="str">
        <f>IF($B122="","",IF(H$4="NÃO",0,IF(VLOOKUP($B122,FROTA!$B$5:$R$305,17,0)=H$3,0.02,0)))</f>
        <v/>
      </c>
      <c r="I122" s="193" t="str">
        <f>IF($B122="","",IF(I$4="NÃO",0,IF(VLOOKUP($B122,FROTA!$B$5:$R$305,17,0)=I$3,0.02,0)))</f>
        <v/>
      </c>
      <c r="J122" s="193" t="str">
        <f>IF($B122="","",IF(J$4="NÃO",0,IF(VLOOKUP($B122,FROTA!$B$5:$R$305,17,0)=J$3,0.02,0)))</f>
        <v/>
      </c>
      <c r="K122" s="193" t="str">
        <f>IF($B122="","",IF(K$4="NÃO",0,IF(VLOOKUP($B122,FROTA!$B$5:$R$305,17,0)=K$3,0.02,0)))</f>
        <v/>
      </c>
      <c r="L122" s="193" t="str">
        <f>IF($B122="","",IF(L$4="NÃO",0,IF(VLOOKUP($B122,FROTA!$B$5:$R$305,17,0)=L$3,0.02,0)))</f>
        <v/>
      </c>
      <c r="M122" s="193" t="str">
        <f>IF($B122="","",IF(M$4="NÃO",0,IF(VLOOKUP($B122,FROTA!$B$5:$R$305,17,0)=M$3,0.02,0)))</f>
        <v/>
      </c>
      <c r="N122" s="193" t="str">
        <f>IF($B122="","",IF(M$4="NÃO",0,IF(VLOOKUP($B122,FROTA!$B$5:$R$305,17,0)=N$3,0.02,0)))</f>
        <v/>
      </c>
      <c r="O122" s="311" t="str">
        <f>IF($B122="","",IF(O$4="NÃO",0,IF(VLOOKUP($B122,FROTA!$B$5:$R$305,10,0)=O$3,0.01,0)))</f>
        <v/>
      </c>
      <c r="P122" s="307" t="str">
        <f>IF($B122="","",IF(P$4="NÃO",0,IF(VLOOKUP($B122,FROTA!$B$5:$R$305,10,0)=P$3,0.01,0)))</f>
        <v/>
      </c>
      <c r="Q122" s="307" t="str">
        <f>IF($B122="","",IF(Q$4="NÃO",0,IF(VLOOKUP($B122,FROTA!$B$5:$R$305,10,0)=Q$3,0.01,0)))</f>
        <v/>
      </c>
      <c r="R122" s="307" t="str">
        <f>IF($B122="","",IF(R$4="NÃO",0,IF(VLOOKUP($B122,FROTA!$B$5:$R$305,10,0)=R$3,0.01,0)))</f>
        <v/>
      </c>
      <c r="S122" s="307" t="str">
        <f>IF($B122="","",IF(S$4="NÃO",0,IF(VLOOKUP($B122,FROTA!$B$5:$R$305,10,0)=S$3,0.01,0)))</f>
        <v/>
      </c>
      <c r="T122" s="307" t="str">
        <f>IF($B122="","",IF(T$4="NÃO",0,IF(VLOOKUP($B122,FROTA!$B$5:$R$305,10,0)=T$3,0.01,0)))</f>
        <v/>
      </c>
      <c r="U122" s="307" t="str">
        <f>IF($B122="","",IF(U$4="NÃO",0,IF(VLOOKUP($B122,FROTA!$B$5:$R$305,10,0)=U$3,0.01,0)))</f>
        <v/>
      </c>
      <c r="V122" s="306" t="str">
        <f t="shared" si="22"/>
        <v/>
      </c>
      <c r="W122" s="238" t="str">
        <f t="shared" si="20"/>
        <v/>
      </c>
      <c r="X122" s="576" t="str">
        <f t="shared" si="23"/>
        <v/>
      </c>
      <c r="BA122" s="581">
        <v>44955</v>
      </c>
      <c r="BB122" s="582">
        <v>2023</v>
      </c>
    </row>
    <row r="123" spans="2:54" ht="15" customHeight="1" x14ac:dyDescent="0.2">
      <c r="B123" s="192" t="str">
        <f>IF(FROTA!B124="","",FROTA!B124)</f>
        <v/>
      </c>
      <c r="C123" s="192" t="str">
        <f>IF(B123="","",FROTA!Z124)</f>
        <v/>
      </c>
      <c r="D123" s="192" t="str">
        <f>IF(B123="","",VLOOKUP(B123,FROTA!$B$5:$C$310,2,0))</f>
        <v/>
      </c>
      <c r="E123" s="233" t="str">
        <f>IF(D123="","",VLOOKUP(D123,ESCALA!$B$3:$H$19,7,0))</f>
        <v/>
      </c>
      <c r="F123" s="219" t="s">
        <v>222</v>
      </c>
      <c r="G123" s="305" t="str">
        <f t="shared" si="21"/>
        <v/>
      </c>
      <c r="H123" s="314" t="str">
        <f>IF($B123="","",IF(H$4="NÃO",0,IF(VLOOKUP($B123,FROTA!$B$5:$R$305,17,0)=H$3,0.02,0)))</f>
        <v/>
      </c>
      <c r="I123" s="193" t="str">
        <f>IF($B123="","",IF(I$4="NÃO",0,IF(VLOOKUP($B123,FROTA!$B$5:$R$305,17,0)=I$3,0.02,0)))</f>
        <v/>
      </c>
      <c r="J123" s="193" t="str">
        <f>IF($B123="","",IF(J$4="NÃO",0,IF(VLOOKUP($B123,FROTA!$B$5:$R$305,17,0)=J$3,0.02,0)))</f>
        <v/>
      </c>
      <c r="K123" s="193" t="str">
        <f>IF($B123="","",IF(K$4="NÃO",0,IF(VLOOKUP($B123,FROTA!$B$5:$R$305,17,0)=K$3,0.02,0)))</f>
        <v/>
      </c>
      <c r="L123" s="193" t="str">
        <f>IF($B123="","",IF(L$4="NÃO",0,IF(VLOOKUP($B123,FROTA!$B$5:$R$305,17,0)=L$3,0.02,0)))</f>
        <v/>
      </c>
      <c r="M123" s="193" t="str">
        <f>IF($B123="","",IF(M$4="NÃO",0,IF(VLOOKUP($B123,FROTA!$B$5:$R$305,17,0)=M$3,0.02,0)))</f>
        <v/>
      </c>
      <c r="N123" s="193" t="str">
        <f>IF($B123="","",IF(M$4="NÃO",0,IF(VLOOKUP($B123,FROTA!$B$5:$R$305,17,0)=N$3,0.02,0)))</f>
        <v/>
      </c>
      <c r="O123" s="311" t="str">
        <f>IF($B123="","",IF(O$4="NÃO",0,IF(VLOOKUP($B123,FROTA!$B$5:$R$305,10,0)=O$3,0.01,0)))</f>
        <v/>
      </c>
      <c r="P123" s="307" t="str">
        <f>IF($B123="","",IF(P$4="NÃO",0,IF(VLOOKUP($B123,FROTA!$B$5:$R$305,10,0)=P$3,0.01,0)))</f>
        <v/>
      </c>
      <c r="Q123" s="307" t="str">
        <f>IF($B123="","",IF(Q$4="NÃO",0,IF(VLOOKUP($B123,FROTA!$B$5:$R$305,10,0)=Q$3,0.01,0)))</f>
        <v/>
      </c>
      <c r="R123" s="307" t="str">
        <f>IF($B123="","",IF(R$4="NÃO",0,IF(VLOOKUP($B123,FROTA!$B$5:$R$305,10,0)=R$3,0.01,0)))</f>
        <v/>
      </c>
      <c r="S123" s="307" t="str">
        <f>IF($B123="","",IF(S$4="NÃO",0,IF(VLOOKUP($B123,FROTA!$B$5:$R$305,10,0)=S$3,0.01,0)))</f>
        <v/>
      </c>
      <c r="T123" s="307" t="str">
        <f>IF($B123="","",IF(T$4="NÃO",0,IF(VLOOKUP($B123,FROTA!$B$5:$R$305,10,0)=T$3,0.01,0)))</f>
        <v/>
      </c>
      <c r="U123" s="307" t="str">
        <f>IF($B123="","",IF(U$4="NÃO",0,IF(VLOOKUP($B123,FROTA!$B$5:$R$305,10,0)=U$3,0.01,0)))</f>
        <v/>
      </c>
      <c r="V123" s="306" t="str">
        <f t="shared" si="22"/>
        <v/>
      </c>
      <c r="W123" s="238" t="str">
        <f t="shared" si="20"/>
        <v/>
      </c>
      <c r="X123" s="576" t="str">
        <f t="shared" si="23"/>
        <v/>
      </c>
      <c r="BA123" s="581">
        <v>44956</v>
      </c>
      <c r="BB123" s="582">
        <v>2023</v>
      </c>
    </row>
    <row r="124" spans="2:54" ht="15" customHeight="1" x14ac:dyDescent="0.2">
      <c r="B124" s="192" t="str">
        <f>IF(FROTA!B125="","",FROTA!B125)</f>
        <v/>
      </c>
      <c r="C124" s="192" t="str">
        <f>IF(B124="","",FROTA!Z125)</f>
        <v/>
      </c>
      <c r="D124" s="192" t="str">
        <f>IF(B124="","",VLOOKUP(B124,FROTA!$B$5:$C$310,2,0))</f>
        <v/>
      </c>
      <c r="E124" s="233" t="str">
        <f>IF(D124="","",VLOOKUP(D124,ESCALA!$B$3:$H$19,7,0))</f>
        <v/>
      </c>
      <c r="F124" s="219" t="s">
        <v>222</v>
      </c>
      <c r="G124" s="305" t="str">
        <f t="shared" si="21"/>
        <v/>
      </c>
      <c r="H124" s="314" t="str">
        <f>IF($B124="","",IF(H$4="NÃO",0,IF(VLOOKUP($B124,FROTA!$B$5:$R$305,17,0)=H$3,0.02,0)))</f>
        <v/>
      </c>
      <c r="I124" s="193" t="str">
        <f>IF($B124="","",IF(I$4="NÃO",0,IF(VLOOKUP($B124,FROTA!$B$5:$R$305,17,0)=I$3,0.02,0)))</f>
        <v/>
      </c>
      <c r="J124" s="193" t="str">
        <f>IF($B124="","",IF(J$4="NÃO",0,IF(VLOOKUP($B124,FROTA!$B$5:$R$305,17,0)=J$3,0.02,0)))</f>
        <v/>
      </c>
      <c r="K124" s="193" t="str">
        <f>IF($B124="","",IF(K$4="NÃO",0,IF(VLOOKUP($B124,FROTA!$B$5:$R$305,17,0)=K$3,0.02,0)))</f>
        <v/>
      </c>
      <c r="L124" s="193" t="str">
        <f>IF($B124="","",IF(L$4="NÃO",0,IF(VLOOKUP($B124,FROTA!$B$5:$R$305,17,0)=L$3,0.02,0)))</f>
        <v/>
      </c>
      <c r="M124" s="193" t="str">
        <f>IF($B124="","",IF(M$4="NÃO",0,IF(VLOOKUP($B124,FROTA!$B$5:$R$305,17,0)=M$3,0.02,0)))</f>
        <v/>
      </c>
      <c r="N124" s="193" t="str">
        <f>IF($B124="","",IF(M$4="NÃO",0,IF(VLOOKUP($B124,FROTA!$B$5:$R$305,17,0)=N$3,0.02,0)))</f>
        <v/>
      </c>
      <c r="O124" s="311" t="str">
        <f>IF($B124="","",IF(O$4="NÃO",0,IF(VLOOKUP($B124,FROTA!$B$5:$R$305,10,0)=O$3,0.01,0)))</f>
        <v/>
      </c>
      <c r="P124" s="307" t="str">
        <f>IF($B124="","",IF(P$4="NÃO",0,IF(VLOOKUP($B124,FROTA!$B$5:$R$305,10,0)=P$3,0.01,0)))</f>
        <v/>
      </c>
      <c r="Q124" s="307" t="str">
        <f>IF($B124="","",IF(Q$4="NÃO",0,IF(VLOOKUP($B124,FROTA!$B$5:$R$305,10,0)=Q$3,0.01,0)))</f>
        <v/>
      </c>
      <c r="R124" s="307" t="str">
        <f>IF($B124="","",IF(R$4="NÃO",0,IF(VLOOKUP($B124,FROTA!$B$5:$R$305,10,0)=R$3,0.01,0)))</f>
        <v/>
      </c>
      <c r="S124" s="307" t="str">
        <f>IF($B124="","",IF(S$4="NÃO",0,IF(VLOOKUP($B124,FROTA!$B$5:$R$305,10,0)=S$3,0.01,0)))</f>
        <v/>
      </c>
      <c r="T124" s="307" t="str">
        <f>IF($B124="","",IF(T$4="NÃO",0,IF(VLOOKUP($B124,FROTA!$B$5:$R$305,10,0)=T$3,0.01,0)))</f>
        <v/>
      </c>
      <c r="U124" s="307" t="str">
        <f>IF($B124="","",IF(U$4="NÃO",0,IF(VLOOKUP($B124,FROTA!$B$5:$R$305,10,0)=U$3,0.01,0)))</f>
        <v/>
      </c>
      <c r="V124" s="306" t="str">
        <f t="shared" si="22"/>
        <v/>
      </c>
      <c r="W124" s="238" t="str">
        <f t="shared" si="20"/>
        <v/>
      </c>
      <c r="X124" s="576" t="str">
        <f t="shared" si="23"/>
        <v/>
      </c>
      <c r="BA124" s="581">
        <v>44957</v>
      </c>
      <c r="BB124" s="582">
        <v>2023</v>
      </c>
    </row>
    <row r="125" spans="2:54" ht="15" customHeight="1" x14ac:dyDescent="0.2">
      <c r="B125" s="192" t="str">
        <f>IF(FROTA!B126="","",FROTA!B126)</f>
        <v/>
      </c>
      <c r="C125" s="192" t="str">
        <f>IF(B125="","",FROTA!Z126)</f>
        <v/>
      </c>
      <c r="D125" s="192" t="str">
        <f>IF(B125="","",VLOOKUP(B125,FROTA!$B$5:$C$310,2,0))</f>
        <v/>
      </c>
      <c r="E125" s="233" t="str">
        <f>IF(D125="","",VLOOKUP(D125,ESCALA!$B$3:$H$19,7,0))</f>
        <v/>
      </c>
      <c r="F125" s="219" t="s">
        <v>222</v>
      </c>
      <c r="G125" s="305" t="str">
        <f t="shared" si="21"/>
        <v/>
      </c>
      <c r="H125" s="314" t="str">
        <f>IF($B125="","",IF(H$4="NÃO",0,IF(VLOOKUP($B125,FROTA!$B$5:$R$305,17,0)=H$3,0.02,0)))</f>
        <v/>
      </c>
      <c r="I125" s="193" t="str">
        <f>IF($B125="","",IF(I$4="NÃO",0,IF(VLOOKUP($B125,FROTA!$B$5:$R$305,17,0)=I$3,0.02,0)))</f>
        <v/>
      </c>
      <c r="J125" s="193" t="str">
        <f>IF($B125="","",IF(J$4="NÃO",0,IF(VLOOKUP($B125,FROTA!$B$5:$R$305,17,0)=J$3,0.02,0)))</f>
        <v/>
      </c>
      <c r="K125" s="193" t="str">
        <f>IF($B125="","",IF(K$4="NÃO",0,IF(VLOOKUP($B125,FROTA!$B$5:$R$305,17,0)=K$3,0.02,0)))</f>
        <v/>
      </c>
      <c r="L125" s="193" t="str">
        <f>IF($B125="","",IF(L$4="NÃO",0,IF(VLOOKUP($B125,FROTA!$B$5:$R$305,17,0)=L$3,0.02,0)))</f>
        <v/>
      </c>
      <c r="M125" s="193" t="str">
        <f>IF($B125="","",IF(M$4="NÃO",0,IF(VLOOKUP($B125,FROTA!$B$5:$R$305,17,0)=M$3,0.02,0)))</f>
        <v/>
      </c>
      <c r="N125" s="193" t="str">
        <f>IF($B125="","",IF(M$4="NÃO",0,IF(VLOOKUP($B125,FROTA!$B$5:$R$305,17,0)=N$3,0.02,0)))</f>
        <v/>
      </c>
      <c r="O125" s="311" t="str">
        <f>IF($B125="","",IF(O$4="NÃO",0,IF(VLOOKUP($B125,FROTA!$B$5:$R$305,10,0)=O$3,0.01,0)))</f>
        <v/>
      </c>
      <c r="P125" s="307" t="str">
        <f>IF($B125="","",IF(P$4="NÃO",0,IF(VLOOKUP($B125,FROTA!$B$5:$R$305,10,0)=P$3,0.01,0)))</f>
        <v/>
      </c>
      <c r="Q125" s="307" t="str">
        <f>IF($B125="","",IF(Q$4="NÃO",0,IF(VLOOKUP($B125,FROTA!$B$5:$R$305,10,0)=Q$3,0.01,0)))</f>
        <v/>
      </c>
      <c r="R125" s="307" t="str">
        <f>IF($B125="","",IF(R$4="NÃO",0,IF(VLOOKUP($B125,FROTA!$B$5:$R$305,10,0)=R$3,0.01,0)))</f>
        <v/>
      </c>
      <c r="S125" s="307" t="str">
        <f>IF($B125="","",IF(S$4="NÃO",0,IF(VLOOKUP($B125,FROTA!$B$5:$R$305,10,0)=S$3,0.01,0)))</f>
        <v/>
      </c>
      <c r="T125" s="307" t="str">
        <f>IF($B125="","",IF(T$4="NÃO",0,IF(VLOOKUP($B125,FROTA!$B$5:$R$305,10,0)=T$3,0.01,0)))</f>
        <v/>
      </c>
      <c r="U125" s="307" t="str">
        <f>IF($B125="","",IF(U$4="NÃO",0,IF(VLOOKUP($B125,FROTA!$B$5:$R$305,10,0)=U$3,0.01,0)))</f>
        <v/>
      </c>
      <c r="V125" s="306" t="str">
        <f t="shared" si="22"/>
        <v/>
      </c>
      <c r="W125" s="238" t="str">
        <f t="shared" si="20"/>
        <v/>
      </c>
      <c r="X125" s="576" t="str">
        <f t="shared" si="23"/>
        <v/>
      </c>
      <c r="BA125" s="581">
        <v>44958</v>
      </c>
      <c r="BB125" s="582">
        <v>2023</v>
      </c>
    </row>
    <row r="126" spans="2:54" ht="15" customHeight="1" x14ac:dyDescent="0.2">
      <c r="B126" s="192" t="str">
        <f>IF(FROTA!B127="","",FROTA!B127)</f>
        <v/>
      </c>
      <c r="C126" s="192" t="str">
        <f>IF(B126="","",FROTA!Z127)</f>
        <v/>
      </c>
      <c r="D126" s="192" t="str">
        <f>IF(B126="","",VLOOKUP(B126,FROTA!$B$5:$C$310,2,0))</f>
        <v/>
      </c>
      <c r="E126" s="233" t="str">
        <f>IF(D126="","",VLOOKUP(D126,ESCALA!$B$3:$H$19,7,0))</f>
        <v/>
      </c>
      <c r="F126" s="219" t="s">
        <v>222</v>
      </c>
      <c r="G126" s="305" t="str">
        <f t="shared" si="21"/>
        <v/>
      </c>
      <c r="H126" s="314" t="str">
        <f>IF($B126="","",IF(H$4="NÃO",0,IF(VLOOKUP($B126,FROTA!$B$5:$R$305,17,0)=H$3,0.02,0)))</f>
        <v/>
      </c>
      <c r="I126" s="193" t="str">
        <f>IF($B126="","",IF(I$4="NÃO",0,IF(VLOOKUP($B126,FROTA!$B$5:$R$305,17,0)=I$3,0.02,0)))</f>
        <v/>
      </c>
      <c r="J126" s="193" t="str">
        <f>IF($B126="","",IF(J$4="NÃO",0,IF(VLOOKUP($B126,FROTA!$B$5:$R$305,17,0)=J$3,0.02,0)))</f>
        <v/>
      </c>
      <c r="K126" s="193" t="str">
        <f>IF($B126="","",IF(K$4="NÃO",0,IF(VLOOKUP($B126,FROTA!$B$5:$R$305,17,0)=K$3,0.02,0)))</f>
        <v/>
      </c>
      <c r="L126" s="193" t="str">
        <f>IF($B126="","",IF(L$4="NÃO",0,IF(VLOOKUP($B126,FROTA!$B$5:$R$305,17,0)=L$3,0.02,0)))</f>
        <v/>
      </c>
      <c r="M126" s="193" t="str">
        <f>IF($B126="","",IF(M$4="NÃO",0,IF(VLOOKUP($B126,FROTA!$B$5:$R$305,17,0)=M$3,0.02,0)))</f>
        <v/>
      </c>
      <c r="N126" s="193" t="str">
        <f>IF($B126="","",IF(M$4="NÃO",0,IF(VLOOKUP($B126,FROTA!$B$5:$R$305,17,0)=N$3,0.02,0)))</f>
        <v/>
      </c>
      <c r="O126" s="311" t="str">
        <f>IF($B126="","",IF(O$4="NÃO",0,IF(VLOOKUP($B126,FROTA!$B$5:$R$305,10,0)=O$3,0.01,0)))</f>
        <v/>
      </c>
      <c r="P126" s="307" t="str">
        <f>IF($B126="","",IF(P$4="NÃO",0,IF(VLOOKUP($B126,FROTA!$B$5:$R$305,10,0)=P$3,0.01,0)))</f>
        <v/>
      </c>
      <c r="Q126" s="307" t="str">
        <f>IF($B126="","",IF(Q$4="NÃO",0,IF(VLOOKUP($B126,FROTA!$B$5:$R$305,10,0)=Q$3,0.01,0)))</f>
        <v/>
      </c>
      <c r="R126" s="307" t="str">
        <f>IF($B126="","",IF(R$4="NÃO",0,IF(VLOOKUP($B126,FROTA!$B$5:$R$305,10,0)=R$3,0.01,0)))</f>
        <v/>
      </c>
      <c r="S126" s="307" t="str">
        <f>IF($B126="","",IF(S$4="NÃO",0,IF(VLOOKUP($B126,FROTA!$B$5:$R$305,10,0)=S$3,0.01,0)))</f>
        <v/>
      </c>
      <c r="T126" s="307" t="str">
        <f>IF($B126="","",IF(T$4="NÃO",0,IF(VLOOKUP($B126,FROTA!$B$5:$R$305,10,0)=T$3,0.01,0)))</f>
        <v/>
      </c>
      <c r="U126" s="307" t="str">
        <f>IF($B126="","",IF(U$4="NÃO",0,IF(VLOOKUP($B126,FROTA!$B$5:$R$305,10,0)=U$3,0.01,0)))</f>
        <v/>
      </c>
      <c r="V126" s="306" t="str">
        <f t="shared" si="22"/>
        <v/>
      </c>
      <c r="W126" s="238" t="str">
        <f t="shared" si="20"/>
        <v/>
      </c>
      <c r="X126" s="576" t="str">
        <f t="shared" si="23"/>
        <v/>
      </c>
      <c r="BA126" s="581">
        <v>44959</v>
      </c>
      <c r="BB126" s="582">
        <v>2023</v>
      </c>
    </row>
    <row r="127" spans="2:54" ht="15" customHeight="1" x14ac:dyDescent="0.2">
      <c r="B127" s="192" t="str">
        <f>IF(FROTA!B128="","",FROTA!B128)</f>
        <v/>
      </c>
      <c r="C127" s="192" t="str">
        <f>IF(B127="","",FROTA!Z128)</f>
        <v/>
      </c>
      <c r="D127" s="192" t="str">
        <f>IF(B127="","",VLOOKUP(B127,FROTA!$B$5:$C$310,2,0))</f>
        <v/>
      </c>
      <c r="E127" s="233" t="str">
        <f>IF(D127="","",VLOOKUP(D127,ESCALA!$B$3:$H$19,7,0))</f>
        <v/>
      </c>
      <c r="F127" s="219" t="s">
        <v>222</v>
      </c>
      <c r="G127" s="305" t="str">
        <f t="shared" si="21"/>
        <v/>
      </c>
      <c r="H127" s="314" t="str">
        <f>IF($B127="","",IF(H$4="NÃO",0,IF(VLOOKUP($B127,FROTA!$B$5:$R$305,17,0)=H$3,0.02,0)))</f>
        <v/>
      </c>
      <c r="I127" s="193" t="str">
        <f>IF($B127="","",IF(I$4="NÃO",0,IF(VLOOKUP($B127,FROTA!$B$5:$R$305,17,0)=I$3,0.02,0)))</f>
        <v/>
      </c>
      <c r="J127" s="193" t="str">
        <f>IF($B127="","",IF(J$4="NÃO",0,IF(VLOOKUP($B127,FROTA!$B$5:$R$305,17,0)=J$3,0.02,0)))</f>
        <v/>
      </c>
      <c r="K127" s="193" t="str">
        <f>IF($B127="","",IF(K$4="NÃO",0,IF(VLOOKUP($B127,FROTA!$B$5:$R$305,17,0)=K$3,0.02,0)))</f>
        <v/>
      </c>
      <c r="L127" s="193" t="str">
        <f>IF($B127="","",IF(L$4="NÃO",0,IF(VLOOKUP($B127,FROTA!$B$5:$R$305,17,0)=L$3,0.02,0)))</f>
        <v/>
      </c>
      <c r="M127" s="193" t="str">
        <f>IF($B127="","",IF(M$4="NÃO",0,IF(VLOOKUP($B127,FROTA!$B$5:$R$305,17,0)=M$3,0.02,0)))</f>
        <v/>
      </c>
      <c r="N127" s="193" t="str">
        <f>IF($B127="","",IF(M$4="NÃO",0,IF(VLOOKUP($B127,FROTA!$B$5:$R$305,17,0)=N$3,0.02,0)))</f>
        <v/>
      </c>
      <c r="O127" s="311" t="str">
        <f>IF($B127="","",IF(O$4="NÃO",0,IF(VLOOKUP($B127,FROTA!$B$5:$R$305,10,0)=O$3,0.01,0)))</f>
        <v/>
      </c>
      <c r="P127" s="307" t="str">
        <f>IF($B127="","",IF(P$4="NÃO",0,IF(VLOOKUP($B127,FROTA!$B$5:$R$305,10,0)=P$3,0.01,0)))</f>
        <v/>
      </c>
      <c r="Q127" s="307" t="str">
        <f>IF($B127="","",IF(Q$4="NÃO",0,IF(VLOOKUP($B127,FROTA!$B$5:$R$305,10,0)=Q$3,0.01,0)))</f>
        <v/>
      </c>
      <c r="R127" s="307" t="str">
        <f>IF($B127="","",IF(R$4="NÃO",0,IF(VLOOKUP($B127,FROTA!$B$5:$R$305,10,0)=R$3,0.01,0)))</f>
        <v/>
      </c>
      <c r="S127" s="307" t="str">
        <f>IF($B127="","",IF(S$4="NÃO",0,IF(VLOOKUP($B127,FROTA!$B$5:$R$305,10,0)=S$3,0.01,0)))</f>
        <v/>
      </c>
      <c r="T127" s="307" t="str">
        <f>IF($B127="","",IF(T$4="NÃO",0,IF(VLOOKUP($B127,FROTA!$B$5:$R$305,10,0)=T$3,0.01,0)))</f>
        <v/>
      </c>
      <c r="U127" s="307" t="str">
        <f>IF($B127="","",IF(U$4="NÃO",0,IF(VLOOKUP($B127,FROTA!$B$5:$R$305,10,0)=U$3,0.01,0)))</f>
        <v/>
      </c>
      <c r="V127" s="306" t="str">
        <f t="shared" si="22"/>
        <v/>
      </c>
      <c r="W127" s="238" t="str">
        <f t="shared" si="20"/>
        <v/>
      </c>
      <c r="X127" s="576" t="str">
        <f t="shared" si="23"/>
        <v/>
      </c>
      <c r="BA127" s="581">
        <v>44960</v>
      </c>
      <c r="BB127" s="582">
        <v>2023</v>
      </c>
    </row>
    <row r="128" spans="2:54" ht="15" customHeight="1" x14ac:dyDescent="0.2">
      <c r="B128" s="192" t="str">
        <f>IF(FROTA!B129="","",FROTA!B129)</f>
        <v/>
      </c>
      <c r="C128" s="192" t="str">
        <f>IF(B128="","",FROTA!Z129)</f>
        <v/>
      </c>
      <c r="D128" s="192" t="str">
        <f>IF(B128="","",VLOOKUP(B128,FROTA!$B$5:$C$310,2,0))</f>
        <v/>
      </c>
      <c r="E128" s="233" t="str">
        <f>IF(D128="","",VLOOKUP(D128,ESCALA!$B$3:$H$19,7,0))</f>
        <v/>
      </c>
      <c r="F128" s="219" t="s">
        <v>222</v>
      </c>
      <c r="G128" s="305" t="str">
        <f t="shared" si="21"/>
        <v/>
      </c>
      <c r="H128" s="314" t="str">
        <f>IF($B128="","",IF(H$4="NÃO",0,IF(VLOOKUP($B128,FROTA!$B$5:$R$305,17,0)=H$3,0.02,0)))</f>
        <v/>
      </c>
      <c r="I128" s="193" t="str">
        <f>IF($B128="","",IF(I$4="NÃO",0,IF(VLOOKUP($B128,FROTA!$B$5:$R$305,17,0)=I$3,0.02,0)))</f>
        <v/>
      </c>
      <c r="J128" s="193" t="str">
        <f>IF($B128="","",IF(J$4="NÃO",0,IF(VLOOKUP($B128,FROTA!$B$5:$R$305,17,0)=J$3,0.02,0)))</f>
        <v/>
      </c>
      <c r="K128" s="193" t="str">
        <f>IF($B128="","",IF(K$4="NÃO",0,IF(VLOOKUP($B128,FROTA!$B$5:$R$305,17,0)=K$3,0.02,0)))</f>
        <v/>
      </c>
      <c r="L128" s="193" t="str">
        <f>IF($B128="","",IF(L$4="NÃO",0,IF(VLOOKUP($B128,FROTA!$B$5:$R$305,17,0)=L$3,0.02,0)))</f>
        <v/>
      </c>
      <c r="M128" s="193" t="str">
        <f>IF($B128="","",IF(M$4="NÃO",0,IF(VLOOKUP($B128,FROTA!$B$5:$R$305,17,0)=M$3,0.02,0)))</f>
        <v/>
      </c>
      <c r="N128" s="193" t="str">
        <f>IF($B128="","",IF(M$4="NÃO",0,IF(VLOOKUP($B128,FROTA!$B$5:$R$305,17,0)=N$3,0.02,0)))</f>
        <v/>
      </c>
      <c r="O128" s="311" t="str">
        <f>IF($B128="","",IF(O$4="NÃO",0,IF(VLOOKUP($B128,FROTA!$B$5:$R$305,10,0)=O$3,0.01,0)))</f>
        <v/>
      </c>
      <c r="P128" s="307" t="str">
        <f>IF($B128="","",IF(P$4="NÃO",0,IF(VLOOKUP($B128,FROTA!$B$5:$R$305,10,0)=P$3,0.01,0)))</f>
        <v/>
      </c>
      <c r="Q128" s="307" t="str">
        <f>IF($B128="","",IF(Q$4="NÃO",0,IF(VLOOKUP($B128,FROTA!$B$5:$R$305,10,0)=Q$3,0.01,0)))</f>
        <v/>
      </c>
      <c r="R128" s="307" t="str">
        <f>IF($B128="","",IF(R$4="NÃO",0,IF(VLOOKUP($B128,FROTA!$B$5:$R$305,10,0)=R$3,0.01,0)))</f>
        <v/>
      </c>
      <c r="S128" s="307" t="str">
        <f>IF($B128="","",IF(S$4="NÃO",0,IF(VLOOKUP($B128,FROTA!$B$5:$R$305,10,0)=S$3,0.01,0)))</f>
        <v/>
      </c>
      <c r="T128" s="307" t="str">
        <f>IF($B128="","",IF(T$4="NÃO",0,IF(VLOOKUP($B128,FROTA!$B$5:$R$305,10,0)=T$3,0.01,0)))</f>
        <v/>
      </c>
      <c r="U128" s="307" t="str">
        <f>IF($B128="","",IF(U$4="NÃO",0,IF(VLOOKUP($B128,FROTA!$B$5:$R$305,10,0)=U$3,0.01,0)))</f>
        <v/>
      </c>
      <c r="V128" s="306" t="str">
        <f t="shared" si="22"/>
        <v/>
      </c>
      <c r="W128" s="238" t="str">
        <f t="shared" si="20"/>
        <v/>
      </c>
      <c r="X128" s="576" t="str">
        <f t="shared" si="23"/>
        <v/>
      </c>
      <c r="BA128" s="581">
        <v>44961</v>
      </c>
      <c r="BB128" s="582">
        <v>2023</v>
      </c>
    </row>
    <row r="129" spans="2:54" ht="15" customHeight="1" x14ac:dyDescent="0.2">
      <c r="B129" s="192" t="str">
        <f>IF(FROTA!B130="","",FROTA!B130)</f>
        <v/>
      </c>
      <c r="C129" s="192" t="str">
        <f>IF(B129="","",FROTA!Z130)</f>
        <v/>
      </c>
      <c r="D129" s="192" t="str">
        <f>IF(B129="","",VLOOKUP(B129,FROTA!$B$5:$C$310,2,0))</f>
        <v/>
      </c>
      <c r="E129" s="233" t="str">
        <f>IF(D129="","",VLOOKUP(D129,ESCALA!$B$3:$H$19,7,0))</f>
        <v/>
      </c>
      <c r="F129" s="219" t="s">
        <v>222</v>
      </c>
      <c r="G129" s="305" t="str">
        <f t="shared" si="21"/>
        <v/>
      </c>
      <c r="H129" s="314" t="str">
        <f>IF($B129="","",IF(H$4="NÃO",0,IF(VLOOKUP($B129,FROTA!$B$5:$R$305,17,0)=H$3,0.02,0)))</f>
        <v/>
      </c>
      <c r="I129" s="193" t="str">
        <f>IF($B129="","",IF(I$4="NÃO",0,IF(VLOOKUP($B129,FROTA!$B$5:$R$305,17,0)=I$3,0.02,0)))</f>
        <v/>
      </c>
      <c r="J129" s="193" t="str">
        <f>IF($B129="","",IF(J$4="NÃO",0,IF(VLOOKUP($B129,FROTA!$B$5:$R$305,17,0)=J$3,0.02,0)))</f>
        <v/>
      </c>
      <c r="K129" s="193" t="str">
        <f>IF($B129="","",IF(K$4="NÃO",0,IF(VLOOKUP($B129,FROTA!$B$5:$R$305,17,0)=K$3,0.02,0)))</f>
        <v/>
      </c>
      <c r="L129" s="193" t="str">
        <f>IF($B129="","",IF(L$4="NÃO",0,IF(VLOOKUP($B129,FROTA!$B$5:$R$305,17,0)=L$3,0.02,0)))</f>
        <v/>
      </c>
      <c r="M129" s="193" t="str">
        <f>IF($B129="","",IF(M$4="NÃO",0,IF(VLOOKUP($B129,FROTA!$B$5:$R$305,17,0)=M$3,0.02,0)))</f>
        <v/>
      </c>
      <c r="N129" s="193" t="str">
        <f>IF($B129="","",IF(M$4="NÃO",0,IF(VLOOKUP($B129,FROTA!$B$5:$R$305,17,0)=N$3,0.02,0)))</f>
        <v/>
      </c>
      <c r="O129" s="311" t="str">
        <f>IF($B129="","",IF(O$4="NÃO",0,IF(VLOOKUP($B129,FROTA!$B$5:$R$305,10,0)=O$3,0.01,0)))</f>
        <v/>
      </c>
      <c r="P129" s="307" t="str">
        <f>IF($B129="","",IF(P$4="NÃO",0,IF(VLOOKUP($B129,FROTA!$B$5:$R$305,10,0)=P$3,0.01,0)))</f>
        <v/>
      </c>
      <c r="Q129" s="307" t="str">
        <f>IF($B129="","",IF(Q$4="NÃO",0,IF(VLOOKUP($B129,FROTA!$B$5:$R$305,10,0)=Q$3,0.01,0)))</f>
        <v/>
      </c>
      <c r="R129" s="307" t="str">
        <f>IF($B129="","",IF(R$4="NÃO",0,IF(VLOOKUP($B129,FROTA!$B$5:$R$305,10,0)=R$3,0.01,0)))</f>
        <v/>
      </c>
      <c r="S129" s="307" t="str">
        <f>IF($B129="","",IF(S$4="NÃO",0,IF(VLOOKUP($B129,FROTA!$B$5:$R$305,10,0)=S$3,0.01,0)))</f>
        <v/>
      </c>
      <c r="T129" s="307" t="str">
        <f>IF($B129="","",IF(T$4="NÃO",0,IF(VLOOKUP($B129,FROTA!$B$5:$R$305,10,0)=T$3,0.01,0)))</f>
        <v/>
      </c>
      <c r="U129" s="307" t="str">
        <f>IF($B129="","",IF(U$4="NÃO",0,IF(VLOOKUP($B129,FROTA!$B$5:$R$305,10,0)=U$3,0.01,0)))</f>
        <v/>
      </c>
      <c r="V129" s="306" t="str">
        <f t="shared" si="22"/>
        <v/>
      </c>
      <c r="W129" s="238" t="str">
        <f t="shared" si="20"/>
        <v/>
      </c>
      <c r="X129" s="576" t="str">
        <f t="shared" si="23"/>
        <v/>
      </c>
      <c r="BA129" s="581">
        <v>44962</v>
      </c>
      <c r="BB129" s="582">
        <v>2023</v>
      </c>
    </row>
    <row r="130" spans="2:54" ht="15" customHeight="1" x14ac:dyDescent="0.2">
      <c r="B130" s="192" t="str">
        <f>IF(FROTA!B131="","",FROTA!B131)</f>
        <v/>
      </c>
      <c r="C130" s="192" t="str">
        <f>IF(B130="","",FROTA!Z131)</f>
        <v/>
      </c>
      <c r="D130" s="192" t="str">
        <f>IF(B130="","",VLOOKUP(B130,FROTA!$B$5:$C$310,2,0))</f>
        <v/>
      </c>
      <c r="E130" s="233" t="str">
        <f>IF(D130="","",VLOOKUP(D130,ESCALA!$B$3:$H$19,7,0))</f>
        <v/>
      </c>
      <c r="F130" s="219" t="s">
        <v>222</v>
      </c>
      <c r="G130" s="305" t="str">
        <f t="shared" si="21"/>
        <v/>
      </c>
      <c r="H130" s="314" t="str">
        <f>IF($B130="","",IF(H$4="NÃO",0,IF(VLOOKUP($B130,FROTA!$B$5:$R$305,17,0)=H$3,0.02,0)))</f>
        <v/>
      </c>
      <c r="I130" s="193" t="str">
        <f>IF($B130="","",IF(I$4="NÃO",0,IF(VLOOKUP($B130,FROTA!$B$5:$R$305,17,0)=I$3,0.02,0)))</f>
        <v/>
      </c>
      <c r="J130" s="193" t="str">
        <f>IF($B130="","",IF(J$4="NÃO",0,IF(VLOOKUP($B130,FROTA!$B$5:$R$305,17,0)=J$3,0.02,0)))</f>
        <v/>
      </c>
      <c r="K130" s="193" t="str">
        <f>IF($B130="","",IF(K$4="NÃO",0,IF(VLOOKUP($B130,FROTA!$B$5:$R$305,17,0)=K$3,0.02,0)))</f>
        <v/>
      </c>
      <c r="L130" s="193" t="str">
        <f>IF($B130="","",IF(L$4="NÃO",0,IF(VLOOKUP($B130,FROTA!$B$5:$R$305,17,0)=L$3,0.02,0)))</f>
        <v/>
      </c>
      <c r="M130" s="193" t="str">
        <f>IF($B130="","",IF(M$4="NÃO",0,IF(VLOOKUP($B130,FROTA!$B$5:$R$305,17,0)=M$3,0.02,0)))</f>
        <v/>
      </c>
      <c r="N130" s="193" t="str">
        <f>IF($B130="","",IF(M$4="NÃO",0,IF(VLOOKUP($B130,FROTA!$B$5:$R$305,17,0)=N$3,0.02,0)))</f>
        <v/>
      </c>
      <c r="O130" s="311" t="str">
        <f>IF($B130="","",IF(O$4="NÃO",0,IF(VLOOKUP($B130,FROTA!$B$5:$R$305,10,0)=O$3,0.01,0)))</f>
        <v/>
      </c>
      <c r="P130" s="307" t="str">
        <f>IF($B130="","",IF(P$4="NÃO",0,IF(VLOOKUP($B130,FROTA!$B$5:$R$305,10,0)=P$3,0.01,0)))</f>
        <v/>
      </c>
      <c r="Q130" s="307" t="str">
        <f>IF($B130="","",IF(Q$4="NÃO",0,IF(VLOOKUP($B130,FROTA!$B$5:$R$305,10,0)=Q$3,0.01,0)))</f>
        <v/>
      </c>
      <c r="R130" s="307" t="str">
        <f>IF($B130="","",IF(R$4="NÃO",0,IF(VLOOKUP($B130,FROTA!$B$5:$R$305,10,0)=R$3,0.01,0)))</f>
        <v/>
      </c>
      <c r="S130" s="307" t="str">
        <f>IF($B130="","",IF(S$4="NÃO",0,IF(VLOOKUP($B130,FROTA!$B$5:$R$305,10,0)=S$3,0.01,0)))</f>
        <v/>
      </c>
      <c r="T130" s="307" t="str">
        <f>IF($B130="","",IF(T$4="NÃO",0,IF(VLOOKUP($B130,FROTA!$B$5:$R$305,10,0)=T$3,0.01,0)))</f>
        <v/>
      </c>
      <c r="U130" s="307" t="str">
        <f>IF($B130="","",IF(U$4="NÃO",0,IF(VLOOKUP($B130,FROTA!$B$5:$R$305,10,0)=U$3,0.01,0)))</f>
        <v/>
      </c>
      <c r="V130" s="306" t="str">
        <f t="shared" si="22"/>
        <v/>
      </c>
      <c r="W130" s="238" t="str">
        <f t="shared" si="20"/>
        <v/>
      </c>
      <c r="X130" s="576" t="str">
        <f t="shared" si="23"/>
        <v/>
      </c>
      <c r="BA130" s="581">
        <v>44963</v>
      </c>
      <c r="BB130" s="582">
        <v>2023</v>
      </c>
    </row>
    <row r="131" spans="2:54" ht="15" customHeight="1" x14ac:dyDescent="0.2">
      <c r="B131" s="192" t="str">
        <f>IF(FROTA!B132="","",FROTA!B132)</f>
        <v/>
      </c>
      <c r="C131" s="192" t="str">
        <f>IF(B131="","",FROTA!Z132)</f>
        <v/>
      </c>
      <c r="D131" s="192" t="str">
        <f>IF(B131="","",VLOOKUP(B131,FROTA!$B$5:$C$310,2,0))</f>
        <v/>
      </c>
      <c r="E131" s="233" t="str">
        <f>IF(D131="","",VLOOKUP(D131,ESCALA!$B$3:$H$19,7,0))</f>
        <v/>
      </c>
      <c r="F131" s="219" t="s">
        <v>222</v>
      </c>
      <c r="G131" s="305" t="str">
        <f t="shared" si="21"/>
        <v/>
      </c>
      <c r="H131" s="314" t="str">
        <f>IF($B131="","",IF(H$4="NÃO",0,IF(VLOOKUP($B131,FROTA!$B$5:$R$305,17,0)=H$3,0.02,0)))</f>
        <v/>
      </c>
      <c r="I131" s="193" t="str">
        <f>IF($B131="","",IF(I$4="NÃO",0,IF(VLOOKUP($B131,FROTA!$B$5:$R$305,17,0)=I$3,0.02,0)))</f>
        <v/>
      </c>
      <c r="J131" s="193" t="str">
        <f>IF($B131="","",IF(J$4="NÃO",0,IF(VLOOKUP($B131,FROTA!$B$5:$R$305,17,0)=J$3,0.02,0)))</f>
        <v/>
      </c>
      <c r="K131" s="193" t="str">
        <f>IF($B131="","",IF(K$4="NÃO",0,IF(VLOOKUP($B131,FROTA!$B$5:$R$305,17,0)=K$3,0.02,0)))</f>
        <v/>
      </c>
      <c r="L131" s="193" t="str">
        <f>IF($B131="","",IF(L$4="NÃO",0,IF(VLOOKUP($B131,FROTA!$B$5:$R$305,17,0)=L$3,0.02,0)))</f>
        <v/>
      </c>
      <c r="M131" s="193" t="str">
        <f>IF($B131="","",IF(M$4="NÃO",0,IF(VLOOKUP($B131,FROTA!$B$5:$R$305,17,0)=M$3,0.02,0)))</f>
        <v/>
      </c>
      <c r="N131" s="193" t="str">
        <f>IF($B131="","",IF(M$4="NÃO",0,IF(VLOOKUP($B131,FROTA!$B$5:$R$305,17,0)=N$3,0.02,0)))</f>
        <v/>
      </c>
      <c r="O131" s="311" t="str">
        <f>IF($B131="","",IF(O$4="NÃO",0,IF(VLOOKUP($B131,FROTA!$B$5:$R$305,10,0)=O$3,0.01,0)))</f>
        <v/>
      </c>
      <c r="P131" s="307" t="str">
        <f>IF($B131="","",IF(P$4="NÃO",0,IF(VLOOKUP($B131,FROTA!$B$5:$R$305,10,0)=P$3,0.01,0)))</f>
        <v/>
      </c>
      <c r="Q131" s="307" t="str">
        <f>IF($B131="","",IF(Q$4="NÃO",0,IF(VLOOKUP($B131,FROTA!$B$5:$R$305,10,0)=Q$3,0.01,0)))</f>
        <v/>
      </c>
      <c r="R131" s="307" t="str">
        <f>IF($B131="","",IF(R$4="NÃO",0,IF(VLOOKUP($B131,FROTA!$B$5:$R$305,10,0)=R$3,0.01,0)))</f>
        <v/>
      </c>
      <c r="S131" s="307" t="str">
        <f>IF($B131="","",IF(S$4="NÃO",0,IF(VLOOKUP($B131,FROTA!$B$5:$R$305,10,0)=S$3,0.01,0)))</f>
        <v/>
      </c>
      <c r="T131" s="307" t="str">
        <f>IF($B131="","",IF(T$4="NÃO",0,IF(VLOOKUP($B131,FROTA!$B$5:$R$305,10,0)=T$3,0.01,0)))</f>
        <v/>
      </c>
      <c r="U131" s="307" t="str">
        <f>IF($B131="","",IF(U$4="NÃO",0,IF(VLOOKUP($B131,FROTA!$B$5:$R$305,10,0)=U$3,0.01,0)))</f>
        <v/>
      </c>
      <c r="V131" s="306" t="str">
        <f t="shared" si="22"/>
        <v/>
      </c>
      <c r="W131" s="238" t="str">
        <f t="shared" si="20"/>
        <v/>
      </c>
      <c r="X131" s="576" t="str">
        <f t="shared" si="23"/>
        <v/>
      </c>
      <c r="BA131" s="581">
        <v>44964</v>
      </c>
      <c r="BB131" s="582">
        <v>2023</v>
      </c>
    </row>
    <row r="132" spans="2:54" ht="15" customHeight="1" x14ac:dyDescent="0.2">
      <c r="B132" s="192" t="str">
        <f>IF(FROTA!B133="","",FROTA!B133)</f>
        <v/>
      </c>
      <c r="C132" s="192" t="str">
        <f>IF(B132="","",FROTA!Z133)</f>
        <v/>
      </c>
      <c r="D132" s="192" t="str">
        <f>IF(B132="","",VLOOKUP(B132,FROTA!$B$5:$C$310,2,0))</f>
        <v/>
      </c>
      <c r="E132" s="233" t="str">
        <f>IF(D132="","",VLOOKUP(D132,ESCALA!$B$3:$H$19,7,0))</f>
        <v/>
      </c>
      <c r="F132" s="219" t="s">
        <v>222</v>
      </c>
      <c r="G132" s="305" t="str">
        <f t="shared" si="21"/>
        <v/>
      </c>
      <c r="H132" s="314" t="str">
        <f>IF($B132="","",IF(H$4="NÃO",0,IF(VLOOKUP($B132,FROTA!$B$5:$R$305,17,0)=H$3,0.02,0)))</f>
        <v/>
      </c>
      <c r="I132" s="193" t="str">
        <f>IF($B132="","",IF(I$4="NÃO",0,IF(VLOOKUP($B132,FROTA!$B$5:$R$305,17,0)=I$3,0.02,0)))</f>
        <v/>
      </c>
      <c r="J132" s="193" t="str">
        <f>IF($B132="","",IF(J$4="NÃO",0,IF(VLOOKUP($B132,FROTA!$B$5:$R$305,17,0)=J$3,0.02,0)))</f>
        <v/>
      </c>
      <c r="K132" s="193" t="str">
        <f>IF($B132="","",IF(K$4="NÃO",0,IF(VLOOKUP($B132,FROTA!$B$5:$R$305,17,0)=K$3,0.02,0)))</f>
        <v/>
      </c>
      <c r="L132" s="193" t="str">
        <f>IF($B132="","",IF(L$4="NÃO",0,IF(VLOOKUP($B132,FROTA!$B$5:$R$305,17,0)=L$3,0.02,0)))</f>
        <v/>
      </c>
      <c r="M132" s="193" t="str">
        <f>IF($B132="","",IF(M$4="NÃO",0,IF(VLOOKUP($B132,FROTA!$B$5:$R$305,17,0)=M$3,0.02,0)))</f>
        <v/>
      </c>
      <c r="N132" s="193" t="str">
        <f>IF($B132="","",IF(M$4="NÃO",0,IF(VLOOKUP($B132,FROTA!$B$5:$R$305,17,0)=N$3,0.02,0)))</f>
        <v/>
      </c>
      <c r="O132" s="311" t="str">
        <f>IF($B132="","",IF(O$4="NÃO",0,IF(VLOOKUP($B132,FROTA!$B$5:$R$305,10,0)=O$3,0.01,0)))</f>
        <v/>
      </c>
      <c r="P132" s="307" t="str">
        <f>IF($B132="","",IF(P$4="NÃO",0,IF(VLOOKUP($B132,FROTA!$B$5:$R$305,10,0)=P$3,0.01,0)))</f>
        <v/>
      </c>
      <c r="Q132" s="307" t="str">
        <f>IF($B132="","",IF(Q$4="NÃO",0,IF(VLOOKUP($B132,FROTA!$B$5:$R$305,10,0)=Q$3,0.01,0)))</f>
        <v/>
      </c>
      <c r="R132" s="307" t="str">
        <f>IF($B132="","",IF(R$4="NÃO",0,IF(VLOOKUP($B132,FROTA!$B$5:$R$305,10,0)=R$3,0.01,0)))</f>
        <v/>
      </c>
      <c r="S132" s="307" t="str">
        <f>IF($B132="","",IF(S$4="NÃO",0,IF(VLOOKUP($B132,FROTA!$B$5:$R$305,10,0)=S$3,0.01,0)))</f>
        <v/>
      </c>
      <c r="T132" s="307" t="str">
        <f>IF($B132="","",IF(T$4="NÃO",0,IF(VLOOKUP($B132,FROTA!$B$5:$R$305,10,0)=T$3,0.01,0)))</f>
        <v/>
      </c>
      <c r="U132" s="307" t="str">
        <f>IF($B132="","",IF(U$4="NÃO",0,IF(VLOOKUP($B132,FROTA!$B$5:$R$305,10,0)=U$3,0.01,0)))</f>
        <v/>
      </c>
      <c r="V132" s="306" t="str">
        <f t="shared" si="22"/>
        <v/>
      </c>
      <c r="W132" s="238" t="str">
        <f t="shared" si="20"/>
        <v/>
      </c>
      <c r="X132" s="576" t="str">
        <f t="shared" si="23"/>
        <v/>
      </c>
      <c r="BA132" s="581">
        <v>44965</v>
      </c>
      <c r="BB132" s="582">
        <v>2023</v>
      </c>
    </row>
    <row r="133" spans="2:54" ht="15" customHeight="1" x14ac:dyDescent="0.2">
      <c r="B133" s="192" t="str">
        <f>IF(FROTA!B134="","",FROTA!B134)</f>
        <v/>
      </c>
      <c r="C133" s="192" t="str">
        <f>IF(B133="","",FROTA!Z134)</f>
        <v/>
      </c>
      <c r="D133" s="192" t="str">
        <f>IF(B133="","",VLOOKUP(B133,FROTA!$B$5:$C$310,2,0))</f>
        <v/>
      </c>
      <c r="E133" s="233" t="str">
        <f>IF(D133="","",VLOOKUP(D133,ESCALA!$B$3:$H$19,7,0))</f>
        <v/>
      </c>
      <c r="F133" s="219" t="s">
        <v>222</v>
      </c>
      <c r="G133" s="305" t="str">
        <f t="shared" si="21"/>
        <v/>
      </c>
      <c r="H133" s="314" t="str">
        <f>IF($B133="","",IF(H$4="NÃO",0,IF(VLOOKUP($B133,FROTA!$B$5:$R$305,17,0)=H$3,0.02,0)))</f>
        <v/>
      </c>
      <c r="I133" s="193" t="str">
        <f>IF($B133="","",IF(I$4="NÃO",0,IF(VLOOKUP($B133,FROTA!$B$5:$R$305,17,0)=I$3,0.02,0)))</f>
        <v/>
      </c>
      <c r="J133" s="193" t="str">
        <f>IF($B133="","",IF(J$4="NÃO",0,IF(VLOOKUP($B133,FROTA!$B$5:$R$305,17,0)=J$3,0.02,0)))</f>
        <v/>
      </c>
      <c r="K133" s="193" t="str">
        <f>IF($B133="","",IF(K$4="NÃO",0,IF(VLOOKUP($B133,FROTA!$B$5:$R$305,17,0)=K$3,0.02,0)))</f>
        <v/>
      </c>
      <c r="L133" s="193" t="str">
        <f>IF($B133="","",IF(L$4="NÃO",0,IF(VLOOKUP($B133,FROTA!$B$5:$R$305,17,0)=L$3,0.02,0)))</f>
        <v/>
      </c>
      <c r="M133" s="193" t="str">
        <f>IF($B133="","",IF(M$4="NÃO",0,IF(VLOOKUP($B133,FROTA!$B$5:$R$305,17,0)=M$3,0.02,0)))</f>
        <v/>
      </c>
      <c r="N133" s="193" t="str">
        <f>IF($B133="","",IF(M$4="NÃO",0,IF(VLOOKUP($B133,FROTA!$B$5:$R$305,17,0)=N$3,0.02,0)))</f>
        <v/>
      </c>
      <c r="O133" s="311" t="str">
        <f>IF($B133="","",IF(O$4="NÃO",0,IF(VLOOKUP($B133,FROTA!$B$5:$R$305,10,0)=O$3,0.01,0)))</f>
        <v/>
      </c>
      <c r="P133" s="307" t="str">
        <f>IF($B133="","",IF(P$4="NÃO",0,IF(VLOOKUP($B133,FROTA!$B$5:$R$305,10,0)=P$3,0.01,0)))</f>
        <v/>
      </c>
      <c r="Q133" s="307" t="str">
        <f>IF($B133="","",IF(Q$4="NÃO",0,IF(VLOOKUP($B133,FROTA!$B$5:$R$305,10,0)=Q$3,0.01,0)))</f>
        <v/>
      </c>
      <c r="R133" s="307" t="str">
        <f>IF($B133="","",IF(R$4="NÃO",0,IF(VLOOKUP($B133,FROTA!$B$5:$R$305,10,0)=R$3,0.01,0)))</f>
        <v/>
      </c>
      <c r="S133" s="307" t="str">
        <f>IF($B133="","",IF(S$4="NÃO",0,IF(VLOOKUP($B133,FROTA!$B$5:$R$305,10,0)=S$3,0.01,0)))</f>
        <v/>
      </c>
      <c r="T133" s="307" t="str">
        <f>IF($B133="","",IF(T$4="NÃO",0,IF(VLOOKUP($B133,FROTA!$B$5:$R$305,10,0)=T$3,0.01,0)))</f>
        <v/>
      </c>
      <c r="U133" s="307" t="str">
        <f>IF($B133="","",IF(U$4="NÃO",0,IF(VLOOKUP($B133,FROTA!$B$5:$R$305,10,0)=U$3,0.01,0)))</f>
        <v/>
      </c>
      <c r="V133" s="306" t="str">
        <f t="shared" si="22"/>
        <v/>
      </c>
      <c r="W133" s="238" t="str">
        <f t="shared" ref="W133:W196" si="24">IF($E133="","",IF($E133="",0,IF($E133=0,AVERAGE(F133,0.8),IF($E133=1,AVERAGE(F133,VLOOKUP($C133,$Y$1:$Z$30,2,0)),IF($E133=2,AVERAGE(F133,VLOOKUP($C133,$AB$1:$AC$30,2,0)),IF($E133=3,AVERAGE(F133,VLOOKUP($C133,$AE$1:$AF$30,2,0)),""))))))</f>
        <v/>
      </c>
      <c r="X133" s="576" t="str">
        <f t="shared" si="23"/>
        <v/>
      </c>
      <c r="BA133" s="581">
        <v>44966</v>
      </c>
      <c r="BB133" s="582">
        <v>2023</v>
      </c>
    </row>
    <row r="134" spans="2:54" ht="15" customHeight="1" x14ac:dyDescent="0.2">
      <c r="B134" s="192" t="str">
        <f>IF(FROTA!B135="","",FROTA!B135)</f>
        <v/>
      </c>
      <c r="C134" s="192" t="str">
        <f>IF(B134="","",FROTA!Z135)</f>
        <v/>
      </c>
      <c r="D134" s="192" t="str">
        <f>IF(B134="","",VLOOKUP(B134,FROTA!$B$5:$C$310,2,0))</f>
        <v/>
      </c>
      <c r="E134" s="233" t="str">
        <f>IF(D134="","",VLOOKUP(D134,ESCALA!$B$3:$H$19,7,0))</f>
        <v/>
      </c>
      <c r="F134" s="219" t="s">
        <v>222</v>
      </c>
      <c r="G134" s="305" t="str">
        <f t="shared" ref="G134:G197" si="25">IF(W134="",IF(X134="","",X134),W134)</f>
        <v/>
      </c>
      <c r="H134" s="314" t="str">
        <f>IF($B134="","",IF(H$4="NÃO",0,IF(VLOOKUP($B134,FROTA!$B$5:$R$305,17,0)=H$3,0.02,0)))</f>
        <v/>
      </c>
      <c r="I134" s="193" t="str">
        <f>IF($B134="","",IF(I$4="NÃO",0,IF(VLOOKUP($B134,FROTA!$B$5:$R$305,17,0)=I$3,0.02,0)))</f>
        <v/>
      </c>
      <c r="J134" s="193" t="str">
        <f>IF($B134="","",IF(J$4="NÃO",0,IF(VLOOKUP($B134,FROTA!$B$5:$R$305,17,0)=J$3,0.02,0)))</f>
        <v/>
      </c>
      <c r="K134" s="193" t="str">
        <f>IF($B134="","",IF(K$4="NÃO",0,IF(VLOOKUP($B134,FROTA!$B$5:$R$305,17,0)=K$3,0.02,0)))</f>
        <v/>
      </c>
      <c r="L134" s="193" t="str">
        <f>IF($B134="","",IF(L$4="NÃO",0,IF(VLOOKUP($B134,FROTA!$B$5:$R$305,17,0)=L$3,0.02,0)))</f>
        <v/>
      </c>
      <c r="M134" s="193" t="str">
        <f>IF($B134="","",IF(M$4="NÃO",0,IF(VLOOKUP($B134,FROTA!$B$5:$R$305,17,0)=M$3,0.02,0)))</f>
        <v/>
      </c>
      <c r="N134" s="193" t="str">
        <f>IF($B134="","",IF(M$4="NÃO",0,IF(VLOOKUP($B134,FROTA!$B$5:$R$305,17,0)=N$3,0.02,0)))</f>
        <v/>
      </c>
      <c r="O134" s="311" t="str">
        <f>IF($B134="","",IF(O$4="NÃO",0,IF(VLOOKUP($B134,FROTA!$B$5:$R$305,10,0)=O$3,0.01,0)))</f>
        <v/>
      </c>
      <c r="P134" s="307" t="str">
        <f>IF($B134="","",IF(P$4="NÃO",0,IF(VLOOKUP($B134,FROTA!$B$5:$R$305,10,0)=P$3,0.01,0)))</f>
        <v/>
      </c>
      <c r="Q134" s="307" t="str">
        <f>IF($B134="","",IF(Q$4="NÃO",0,IF(VLOOKUP($B134,FROTA!$B$5:$R$305,10,0)=Q$3,0.01,0)))</f>
        <v/>
      </c>
      <c r="R134" s="307" t="str">
        <f>IF($B134="","",IF(R$4="NÃO",0,IF(VLOOKUP($B134,FROTA!$B$5:$R$305,10,0)=R$3,0.01,0)))</f>
        <v/>
      </c>
      <c r="S134" s="307" t="str">
        <f>IF($B134="","",IF(S$4="NÃO",0,IF(VLOOKUP($B134,FROTA!$B$5:$R$305,10,0)=S$3,0.01,0)))</f>
        <v/>
      </c>
      <c r="T134" s="307" t="str">
        <f>IF($B134="","",IF(T$4="NÃO",0,IF(VLOOKUP($B134,FROTA!$B$5:$R$305,10,0)=T$3,0.01,0)))</f>
        <v/>
      </c>
      <c r="U134" s="307" t="str">
        <f>IF($B134="","",IF(U$4="NÃO",0,IF(VLOOKUP($B134,FROTA!$B$5:$R$305,10,0)=U$3,0.01,0)))</f>
        <v/>
      </c>
      <c r="V134" s="306" t="str">
        <f t="shared" ref="V134:V197" si="26">IF(B134="","",IF(G134="","",IF(G134-SUM(H134:U134)&lt;0,0,G134-SUM(H134:U134))))</f>
        <v/>
      </c>
      <c r="W134" s="238" t="str">
        <f t="shared" si="24"/>
        <v/>
      </c>
      <c r="X134" s="576" t="str">
        <f t="shared" ref="X134:X197" si="27">IF(E134="","",IF(E134=4,AVERAGE(F134,VLOOKUP(C134,$AH$1:$AI$30,2,0)),IF(E134=5,AVERAGE(F134,VLOOKUP(C134,$AK$1:$AL$30,2,0)),IF(E134=6,AVERAGE(F134,VLOOKUP(C134,$AN$1:$AO$30,2,0)),IF(E134&gt;=7,AVERAGE(F134,VLOOKUP(C134,$AQ$1:$AR$30,2,0)),"")))))</f>
        <v/>
      </c>
      <c r="BA134" s="581">
        <v>44967</v>
      </c>
      <c r="BB134" s="582">
        <v>2023</v>
      </c>
    </row>
    <row r="135" spans="2:54" ht="15" customHeight="1" x14ac:dyDescent="0.2">
      <c r="B135" s="192" t="str">
        <f>IF(FROTA!B136="","",FROTA!B136)</f>
        <v/>
      </c>
      <c r="C135" s="192" t="str">
        <f>IF(B135="","",FROTA!Z136)</f>
        <v/>
      </c>
      <c r="D135" s="192" t="str">
        <f>IF(B135="","",VLOOKUP(B135,FROTA!$B$5:$C$310,2,0))</f>
        <v/>
      </c>
      <c r="E135" s="233" t="str">
        <f>IF(D135="","",VLOOKUP(D135,ESCALA!$B$3:$H$19,7,0))</f>
        <v/>
      </c>
      <c r="F135" s="219" t="s">
        <v>222</v>
      </c>
      <c r="G135" s="305" t="str">
        <f t="shared" si="25"/>
        <v/>
      </c>
      <c r="H135" s="314" t="str">
        <f>IF($B135="","",IF(H$4="NÃO",0,IF(VLOOKUP($B135,FROTA!$B$5:$R$305,17,0)=H$3,0.02,0)))</f>
        <v/>
      </c>
      <c r="I135" s="193" t="str">
        <f>IF($B135="","",IF(I$4="NÃO",0,IF(VLOOKUP($B135,FROTA!$B$5:$R$305,17,0)=I$3,0.02,0)))</f>
        <v/>
      </c>
      <c r="J135" s="193" t="str">
        <f>IF($B135="","",IF(J$4="NÃO",0,IF(VLOOKUP($B135,FROTA!$B$5:$R$305,17,0)=J$3,0.02,0)))</f>
        <v/>
      </c>
      <c r="K135" s="193" t="str">
        <f>IF($B135="","",IF(K$4="NÃO",0,IF(VLOOKUP($B135,FROTA!$B$5:$R$305,17,0)=K$3,0.02,0)))</f>
        <v/>
      </c>
      <c r="L135" s="193" t="str">
        <f>IF($B135="","",IF(L$4="NÃO",0,IF(VLOOKUP($B135,FROTA!$B$5:$R$305,17,0)=L$3,0.02,0)))</f>
        <v/>
      </c>
      <c r="M135" s="193" t="str">
        <f>IF($B135="","",IF(M$4="NÃO",0,IF(VLOOKUP($B135,FROTA!$B$5:$R$305,17,0)=M$3,0.02,0)))</f>
        <v/>
      </c>
      <c r="N135" s="193" t="str">
        <f>IF($B135="","",IF(M$4="NÃO",0,IF(VLOOKUP($B135,FROTA!$B$5:$R$305,17,0)=N$3,0.02,0)))</f>
        <v/>
      </c>
      <c r="O135" s="311" t="str">
        <f>IF($B135="","",IF(O$4="NÃO",0,IF(VLOOKUP($B135,FROTA!$B$5:$R$305,10,0)=O$3,0.01,0)))</f>
        <v/>
      </c>
      <c r="P135" s="307" t="str">
        <f>IF($B135="","",IF(P$4="NÃO",0,IF(VLOOKUP($B135,FROTA!$B$5:$R$305,10,0)=P$3,0.01,0)))</f>
        <v/>
      </c>
      <c r="Q135" s="307" t="str">
        <f>IF($B135="","",IF(Q$4="NÃO",0,IF(VLOOKUP($B135,FROTA!$B$5:$R$305,10,0)=Q$3,0.01,0)))</f>
        <v/>
      </c>
      <c r="R135" s="307" t="str">
        <f>IF($B135="","",IF(R$4="NÃO",0,IF(VLOOKUP($B135,FROTA!$B$5:$R$305,10,0)=R$3,0.01,0)))</f>
        <v/>
      </c>
      <c r="S135" s="307" t="str">
        <f>IF($B135="","",IF(S$4="NÃO",0,IF(VLOOKUP($B135,FROTA!$B$5:$R$305,10,0)=S$3,0.01,0)))</f>
        <v/>
      </c>
      <c r="T135" s="307" t="str">
        <f>IF($B135="","",IF(T$4="NÃO",0,IF(VLOOKUP($B135,FROTA!$B$5:$R$305,10,0)=T$3,0.01,0)))</f>
        <v/>
      </c>
      <c r="U135" s="307" t="str">
        <f>IF($B135="","",IF(U$4="NÃO",0,IF(VLOOKUP($B135,FROTA!$B$5:$R$305,10,0)=U$3,0.01,0)))</f>
        <v/>
      </c>
      <c r="V135" s="306" t="str">
        <f t="shared" si="26"/>
        <v/>
      </c>
      <c r="W135" s="238" t="str">
        <f t="shared" si="24"/>
        <v/>
      </c>
      <c r="X135" s="576" t="str">
        <f t="shared" si="27"/>
        <v/>
      </c>
      <c r="BA135" s="581">
        <v>44968</v>
      </c>
      <c r="BB135" s="582">
        <v>2023</v>
      </c>
    </row>
    <row r="136" spans="2:54" ht="15" customHeight="1" x14ac:dyDescent="0.2">
      <c r="B136" s="192" t="str">
        <f>IF(FROTA!B137="","",FROTA!B137)</f>
        <v/>
      </c>
      <c r="C136" s="192" t="str">
        <f>IF(B136="","",FROTA!Z137)</f>
        <v/>
      </c>
      <c r="D136" s="192" t="str">
        <f>IF(B136="","",VLOOKUP(B136,FROTA!$B$5:$C$310,2,0))</f>
        <v/>
      </c>
      <c r="E136" s="233" t="str">
        <f>IF(D136="","",VLOOKUP(D136,ESCALA!$B$3:$H$19,7,0))</f>
        <v/>
      </c>
      <c r="F136" s="219" t="s">
        <v>222</v>
      </c>
      <c r="G136" s="305" t="str">
        <f t="shared" si="25"/>
        <v/>
      </c>
      <c r="H136" s="314" t="str">
        <f>IF($B136="","",IF(H$4="NÃO",0,IF(VLOOKUP($B136,FROTA!$B$5:$R$305,17,0)=H$3,0.02,0)))</f>
        <v/>
      </c>
      <c r="I136" s="193" t="str">
        <f>IF($B136="","",IF(I$4="NÃO",0,IF(VLOOKUP($B136,FROTA!$B$5:$R$305,17,0)=I$3,0.02,0)))</f>
        <v/>
      </c>
      <c r="J136" s="193" t="str">
        <f>IF($B136="","",IF(J$4="NÃO",0,IF(VLOOKUP($B136,FROTA!$B$5:$R$305,17,0)=J$3,0.02,0)))</f>
        <v/>
      </c>
      <c r="K136" s="193" t="str">
        <f>IF($B136="","",IF(K$4="NÃO",0,IF(VLOOKUP($B136,FROTA!$B$5:$R$305,17,0)=K$3,0.02,0)))</f>
        <v/>
      </c>
      <c r="L136" s="193" t="str">
        <f>IF($B136="","",IF(L$4="NÃO",0,IF(VLOOKUP($B136,FROTA!$B$5:$R$305,17,0)=L$3,0.02,0)))</f>
        <v/>
      </c>
      <c r="M136" s="193" t="str">
        <f>IF($B136="","",IF(M$4="NÃO",0,IF(VLOOKUP($B136,FROTA!$B$5:$R$305,17,0)=M$3,0.02,0)))</f>
        <v/>
      </c>
      <c r="N136" s="193" t="str">
        <f>IF($B136="","",IF(M$4="NÃO",0,IF(VLOOKUP($B136,FROTA!$B$5:$R$305,17,0)=N$3,0.02,0)))</f>
        <v/>
      </c>
      <c r="O136" s="311" t="str">
        <f>IF($B136="","",IF(O$4="NÃO",0,IF(VLOOKUP($B136,FROTA!$B$5:$R$305,10,0)=O$3,0.01,0)))</f>
        <v/>
      </c>
      <c r="P136" s="307" t="str">
        <f>IF($B136="","",IF(P$4="NÃO",0,IF(VLOOKUP($B136,FROTA!$B$5:$R$305,10,0)=P$3,0.01,0)))</f>
        <v/>
      </c>
      <c r="Q136" s="307" t="str">
        <f>IF($B136="","",IF(Q$4="NÃO",0,IF(VLOOKUP($B136,FROTA!$B$5:$R$305,10,0)=Q$3,0.01,0)))</f>
        <v/>
      </c>
      <c r="R136" s="307" t="str">
        <f>IF($B136="","",IF(R$4="NÃO",0,IF(VLOOKUP($B136,FROTA!$B$5:$R$305,10,0)=R$3,0.01,0)))</f>
        <v/>
      </c>
      <c r="S136" s="307" t="str">
        <f>IF($B136="","",IF(S$4="NÃO",0,IF(VLOOKUP($B136,FROTA!$B$5:$R$305,10,0)=S$3,0.01,0)))</f>
        <v/>
      </c>
      <c r="T136" s="307" t="str">
        <f>IF($B136="","",IF(T$4="NÃO",0,IF(VLOOKUP($B136,FROTA!$B$5:$R$305,10,0)=T$3,0.01,0)))</f>
        <v/>
      </c>
      <c r="U136" s="307" t="str">
        <f>IF($B136="","",IF(U$4="NÃO",0,IF(VLOOKUP($B136,FROTA!$B$5:$R$305,10,0)=U$3,0.01,0)))</f>
        <v/>
      </c>
      <c r="V136" s="306" t="str">
        <f t="shared" si="26"/>
        <v/>
      </c>
      <c r="W136" s="238" t="str">
        <f t="shared" si="24"/>
        <v/>
      </c>
      <c r="X136" s="576" t="str">
        <f t="shared" si="27"/>
        <v/>
      </c>
      <c r="BA136" s="581">
        <v>44969</v>
      </c>
      <c r="BB136" s="582">
        <v>2023</v>
      </c>
    </row>
    <row r="137" spans="2:54" ht="15" customHeight="1" x14ac:dyDescent="0.2">
      <c r="B137" s="192" t="str">
        <f>IF(FROTA!B138="","",FROTA!B138)</f>
        <v/>
      </c>
      <c r="C137" s="192" t="str">
        <f>IF(B137="","",FROTA!Z138)</f>
        <v/>
      </c>
      <c r="D137" s="192" t="str">
        <f>IF(B137="","",VLOOKUP(B137,FROTA!$B$5:$C$310,2,0))</f>
        <v/>
      </c>
      <c r="E137" s="233" t="str">
        <f>IF(D137="","",VLOOKUP(D137,ESCALA!$B$3:$H$19,7,0))</f>
        <v/>
      </c>
      <c r="F137" s="219" t="s">
        <v>222</v>
      </c>
      <c r="G137" s="305" t="str">
        <f t="shared" si="25"/>
        <v/>
      </c>
      <c r="H137" s="314" t="str">
        <f>IF($B137="","",IF(H$4="NÃO",0,IF(VLOOKUP($B137,FROTA!$B$5:$R$305,17,0)=H$3,0.02,0)))</f>
        <v/>
      </c>
      <c r="I137" s="193" t="str">
        <f>IF($B137="","",IF(I$4="NÃO",0,IF(VLOOKUP($B137,FROTA!$B$5:$R$305,17,0)=I$3,0.02,0)))</f>
        <v/>
      </c>
      <c r="J137" s="193" t="str">
        <f>IF($B137="","",IF(J$4="NÃO",0,IF(VLOOKUP($B137,FROTA!$B$5:$R$305,17,0)=J$3,0.02,0)))</f>
        <v/>
      </c>
      <c r="K137" s="193" t="str">
        <f>IF($B137="","",IF(K$4="NÃO",0,IF(VLOOKUP($B137,FROTA!$B$5:$R$305,17,0)=K$3,0.02,0)))</f>
        <v/>
      </c>
      <c r="L137" s="193" t="str">
        <f>IF($B137="","",IF(L$4="NÃO",0,IF(VLOOKUP($B137,FROTA!$B$5:$R$305,17,0)=L$3,0.02,0)))</f>
        <v/>
      </c>
      <c r="M137" s="193" t="str">
        <f>IF($B137="","",IF(M$4="NÃO",0,IF(VLOOKUP($B137,FROTA!$B$5:$R$305,17,0)=M$3,0.02,0)))</f>
        <v/>
      </c>
      <c r="N137" s="193" t="str">
        <f>IF($B137="","",IF(M$4="NÃO",0,IF(VLOOKUP($B137,FROTA!$B$5:$R$305,17,0)=N$3,0.02,0)))</f>
        <v/>
      </c>
      <c r="O137" s="311" t="str">
        <f>IF($B137="","",IF(O$4="NÃO",0,IF(VLOOKUP($B137,FROTA!$B$5:$R$305,10,0)=O$3,0.01,0)))</f>
        <v/>
      </c>
      <c r="P137" s="307" t="str">
        <f>IF($B137="","",IF(P$4="NÃO",0,IF(VLOOKUP($B137,FROTA!$B$5:$R$305,10,0)=P$3,0.01,0)))</f>
        <v/>
      </c>
      <c r="Q137" s="307" t="str">
        <f>IF($B137="","",IF(Q$4="NÃO",0,IF(VLOOKUP($B137,FROTA!$B$5:$R$305,10,0)=Q$3,0.01,0)))</f>
        <v/>
      </c>
      <c r="R137" s="307" t="str">
        <f>IF($B137="","",IF(R$4="NÃO",0,IF(VLOOKUP($B137,FROTA!$B$5:$R$305,10,0)=R$3,0.01,0)))</f>
        <v/>
      </c>
      <c r="S137" s="307" t="str">
        <f>IF($B137="","",IF(S$4="NÃO",0,IF(VLOOKUP($B137,FROTA!$B$5:$R$305,10,0)=S$3,0.01,0)))</f>
        <v/>
      </c>
      <c r="T137" s="307" t="str">
        <f>IF($B137="","",IF(T$4="NÃO",0,IF(VLOOKUP($B137,FROTA!$B$5:$R$305,10,0)=T$3,0.01,0)))</f>
        <v/>
      </c>
      <c r="U137" s="307" t="str">
        <f>IF($B137="","",IF(U$4="NÃO",0,IF(VLOOKUP($B137,FROTA!$B$5:$R$305,10,0)=U$3,0.01,0)))</f>
        <v/>
      </c>
      <c r="V137" s="306" t="str">
        <f t="shared" si="26"/>
        <v/>
      </c>
      <c r="W137" s="238" t="str">
        <f t="shared" si="24"/>
        <v/>
      </c>
      <c r="X137" s="576" t="str">
        <f t="shared" si="27"/>
        <v/>
      </c>
      <c r="BA137" s="581">
        <v>44970</v>
      </c>
      <c r="BB137" s="582">
        <v>2023</v>
      </c>
    </row>
    <row r="138" spans="2:54" ht="15" customHeight="1" x14ac:dyDescent="0.2">
      <c r="B138" s="192" t="str">
        <f>IF(FROTA!B139="","",FROTA!B139)</f>
        <v/>
      </c>
      <c r="C138" s="192" t="str">
        <f>IF(B138="","",FROTA!Z139)</f>
        <v/>
      </c>
      <c r="D138" s="192" t="str">
        <f>IF(B138="","",VLOOKUP(B138,FROTA!$B$5:$C$310,2,0))</f>
        <v/>
      </c>
      <c r="E138" s="233" t="str">
        <f>IF(D138="","",VLOOKUP(D138,ESCALA!$B$3:$H$19,7,0))</f>
        <v/>
      </c>
      <c r="F138" s="219" t="s">
        <v>222</v>
      </c>
      <c r="G138" s="305" t="str">
        <f t="shared" si="25"/>
        <v/>
      </c>
      <c r="H138" s="314" t="str">
        <f>IF($B138="","",IF(H$4="NÃO",0,IF(VLOOKUP($B138,FROTA!$B$5:$R$305,17,0)=H$3,0.02,0)))</f>
        <v/>
      </c>
      <c r="I138" s="193" t="str">
        <f>IF($B138="","",IF(I$4="NÃO",0,IF(VLOOKUP($B138,FROTA!$B$5:$R$305,17,0)=I$3,0.02,0)))</f>
        <v/>
      </c>
      <c r="J138" s="193" t="str">
        <f>IF($B138="","",IF(J$4="NÃO",0,IF(VLOOKUP($B138,FROTA!$B$5:$R$305,17,0)=J$3,0.02,0)))</f>
        <v/>
      </c>
      <c r="K138" s="193" t="str">
        <f>IF($B138="","",IF(K$4="NÃO",0,IF(VLOOKUP($B138,FROTA!$B$5:$R$305,17,0)=K$3,0.02,0)))</f>
        <v/>
      </c>
      <c r="L138" s="193" t="str">
        <f>IF($B138="","",IF(L$4="NÃO",0,IF(VLOOKUP($B138,FROTA!$B$5:$R$305,17,0)=L$3,0.02,0)))</f>
        <v/>
      </c>
      <c r="M138" s="193" t="str">
        <f>IF($B138="","",IF(M$4="NÃO",0,IF(VLOOKUP($B138,FROTA!$B$5:$R$305,17,0)=M$3,0.02,0)))</f>
        <v/>
      </c>
      <c r="N138" s="193" t="str">
        <f>IF($B138="","",IF(M$4="NÃO",0,IF(VLOOKUP($B138,FROTA!$B$5:$R$305,17,0)=N$3,0.02,0)))</f>
        <v/>
      </c>
      <c r="O138" s="311" t="str">
        <f>IF($B138="","",IF(O$4="NÃO",0,IF(VLOOKUP($B138,FROTA!$B$5:$R$305,10,0)=O$3,0.01,0)))</f>
        <v/>
      </c>
      <c r="P138" s="307" t="str">
        <f>IF($B138="","",IF(P$4="NÃO",0,IF(VLOOKUP($B138,FROTA!$B$5:$R$305,10,0)=P$3,0.01,0)))</f>
        <v/>
      </c>
      <c r="Q138" s="307" t="str">
        <f>IF($B138="","",IF(Q$4="NÃO",0,IF(VLOOKUP($B138,FROTA!$B$5:$R$305,10,0)=Q$3,0.01,0)))</f>
        <v/>
      </c>
      <c r="R138" s="307" t="str">
        <f>IF($B138="","",IF(R$4="NÃO",0,IF(VLOOKUP($B138,FROTA!$B$5:$R$305,10,0)=R$3,0.01,0)))</f>
        <v/>
      </c>
      <c r="S138" s="307" t="str">
        <f>IF($B138="","",IF(S$4="NÃO",0,IF(VLOOKUP($B138,FROTA!$B$5:$R$305,10,0)=S$3,0.01,0)))</f>
        <v/>
      </c>
      <c r="T138" s="307" t="str">
        <f>IF($B138="","",IF(T$4="NÃO",0,IF(VLOOKUP($B138,FROTA!$B$5:$R$305,10,0)=T$3,0.01,0)))</f>
        <v/>
      </c>
      <c r="U138" s="307" t="str">
        <f>IF($B138="","",IF(U$4="NÃO",0,IF(VLOOKUP($B138,FROTA!$B$5:$R$305,10,0)=U$3,0.01,0)))</f>
        <v/>
      </c>
      <c r="V138" s="306" t="str">
        <f t="shared" si="26"/>
        <v/>
      </c>
      <c r="W138" s="238" t="str">
        <f t="shared" si="24"/>
        <v/>
      </c>
      <c r="X138" s="576" t="str">
        <f t="shared" si="27"/>
        <v/>
      </c>
      <c r="BA138" s="581">
        <v>44971</v>
      </c>
      <c r="BB138" s="582">
        <v>2023</v>
      </c>
    </row>
    <row r="139" spans="2:54" ht="15" customHeight="1" x14ac:dyDescent="0.2">
      <c r="B139" s="192" t="str">
        <f>IF(FROTA!B140="","",FROTA!B140)</f>
        <v/>
      </c>
      <c r="C139" s="192" t="str">
        <f>IF(B139="","",FROTA!Z140)</f>
        <v/>
      </c>
      <c r="D139" s="192" t="str">
        <f>IF(B139="","",VLOOKUP(B139,FROTA!$B$5:$C$310,2,0))</f>
        <v/>
      </c>
      <c r="E139" s="233" t="str">
        <f>IF(D139="","",VLOOKUP(D139,ESCALA!$B$3:$H$19,7,0))</f>
        <v/>
      </c>
      <c r="F139" s="219" t="s">
        <v>222</v>
      </c>
      <c r="G139" s="305" t="str">
        <f t="shared" si="25"/>
        <v/>
      </c>
      <c r="H139" s="314" t="str">
        <f>IF($B139="","",IF(H$4="NÃO",0,IF(VLOOKUP($B139,FROTA!$B$5:$R$305,17,0)=H$3,0.02,0)))</f>
        <v/>
      </c>
      <c r="I139" s="193" t="str">
        <f>IF($B139="","",IF(I$4="NÃO",0,IF(VLOOKUP($B139,FROTA!$B$5:$R$305,17,0)=I$3,0.02,0)))</f>
        <v/>
      </c>
      <c r="J139" s="193" t="str">
        <f>IF($B139="","",IF(J$4="NÃO",0,IF(VLOOKUP($B139,FROTA!$B$5:$R$305,17,0)=J$3,0.02,0)))</f>
        <v/>
      </c>
      <c r="K139" s="193" t="str">
        <f>IF($B139="","",IF(K$4="NÃO",0,IF(VLOOKUP($B139,FROTA!$B$5:$R$305,17,0)=K$3,0.02,0)))</f>
        <v/>
      </c>
      <c r="L139" s="193" t="str">
        <f>IF($B139="","",IF(L$4="NÃO",0,IF(VLOOKUP($B139,FROTA!$B$5:$R$305,17,0)=L$3,0.02,0)))</f>
        <v/>
      </c>
      <c r="M139" s="193" t="str">
        <f>IF($B139="","",IF(M$4="NÃO",0,IF(VLOOKUP($B139,FROTA!$B$5:$R$305,17,0)=M$3,0.02,0)))</f>
        <v/>
      </c>
      <c r="N139" s="193" t="str">
        <f>IF($B139="","",IF(M$4="NÃO",0,IF(VLOOKUP($B139,FROTA!$B$5:$R$305,17,0)=N$3,0.02,0)))</f>
        <v/>
      </c>
      <c r="O139" s="311" t="str">
        <f>IF($B139="","",IF(O$4="NÃO",0,IF(VLOOKUP($B139,FROTA!$B$5:$R$305,10,0)=O$3,0.01,0)))</f>
        <v/>
      </c>
      <c r="P139" s="307" t="str">
        <f>IF($B139="","",IF(P$4="NÃO",0,IF(VLOOKUP($B139,FROTA!$B$5:$R$305,10,0)=P$3,0.01,0)))</f>
        <v/>
      </c>
      <c r="Q139" s="307" t="str">
        <f>IF($B139="","",IF(Q$4="NÃO",0,IF(VLOOKUP($B139,FROTA!$B$5:$R$305,10,0)=Q$3,0.01,0)))</f>
        <v/>
      </c>
      <c r="R139" s="307" t="str">
        <f>IF($B139="","",IF(R$4="NÃO",0,IF(VLOOKUP($B139,FROTA!$B$5:$R$305,10,0)=R$3,0.01,0)))</f>
        <v/>
      </c>
      <c r="S139" s="307" t="str">
        <f>IF($B139="","",IF(S$4="NÃO",0,IF(VLOOKUP($B139,FROTA!$B$5:$R$305,10,0)=S$3,0.01,0)))</f>
        <v/>
      </c>
      <c r="T139" s="307" t="str">
        <f>IF($B139="","",IF(T$4="NÃO",0,IF(VLOOKUP($B139,FROTA!$B$5:$R$305,10,0)=T$3,0.01,0)))</f>
        <v/>
      </c>
      <c r="U139" s="307" t="str">
        <f>IF($B139="","",IF(U$4="NÃO",0,IF(VLOOKUP($B139,FROTA!$B$5:$R$305,10,0)=U$3,0.01,0)))</f>
        <v/>
      </c>
      <c r="V139" s="306" t="str">
        <f t="shared" si="26"/>
        <v/>
      </c>
      <c r="W139" s="238" t="str">
        <f t="shared" si="24"/>
        <v/>
      </c>
      <c r="X139" s="576" t="str">
        <f t="shared" si="27"/>
        <v/>
      </c>
      <c r="BA139" s="581">
        <v>44972</v>
      </c>
      <c r="BB139" s="582">
        <v>2023</v>
      </c>
    </row>
    <row r="140" spans="2:54" ht="15" customHeight="1" x14ac:dyDescent="0.2">
      <c r="B140" s="192" t="str">
        <f>IF(FROTA!B141="","",FROTA!B141)</f>
        <v/>
      </c>
      <c r="C140" s="192" t="str">
        <f>IF(B140="","",FROTA!Z141)</f>
        <v/>
      </c>
      <c r="D140" s="192" t="str">
        <f>IF(B140="","",VLOOKUP(B140,FROTA!$B$5:$C$310,2,0))</f>
        <v/>
      </c>
      <c r="E140" s="233" t="str">
        <f>IF(D140="","",VLOOKUP(D140,ESCALA!$B$3:$H$19,7,0))</f>
        <v/>
      </c>
      <c r="F140" s="219" t="s">
        <v>222</v>
      </c>
      <c r="G140" s="305" t="str">
        <f t="shared" si="25"/>
        <v/>
      </c>
      <c r="H140" s="314" t="str">
        <f>IF($B140="","",IF(H$4="NÃO",0,IF(VLOOKUP($B140,FROTA!$B$5:$R$305,17,0)=H$3,0.02,0)))</f>
        <v/>
      </c>
      <c r="I140" s="193" t="str">
        <f>IF($B140="","",IF(I$4="NÃO",0,IF(VLOOKUP($B140,FROTA!$B$5:$R$305,17,0)=I$3,0.02,0)))</f>
        <v/>
      </c>
      <c r="J140" s="193" t="str">
        <f>IF($B140="","",IF(J$4="NÃO",0,IF(VLOOKUP($B140,FROTA!$B$5:$R$305,17,0)=J$3,0.02,0)))</f>
        <v/>
      </c>
      <c r="K140" s="193" t="str">
        <f>IF($B140="","",IF(K$4="NÃO",0,IF(VLOOKUP($B140,FROTA!$B$5:$R$305,17,0)=K$3,0.02,0)))</f>
        <v/>
      </c>
      <c r="L140" s="193" t="str">
        <f>IF($B140="","",IF(L$4="NÃO",0,IF(VLOOKUP($B140,FROTA!$B$5:$R$305,17,0)=L$3,0.02,0)))</f>
        <v/>
      </c>
      <c r="M140" s="193" t="str">
        <f>IF($B140="","",IF(M$4="NÃO",0,IF(VLOOKUP($B140,FROTA!$B$5:$R$305,17,0)=M$3,0.02,0)))</f>
        <v/>
      </c>
      <c r="N140" s="193" t="str">
        <f>IF($B140="","",IF(M$4="NÃO",0,IF(VLOOKUP($B140,FROTA!$B$5:$R$305,17,0)=N$3,0.02,0)))</f>
        <v/>
      </c>
      <c r="O140" s="311" t="str">
        <f>IF($B140="","",IF(O$4="NÃO",0,IF(VLOOKUP($B140,FROTA!$B$5:$R$305,10,0)=O$3,0.01,0)))</f>
        <v/>
      </c>
      <c r="P140" s="307" t="str">
        <f>IF($B140="","",IF(P$4="NÃO",0,IF(VLOOKUP($B140,FROTA!$B$5:$R$305,10,0)=P$3,0.01,0)))</f>
        <v/>
      </c>
      <c r="Q140" s="307" t="str">
        <f>IF($B140="","",IF(Q$4="NÃO",0,IF(VLOOKUP($B140,FROTA!$B$5:$R$305,10,0)=Q$3,0.01,0)))</f>
        <v/>
      </c>
      <c r="R140" s="307" t="str">
        <f>IF($B140="","",IF(R$4="NÃO",0,IF(VLOOKUP($B140,FROTA!$B$5:$R$305,10,0)=R$3,0.01,0)))</f>
        <v/>
      </c>
      <c r="S140" s="307" t="str">
        <f>IF($B140="","",IF(S$4="NÃO",0,IF(VLOOKUP($B140,FROTA!$B$5:$R$305,10,0)=S$3,0.01,0)))</f>
        <v/>
      </c>
      <c r="T140" s="307" t="str">
        <f>IF($B140="","",IF(T$4="NÃO",0,IF(VLOOKUP($B140,FROTA!$B$5:$R$305,10,0)=T$3,0.01,0)))</f>
        <v/>
      </c>
      <c r="U140" s="307" t="str">
        <f>IF($B140="","",IF(U$4="NÃO",0,IF(VLOOKUP($B140,FROTA!$B$5:$R$305,10,0)=U$3,0.01,0)))</f>
        <v/>
      </c>
      <c r="V140" s="306" t="str">
        <f t="shared" si="26"/>
        <v/>
      </c>
      <c r="W140" s="238" t="str">
        <f t="shared" si="24"/>
        <v/>
      </c>
      <c r="X140" s="576" t="str">
        <f t="shared" si="27"/>
        <v/>
      </c>
      <c r="BA140" s="581">
        <v>44973</v>
      </c>
      <c r="BB140" s="582">
        <v>2023</v>
      </c>
    </row>
    <row r="141" spans="2:54" ht="15" customHeight="1" x14ac:dyDescent="0.2">
      <c r="B141" s="192" t="str">
        <f>IF(FROTA!B142="","",FROTA!B142)</f>
        <v/>
      </c>
      <c r="C141" s="192" t="str">
        <f>IF(B141="","",FROTA!Z142)</f>
        <v/>
      </c>
      <c r="D141" s="192" t="str">
        <f>IF(B141="","",VLOOKUP(B141,FROTA!$B$5:$C$310,2,0))</f>
        <v/>
      </c>
      <c r="E141" s="233" t="str">
        <f>IF(D141="","",VLOOKUP(D141,ESCALA!$B$3:$H$19,7,0))</f>
        <v/>
      </c>
      <c r="F141" s="219" t="s">
        <v>222</v>
      </c>
      <c r="G141" s="305" t="str">
        <f t="shared" si="25"/>
        <v/>
      </c>
      <c r="H141" s="314" t="str">
        <f>IF($B141="","",IF(H$4="NÃO",0,IF(VLOOKUP($B141,FROTA!$B$5:$R$305,17,0)=H$3,0.02,0)))</f>
        <v/>
      </c>
      <c r="I141" s="193" t="str">
        <f>IF($B141="","",IF(I$4="NÃO",0,IF(VLOOKUP($B141,FROTA!$B$5:$R$305,17,0)=I$3,0.02,0)))</f>
        <v/>
      </c>
      <c r="J141" s="193" t="str">
        <f>IF($B141="","",IF(J$4="NÃO",0,IF(VLOOKUP($B141,FROTA!$B$5:$R$305,17,0)=J$3,0.02,0)))</f>
        <v/>
      </c>
      <c r="K141" s="193" t="str">
        <f>IF($B141="","",IF(K$4="NÃO",0,IF(VLOOKUP($B141,FROTA!$B$5:$R$305,17,0)=K$3,0.02,0)))</f>
        <v/>
      </c>
      <c r="L141" s="193" t="str">
        <f>IF($B141="","",IF(L$4="NÃO",0,IF(VLOOKUP($B141,FROTA!$B$5:$R$305,17,0)=L$3,0.02,0)))</f>
        <v/>
      </c>
      <c r="M141" s="193" t="str">
        <f>IF($B141="","",IF(M$4="NÃO",0,IF(VLOOKUP($B141,FROTA!$B$5:$R$305,17,0)=M$3,0.02,0)))</f>
        <v/>
      </c>
      <c r="N141" s="193" t="str">
        <f>IF($B141="","",IF(M$4="NÃO",0,IF(VLOOKUP($B141,FROTA!$B$5:$R$305,17,0)=N$3,0.02,0)))</f>
        <v/>
      </c>
      <c r="O141" s="311" t="str">
        <f>IF($B141="","",IF(O$4="NÃO",0,IF(VLOOKUP($B141,FROTA!$B$5:$R$305,10,0)=O$3,0.01,0)))</f>
        <v/>
      </c>
      <c r="P141" s="307" t="str">
        <f>IF($B141="","",IF(P$4="NÃO",0,IF(VLOOKUP($B141,FROTA!$B$5:$R$305,10,0)=P$3,0.01,0)))</f>
        <v/>
      </c>
      <c r="Q141" s="307" t="str">
        <f>IF($B141="","",IF(Q$4="NÃO",0,IF(VLOOKUP($B141,FROTA!$B$5:$R$305,10,0)=Q$3,0.01,0)))</f>
        <v/>
      </c>
      <c r="R141" s="307" t="str">
        <f>IF($B141="","",IF(R$4="NÃO",0,IF(VLOOKUP($B141,FROTA!$B$5:$R$305,10,0)=R$3,0.01,0)))</f>
        <v/>
      </c>
      <c r="S141" s="307" t="str">
        <f>IF($B141="","",IF(S$4="NÃO",0,IF(VLOOKUP($B141,FROTA!$B$5:$R$305,10,0)=S$3,0.01,0)))</f>
        <v/>
      </c>
      <c r="T141" s="307" t="str">
        <f>IF($B141="","",IF(T$4="NÃO",0,IF(VLOOKUP($B141,FROTA!$B$5:$R$305,10,0)=T$3,0.01,0)))</f>
        <v/>
      </c>
      <c r="U141" s="307" t="str">
        <f>IF($B141="","",IF(U$4="NÃO",0,IF(VLOOKUP($B141,FROTA!$B$5:$R$305,10,0)=U$3,0.01,0)))</f>
        <v/>
      </c>
      <c r="V141" s="306" t="str">
        <f t="shared" si="26"/>
        <v/>
      </c>
      <c r="W141" s="238" t="str">
        <f t="shared" si="24"/>
        <v/>
      </c>
      <c r="X141" s="576" t="str">
        <f t="shared" si="27"/>
        <v/>
      </c>
      <c r="BA141" s="581">
        <v>44974</v>
      </c>
      <c r="BB141" s="582">
        <v>2023</v>
      </c>
    </row>
    <row r="142" spans="2:54" ht="15" customHeight="1" x14ac:dyDescent="0.2">
      <c r="B142" s="192" t="str">
        <f>IF(FROTA!B143="","",FROTA!B143)</f>
        <v/>
      </c>
      <c r="C142" s="192" t="str">
        <f>IF(B142="","",FROTA!Z143)</f>
        <v/>
      </c>
      <c r="D142" s="192" t="str">
        <f>IF(B142="","",VLOOKUP(B142,FROTA!$B$5:$C$310,2,0))</f>
        <v/>
      </c>
      <c r="E142" s="233" t="str">
        <f>IF(D142="","",VLOOKUP(D142,ESCALA!$B$3:$H$19,7,0))</f>
        <v/>
      </c>
      <c r="F142" s="219" t="s">
        <v>222</v>
      </c>
      <c r="G142" s="305" t="str">
        <f t="shared" si="25"/>
        <v/>
      </c>
      <c r="H142" s="314" t="str">
        <f>IF($B142="","",IF(H$4="NÃO",0,IF(VLOOKUP($B142,FROTA!$B$5:$R$305,17,0)=H$3,0.02,0)))</f>
        <v/>
      </c>
      <c r="I142" s="193" t="str">
        <f>IF($B142="","",IF(I$4="NÃO",0,IF(VLOOKUP($B142,FROTA!$B$5:$R$305,17,0)=I$3,0.02,0)))</f>
        <v/>
      </c>
      <c r="J142" s="193" t="str">
        <f>IF($B142="","",IF(J$4="NÃO",0,IF(VLOOKUP($B142,FROTA!$B$5:$R$305,17,0)=J$3,0.02,0)))</f>
        <v/>
      </c>
      <c r="K142" s="193" t="str">
        <f>IF($B142="","",IF(K$4="NÃO",0,IF(VLOOKUP($B142,FROTA!$B$5:$R$305,17,0)=K$3,0.02,0)))</f>
        <v/>
      </c>
      <c r="L142" s="193" t="str">
        <f>IF($B142="","",IF(L$4="NÃO",0,IF(VLOOKUP($B142,FROTA!$B$5:$R$305,17,0)=L$3,0.02,0)))</f>
        <v/>
      </c>
      <c r="M142" s="193" t="str">
        <f>IF($B142="","",IF(M$4="NÃO",0,IF(VLOOKUP($B142,FROTA!$B$5:$R$305,17,0)=M$3,0.02,0)))</f>
        <v/>
      </c>
      <c r="N142" s="193" t="str">
        <f>IF($B142="","",IF(M$4="NÃO",0,IF(VLOOKUP($B142,FROTA!$B$5:$R$305,17,0)=N$3,0.02,0)))</f>
        <v/>
      </c>
      <c r="O142" s="311" t="str">
        <f>IF($B142="","",IF(O$4="NÃO",0,IF(VLOOKUP($B142,FROTA!$B$5:$R$305,10,0)=O$3,0.01,0)))</f>
        <v/>
      </c>
      <c r="P142" s="307" t="str">
        <f>IF($B142="","",IF(P$4="NÃO",0,IF(VLOOKUP($B142,FROTA!$B$5:$R$305,10,0)=P$3,0.01,0)))</f>
        <v/>
      </c>
      <c r="Q142" s="307" t="str">
        <f>IF($B142="","",IF(Q$4="NÃO",0,IF(VLOOKUP($B142,FROTA!$B$5:$R$305,10,0)=Q$3,0.01,0)))</f>
        <v/>
      </c>
      <c r="R142" s="307" t="str">
        <f>IF($B142="","",IF(R$4="NÃO",0,IF(VLOOKUP($B142,FROTA!$B$5:$R$305,10,0)=R$3,0.01,0)))</f>
        <v/>
      </c>
      <c r="S142" s="307" t="str">
        <f>IF($B142="","",IF(S$4="NÃO",0,IF(VLOOKUP($B142,FROTA!$B$5:$R$305,10,0)=S$3,0.01,0)))</f>
        <v/>
      </c>
      <c r="T142" s="307" t="str">
        <f>IF($B142="","",IF(T$4="NÃO",0,IF(VLOOKUP($B142,FROTA!$B$5:$R$305,10,0)=T$3,0.01,0)))</f>
        <v/>
      </c>
      <c r="U142" s="307" t="str">
        <f>IF($B142="","",IF(U$4="NÃO",0,IF(VLOOKUP($B142,FROTA!$B$5:$R$305,10,0)=U$3,0.01,0)))</f>
        <v/>
      </c>
      <c r="V142" s="306" t="str">
        <f t="shared" si="26"/>
        <v/>
      </c>
      <c r="W142" s="238" t="str">
        <f t="shared" si="24"/>
        <v/>
      </c>
      <c r="X142" s="576" t="str">
        <f t="shared" si="27"/>
        <v/>
      </c>
      <c r="BA142" s="581">
        <v>44975</v>
      </c>
      <c r="BB142" s="582">
        <v>2023</v>
      </c>
    </row>
    <row r="143" spans="2:54" ht="15" customHeight="1" x14ac:dyDescent="0.2">
      <c r="B143" s="192" t="str">
        <f>IF(FROTA!B144="","",FROTA!B144)</f>
        <v/>
      </c>
      <c r="C143" s="192" t="str">
        <f>IF(B143="","",FROTA!Z144)</f>
        <v/>
      </c>
      <c r="D143" s="192" t="str">
        <f>IF(B143="","",VLOOKUP(B143,FROTA!$B$5:$C$310,2,0))</f>
        <v/>
      </c>
      <c r="E143" s="233" t="str">
        <f>IF(D143="","",VLOOKUP(D143,ESCALA!$B$3:$H$19,7,0))</f>
        <v/>
      </c>
      <c r="F143" s="219" t="s">
        <v>222</v>
      </c>
      <c r="G143" s="305" t="str">
        <f t="shared" si="25"/>
        <v/>
      </c>
      <c r="H143" s="314" t="str">
        <f>IF($B143="","",IF(H$4="NÃO",0,IF(VLOOKUP($B143,FROTA!$B$5:$R$305,17,0)=H$3,0.02,0)))</f>
        <v/>
      </c>
      <c r="I143" s="193" t="str">
        <f>IF($B143="","",IF(I$4="NÃO",0,IF(VLOOKUP($B143,FROTA!$B$5:$R$305,17,0)=I$3,0.02,0)))</f>
        <v/>
      </c>
      <c r="J143" s="193" t="str">
        <f>IF($B143="","",IF(J$4="NÃO",0,IF(VLOOKUP($B143,FROTA!$B$5:$R$305,17,0)=J$3,0.02,0)))</f>
        <v/>
      </c>
      <c r="K143" s="193" t="str">
        <f>IF($B143="","",IF(K$4="NÃO",0,IF(VLOOKUP($B143,FROTA!$B$5:$R$305,17,0)=K$3,0.02,0)))</f>
        <v/>
      </c>
      <c r="L143" s="193" t="str">
        <f>IF($B143="","",IF(L$4="NÃO",0,IF(VLOOKUP($B143,FROTA!$B$5:$R$305,17,0)=L$3,0.02,0)))</f>
        <v/>
      </c>
      <c r="M143" s="193" t="str">
        <f>IF($B143="","",IF(M$4="NÃO",0,IF(VLOOKUP($B143,FROTA!$B$5:$R$305,17,0)=M$3,0.02,0)))</f>
        <v/>
      </c>
      <c r="N143" s="193" t="str">
        <f>IF($B143="","",IF(M$4="NÃO",0,IF(VLOOKUP($B143,FROTA!$B$5:$R$305,17,0)=N$3,0.02,0)))</f>
        <v/>
      </c>
      <c r="O143" s="311" t="str">
        <f>IF($B143="","",IF(O$4="NÃO",0,IF(VLOOKUP($B143,FROTA!$B$5:$R$305,10,0)=O$3,0.01,0)))</f>
        <v/>
      </c>
      <c r="P143" s="307" t="str">
        <f>IF($B143="","",IF(P$4="NÃO",0,IF(VLOOKUP($B143,FROTA!$B$5:$R$305,10,0)=P$3,0.01,0)))</f>
        <v/>
      </c>
      <c r="Q143" s="307" t="str">
        <f>IF($B143="","",IF(Q$4="NÃO",0,IF(VLOOKUP($B143,FROTA!$B$5:$R$305,10,0)=Q$3,0.01,0)))</f>
        <v/>
      </c>
      <c r="R143" s="307" t="str">
        <f>IF($B143="","",IF(R$4="NÃO",0,IF(VLOOKUP($B143,FROTA!$B$5:$R$305,10,0)=R$3,0.01,0)))</f>
        <v/>
      </c>
      <c r="S143" s="307" t="str">
        <f>IF($B143="","",IF(S$4="NÃO",0,IF(VLOOKUP($B143,FROTA!$B$5:$R$305,10,0)=S$3,0.01,0)))</f>
        <v/>
      </c>
      <c r="T143" s="307" t="str">
        <f>IF($B143="","",IF(T$4="NÃO",0,IF(VLOOKUP($B143,FROTA!$B$5:$R$305,10,0)=T$3,0.01,0)))</f>
        <v/>
      </c>
      <c r="U143" s="307" t="str">
        <f>IF($B143="","",IF(U$4="NÃO",0,IF(VLOOKUP($B143,FROTA!$B$5:$R$305,10,0)=U$3,0.01,0)))</f>
        <v/>
      </c>
      <c r="V143" s="306" t="str">
        <f t="shared" si="26"/>
        <v/>
      </c>
      <c r="W143" s="238" t="str">
        <f t="shared" si="24"/>
        <v/>
      </c>
      <c r="X143" s="576" t="str">
        <f t="shared" si="27"/>
        <v/>
      </c>
      <c r="BA143" s="581">
        <v>44976</v>
      </c>
      <c r="BB143" s="582">
        <v>2023</v>
      </c>
    </row>
    <row r="144" spans="2:54" ht="15" customHeight="1" x14ac:dyDescent="0.2">
      <c r="B144" s="192" t="str">
        <f>IF(FROTA!B145="","",FROTA!B145)</f>
        <v/>
      </c>
      <c r="C144" s="192" t="str">
        <f>IF(B144="","",FROTA!Z145)</f>
        <v/>
      </c>
      <c r="D144" s="192" t="str">
        <f>IF(B144="","",VLOOKUP(B144,FROTA!$B$5:$C$310,2,0))</f>
        <v/>
      </c>
      <c r="E144" s="233" t="str">
        <f>IF(D144="","",VLOOKUP(D144,ESCALA!$B$3:$H$19,7,0))</f>
        <v/>
      </c>
      <c r="F144" s="219" t="s">
        <v>222</v>
      </c>
      <c r="G144" s="305" t="str">
        <f t="shared" si="25"/>
        <v/>
      </c>
      <c r="H144" s="314" t="str">
        <f>IF($B144="","",IF(H$4="NÃO",0,IF(VLOOKUP($B144,FROTA!$B$5:$R$305,17,0)=H$3,0.02,0)))</f>
        <v/>
      </c>
      <c r="I144" s="193" t="str">
        <f>IF($B144="","",IF(I$4="NÃO",0,IF(VLOOKUP($B144,FROTA!$B$5:$R$305,17,0)=I$3,0.02,0)))</f>
        <v/>
      </c>
      <c r="J144" s="193" t="str">
        <f>IF($B144="","",IF(J$4="NÃO",0,IF(VLOOKUP($B144,FROTA!$B$5:$R$305,17,0)=J$3,0.02,0)))</f>
        <v/>
      </c>
      <c r="K144" s="193" t="str">
        <f>IF($B144="","",IF(K$4="NÃO",0,IF(VLOOKUP($B144,FROTA!$B$5:$R$305,17,0)=K$3,0.02,0)))</f>
        <v/>
      </c>
      <c r="L144" s="193" t="str">
        <f>IF($B144="","",IF(L$4="NÃO",0,IF(VLOOKUP($B144,FROTA!$B$5:$R$305,17,0)=L$3,0.02,0)))</f>
        <v/>
      </c>
      <c r="M144" s="193" t="str">
        <f>IF($B144="","",IF(M$4="NÃO",0,IF(VLOOKUP($B144,FROTA!$B$5:$R$305,17,0)=M$3,0.02,0)))</f>
        <v/>
      </c>
      <c r="N144" s="193" t="str">
        <f>IF($B144="","",IF(M$4="NÃO",0,IF(VLOOKUP($B144,FROTA!$B$5:$R$305,17,0)=N$3,0.02,0)))</f>
        <v/>
      </c>
      <c r="O144" s="311" t="str">
        <f>IF($B144="","",IF(O$4="NÃO",0,IF(VLOOKUP($B144,FROTA!$B$5:$R$305,10,0)=O$3,0.01,0)))</f>
        <v/>
      </c>
      <c r="P144" s="307" t="str">
        <f>IF($B144="","",IF(P$4="NÃO",0,IF(VLOOKUP($B144,FROTA!$B$5:$R$305,10,0)=P$3,0.01,0)))</f>
        <v/>
      </c>
      <c r="Q144" s="307" t="str">
        <f>IF($B144="","",IF(Q$4="NÃO",0,IF(VLOOKUP($B144,FROTA!$B$5:$R$305,10,0)=Q$3,0.01,0)))</f>
        <v/>
      </c>
      <c r="R144" s="307" t="str">
        <f>IF($B144="","",IF(R$4="NÃO",0,IF(VLOOKUP($B144,FROTA!$B$5:$R$305,10,0)=R$3,0.01,0)))</f>
        <v/>
      </c>
      <c r="S144" s="307" t="str">
        <f>IF($B144="","",IF(S$4="NÃO",0,IF(VLOOKUP($B144,FROTA!$B$5:$R$305,10,0)=S$3,0.01,0)))</f>
        <v/>
      </c>
      <c r="T144" s="307" t="str">
        <f>IF($B144="","",IF(T$4="NÃO",0,IF(VLOOKUP($B144,FROTA!$B$5:$R$305,10,0)=T$3,0.01,0)))</f>
        <v/>
      </c>
      <c r="U144" s="307" t="str">
        <f>IF($B144="","",IF(U$4="NÃO",0,IF(VLOOKUP($B144,FROTA!$B$5:$R$305,10,0)=U$3,0.01,0)))</f>
        <v/>
      </c>
      <c r="V144" s="306" t="str">
        <f t="shared" si="26"/>
        <v/>
      </c>
      <c r="W144" s="238" t="str">
        <f t="shared" si="24"/>
        <v/>
      </c>
      <c r="X144" s="576" t="str">
        <f t="shared" si="27"/>
        <v/>
      </c>
      <c r="BA144" s="581">
        <v>44977</v>
      </c>
      <c r="BB144" s="582">
        <v>2023</v>
      </c>
    </row>
    <row r="145" spans="2:54" ht="15" customHeight="1" x14ac:dyDescent="0.2">
      <c r="B145" s="192" t="str">
        <f>IF(FROTA!B146="","",FROTA!B146)</f>
        <v/>
      </c>
      <c r="C145" s="192" t="str">
        <f>IF(B145="","",FROTA!Z146)</f>
        <v/>
      </c>
      <c r="D145" s="192" t="str">
        <f>IF(B145="","",VLOOKUP(B145,FROTA!$B$5:$C$310,2,0))</f>
        <v/>
      </c>
      <c r="E145" s="233" t="str">
        <f>IF(D145="","",VLOOKUP(D145,ESCALA!$B$3:$H$19,7,0))</f>
        <v/>
      </c>
      <c r="F145" s="219" t="s">
        <v>222</v>
      </c>
      <c r="G145" s="305" t="str">
        <f t="shared" si="25"/>
        <v/>
      </c>
      <c r="H145" s="314" t="str">
        <f>IF($B145="","",IF(H$4="NÃO",0,IF(VLOOKUP($B145,FROTA!$B$5:$R$305,17,0)=H$3,0.02,0)))</f>
        <v/>
      </c>
      <c r="I145" s="193" t="str">
        <f>IF($B145="","",IF(I$4="NÃO",0,IF(VLOOKUP($B145,FROTA!$B$5:$R$305,17,0)=I$3,0.02,0)))</f>
        <v/>
      </c>
      <c r="J145" s="193" t="str">
        <f>IF($B145="","",IF(J$4="NÃO",0,IF(VLOOKUP($B145,FROTA!$B$5:$R$305,17,0)=J$3,0.02,0)))</f>
        <v/>
      </c>
      <c r="K145" s="193" t="str">
        <f>IF($B145="","",IF(K$4="NÃO",0,IF(VLOOKUP($B145,FROTA!$B$5:$R$305,17,0)=K$3,0.02,0)))</f>
        <v/>
      </c>
      <c r="L145" s="193" t="str">
        <f>IF($B145="","",IF(L$4="NÃO",0,IF(VLOOKUP($B145,FROTA!$B$5:$R$305,17,0)=L$3,0.02,0)))</f>
        <v/>
      </c>
      <c r="M145" s="193" t="str">
        <f>IF($B145="","",IF(M$4="NÃO",0,IF(VLOOKUP($B145,FROTA!$B$5:$R$305,17,0)=M$3,0.02,0)))</f>
        <v/>
      </c>
      <c r="N145" s="193" t="str">
        <f>IF($B145="","",IF(M$4="NÃO",0,IF(VLOOKUP($B145,FROTA!$B$5:$R$305,17,0)=N$3,0.02,0)))</f>
        <v/>
      </c>
      <c r="O145" s="311" t="str">
        <f>IF($B145="","",IF(O$4="NÃO",0,IF(VLOOKUP($B145,FROTA!$B$5:$R$305,10,0)=O$3,0.01,0)))</f>
        <v/>
      </c>
      <c r="P145" s="307" t="str">
        <f>IF($B145="","",IF(P$4="NÃO",0,IF(VLOOKUP($B145,FROTA!$B$5:$R$305,10,0)=P$3,0.01,0)))</f>
        <v/>
      </c>
      <c r="Q145" s="307" t="str">
        <f>IF($B145="","",IF(Q$4="NÃO",0,IF(VLOOKUP($B145,FROTA!$B$5:$R$305,10,0)=Q$3,0.01,0)))</f>
        <v/>
      </c>
      <c r="R145" s="307" t="str">
        <f>IF($B145="","",IF(R$4="NÃO",0,IF(VLOOKUP($B145,FROTA!$B$5:$R$305,10,0)=R$3,0.01,0)))</f>
        <v/>
      </c>
      <c r="S145" s="307" t="str">
        <f>IF($B145="","",IF(S$4="NÃO",0,IF(VLOOKUP($B145,FROTA!$B$5:$R$305,10,0)=S$3,0.01,0)))</f>
        <v/>
      </c>
      <c r="T145" s="307" t="str">
        <f>IF($B145="","",IF(T$4="NÃO",0,IF(VLOOKUP($B145,FROTA!$B$5:$R$305,10,0)=T$3,0.01,0)))</f>
        <v/>
      </c>
      <c r="U145" s="307" t="str">
        <f>IF($B145="","",IF(U$4="NÃO",0,IF(VLOOKUP($B145,FROTA!$B$5:$R$305,10,0)=U$3,0.01,0)))</f>
        <v/>
      </c>
      <c r="V145" s="306" t="str">
        <f t="shared" si="26"/>
        <v/>
      </c>
      <c r="W145" s="238" t="str">
        <f t="shared" si="24"/>
        <v/>
      </c>
      <c r="X145" s="576" t="str">
        <f t="shared" si="27"/>
        <v/>
      </c>
      <c r="BA145" s="581">
        <v>44978</v>
      </c>
      <c r="BB145" s="582">
        <v>2023</v>
      </c>
    </row>
    <row r="146" spans="2:54" ht="15" customHeight="1" x14ac:dyDescent="0.2">
      <c r="B146" s="192" t="str">
        <f>IF(FROTA!B147="","",FROTA!B147)</f>
        <v/>
      </c>
      <c r="C146" s="192" t="str">
        <f>IF(B146="","",FROTA!Z147)</f>
        <v/>
      </c>
      <c r="D146" s="192" t="str">
        <f>IF(B146="","",VLOOKUP(B146,FROTA!$B$5:$C$310,2,0))</f>
        <v/>
      </c>
      <c r="E146" s="233" t="str">
        <f>IF(D146="","",VLOOKUP(D146,ESCALA!$B$3:$H$19,7,0))</f>
        <v/>
      </c>
      <c r="F146" s="219" t="s">
        <v>222</v>
      </c>
      <c r="G146" s="305" t="str">
        <f t="shared" si="25"/>
        <v/>
      </c>
      <c r="H146" s="314" t="str">
        <f>IF($B146="","",IF(H$4="NÃO",0,IF(VLOOKUP($B146,FROTA!$B$5:$R$305,17,0)=H$3,0.02,0)))</f>
        <v/>
      </c>
      <c r="I146" s="193" t="str">
        <f>IF($B146="","",IF(I$4="NÃO",0,IF(VLOOKUP($B146,FROTA!$B$5:$R$305,17,0)=I$3,0.02,0)))</f>
        <v/>
      </c>
      <c r="J146" s="193" t="str">
        <f>IF($B146="","",IF(J$4="NÃO",0,IF(VLOOKUP($B146,FROTA!$B$5:$R$305,17,0)=J$3,0.02,0)))</f>
        <v/>
      </c>
      <c r="K146" s="193" t="str">
        <f>IF($B146="","",IF(K$4="NÃO",0,IF(VLOOKUP($B146,FROTA!$B$5:$R$305,17,0)=K$3,0.02,0)))</f>
        <v/>
      </c>
      <c r="L146" s="193" t="str">
        <f>IF($B146="","",IF(L$4="NÃO",0,IF(VLOOKUP($B146,FROTA!$B$5:$R$305,17,0)=L$3,0.02,0)))</f>
        <v/>
      </c>
      <c r="M146" s="193" t="str">
        <f>IF($B146="","",IF(M$4="NÃO",0,IF(VLOOKUP($B146,FROTA!$B$5:$R$305,17,0)=M$3,0.02,0)))</f>
        <v/>
      </c>
      <c r="N146" s="193" t="str">
        <f>IF($B146="","",IF(M$4="NÃO",0,IF(VLOOKUP($B146,FROTA!$B$5:$R$305,17,0)=N$3,0.02,0)))</f>
        <v/>
      </c>
      <c r="O146" s="311" t="str">
        <f>IF($B146="","",IF(O$4="NÃO",0,IF(VLOOKUP($B146,FROTA!$B$5:$R$305,10,0)=O$3,0.01,0)))</f>
        <v/>
      </c>
      <c r="P146" s="307" t="str">
        <f>IF($B146="","",IF(P$4="NÃO",0,IF(VLOOKUP($B146,FROTA!$B$5:$R$305,10,0)=P$3,0.01,0)))</f>
        <v/>
      </c>
      <c r="Q146" s="307" t="str">
        <f>IF($B146="","",IF(Q$4="NÃO",0,IF(VLOOKUP($B146,FROTA!$B$5:$R$305,10,0)=Q$3,0.01,0)))</f>
        <v/>
      </c>
      <c r="R146" s="307" t="str">
        <f>IF($B146="","",IF(R$4="NÃO",0,IF(VLOOKUP($B146,FROTA!$B$5:$R$305,10,0)=R$3,0.01,0)))</f>
        <v/>
      </c>
      <c r="S146" s="307" t="str">
        <f>IF($B146="","",IF(S$4="NÃO",0,IF(VLOOKUP($B146,FROTA!$B$5:$R$305,10,0)=S$3,0.01,0)))</f>
        <v/>
      </c>
      <c r="T146" s="307" t="str">
        <f>IF($B146="","",IF(T$4="NÃO",0,IF(VLOOKUP($B146,FROTA!$B$5:$R$305,10,0)=T$3,0.01,0)))</f>
        <v/>
      </c>
      <c r="U146" s="307" t="str">
        <f>IF($B146="","",IF(U$4="NÃO",0,IF(VLOOKUP($B146,FROTA!$B$5:$R$305,10,0)=U$3,0.01,0)))</f>
        <v/>
      </c>
      <c r="V146" s="306" t="str">
        <f t="shared" si="26"/>
        <v/>
      </c>
      <c r="W146" s="238" t="str">
        <f t="shared" si="24"/>
        <v/>
      </c>
      <c r="X146" s="576" t="str">
        <f t="shared" si="27"/>
        <v/>
      </c>
      <c r="BA146" s="581">
        <v>44979</v>
      </c>
      <c r="BB146" s="582">
        <v>2023</v>
      </c>
    </row>
    <row r="147" spans="2:54" ht="15" customHeight="1" x14ac:dyDescent="0.2">
      <c r="B147" s="192" t="str">
        <f>IF(FROTA!B148="","",FROTA!B148)</f>
        <v/>
      </c>
      <c r="C147" s="192" t="str">
        <f>IF(B147="","",FROTA!Z148)</f>
        <v/>
      </c>
      <c r="D147" s="192" t="str">
        <f>IF(B147="","",VLOOKUP(B147,FROTA!$B$5:$C$310,2,0))</f>
        <v/>
      </c>
      <c r="E147" s="233" t="str">
        <f>IF(D147="","",VLOOKUP(D147,ESCALA!$B$3:$H$19,7,0))</f>
        <v/>
      </c>
      <c r="F147" s="219" t="s">
        <v>222</v>
      </c>
      <c r="G147" s="305" t="str">
        <f t="shared" si="25"/>
        <v/>
      </c>
      <c r="H147" s="314" t="str">
        <f>IF($B147="","",IF(H$4="NÃO",0,IF(VLOOKUP($B147,FROTA!$B$5:$R$305,17,0)=H$3,0.02,0)))</f>
        <v/>
      </c>
      <c r="I147" s="193" t="str">
        <f>IF($B147="","",IF(I$4="NÃO",0,IF(VLOOKUP($B147,FROTA!$B$5:$R$305,17,0)=I$3,0.02,0)))</f>
        <v/>
      </c>
      <c r="J147" s="193" t="str">
        <f>IF($B147="","",IF(J$4="NÃO",0,IF(VLOOKUP($B147,FROTA!$B$5:$R$305,17,0)=J$3,0.02,0)))</f>
        <v/>
      </c>
      <c r="K147" s="193" t="str">
        <f>IF($B147="","",IF(K$4="NÃO",0,IF(VLOOKUP($B147,FROTA!$B$5:$R$305,17,0)=K$3,0.02,0)))</f>
        <v/>
      </c>
      <c r="L147" s="193" t="str">
        <f>IF($B147="","",IF(L$4="NÃO",0,IF(VLOOKUP($B147,FROTA!$B$5:$R$305,17,0)=L$3,0.02,0)))</f>
        <v/>
      </c>
      <c r="M147" s="193" t="str">
        <f>IF($B147="","",IF(M$4="NÃO",0,IF(VLOOKUP($B147,FROTA!$B$5:$R$305,17,0)=M$3,0.02,0)))</f>
        <v/>
      </c>
      <c r="N147" s="193" t="str">
        <f>IF($B147="","",IF(M$4="NÃO",0,IF(VLOOKUP($B147,FROTA!$B$5:$R$305,17,0)=N$3,0.02,0)))</f>
        <v/>
      </c>
      <c r="O147" s="311" t="str">
        <f>IF($B147="","",IF(O$4="NÃO",0,IF(VLOOKUP($B147,FROTA!$B$5:$R$305,10,0)=O$3,0.01,0)))</f>
        <v/>
      </c>
      <c r="P147" s="307" t="str">
        <f>IF($B147="","",IF(P$4="NÃO",0,IF(VLOOKUP($B147,FROTA!$B$5:$R$305,10,0)=P$3,0.01,0)))</f>
        <v/>
      </c>
      <c r="Q147" s="307" t="str">
        <f>IF($B147="","",IF(Q$4="NÃO",0,IF(VLOOKUP($B147,FROTA!$B$5:$R$305,10,0)=Q$3,0.01,0)))</f>
        <v/>
      </c>
      <c r="R147" s="307" t="str">
        <f>IF($B147="","",IF(R$4="NÃO",0,IF(VLOOKUP($B147,FROTA!$B$5:$R$305,10,0)=R$3,0.01,0)))</f>
        <v/>
      </c>
      <c r="S147" s="307" t="str">
        <f>IF($B147="","",IF(S$4="NÃO",0,IF(VLOOKUP($B147,FROTA!$B$5:$R$305,10,0)=S$3,0.01,0)))</f>
        <v/>
      </c>
      <c r="T147" s="307" t="str">
        <f>IF($B147="","",IF(T$4="NÃO",0,IF(VLOOKUP($B147,FROTA!$B$5:$R$305,10,0)=T$3,0.01,0)))</f>
        <v/>
      </c>
      <c r="U147" s="307" t="str">
        <f>IF($B147="","",IF(U$4="NÃO",0,IF(VLOOKUP($B147,FROTA!$B$5:$R$305,10,0)=U$3,0.01,0)))</f>
        <v/>
      </c>
      <c r="V147" s="306" t="str">
        <f t="shared" si="26"/>
        <v/>
      </c>
      <c r="W147" s="238" t="str">
        <f t="shared" si="24"/>
        <v/>
      </c>
      <c r="X147" s="576" t="str">
        <f t="shared" si="27"/>
        <v/>
      </c>
      <c r="BA147" s="581">
        <v>44980</v>
      </c>
      <c r="BB147" s="582">
        <v>2023</v>
      </c>
    </row>
    <row r="148" spans="2:54" ht="15" customHeight="1" x14ac:dyDescent="0.2">
      <c r="B148" s="192" t="str">
        <f>IF(FROTA!B149="","",FROTA!B149)</f>
        <v/>
      </c>
      <c r="C148" s="192" t="str">
        <f>IF(B148="","",FROTA!Z149)</f>
        <v/>
      </c>
      <c r="D148" s="192" t="str">
        <f>IF(B148="","",VLOOKUP(B148,FROTA!$B$5:$C$310,2,0))</f>
        <v/>
      </c>
      <c r="E148" s="233" t="str">
        <f>IF(D148="","",VLOOKUP(D148,ESCALA!$B$3:$H$19,7,0))</f>
        <v/>
      </c>
      <c r="F148" s="219" t="s">
        <v>222</v>
      </c>
      <c r="G148" s="305" t="str">
        <f t="shared" si="25"/>
        <v/>
      </c>
      <c r="H148" s="314" t="str">
        <f>IF($B148="","",IF(H$4="NÃO",0,IF(VLOOKUP($B148,FROTA!$B$5:$R$305,17,0)=H$3,0.02,0)))</f>
        <v/>
      </c>
      <c r="I148" s="193" t="str">
        <f>IF($B148="","",IF(I$4="NÃO",0,IF(VLOOKUP($B148,FROTA!$B$5:$R$305,17,0)=I$3,0.02,0)))</f>
        <v/>
      </c>
      <c r="J148" s="193" t="str">
        <f>IF($B148="","",IF(J$4="NÃO",0,IF(VLOOKUP($B148,FROTA!$B$5:$R$305,17,0)=J$3,0.02,0)))</f>
        <v/>
      </c>
      <c r="K148" s="193" t="str">
        <f>IF($B148="","",IF(K$4="NÃO",0,IF(VLOOKUP($B148,FROTA!$B$5:$R$305,17,0)=K$3,0.02,0)))</f>
        <v/>
      </c>
      <c r="L148" s="193" t="str">
        <f>IF($B148="","",IF(L$4="NÃO",0,IF(VLOOKUP($B148,FROTA!$B$5:$R$305,17,0)=L$3,0.02,0)))</f>
        <v/>
      </c>
      <c r="M148" s="193" t="str">
        <f>IF($B148="","",IF(M$4="NÃO",0,IF(VLOOKUP($B148,FROTA!$B$5:$R$305,17,0)=M$3,0.02,0)))</f>
        <v/>
      </c>
      <c r="N148" s="193" t="str">
        <f>IF($B148="","",IF(M$4="NÃO",0,IF(VLOOKUP($B148,FROTA!$B$5:$R$305,17,0)=N$3,0.02,0)))</f>
        <v/>
      </c>
      <c r="O148" s="311" t="str">
        <f>IF($B148="","",IF(O$4="NÃO",0,IF(VLOOKUP($B148,FROTA!$B$5:$R$305,10,0)=O$3,0.01,0)))</f>
        <v/>
      </c>
      <c r="P148" s="307" t="str">
        <f>IF($B148="","",IF(P$4="NÃO",0,IF(VLOOKUP($B148,FROTA!$B$5:$R$305,10,0)=P$3,0.01,0)))</f>
        <v/>
      </c>
      <c r="Q148" s="307" t="str">
        <f>IF($B148="","",IF(Q$4="NÃO",0,IF(VLOOKUP($B148,FROTA!$B$5:$R$305,10,0)=Q$3,0.01,0)))</f>
        <v/>
      </c>
      <c r="R148" s="307" t="str">
        <f>IF($B148="","",IF(R$4="NÃO",0,IF(VLOOKUP($B148,FROTA!$B$5:$R$305,10,0)=R$3,0.01,0)))</f>
        <v/>
      </c>
      <c r="S148" s="307" t="str">
        <f>IF($B148="","",IF(S$4="NÃO",0,IF(VLOOKUP($B148,FROTA!$B$5:$R$305,10,0)=S$3,0.01,0)))</f>
        <v/>
      </c>
      <c r="T148" s="307" t="str">
        <f>IF($B148="","",IF(T$4="NÃO",0,IF(VLOOKUP($B148,FROTA!$B$5:$R$305,10,0)=T$3,0.01,0)))</f>
        <v/>
      </c>
      <c r="U148" s="307" t="str">
        <f>IF($B148="","",IF(U$4="NÃO",0,IF(VLOOKUP($B148,FROTA!$B$5:$R$305,10,0)=U$3,0.01,0)))</f>
        <v/>
      </c>
      <c r="V148" s="306" t="str">
        <f t="shared" si="26"/>
        <v/>
      </c>
      <c r="W148" s="238" t="str">
        <f t="shared" si="24"/>
        <v/>
      </c>
      <c r="X148" s="576" t="str">
        <f t="shared" si="27"/>
        <v/>
      </c>
      <c r="BA148" s="581">
        <v>44981</v>
      </c>
      <c r="BB148" s="582">
        <v>2023</v>
      </c>
    </row>
    <row r="149" spans="2:54" ht="15" customHeight="1" x14ac:dyDescent="0.2">
      <c r="B149" s="192" t="str">
        <f>IF(FROTA!B150="","",FROTA!B150)</f>
        <v/>
      </c>
      <c r="C149" s="192" t="str">
        <f>IF(B149="","",FROTA!Z150)</f>
        <v/>
      </c>
      <c r="D149" s="192" t="str">
        <f>IF(B149="","",VLOOKUP(B149,FROTA!$B$5:$C$310,2,0))</f>
        <v/>
      </c>
      <c r="E149" s="233" t="str">
        <f>IF(D149="","",VLOOKUP(D149,ESCALA!$B$3:$H$19,7,0))</f>
        <v/>
      </c>
      <c r="F149" s="219" t="s">
        <v>222</v>
      </c>
      <c r="G149" s="305" t="str">
        <f t="shared" si="25"/>
        <v/>
      </c>
      <c r="H149" s="314" t="str">
        <f>IF($B149="","",IF(H$4="NÃO",0,IF(VLOOKUP($B149,FROTA!$B$5:$R$305,17,0)=H$3,0.02,0)))</f>
        <v/>
      </c>
      <c r="I149" s="193" t="str">
        <f>IF($B149="","",IF(I$4="NÃO",0,IF(VLOOKUP($B149,FROTA!$B$5:$R$305,17,0)=I$3,0.02,0)))</f>
        <v/>
      </c>
      <c r="J149" s="193" t="str">
        <f>IF($B149="","",IF(J$4="NÃO",0,IF(VLOOKUP($B149,FROTA!$B$5:$R$305,17,0)=J$3,0.02,0)))</f>
        <v/>
      </c>
      <c r="K149" s="193" t="str">
        <f>IF($B149="","",IF(K$4="NÃO",0,IF(VLOOKUP($B149,FROTA!$B$5:$R$305,17,0)=K$3,0.02,0)))</f>
        <v/>
      </c>
      <c r="L149" s="193" t="str">
        <f>IF($B149="","",IF(L$4="NÃO",0,IF(VLOOKUP($B149,FROTA!$B$5:$R$305,17,0)=L$3,0.02,0)))</f>
        <v/>
      </c>
      <c r="M149" s="193" t="str">
        <f>IF($B149="","",IF(M$4="NÃO",0,IF(VLOOKUP($B149,FROTA!$B$5:$R$305,17,0)=M$3,0.02,0)))</f>
        <v/>
      </c>
      <c r="N149" s="193" t="str">
        <f>IF($B149="","",IF(M$4="NÃO",0,IF(VLOOKUP($B149,FROTA!$B$5:$R$305,17,0)=N$3,0.02,0)))</f>
        <v/>
      </c>
      <c r="O149" s="311" t="str">
        <f>IF($B149="","",IF(O$4="NÃO",0,IF(VLOOKUP($B149,FROTA!$B$5:$R$305,10,0)=O$3,0.01,0)))</f>
        <v/>
      </c>
      <c r="P149" s="307" t="str">
        <f>IF($B149="","",IF(P$4="NÃO",0,IF(VLOOKUP($B149,FROTA!$B$5:$R$305,10,0)=P$3,0.01,0)))</f>
        <v/>
      </c>
      <c r="Q149" s="307" t="str">
        <f>IF($B149="","",IF(Q$4="NÃO",0,IF(VLOOKUP($B149,FROTA!$B$5:$R$305,10,0)=Q$3,0.01,0)))</f>
        <v/>
      </c>
      <c r="R149" s="307" t="str">
        <f>IF($B149="","",IF(R$4="NÃO",0,IF(VLOOKUP($B149,FROTA!$B$5:$R$305,10,0)=R$3,0.01,0)))</f>
        <v/>
      </c>
      <c r="S149" s="307" t="str">
        <f>IF($B149="","",IF(S$4="NÃO",0,IF(VLOOKUP($B149,FROTA!$B$5:$R$305,10,0)=S$3,0.01,0)))</f>
        <v/>
      </c>
      <c r="T149" s="307" t="str">
        <f>IF($B149="","",IF(T$4="NÃO",0,IF(VLOOKUP($B149,FROTA!$B$5:$R$305,10,0)=T$3,0.01,0)))</f>
        <v/>
      </c>
      <c r="U149" s="307" t="str">
        <f>IF($B149="","",IF(U$4="NÃO",0,IF(VLOOKUP($B149,FROTA!$B$5:$R$305,10,0)=U$3,0.01,0)))</f>
        <v/>
      </c>
      <c r="V149" s="306" t="str">
        <f t="shared" si="26"/>
        <v/>
      </c>
      <c r="W149" s="238" t="str">
        <f t="shared" si="24"/>
        <v/>
      </c>
      <c r="X149" s="576" t="str">
        <f t="shared" si="27"/>
        <v/>
      </c>
      <c r="BA149" s="581">
        <v>44982</v>
      </c>
      <c r="BB149" s="582">
        <v>2023</v>
      </c>
    </row>
    <row r="150" spans="2:54" ht="15" customHeight="1" x14ac:dyDescent="0.2">
      <c r="B150" s="192" t="str">
        <f>IF(FROTA!B151="","",FROTA!B151)</f>
        <v/>
      </c>
      <c r="C150" s="192" t="str">
        <f>IF(B150="","",FROTA!Z151)</f>
        <v/>
      </c>
      <c r="D150" s="192" t="str">
        <f>IF(B150="","",VLOOKUP(B150,FROTA!$B$5:$C$310,2,0))</f>
        <v/>
      </c>
      <c r="E150" s="233" t="str">
        <f>IF(D150="","",VLOOKUP(D150,ESCALA!$B$3:$H$19,7,0))</f>
        <v/>
      </c>
      <c r="F150" s="219" t="s">
        <v>222</v>
      </c>
      <c r="G150" s="305" t="str">
        <f t="shared" si="25"/>
        <v/>
      </c>
      <c r="H150" s="314" t="str">
        <f>IF($B150="","",IF(H$4="NÃO",0,IF(VLOOKUP($B150,FROTA!$B$5:$R$305,17,0)=H$3,0.02,0)))</f>
        <v/>
      </c>
      <c r="I150" s="193" t="str">
        <f>IF($B150="","",IF(I$4="NÃO",0,IF(VLOOKUP($B150,FROTA!$B$5:$R$305,17,0)=I$3,0.02,0)))</f>
        <v/>
      </c>
      <c r="J150" s="193" t="str">
        <f>IF($B150="","",IF(J$4="NÃO",0,IF(VLOOKUP($B150,FROTA!$B$5:$R$305,17,0)=J$3,0.02,0)))</f>
        <v/>
      </c>
      <c r="K150" s="193" t="str">
        <f>IF($B150="","",IF(K$4="NÃO",0,IF(VLOOKUP($B150,FROTA!$B$5:$R$305,17,0)=K$3,0.02,0)))</f>
        <v/>
      </c>
      <c r="L150" s="193" t="str">
        <f>IF($B150="","",IF(L$4="NÃO",0,IF(VLOOKUP($B150,FROTA!$B$5:$R$305,17,0)=L$3,0.02,0)))</f>
        <v/>
      </c>
      <c r="M150" s="193" t="str">
        <f>IF($B150="","",IF(M$4="NÃO",0,IF(VLOOKUP($B150,FROTA!$B$5:$R$305,17,0)=M$3,0.02,0)))</f>
        <v/>
      </c>
      <c r="N150" s="193" t="str">
        <f>IF($B150="","",IF(M$4="NÃO",0,IF(VLOOKUP($B150,FROTA!$B$5:$R$305,17,0)=N$3,0.02,0)))</f>
        <v/>
      </c>
      <c r="O150" s="311" t="str">
        <f>IF($B150="","",IF(O$4="NÃO",0,IF(VLOOKUP($B150,FROTA!$B$5:$R$305,10,0)=O$3,0.01,0)))</f>
        <v/>
      </c>
      <c r="P150" s="307" t="str">
        <f>IF($B150="","",IF(P$4="NÃO",0,IF(VLOOKUP($B150,FROTA!$B$5:$R$305,10,0)=P$3,0.01,0)))</f>
        <v/>
      </c>
      <c r="Q150" s="307" t="str">
        <f>IF($B150="","",IF(Q$4="NÃO",0,IF(VLOOKUP($B150,FROTA!$B$5:$R$305,10,0)=Q$3,0.01,0)))</f>
        <v/>
      </c>
      <c r="R150" s="307" t="str">
        <f>IF($B150="","",IF(R$4="NÃO",0,IF(VLOOKUP($B150,FROTA!$B$5:$R$305,10,0)=R$3,0.01,0)))</f>
        <v/>
      </c>
      <c r="S150" s="307" t="str">
        <f>IF($B150="","",IF(S$4="NÃO",0,IF(VLOOKUP($B150,FROTA!$B$5:$R$305,10,0)=S$3,0.01,0)))</f>
        <v/>
      </c>
      <c r="T150" s="307" t="str">
        <f>IF($B150="","",IF(T$4="NÃO",0,IF(VLOOKUP($B150,FROTA!$B$5:$R$305,10,0)=T$3,0.01,0)))</f>
        <v/>
      </c>
      <c r="U150" s="307" t="str">
        <f>IF($B150="","",IF(U$4="NÃO",0,IF(VLOOKUP($B150,FROTA!$B$5:$R$305,10,0)=U$3,0.01,0)))</f>
        <v/>
      </c>
      <c r="V150" s="306" t="str">
        <f t="shared" si="26"/>
        <v/>
      </c>
      <c r="W150" s="238" t="str">
        <f t="shared" si="24"/>
        <v/>
      </c>
      <c r="X150" s="576" t="str">
        <f t="shared" si="27"/>
        <v/>
      </c>
      <c r="BA150" s="581">
        <v>44983</v>
      </c>
      <c r="BB150" s="582">
        <v>2023</v>
      </c>
    </row>
    <row r="151" spans="2:54" ht="15" customHeight="1" x14ac:dyDescent="0.2">
      <c r="B151" s="192" t="str">
        <f>IF(FROTA!B152="","",FROTA!B152)</f>
        <v/>
      </c>
      <c r="C151" s="192" t="str">
        <f>IF(B151="","",FROTA!Z152)</f>
        <v/>
      </c>
      <c r="D151" s="192" t="str">
        <f>IF(B151="","",VLOOKUP(B151,FROTA!$B$5:$C$310,2,0))</f>
        <v/>
      </c>
      <c r="E151" s="233" t="str">
        <f>IF(D151="","",VLOOKUP(D151,ESCALA!$B$3:$H$19,7,0))</f>
        <v/>
      </c>
      <c r="F151" s="219" t="s">
        <v>222</v>
      </c>
      <c r="G151" s="305" t="str">
        <f t="shared" si="25"/>
        <v/>
      </c>
      <c r="H151" s="314" t="str">
        <f>IF($B151="","",IF(H$4="NÃO",0,IF(VLOOKUP($B151,FROTA!$B$5:$R$305,17,0)=H$3,0.02,0)))</f>
        <v/>
      </c>
      <c r="I151" s="193" t="str">
        <f>IF($B151="","",IF(I$4="NÃO",0,IF(VLOOKUP($B151,FROTA!$B$5:$R$305,17,0)=I$3,0.02,0)))</f>
        <v/>
      </c>
      <c r="J151" s="193" t="str">
        <f>IF($B151="","",IF(J$4="NÃO",0,IF(VLOOKUP($B151,FROTA!$B$5:$R$305,17,0)=J$3,0.02,0)))</f>
        <v/>
      </c>
      <c r="K151" s="193" t="str">
        <f>IF($B151="","",IF(K$4="NÃO",0,IF(VLOOKUP($B151,FROTA!$B$5:$R$305,17,0)=K$3,0.02,0)))</f>
        <v/>
      </c>
      <c r="L151" s="193" t="str">
        <f>IF($B151="","",IF(L$4="NÃO",0,IF(VLOOKUP($B151,FROTA!$B$5:$R$305,17,0)=L$3,0.02,0)))</f>
        <v/>
      </c>
      <c r="M151" s="193" t="str">
        <f>IF($B151="","",IF(M$4="NÃO",0,IF(VLOOKUP($B151,FROTA!$B$5:$R$305,17,0)=M$3,0.02,0)))</f>
        <v/>
      </c>
      <c r="N151" s="193" t="str">
        <f>IF($B151="","",IF(M$4="NÃO",0,IF(VLOOKUP($B151,FROTA!$B$5:$R$305,17,0)=N$3,0.02,0)))</f>
        <v/>
      </c>
      <c r="O151" s="311" t="str">
        <f>IF($B151="","",IF(O$4="NÃO",0,IF(VLOOKUP($B151,FROTA!$B$5:$R$305,10,0)=O$3,0.01,0)))</f>
        <v/>
      </c>
      <c r="P151" s="307" t="str">
        <f>IF($B151="","",IF(P$4="NÃO",0,IF(VLOOKUP($B151,FROTA!$B$5:$R$305,10,0)=P$3,0.01,0)))</f>
        <v/>
      </c>
      <c r="Q151" s="307" t="str">
        <f>IF($B151="","",IF(Q$4="NÃO",0,IF(VLOOKUP($B151,FROTA!$B$5:$R$305,10,0)=Q$3,0.01,0)))</f>
        <v/>
      </c>
      <c r="R151" s="307" t="str">
        <f>IF($B151="","",IF(R$4="NÃO",0,IF(VLOOKUP($B151,FROTA!$B$5:$R$305,10,0)=R$3,0.01,0)))</f>
        <v/>
      </c>
      <c r="S151" s="307" t="str">
        <f>IF($B151="","",IF(S$4="NÃO",0,IF(VLOOKUP($B151,FROTA!$B$5:$R$305,10,0)=S$3,0.01,0)))</f>
        <v/>
      </c>
      <c r="T151" s="307" t="str">
        <f>IF($B151="","",IF(T$4="NÃO",0,IF(VLOOKUP($B151,FROTA!$B$5:$R$305,10,0)=T$3,0.01,0)))</f>
        <v/>
      </c>
      <c r="U151" s="307" t="str">
        <f>IF($B151="","",IF(U$4="NÃO",0,IF(VLOOKUP($B151,FROTA!$B$5:$R$305,10,0)=U$3,0.01,0)))</f>
        <v/>
      </c>
      <c r="V151" s="306" t="str">
        <f t="shared" si="26"/>
        <v/>
      </c>
      <c r="W151" s="238" t="str">
        <f t="shared" si="24"/>
        <v/>
      </c>
      <c r="X151" s="576" t="str">
        <f t="shared" si="27"/>
        <v/>
      </c>
      <c r="BA151" s="581">
        <v>44984</v>
      </c>
      <c r="BB151" s="582">
        <v>2023</v>
      </c>
    </row>
    <row r="152" spans="2:54" ht="15" customHeight="1" x14ac:dyDescent="0.2">
      <c r="B152" s="192" t="str">
        <f>IF(FROTA!B153="","",FROTA!B153)</f>
        <v/>
      </c>
      <c r="C152" s="192" t="str">
        <f>IF(B152="","",FROTA!Z153)</f>
        <v/>
      </c>
      <c r="D152" s="192" t="str">
        <f>IF(B152="","",VLOOKUP(B152,FROTA!$B$5:$C$310,2,0))</f>
        <v/>
      </c>
      <c r="E152" s="233" t="str">
        <f>IF(D152="","",VLOOKUP(D152,ESCALA!$B$3:$H$19,7,0))</f>
        <v/>
      </c>
      <c r="F152" s="219" t="s">
        <v>222</v>
      </c>
      <c r="G152" s="305" t="str">
        <f t="shared" si="25"/>
        <v/>
      </c>
      <c r="H152" s="314" t="str">
        <f>IF($B152="","",IF(H$4="NÃO",0,IF(VLOOKUP($B152,FROTA!$B$5:$R$305,17,0)=H$3,0.02,0)))</f>
        <v/>
      </c>
      <c r="I152" s="193" t="str">
        <f>IF($B152="","",IF(I$4="NÃO",0,IF(VLOOKUP($B152,FROTA!$B$5:$R$305,17,0)=I$3,0.02,0)))</f>
        <v/>
      </c>
      <c r="J152" s="193" t="str">
        <f>IF($B152="","",IF(J$4="NÃO",0,IF(VLOOKUP($B152,FROTA!$B$5:$R$305,17,0)=J$3,0.02,0)))</f>
        <v/>
      </c>
      <c r="K152" s="193" t="str">
        <f>IF($B152="","",IF(K$4="NÃO",0,IF(VLOOKUP($B152,FROTA!$B$5:$R$305,17,0)=K$3,0.02,0)))</f>
        <v/>
      </c>
      <c r="L152" s="193" t="str">
        <f>IF($B152="","",IF(L$4="NÃO",0,IF(VLOOKUP($B152,FROTA!$B$5:$R$305,17,0)=L$3,0.02,0)))</f>
        <v/>
      </c>
      <c r="M152" s="193" t="str">
        <f>IF($B152="","",IF(M$4="NÃO",0,IF(VLOOKUP($B152,FROTA!$B$5:$R$305,17,0)=M$3,0.02,0)))</f>
        <v/>
      </c>
      <c r="N152" s="193" t="str">
        <f>IF($B152="","",IF(M$4="NÃO",0,IF(VLOOKUP($B152,FROTA!$B$5:$R$305,17,0)=N$3,0.02,0)))</f>
        <v/>
      </c>
      <c r="O152" s="311" t="str">
        <f>IF($B152="","",IF(O$4="NÃO",0,IF(VLOOKUP($B152,FROTA!$B$5:$R$305,10,0)=O$3,0.01,0)))</f>
        <v/>
      </c>
      <c r="P152" s="307" t="str">
        <f>IF($B152="","",IF(P$4="NÃO",0,IF(VLOOKUP($B152,FROTA!$B$5:$R$305,10,0)=P$3,0.01,0)))</f>
        <v/>
      </c>
      <c r="Q152" s="307" t="str">
        <f>IF($B152="","",IF(Q$4="NÃO",0,IF(VLOOKUP($B152,FROTA!$B$5:$R$305,10,0)=Q$3,0.01,0)))</f>
        <v/>
      </c>
      <c r="R152" s="307" t="str">
        <f>IF($B152="","",IF(R$4="NÃO",0,IF(VLOOKUP($B152,FROTA!$B$5:$R$305,10,0)=R$3,0.01,0)))</f>
        <v/>
      </c>
      <c r="S152" s="307" t="str">
        <f>IF($B152="","",IF(S$4="NÃO",0,IF(VLOOKUP($B152,FROTA!$B$5:$R$305,10,0)=S$3,0.01,0)))</f>
        <v/>
      </c>
      <c r="T152" s="307" t="str">
        <f>IF($B152="","",IF(T$4="NÃO",0,IF(VLOOKUP($B152,FROTA!$B$5:$R$305,10,0)=T$3,0.01,0)))</f>
        <v/>
      </c>
      <c r="U152" s="307" t="str">
        <f>IF($B152="","",IF(U$4="NÃO",0,IF(VLOOKUP($B152,FROTA!$B$5:$R$305,10,0)=U$3,0.01,0)))</f>
        <v/>
      </c>
      <c r="V152" s="306" t="str">
        <f t="shared" si="26"/>
        <v/>
      </c>
      <c r="W152" s="238" t="str">
        <f t="shared" si="24"/>
        <v/>
      </c>
      <c r="X152" s="576" t="str">
        <f t="shared" si="27"/>
        <v/>
      </c>
      <c r="BA152" s="581">
        <v>44985</v>
      </c>
      <c r="BB152" s="582">
        <v>2023</v>
      </c>
    </row>
    <row r="153" spans="2:54" ht="15" customHeight="1" x14ac:dyDescent="0.2">
      <c r="B153" s="192" t="str">
        <f>IF(FROTA!B154="","",FROTA!B154)</f>
        <v/>
      </c>
      <c r="C153" s="192" t="str">
        <f>IF(B153="","",FROTA!Z154)</f>
        <v/>
      </c>
      <c r="D153" s="192" t="str">
        <f>IF(B153="","",VLOOKUP(B153,FROTA!$B$5:$C$310,2,0))</f>
        <v/>
      </c>
      <c r="E153" s="233" t="str">
        <f>IF(D153="","",VLOOKUP(D153,ESCALA!$B$3:$H$19,7,0))</f>
        <v/>
      </c>
      <c r="F153" s="219" t="s">
        <v>222</v>
      </c>
      <c r="G153" s="305" t="str">
        <f t="shared" si="25"/>
        <v/>
      </c>
      <c r="H153" s="314" t="str">
        <f>IF($B153="","",IF(H$4="NÃO",0,IF(VLOOKUP($B153,FROTA!$B$5:$R$305,17,0)=H$3,0.02,0)))</f>
        <v/>
      </c>
      <c r="I153" s="193" t="str">
        <f>IF($B153="","",IF(I$4="NÃO",0,IF(VLOOKUP($B153,FROTA!$B$5:$R$305,17,0)=I$3,0.02,0)))</f>
        <v/>
      </c>
      <c r="J153" s="193" t="str">
        <f>IF($B153="","",IF(J$4="NÃO",0,IF(VLOOKUP($B153,FROTA!$B$5:$R$305,17,0)=J$3,0.02,0)))</f>
        <v/>
      </c>
      <c r="K153" s="193" t="str">
        <f>IF($B153="","",IF(K$4="NÃO",0,IF(VLOOKUP($B153,FROTA!$B$5:$R$305,17,0)=K$3,0.02,0)))</f>
        <v/>
      </c>
      <c r="L153" s="193" t="str">
        <f>IF($B153="","",IF(L$4="NÃO",0,IF(VLOOKUP($B153,FROTA!$B$5:$R$305,17,0)=L$3,0.02,0)))</f>
        <v/>
      </c>
      <c r="M153" s="193" t="str">
        <f>IF($B153="","",IF(M$4="NÃO",0,IF(VLOOKUP($B153,FROTA!$B$5:$R$305,17,0)=M$3,0.02,0)))</f>
        <v/>
      </c>
      <c r="N153" s="193" t="str">
        <f>IF($B153="","",IF(M$4="NÃO",0,IF(VLOOKUP($B153,FROTA!$B$5:$R$305,17,0)=N$3,0.02,0)))</f>
        <v/>
      </c>
      <c r="O153" s="311" t="str">
        <f>IF($B153="","",IF(O$4="NÃO",0,IF(VLOOKUP($B153,FROTA!$B$5:$R$305,10,0)=O$3,0.01,0)))</f>
        <v/>
      </c>
      <c r="P153" s="307" t="str">
        <f>IF($B153="","",IF(P$4="NÃO",0,IF(VLOOKUP($B153,FROTA!$B$5:$R$305,10,0)=P$3,0.01,0)))</f>
        <v/>
      </c>
      <c r="Q153" s="307" t="str">
        <f>IF($B153="","",IF(Q$4="NÃO",0,IF(VLOOKUP($B153,FROTA!$B$5:$R$305,10,0)=Q$3,0.01,0)))</f>
        <v/>
      </c>
      <c r="R153" s="307" t="str">
        <f>IF($B153="","",IF(R$4="NÃO",0,IF(VLOOKUP($B153,FROTA!$B$5:$R$305,10,0)=R$3,0.01,0)))</f>
        <v/>
      </c>
      <c r="S153" s="307" t="str">
        <f>IF($B153="","",IF(S$4="NÃO",0,IF(VLOOKUP($B153,FROTA!$B$5:$R$305,10,0)=S$3,0.01,0)))</f>
        <v/>
      </c>
      <c r="T153" s="307" t="str">
        <f>IF($B153="","",IF(T$4="NÃO",0,IF(VLOOKUP($B153,FROTA!$B$5:$R$305,10,0)=T$3,0.01,0)))</f>
        <v/>
      </c>
      <c r="U153" s="307" t="str">
        <f>IF($B153="","",IF(U$4="NÃO",0,IF(VLOOKUP($B153,FROTA!$B$5:$R$305,10,0)=U$3,0.01,0)))</f>
        <v/>
      </c>
      <c r="V153" s="306" t="str">
        <f t="shared" si="26"/>
        <v/>
      </c>
      <c r="W153" s="238" t="str">
        <f t="shared" si="24"/>
        <v/>
      </c>
      <c r="X153" s="576" t="str">
        <f t="shared" si="27"/>
        <v/>
      </c>
      <c r="BA153" s="581">
        <v>44986</v>
      </c>
      <c r="BB153" s="582">
        <v>2023</v>
      </c>
    </row>
    <row r="154" spans="2:54" ht="15" customHeight="1" x14ac:dyDescent="0.2">
      <c r="B154" s="192" t="str">
        <f>IF(FROTA!B155="","",FROTA!B155)</f>
        <v/>
      </c>
      <c r="C154" s="192" t="str">
        <f>IF(B154="","",FROTA!Z155)</f>
        <v/>
      </c>
      <c r="D154" s="192" t="str">
        <f>IF(B154="","",VLOOKUP(B154,FROTA!$B$5:$C$310,2,0))</f>
        <v/>
      </c>
      <c r="E154" s="233" t="str">
        <f>IF(D154="","",VLOOKUP(D154,ESCALA!$B$3:$H$19,7,0))</f>
        <v/>
      </c>
      <c r="F154" s="219" t="s">
        <v>222</v>
      </c>
      <c r="G154" s="305" t="str">
        <f t="shared" si="25"/>
        <v/>
      </c>
      <c r="H154" s="314" t="str">
        <f>IF($B154="","",IF(H$4="NÃO",0,IF(VLOOKUP($B154,FROTA!$B$5:$R$305,17,0)=H$3,0.02,0)))</f>
        <v/>
      </c>
      <c r="I154" s="193" t="str">
        <f>IF($B154="","",IF(I$4="NÃO",0,IF(VLOOKUP($B154,FROTA!$B$5:$R$305,17,0)=I$3,0.02,0)))</f>
        <v/>
      </c>
      <c r="J154" s="193" t="str">
        <f>IF($B154="","",IF(J$4="NÃO",0,IF(VLOOKUP($B154,FROTA!$B$5:$R$305,17,0)=J$3,0.02,0)))</f>
        <v/>
      </c>
      <c r="K154" s="193" t="str">
        <f>IF($B154="","",IF(K$4="NÃO",0,IF(VLOOKUP($B154,FROTA!$B$5:$R$305,17,0)=K$3,0.02,0)))</f>
        <v/>
      </c>
      <c r="L154" s="193" t="str">
        <f>IF($B154="","",IF(L$4="NÃO",0,IF(VLOOKUP($B154,FROTA!$B$5:$R$305,17,0)=L$3,0.02,0)))</f>
        <v/>
      </c>
      <c r="M154" s="193" t="str">
        <f>IF($B154="","",IF(M$4="NÃO",0,IF(VLOOKUP($B154,FROTA!$B$5:$R$305,17,0)=M$3,0.02,0)))</f>
        <v/>
      </c>
      <c r="N154" s="193" t="str">
        <f>IF($B154="","",IF(M$4="NÃO",0,IF(VLOOKUP($B154,FROTA!$B$5:$R$305,17,0)=N$3,0.02,0)))</f>
        <v/>
      </c>
      <c r="O154" s="311" t="str">
        <f>IF($B154="","",IF(O$4="NÃO",0,IF(VLOOKUP($B154,FROTA!$B$5:$R$305,10,0)=O$3,0.01,0)))</f>
        <v/>
      </c>
      <c r="P154" s="307" t="str">
        <f>IF($B154="","",IF(P$4="NÃO",0,IF(VLOOKUP($B154,FROTA!$B$5:$R$305,10,0)=P$3,0.01,0)))</f>
        <v/>
      </c>
      <c r="Q154" s="307" t="str">
        <f>IF($B154="","",IF(Q$4="NÃO",0,IF(VLOOKUP($B154,FROTA!$B$5:$R$305,10,0)=Q$3,0.01,0)))</f>
        <v/>
      </c>
      <c r="R154" s="307" t="str">
        <f>IF($B154="","",IF(R$4="NÃO",0,IF(VLOOKUP($B154,FROTA!$B$5:$R$305,10,0)=R$3,0.01,0)))</f>
        <v/>
      </c>
      <c r="S154" s="307" t="str">
        <f>IF($B154="","",IF(S$4="NÃO",0,IF(VLOOKUP($B154,FROTA!$B$5:$R$305,10,0)=S$3,0.01,0)))</f>
        <v/>
      </c>
      <c r="T154" s="307" t="str">
        <f>IF($B154="","",IF(T$4="NÃO",0,IF(VLOOKUP($B154,FROTA!$B$5:$R$305,10,0)=T$3,0.01,0)))</f>
        <v/>
      </c>
      <c r="U154" s="307" t="str">
        <f>IF($B154="","",IF(U$4="NÃO",0,IF(VLOOKUP($B154,FROTA!$B$5:$R$305,10,0)=U$3,0.01,0)))</f>
        <v/>
      </c>
      <c r="V154" s="306" t="str">
        <f t="shared" si="26"/>
        <v/>
      </c>
      <c r="W154" s="238" t="str">
        <f t="shared" si="24"/>
        <v/>
      </c>
      <c r="X154" s="576" t="str">
        <f t="shared" si="27"/>
        <v/>
      </c>
      <c r="BA154" s="581">
        <v>44987</v>
      </c>
      <c r="BB154" s="582">
        <v>2023</v>
      </c>
    </row>
    <row r="155" spans="2:54" ht="15" customHeight="1" x14ac:dyDescent="0.2">
      <c r="B155" s="192" t="str">
        <f>IF(FROTA!B156="","",FROTA!B156)</f>
        <v/>
      </c>
      <c r="C155" s="192" t="str">
        <f>IF(B155="","",FROTA!Z156)</f>
        <v/>
      </c>
      <c r="D155" s="192" t="str">
        <f>IF(B155="","",VLOOKUP(B155,FROTA!$B$5:$C$310,2,0))</f>
        <v/>
      </c>
      <c r="E155" s="233" t="str">
        <f>IF(D155="","",VLOOKUP(D155,ESCALA!$B$3:$H$19,7,0))</f>
        <v/>
      </c>
      <c r="F155" s="219" t="s">
        <v>222</v>
      </c>
      <c r="G155" s="305" t="str">
        <f t="shared" si="25"/>
        <v/>
      </c>
      <c r="H155" s="314" t="str">
        <f>IF($B155="","",IF(H$4="NÃO",0,IF(VLOOKUP($B155,FROTA!$B$5:$R$305,17,0)=H$3,0.02,0)))</f>
        <v/>
      </c>
      <c r="I155" s="193" t="str">
        <f>IF($B155="","",IF(I$4="NÃO",0,IF(VLOOKUP($B155,FROTA!$B$5:$R$305,17,0)=I$3,0.02,0)))</f>
        <v/>
      </c>
      <c r="J155" s="193" t="str">
        <f>IF($B155="","",IF(J$4="NÃO",0,IF(VLOOKUP($B155,FROTA!$B$5:$R$305,17,0)=J$3,0.02,0)))</f>
        <v/>
      </c>
      <c r="K155" s="193" t="str">
        <f>IF($B155="","",IF(K$4="NÃO",0,IF(VLOOKUP($B155,FROTA!$B$5:$R$305,17,0)=K$3,0.02,0)))</f>
        <v/>
      </c>
      <c r="L155" s="193" t="str">
        <f>IF($B155="","",IF(L$4="NÃO",0,IF(VLOOKUP($B155,FROTA!$B$5:$R$305,17,0)=L$3,0.02,0)))</f>
        <v/>
      </c>
      <c r="M155" s="193" t="str">
        <f>IF($B155="","",IF(M$4="NÃO",0,IF(VLOOKUP($B155,FROTA!$B$5:$R$305,17,0)=M$3,0.02,0)))</f>
        <v/>
      </c>
      <c r="N155" s="193" t="str">
        <f>IF($B155="","",IF(M$4="NÃO",0,IF(VLOOKUP($B155,FROTA!$B$5:$R$305,17,0)=N$3,0.02,0)))</f>
        <v/>
      </c>
      <c r="O155" s="311" t="str">
        <f>IF($B155="","",IF(O$4="NÃO",0,IF(VLOOKUP($B155,FROTA!$B$5:$R$305,10,0)=O$3,0.01,0)))</f>
        <v/>
      </c>
      <c r="P155" s="307" t="str">
        <f>IF($B155="","",IF(P$4="NÃO",0,IF(VLOOKUP($B155,FROTA!$B$5:$R$305,10,0)=P$3,0.01,0)))</f>
        <v/>
      </c>
      <c r="Q155" s="307" t="str">
        <f>IF($B155="","",IF(Q$4="NÃO",0,IF(VLOOKUP($B155,FROTA!$B$5:$R$305,10,0)=Q$3,0.01,0)))</f>
        <v/>
      </c>
      <c r="R155" s="307" t="str">
        <f>IF($B155="","",IF(R$4="NÃO",0,IF(VLOOKUP($B155,FROTA!$B$5:$R$305,10,0)=R$3,0.01,0)))</f>
        <v/>
      </c>
      <c r="S155" s="307" t="str">
        <f>IF($B155="","",IF(S$4="NÃO",0,IF(VLOOKUP($B155,FROTA!$B$5:$R$305,10,0)=S$3,0.01,0)))</f>
        <v/>
      </c>
      <c r="T155" s="307" t="str">
        <f>IF($B155="","",IF(T$4="NÃO",0,IF(VLOOKUP($B155,FROTA!$B$5:$R$305,10,0)=T$3,0.01,0)))</f>
        <v/>
      </c>
      <c r="U155" s="307" t="str">
        <f>IF($B155="","",IF(U$4="NÃO",0,IF(VLOOKUP($B155,FROTA!$B$5:$R$305,10,0)=U$3,0.01,0)))</f>
        <v/>
      </c>
      <c r="V155" s="306" t="str">
        <f t="shared" si="26"/>
        <v/>
      </c>
      <c r="W155" s="238" t="str">
        <f t="shared" si="24"/>
        <v/>
      </c>
      <c r="X155" s="576" t="str">
        <f t="shared" si="27"/>
        <v/>
      </c>
      <c r="BA155" s="581">
        <v>44988</v>
      </c>
      <c r="BB155" s="582">
        <v>2023</v>
      </c>
    </row>
    <row r="156" spans="2:54" ht="15" customHeight="1" x14ac:dyDescent="0.2">
      <c r="B156" s="192" t="str">
        <f>IF(FROTA!B157="","",FROTA!B157)</f>
        <v/>
      </c>
      <c r="C156" s="192" t="str">
        <f>IF(B156="","",FROTA!Z157)</f>
        <v/>
      </c>
      <c r="D156" s="192" t="str">
        <f>IF(B156="","",VLOOKUP(B156,FROTA!$B$5:$C$310,2,0))</f>
        <v/>
      </c>
      <c r="E156" s="233" t="str">
        <f>IF(D156="","",VLOOKUP(D156,ESCALA!$B$3:$H$19,7,0))</f>
        <v/>
      </c>
      <c r="F156" s="219" t="s">
        <v>222</v>
      </c>
      <c r="G156" s="305" t="str">
        <f t="shared" si="25"/>
        <v/>
      </c>
      <c r="H156" s="314" t="str">
        <f>IF($B156="","",IF(H$4="NÃO",0,IF(VLOOKUP($B156,FROTA!$B$5:$R$305,17,0)=H$3,0.02,0)))</f>
        <v/>
      </c>
      <c r="I156" s="193" t="str">
        <f>IF($B156="","",IF(I$4="NÃO",0,IF(VLOOKUP($B156,FROTA!$B$5:$R$305,17,0)=I$3,0.02,0)))</f>
        <v/>
      </c>
      <c r="J156" s="193" t="str">
        <f>IF($B156="","",IF(J$4="NÃO",0,IF(VLOOKUP($B156,FROTA!$B$5:$R$305,17,0)=J$3,0.02,0)))</f>
        <v/>
      </c>
      <c r="K156" s="193" t="str">
        <f>IF($B156="","",IF(K$4="NÃO",0,IF(VLOOKUP($B156,FROTA!$B$5:$R$305,17,0)=K$3,0.02,0)))</f>
        <v/>
      </c>
      <c r="L156" s="193" t="str">
        <f>IF($B156="","",IF(L$4="NÃO",0,IF(VLOOKUP($B156,FROTA!$B$5:$R$305,17,0)=L$3,0.02,0)))</f>
        <v/>
      </c>
      <c r="M156" s="193" t="str">
        <f>IF($B156="","",IF(M$4="NÃO",0,IF(VLOOKUP($B156,FROTA!$B$5:$R$305,17,0)=M$3,0.02,0)))</f>
        <v/>
      </c>
      <c r="N156" s="193" t="str">
        <f>IF($B156="","",IF(M$4="NÃO",0,IF(VLOOKUP($B156,FROTA!$B$5:$R$305,17,0)=N$3,0.02,0)))</f>
        <v/>
      </c>
      <c r="O156" s="311" t="str">
        <f>IF($B156="","",IF(O$4="NÃO",0,IF(VLOOKUP($B156,FROTA!$B$5:$R$305,10,0)=O$3,0.01,0)))</f>
        <v/>
      </c>
      <c r="P156" s="307" t="str">
        <f>IF($B156="","",IF(P$4="NÃO",0,IF(VLOOKUP($B156,FROTA!$B$5:$R$305,10,0)=P$3,0.01,0)))</f>
        <v/>
      </c>
      <c r="Q156" s="307" t="str">
        <f>IF($B156="","",IF(Q$4="NÃO",0,IF(VLOOKUP($B156,FROTA!$B$5:$R$305,10,0)=Q$3,0.01,0)))</f>
        <v/>
      </c>
      <c r="R156" s="307" t="str">
        <f>IF($B156="","",IF(R$4="NÃO",0,IF(VLOOKUP($B156,FROTA!$B$5:$R$305,10,0)=R$3,0.01,0)))</f>
        <v/>
      </c>
      <c r="S156" s="307" t="str">
        <f>IF($B156="","",IF(S$4="NÃO",0,IF(VLOOKUP($B156,FROTA!$B$5:$R$305,10,0)=S$3,0.01,0)))</f>
        <v/>
      </c>
      <c r="T156" s="307" t="str">
        <f>IF($B156="","",IF(T$4="NÃO",0,IF(VLOOKUP($B156,FROTA!$B$5:$R$305,10,0)=T$3,0.01,0)))</f>
        <v/>
      </c>
      <c r="U156" s="307" t="str">
        <f>IF($B156="","",IF(U$4="NÃO",0,IF(VLOOKUP($B156,FROTA!$B$5:$R$305,10,0)=U$3,0.01,0)))</f>
        <v/>
      </c>
      <c r="V156" s="306" t="str">
        <f t="shared" si="26"/>
        <v/>
      </c>
      <c r="W156" s="238" t="str">
        <f t="shared" si="24"/>
        <v/>
      </c>
      <c r="X156" s="576" t="str">
        <f t="shared" si="27"/>
        <v/>
      </c>
      <c r="BA156" s="581">
        <v>44989</v>
      </c>
      <c r="BB156" s="582">
        <v>2023</v>
      </c>
    </row>
    <row r="157" spans="2:54" ht="15" customHeight="1" x14ac:dyDescent="0.2">
      <c r="B157" s="192" t="str">
        <f>IF(FROTA!B158="","",FROTA!B158)</f>
        <v/>
      </c>
      <c r="C157" s="192" t="str">
        <f>IF(B157="","",FROTA!Z158)</f>
        <v/>
      </c>
      <c r="D157" s="192" t="str">
        <f>IF(B157="","",VLOOKUP(B157,FROTA!$B$5:$C$310,2,0))</f>
        <v/>
      </c>
      <c r="E157" s="233" t="str">
        <f>IF(D157="","",VLOOKUP(D157,ESCALA!$B$3:$H$19,7,0))</f>
        <v/>
      </c>
      <c r="F157" s="219" t="s">
        <v>222</v>
      </c>
      <c r="G157" s="305" t="str">
        <f t="shared" si="25"/>
        <v/>
      </c>
      <c r="H157" s="314" t="str">
        <f>IF($B157="","",IF(H$4="NÃO",0,IF(VLOOKUP($B157,FROTA!$B$5:$R$305,17,0)=H$3,0.02,0)))</f>
        <v/>
      </c>
      <c r="I157" s="193" t="str">
        <f>IF($B157="","",IF(I$4="NÃO",0,IF(VLOOKUP($B157,FROTA!$B$5:$R$305,17,0)=I$3,0.02,0)))</f>
        <v/>
      </c>
      <c r="J157" s="193" t="str">
        <f>IF($B157="","",IF(J$4="NÃO",0,IF(VLOOKUP($B157,FROTA!$B$5:$R$305,17,0)=J$3,0.02,0)))</f>
        <v/>
      </c>
      <c r="K157" s="193" t="str">
        <f>IF($B157="","",IF(K$4="NÃO",0,IF(VLOOKUP($B157,FROTA!$B$5:$R$305,17,0)=K$3,0.02,0)))</f>
        <v/>
      </c>
      <c r="L157" s="193" t="str">
        <f>IF($B157="","",IF(L$4="NÃO",0,IF(VLOOKUP($B157,FROTA!$B$5:$R$305,17,0)=L$3,0.02,0)))</f>
        <v/>
      </c>
      <c r="M157" s="193" t="str">
        <f>IF($B157="","",IF(M$4="NÃO",0,IF(VLOOKUP($B157,FROTA!$B$5:$R$305,17,0)=M$3,0.02,0)))</f>
        <v/>
      </c>
      <c r="N157" s="193" t="str">
        <f>IF($B157="","",IF(M$4="NÃO",0,IF(VLOOKUP($B157,FROTA!$B$5:$R$305,17,0)=N$3,0.02,0)))</f>
        <v/>
      </c>
      <c r="O157" s="311" t="str">
        <f>IF($B157="","",IF(O$4="NÃO",0,IF(VLOOKUP($B157,FROTA!$B$5:$R$305,10,0)=O$3,0.01,0)))</f>
        <v/>
      </c>
      <c r="P157" s="307" t="str">
        <f>IF($B157="","",IF(P$4="NÃO",0,IF(VLOOKUP($B157,FROTA!$B$5:$R$305,10,0)=P$3,0.01,0)))</f>
        <v/>
      </c>
      <c r="Q157" s="307" t="str">
        <f>IF($B157="","",IF(Q$4="NÃO",0,IF(VLOOKUP($B157,FROTA!$B$5:$R$305,10,0)=Q$3,0.01,0)))</f>
        <v/>
      </c>
      <c r="R157" s="307" t="str">
        <f>IF($B157="","",IF(R$4="NÃO",0,IF(VLOOKUP($B157,FROTA!$B$5:$R$305,10,0)=R$3,0.01,0)))</f>
        <v/>
      </c>
      <c r="S157" s="307" t="str">
        <f>IF($B157="","",IF(S$4="NÃO",0,IF(VLOOKUP($B157,FROTA!$B$5:$R$305,10,0)=S$3,0.01,0)))</f>
        <v/>
      </c>
      <c r="T157" s="307" t="str">
        <f>IF($B157="","",IF(T$4="NÃO",0,IF(VLOOKUP($B157,FROTA!$B$5:$R$305,10,0)=T$3,0.01,0)))</f>
        <v/>
      </c>
      <c r="U157" s="307" t="str">
        <f>IF($B157="","",IF(U$4="NÃO",0,IF(VLOOKUP($B157,FROTA!$B$5:$R$305,10,0)=U$3,0.01,0)))</f>
        <v/>
      </c>
      <c r="V157" s="306" t="str">
        <f t="shared" si="26"/>
        <v/>
      </c>
      <c r="W157" s="238" t="str">
        <f t="shared" si="24"/>
        <v/>
      </c>
      <c r="X157" s="576" t="str">
        <f t="shared" si="27"/>
        <v/>
      </c>
      <c r="BA157" s="581">
        <v>44990</v>
      </c>
      <c r="BB157" s="582">
        <v>2023</v>
      </c>
    </row>
    <row r="158" spans="2:54" ht="15" customHeight="1" x14ac:dyDescent="0.2">
      <c r="B158" s="192" t="str">
        <f>IF(FROTA!B159="","",FROTA!B159)</f>
        <v/>
      </c>
      <c r="C158" s="192" t="str">
        <f>IF(B158="","",FROTA!Z159)</f>
        <v/>
      </c>
      <c r="D158" s="192" t="str">
        <f>IF(B158="","",VLOOKUP(B158,FROTA!$B$5:$C$310,2,0))</f>
        <v/>
      </c>
      <c r="E158" s="233" t="str">
        <f>IF(D158="","",VLOOKUP(D158,ESCALA!$B$3:$H$19,7,0))</f>
        <v/>
      </c>
      <c r="F158" s="219" t="s">
        <v>222</v>
      </c>
      <c r="G158" s="305" t="str">
        <f t="shared" si="25"/>
        <v/>
      </c>
      <c r="H158" s="314" t="str">
        <f>IF($B158="","",IF(H$4="NÃO",0,IF(VLOOKUP($B158,FROTA!$B$5:$R$305,17,0)=H$3,0.02,0)))</f>
        <v/>
      </c>
      <c r="I158" s="193" t="str">
        <f>IF($B158="","",IF(I$4="NÃO",0,IF(VLOOKUP($B158,FROTA!$B$5:$R$305,17,0)=I$3,0.02,0)))</f>
        <v/>
      </c>
      <c r="J158" s="193" t="str">
        <f>IF($B158="","",IF(J$4="NÃO",0,IF(VLOOKUP($B158,FROTA!$B$5:$R$305,17,0)=J$3,0.02,0)))</f>
        <v/>
      </c>
      <c r="K158" s="193" t="str">
        <f>IF($B158="","",IF(K$4="NÃO",0,IF(VLOOKUP($B158,FROTA!$B$5:$R$305,17,0)=K$3,0.02,0)))</f>
        <v/>
      </c>
      <c r="L158" s="193" t="str">
        <f>IF($B158="","",IF(L$4="NÃO",0,IF(VLOOKUP($B158,FROTA!$B$5:$R$305,17,0)=L$3,0.02,0)))</f>
        <v/>
      </c>
      <c r="M158" s="193" t="str">
        <f>IF($B158="","",IF(M$4="NÃO",0,IF(VLOOKUP($B158,FROTA!$B$5:$R$305,17,0)=M$3,0.02,0)))</f>
        <v/>
      </c>
      <c r="N158" s="193" t="str">
        <f>IF($B158="","",IF(M$4="NÃO",0,IF(VLOOKUP($B158,FROTA!$B$5:$R$305,17,0)=N$3,0.02,0)))</f>
        <v/>
      </c>
      <c r="O158" s="311" t="str">
        <f>IF($B158="","",IF(O$4="NÃO",0,IF(VLOOKUP($B158,FROTA!$B$5:$R$305,10,0)=O$3,0.01,0)))</f>
        <v/>
      </c>
      <c r="P158" s="307" t="str">
        <f>IF($B158="","",IF(P$4="NÃO",0,IF(VLOOKUP($B158,FROTA!$B$5:$R$305,10,0)=P$3,0.01,0)))</f>
        <v/>
      </c>
      <c r="Q158" s="307" t="str">
        <f>IF($B158="","",IF(Q$4="NÃO",0,IF(VLOOKUP($B158,FROTA!$B$5:$R$305,10,0)=Q$3,0.01,0)))</f>
        <v/>
      </c>
      <c r="R158" s="307" t="str">
        <f>IF($B158="","",IF(R$4="NÃO",0,IF(VLOOKUP($B158,FROTA!$B$5:$R$305,10,0)=R$3,0.01,0)))</f>
        <v/>
      </c>
      <c r="S158" s="307" t="str">
        <f>IF($B158="","",IF(S$4="NÃO",0,IF(VLOOKUP($B158,FROTA!$B$5:$R$305,10,0)=S$3,0.01,0)))</f>
        <v/>
      </c>
      <c r="T158" s="307" t="str">
        <f>IF($B158="","",IF(T$4="NÃO",0,IF(VLOOKUP($B158,FROTA!$B$5:$R$305,10,0)=T$3,0.01,0)))</f>
        <v/>
      </c>
      <c r="U158" s="307" t="str">
        <f>IF($B158="","",IF(U$4="NÃO",0,IF(VLOOKUP($B158,FROTA!$B$5:$R$305,10,0)=U$3,0.01,0)))</f>
        <v/>
      </c>
      <c r="V158" s="306" t="str">
        <f t="shared" si="26"/>
        <v/>
      </c>
      <c r="W158" s="238" t="str">
        <f t="shared" si="24"/>
        <v/>
      </c>
      <c r="X158" s="576" t="str">
        <f t="shared" si="27"/>
        <v/>
      </c>
      <c r="BA158" s="581">
        <v>44991</v>
      </c>
      <c r="BB158" s="582">
        <v>2023</v>
      </c>
    </row>
    <row r="159" spans="2:54" ht="15" customHeight="1" x14ac:dyDescent="0.2">
      <c r="B159" s="192" t="str">
        <f>IF(FROTA!B160="","",FROTA!B160)</f>
        <v/>
      </c>
      <c r="C159" s="192" t="str">
        <f>IF(B159="","",FROTA!Z160)</f>
        <v/>
      </c>
      <c r="D159" s="192" t="str">
        <f>IF(B159="","",VLOOKUP(B159,FROTA!$B$5:$C$310,2,0))</f>
        <v/>
      </c>
      <c r="E159" s="233" t="str">
        <f>IF(D159="","",VLOOKUP(D159,ESCALA!$B$3:$H$19,7,0))</f>
        <v/>
      </c>
      <c r="F159" s="219" t="s">
        <v>222</v>
      </c>
      <c r="G159" s="305" t="str">
        <f t="shared" si="25"/>
        <v/>
      </c>
      <c r="H159" s="314" t="str">
        <f>IF($B159="","",IF(H$4="NÃO",0,IF(VLOOKUP($B159,FROTA!$B$5:$R$305,17,0)=H$3,0.02,0)))</f>
        <v/>
      </c>
      <c r="I159" s="193" t="str">
        <f>IF($B159="","",IF(I$4="NÃO",0,IF(VLOOKUP($B159,FROTA!$B$5:$R$305,17,0)=I$3,0.02,0)))</f>
        <v/>
      </c>
      <c r="J159" s="193" t="str">
        <f>IF($B159="","",IF(J$4="NÃO",0,IF(VLOOKUP($B159,FROTA!$B$5:$R$305,17,0)=J$3,0.02,0)))</f>
        <v/>
      </c>
      <c r="K159" s="193" t="str">
        <f>IF($B159="","",IF(K$4="NÃO",0,IF(VLOOKUP($B159,FROTA!$B$5:$R$305,17,0)=K$3,0.02,0)))</f>
        <v/>
      </c>
      <c r="L159" s="193" t="str">
        <f>IF($B159="","",IF(L$4="NÃO",0,IF(VLOOKUP($B159,FROTA!$B$5:$R$305,17,0)=L$3,0.02,0)))</f>
        <v/>
      </c>
      <c r="M159" s="193" t="str">
        <f>IF($B159="","",IF(M$4="NÃO",0,IF(VLOOKUP($B159,FROTA!$B$5:$R$305,17,0)=M$3,0.02,0)))</f>
        <v/>
      </c>
      <c r="N159" s="193" t="str">
        <f>IF($B159="","",IF(M$4="NÃO",0,IF(VLOOKUP($B159,FROTA!$B$5:$R$305,17,0)=N$3,0.02,0)))</f>
        <v/>
      </c>
      <c r="O159" s="311" t="str">
        <f>IF($B159="","",IF(O$4="NÃO",0,IF(VLOOKUP($B159,FROTA!$B$5:$R$305,10,0)=O$3,0.01,0)))</f>
        <v/>
      </c>
      <c r="P159" s="307" t="str">
        <f>IF($B159="","",IF(P$4="NÃO",0,IF(VLOOKUP($B159,FROTA!$B$5:$R$305,10,0)=P$3,0.01,0)))</f>
        <v/>
      </c>
      <c r="Q159" s="307" t="str">
        <f>IF($B159="","",IF(Q$4="NÃO",0,IF(VLOOKUP($B159,FROTA!$B$5:$R$305,10,0)=Q$3,0.01,0)))</f>
        <v/>
      </c>
      <c r="R159" s="307" t="str">
        <f>IF($B159="","",IF(R$4="NÃO",0,IF(VLOOKUP($B159,FROTA!$B$5:$R$305,10,0)=R$3,0.01,0)))</f>
        <v/>
      </c>
      <c r="S159" s="307" t="str">
        <f>IF($B159="","",IF(S$4="NÃO",0,IF(VLOOKUP($B159,FROTA!$B$5:$R$305,10,0)=S$3,0.01,0)))</f>
        <v/>
      </c>
      <c r="T159" s="307" t="str">
        <f>IF($B159="","",IF(T$4="NÃO",0,IF(VLOOKUP($B159,FROTA!$B$5:$R$305,10,0)=T$3,0.01,0)))</f>
        <v/>
      </c>
      <c r="U159" s="307" t="str">
        <f>IF($B159="","",IF(U$4="NÃO",0,IF(VLOOKUP($B159,FROTA!$B$5:$R$305,10,0)=U$3,0.01,0)))</f>
        <v/>
      </c>
      <c r="V159" s="306" t="str">
        <f t="shared" si="26"/>
        <v/>
      </c>
      <c r="W159" s="238" t="str">
        <f t="shared" si="24"/>
        <v/>
      </c>
      <c r="X159" s="576" t="str">
        <f t="shared" si="27"/>
        <v/>
      </c>
      <c r="BA159" s="581">
        <v>44992</v>
      </c>
      <c r="BB159" s="582">
        <v>2023</v>
      </c>
    </row>
    <row r="160" spans="2:54" ht="15" customHeight="1" x14ac:dyDescent="0.2">
      <c r="B160" s="192" t="str">
        <f>IF(FROTA!B161="","",FROTA!B161)</f>
        <v/>
      </c>
      <c r="C160" s="192" t="str">
        <f>IF(B160="","",FROTA!Z161)</f>
        <v/>
      </c>
      <c r="D160" s="192" t="str">
        <f>IF(B160="","",VLOOKUP(B160,FROTA!$B$5:$C$310,2,0))</f>
        <v/>
      </c>
      <c r="E160" s="233" t="str">
        <f>IF(D160="","",VLOOKUP(D160,ESCALA!$B$3:$H$19,7,0))</f>
        <v/>
      </c>
      <c r="F160" s="219" t="s">
        <v>222</v>
      </c>
      <c r="G160" s="305" t="str">
        <f t="shared" si="25"/>
        <v/>
      </c>
      <c r="H160" s="314" t="str">
        <f>IF($B160="","",IF(H$4="NÃO",0,IF(VLOOKUP($B160,FROTA!$B$5:$R$305,17,0)=H$3,0.02,0)))</f>
        <v/>
      </c>
      <c r="I160" s="193" t="str">
        <f>IF($B160="","",IF(I$4="NÃO",0,IF(VLOOKUP($B160,FROTA!$B$5:$R$305,17,0)=I$3,0.02,0)))</f>
        <v/>
      </c>
      <c r="J160" s="193" t="str">
        <f>IF($B160="","",IF(J$4="NÃO",0,IF(VLOOKUP($B160,FROTA!$B$5:$R$305,17,0)=J$3,0.02,0)))</f>
        <v/>
      </c>
      <c r="K160" s="193" t="str">
        <f>IF($B160="","",IF(K$4="NÃO",0,IF(VLOOKUP($B160,FROTA!$B$5:$R$305,17,0)=K$3,0.02,0)))</f>
        <v/>
      </c>
      <c r="L160" s="193" t="str">
        <f>IF($B160="","",IF(L$4="NÃO",0,IF(VLOOKUP($B160,FROTA!$B$5:$R$305,17,0)=L$3,0.02,0)))</f>
        <v/>
      </c>
      <c r="M160" s="193" t="str">
        <f>IF($B160="","",IF(M$4="NÃO",0,IF(VLOOKUP($B160,FROTA!$B$5:$R$305,17,0)=M$3,0.02,0)))</f>
        <v/>
      </c>
      <c r="N160" s="193" t="str">
        <f>IF($B160="","",IF(M$4="NÃO",0,IF(VLOOKUP($B160,FROTA!$B$5:$R$305,17,0)=N$3,0.02,0)))</f>
        <v/>
      </c>
      <c r="O160" s="311" t="str">
        <f>IF($B160="","",IF(O$4="NÃO",0,IF(VLOOKUP($B160,FROTA!$B$5:$R$305,10,0)=O$3,0.01,0)))</f>
        <v/>
      </c>
      <c r="P160" s="307" t="str">
        <f>IF($B160="","",IF(P$4="NÃO",0,IF(VLOOKUP($B160,FROTA!$B$5:$R$305,10,0)=P$3,0.01,0)))</f>
        <v/>
      </c>
      <c r="Q160" s="307" t="str">
        <f>IF($B160="","",IF(Q$4="NÃO",0,IF(VLOOKUP($B160,FROTA!$B$5:$R$305,10,0)=Q$3,0.01,0)))</f>
        <v/>
      </c>
      <c r="R160" s="307" t="str">
        <f>IF($B160="","",IF(R$4="NÃO",0,IF(VLOOKUP($B160,FROTA!$B$5:$R$305,10,0)=R$3,0.01,0)))</f>
        <v/>
      </c>
      <c r="S160" s="307" t="str">
        <f>IF($B160="","",IF(S$4="NÃO",0,IF(VLOOKUP($B160,FROTA!$B$5:$R$305,10,0)=S$3,0.01,0)))</f>
        <v/>
      </c>
      <c r="T160" s="307" t="str">
        <f>IF($B160="","",IF(T$4="NÃO",0,IF(VLOOKUP($B160,FROTA!$B$5:$R$305,10,0)=T$3,0.01,0)))</f>
        <v/>
      </c>
      <c r="U160" s="307" t="str">
        <f>IF($B160="","",IF(U$4="NÃO",0,IF(VLOOKUP($B160,FROTA!$B$5:$R$305,10,0)=U$3,0.01,0)))</f>
        <v/>
      </c>
      <c r="V160" s="306" t="str">
        <f t="shared" si="26"/>
        <v/>
      </c>
      <c r="W160" s="238" t="str">
        <f t="shared" si="24"/>
        <v/>
      </c>
      <c r="X160" s="576" t="str">
        <f t="shared" si="27"/>
        <v/>
      </c>
      <c r="BA160" s="581">
        <v>44993</v>
      </c>
      <c r="BB160" s="582">
        <v>2023</v>
      </c>
    </row>
    <row r="161" spans="2:54" ht="15" customHeight="1" x14ac:dyDescent="0.2">
      <c r="B161" s="192" t="str">
        <f>IF(FROTA!B162="","",FROTA!B162)</f>
        <v/>
      </c>
      <c r="C161" s="192" t="str">
        <f>IF(B161="","",FROTA!Z162)</f>
        <v/>
      </c>
      <c r="D161" s="192" t="str">
        <f>IF(B161="","",VLOOKUP(B161,FROTA!$B$5:$C$310,2,0))</f>
        <v/>
      </c>
      <c r="E161" s="233" t="str">
        <f>IF(D161="","",VLOOKUP(D161,ESCALA!$B$3:$H$19,7,0))</f>
        <v/>
      </c>
      <c r="F161" s="219" t="s">
        <v>222</v>
      </c>
      <c r="G161" s="305" t="str">
        <f t="shared" si="25"/>
        <v/>
      </c>
      <c r="H161" s="314" t="str">
        <f>IF($B161="","",IF(H$4="NÃO",0,IF(VLOOKUP($B161,FROTA!$B$5:$R$305,17,0)=H$3,0.02,0)))</f>
        <v/>
      </c>
      <c r="I161" s="193" t="str">
        <f>IF($B161="","",IF(I$4="NÃO",0,IF(VLOOKUP($B161,FROTA!$B$5:$R$305,17,0)=I$3,0.02,0)))</f>
        <v/>
      </c>
      <c r="J161" s="193" t="str">
        <f>IF($B161="","",IF(J$4="NÃO",0,IF(VLOOKUP($B161,FROTA!$B$5:$R$305,17,0)=J$3,0.02,0)))</f>
        <v/>
      </c>
      <c r="K161" s="193" t="str">
        <f>IF($B161="","",IF(K$4="NÃO",0,IF(VLOOKUP($B161,FROTA!$B$5:$R$305,17,0)=K$3,0.02,0)))</f>
        <v/>
      </c>
      <c r="L161" s="193" t="str">
        <f>IF($B161="","",IF(L$4="NÃO",0,IF(VLOOKUP($B161,FROTA!$B$5:$R$305,17,0)=L$3,0.02,0)))</f>
        <v/>
      </c>
      <c r="M161" s="193" t="str">
        <f>IF($B161="","",IF(M$4="NÃO",0,IF(VLOOKUP($B161,FROTA!$B$5:$R$305,17,0)=M$3,0.02,0)))</f>
        <v/>
      </c>
      <c r="N161" s="193" t="str">
        <f>IF($B161="","",IF(M$4="NÃO",0,IF(VLOOKUP($B161,FROTA!$B$5:$R$305,17,0)=N$3,0.02,0)))</f>
        <v/>
      </c>
      <c r="O161" s="311" t="str">
        <f>IF($B161="","",IF(O$4="NÃO",0,IF(VLOOKUP($B161,FROTA!$B$5:$R$305,10,0)=O$3,0.01,0)))</f>
        <v/>
      </c>
      <c r="P161" s="307" t="str">
        <f>IF($B161="","",IF(P$4="NÃO",0,IF(VLOOKUP($B161,FROTA!$B$5:$R$305,10,0)=P$3,0.01,0)))</f>
        <v/>
      </c>
      <c r="Q161" s="307" t="str">
        <f>IF($B161="","",IF(Q$4="NÃO",0,IF(VLOOKUP($B161,FROTA!$B$5:$R$305,10,0)=Q$3,0.01,0)))</f>
        <v/>
      </c>
      <c r="R161" s="307" t="str">
        <f>IF($B161="","",IF(R$4="NÃO",0,IF(VLOOKUP($B161,FROTA!$B$5:$R$305,10,0)=R$3,0.01,0)))</f>
        <v/>
      </c>
      <c r="S161" s="307" t="str">
        <f>IF($B161="","",IF(S$4="NÃO",0,IF(VLOOKUP($B161,FROTA!$B$5:$R$305,10,0)=S$3,0.01,0)))</f>
        <v/>
      </c>
      <c r="T161" s="307" t="str">
        <f>IF($B161="","",IF(T$4="NÃO",0,IF(VLOOKUP($B161,FROTA!$B$5:$R$305,10,0)=T$3,0.01,0)))</f>
        <v/>
      </c>
      <c r="U161" s="307" t="str">
        <f>IF($B161="","",IF(U$4="NÃO",0,IF(VLOOKUP($B161,FROTA!$B$5:$R$305,10,0)=U$3,0.01,0)))</f>
        <v/>
      </c>
      <c r="V161" s="306" t="str">
        <f t="shared" si="26"/>
        <v/>
      </c>
      <c r="W161" s="238" t="str">
        <f t="shared" si="24"/>
        <v/>
      </c>
      <c r="X161" s="576" t="str">
        <f t="shared" si="27"/>
        <v/>
      </c>
      <c r="BA161" s="581">
        <v>44994</v>
      </c>
      <c r="BB161" s="582">
        <v>2023</v>
      </c>
    </row>
    <row r="162" spans="2:54" ht="15" customHeight="1" x14ac:dyDescent="0.2">
      <c r="B162" s="192" t="str">
        <f>IF(FROTA!B163="","",FROTA!B163)</f>
        <v/>
      </c>
      <c r="C162" s="192" t="str">
        <f>IF(B162="","",FROTA!Z163)</f>
        <v/>
      </c>
      <c r="D162" s="192" t="str">
        <f>IF(B162="","",VLOOKUP(B162,FROTA!$B$5:$C$310,2,0))</f>
        <v/>
      </c>
      <c r="E162" s="233" t="str">
        <f>IF(D162="","",VLOOKUP(D162,ESCALA!$B$3:$H$19,7,0))</f>
        <v/>
      </c>
      <c r="F162" s="219" t="s">
        <v>222</v>
      </c>
      <c r="G162" s="305" t="str">
        <f t="shared" si="25"/>
        <v/>
      </c>
      <c r="H162" s="314" t="str">
        <f>IF($B162="","",IF(H$4="NÃO",0,IF(VLOOKUP($B162,FROTA!$B$5:$R$305,17,0)=H$3,0.02,0)))</f>
        <v/>
      </c>
      <c r="I162" s="193" t="str">
        <f>IF($B162="","",IF(I$4="NÃO",0,IF(VLOOKUP($B162,FROTA!$B$5:$R$305,17,0)=I$3,0.02,0)))</f>
        <v/>
      </c>
      <c r="J162" s="193" t="str">
        <f>IF($B162="","",IF(J$4="NÃO",0,IF(VLOOKUP($B162,FROTA!$B$5:$R$305,17,0)=J$3,0.02,0)))</f>
        <v/>
      </c>
      <c r="K162" s="193" t="str">
        <f>IF($B162="","",IF(K$4="NÃO",0,IF(VLOOKUP($B162,FROTA!$B$5:$R$305,17,0)=K$3,0.02,0)))</f>
        <v/>
      </c>
      <c r="L162" s="193" t="str">
        <f>IF($B162="","",IF(L$4="NÃO",0,IF(VLOOKUP($B162,FROTA!$B$5:$R$305,17,0)=L$3,0.02,0)))</f>
        <v/>
      </c>
      <c r="M162" s="193" t="str">
        <f>IF($B162="","",IF(M$4="NÃO",0,IF(VLOOKUP($B162,FROTA!$B$5:$R$305,17,0)=M$3,0.02,0)))</f>
        <v/>
      </c>
      <c r="N162" s="193" t="str">
        <f>IF($B162="","",IF(M$4="NÃO",0,IF(VLOOKUP($B162,FROTA!$B$5:$R$305,17,0)=N$3,0.02,0)))</f>
        <v/>
      </c>
      <c r="O162" s="311" t="str">
        <f>IF($B162="","",IF(O$4="NÃO",0,IF(VLOOKUP($B162,FROTA!$B$5:$R$305,10,0)=O$3,0.01,0)))</f>
        <v/>
      </c>
      <c r="P162" s="307" t="str">
        <f>IF($B162="","",IF(P$4="NÃO",0,IF(VLOOKUP($B162,FROTA!$B$5:$R$305,10,0)=P$3,0.01,0)))</f>
        <v/>
      </c>
      <c r="Q162" s="307" t="str">
        <f>IF($B162="","",IF(Q$4="NÃO",0,IF(VLOOKUP($B162,FROTA!$B$5:$R$305,10,0)=Q$3,0.01,0)))</f>
        <v/>
      </c>
      <c r="R162" s="307" t="str">
        <f>IF($B162="","",IF(R$4="NÃO",0,IF(VLOOKUP($B162,FROTA!$B$5:$R$305,10,0)=R$3,0.01,0)))</f>
        <v/>
      </c>
      <c r="S162" s="307" t="str">
        <f>IF($B162="","",IF(S$4="NÃO",0,IF(VLOOKUP($B162,FROTA!$B$5:$R$305,10,0)=S$3,0.01,0)))</f>
        <v/>
      </c>
      <c r="T162" s="307" t="str">
        <f>IF($B162="","",IF(T$4="NÃO",0,IF(VLOOKUP($B162,FROTA!$B$5:$R$305,10,0)=T$3,0.01,0)))</f>
        <v/>
      </c>
      <c r="U162" s="307" t="str">
        <f>IF($B162="","",IF(U$4="NÃO",0,IF(VLOOKUP($B162,FROTA!$B$5:$R$305,10,0)=U$3,0.01,0)))</f>
        <v/>
      </c>
      <c r="V162" s="306" t="str">
        <f t="shared" si="26"/>
        <v/>
      </c>
      <c r="W162" s="238" t="str">
        <f t="shared" si="24"/>
        <v/>
      </c>
      <c r="X162" s="576" t="str">
        <f t="shared" si="27"/>
        <v/>
      </c>
      <c r="BA162" s="581">
        <v>44995</v>
      </c>
      <c r="BB162" s="582">
        <v>2023</v>
      </c>
    </row>
    <row r="163" spans="2:54" ht="15" customHeight="1" x14ac:dyDescent="0.2">
      <c r="B163" s="192" t="str">
        <f>IF(FROTA!B164="","",FROTA!B164)</f>
        <v/>
      </c>
      <c r="C163" s="192" t="str">
        <f>IF(B163="","",FROTA!Z164)</f>
        <v/>
      </c>
      <c r="D163" s="192" t="str">
        <f>IF(B163="","",VLOOKUP(B163,FROTA!$B$5:$C$310,2,0))</f>
        <v/>
      </c>
      <c r="E163" s="233" t="str">
        <f>IF(D163="","",VLOOKUP(D163,ESCALA!$B$3:$H$19,7,0))</f>
        <v/>
      </c>
      <c r="F163" s="219" t="s">
        <v>222</v>
      </c>
      <c r="G163" s="305" t="str">
        <f t="shared" si="25"/>
        <v/>
      </c>
      <c r="H163" s="314" t="str">
        <f>IF($B163="","",IF(H$4="NÃO",0,IF(VLOOKUP($B163,FROTA!$B$5:$R$305,17,0)=H$3,0.02,0)))</f>
        <v/>
      </c>
      <c r="I163" s="193" t="str">
        <f>IF($B163="","",IF(I$4="NÃO",0,IF(VLOOKUP($B163,FROTA!$B$5:$R$305,17,0)=I$3,0.02,0)))</f>
        <v/>
      </c>
      <c r="J163" s="193" t="str">
        <f>IF($B163="","",IF(J$4="NÃO",0,IF(VLOOKUP($B163,FROTA!$B$5:$R$305,17,0)=J$3,0.02,0)))</f>
        <v/>
      </c>
      <c r="K163" s="193" t="str">
        <f>IF($B163="","",IF(K$4="NÃO",0,IF(VLOOKUP($B163,FROTA!$B$5:$R$305,17,0)=K$3,0.02,0)))</f>
        <v/>
      </c>
      <c r="L163" s="193" t="str">
        <f>IF($B163="","",IF(L$4="NÃO",0,IF(VLOOKUP($B163,FROTA!$B$5:$R$305,17,0)=L$3,0.02,0)))</f>
        <v/>
      </c>
      <c r="M163" s="193" t="str">
        <f>IF($B163="","",IF(M$4="NÃO",0,IF(VLOOKUP($B163,FROTA!$B$5:$R$305,17,0)=M$3,0.02,0)))</f>
        <v/>
      </c>
      <c r="N163" s="193" t="str">
        <f>IF($B163="","",IF(M$4="NÃO",0,IF(VLOOKUP($B163,FROTA!$B$5:$R$305,17,0)=N$3,0.02,0)))</f>
        <v/>
      </c>
      <c r="O163" s="311" t="str">
        <f>IF($B163="","",IF(O$4="NÃO",0,IF(VLOOKUP($B163,FROTA!$B$5:$R$305,10,0)=O$3,0.01,0)))</f>
        <v/>
      </c>
      <c r="P163" s="307" t="str">
        <f>IF($B163="","",IF(P$4="NÃO",0,IF(VLOOKUP($B163,FROTA!$B$5:$R$305,10,0)=P$3,0.01,0)))</f>
        <v/>
      </c>
      <c r="Q163" s="307" t="str">
        <f>IF($B163="","",IF(Q$4="NÃO",0,IF(VLOOKUP($B163,FROTA!$B$5:$R$305,10,0)=Q$3,0.01,0)))</f>
        <v/>
      </c>
      <c r="R163" s="307" t="str">
        <f>IF($B163="","",IF(R$4="NÃO",0,IF(VLOOKUP($B163,FROTA!$B$5:$R$305,10,0)=R$3,0.01,0)))</f>
        <v/>
      </c>
      <c r="S163" s="307" t="str">
        <f>IF($B163="","",IF(S$4="NÃO",0,IF(VLOOKUP($B163,FROTA!$B$5:$R$305,10,0)=S$3,0.01,0)))</f>
        <v/>
      </c>
      <c r="T163" s="307" t="str">
        <f>IF($B163="","",IF(T$4="NÃO",0,IF(VLOOKUP($B163,FROTA!$B$5:$R$305,10,0)=T$3,0.01,0)))</f>
        <v/>
      </c>
      <c r="U163" s="307" t="str">
        <f>IF($B163="","",IF(U$4="NÃO",0,IF(VLOOKUP($B163,FROTA!$B$5:$R$305,10,0)=U$3,0.01,0)))</f>
        <v/>
      </c>
      <c r="V163" s="306" t="str">
        <f t="shared" si="26"/>
        <v/>
      </c>
      <c r="W163" s="238" t="str">
        <f t="shared" si="24"/>
        <v/>
      </c>
      <c r="X163" s="576" t="str">
        <f t="shared" si="27"/>
        <v/>
      </c>
      <c r="BA163" s="581">
        <v>44996</v>
      </c>
      <c r="BB163" s="582">
        <v>2023</v>
      </c>
    </row>
    <row r="164" spans="2:54" ht="15" customHeight="1" x14ac:dyDescent="0.2">
      <c r="B164" s="192" t="str">
        <f>IF(FROTA!B165="","",FROTA!B165)</f>
        <v/>
      </c>
      <c r="C164" s="192" t="str">
        <f>IF(B164="","",FROTA!Z165)</f>
        <v/>
      </c>
      <c r="D164" s="192" t="str">
        <f>IF(B164="","",VLOOKUP(B164,FROTA!$B$5:$C$310,2,0))</f>
        <v/>
      </c>
      <c r="E164" s="233" t="str">
        <f>IF(D164="","",VLOOKUP(D164,ESCALA!$B$3:$H$19,7,0))</f>
        <v/>
      </c>
      <c r="F164" s="219" t="s">
        <v>222</v>
      </c>
      <c r="G164" s="305" t="str">
        <f t="shared" si="25"/>
        <v/>
      </c>
      <c r="H164" s="314" t="str">
        <f>IF($B164="","",IF(H$4="NÃO",0,IF(VLOOKUP($B164,FROTA!$B$5:$R$305,17,0)=H$3,0.02,0)))</f>
        <v/>
      </c>
      <c r="I164" s="193" t="str">
        <f>IF($B164="","",IF(I$4="NÃO",0,IF(VLOOKUP($B164,FROTA!$B$5:$R$305,17,0)=I$3,0.02,0)))</f>
        <v/>
      </c>
      <c r="J164" s="193" t="str">
        <f>IF($B164="","",IF(J$4="NÃO",0,IF(VLOOKUP($B164,FROTA!$B$5:$R$305,17,0)=J$3,0.02,0)))</f>
        <v/>
      </c>
      <c r="K164" s="193" t="str">
        <f>IF($B164="","",IF(K$4="NÃO",0,IF(VLOOKUP($B164,FROTA!$B$5:$R$305,17,0)=K$3,0.02,0)))</f>
        <v/>
      </c>
      <c r="L164" s="193" t="str">
        <f>IF($B164="","",IF(L$4="NÃO",0,IF(VLOOKUP($B164,FROTA!$B$5:$R$305,17,0)=L$3,0.02,0)))</f>
        <v/>
      </c>
      <c r="M164" s="193" t="str">
        <f>IF($B164="","",IF(M$4="NÃO",0,IF(VLOOKUP($B164,FROTA!$B$5:$R$305,17,0)=M$3,0.02,0)))</f>
        <v/>
      </c>
      <c r="N164" s="193" t="str">
        <f>IF($B164="","",IF(M$4="NÃO",0,IF(VLOOKUP($B164,FROTA!$B$5:$R$305,17,0)=N$3,0.02,0)))</f>
        <v/>
      </c>
      <c r="O164" s="311" t="str">
        <f>IF($B164="","",IF(O$4="NÃO",0,IF(VLOOKUP($B164,FROTA!$B$5:$R$305,10,0)=O$3,0.01,0)))</f>
        <v/>
      </c>
      <c r="P164" s="307" t="str">
        <f>IF($B164="","",IF(P$4="NÃO",0,IF(VLOOKUP($B164,FROTA!$B$5:$R$305,10,0)=P$3,0.01,0)))</f>
        <v/>
      </c>
      <c r="Q164" s="307" t="str">
        <f>IF($B164="","",IF(Q$4="NÃO",0,IF(VLOOKUP($B164,FROTA!$B$5:$R$305,10,0)=Q$3,0.01,0)))</f>
        <v/>
      </c>
      <c r="R164" s="307" t="str">
        <f>IF($B164="","",IF(R$4="NÃO",0,IF(VLOOKUP($B164,FROTA!$B$5:$R$305,10,0)=R$3,0.01,0)))</f>
        <v/>
      </c>
      <c r="S164" s="307" t="str">
        <f>IF($B164="","",IF(S$4="NÃO",0,IF(VLOOKUP($B164,FROTA!$B$5:$R$305,10,0)=S$3,0.01,0)))</f>
        <v/>
      </c>
      <c r="T164" s="307" t="str">
        <f>IF($B164="","",IF(T$4="NÃO",0,IF(VLOOKUP($B164,FROTA!$B$5:$R$305,10,0)=T$3,0.01,0)))</f>
        <v/>
      </c>
      <c r="U164" s="307" t="str">
        <f>IF($B164="","",IF(U$4="NÃO",0,IF(VLOOKUP($B164,FROTA!$B$5:$R$305,10,0)=U$3,0.01,0)))</f>
        <v/>
      </c>
      <c r="V164" s="306" t="str">
        <f t="shared" si="26"/>
        <v/>
      </c>
      <c r="W164" s="238" t="str">
        <f t="shared" si="24"/>
        <v/>
      </c>
      <c r="X164" s="576" t="str">
        <f t="shared" si="27"/>
        <v/>
      </c>
      <c r="BA164" s="581">
        <v>44997</v>
      </c>
      <c r="BB164" s="582">
        <v>2023</v>
      </c>
    </row>
    <row r="165" spans="2:54" ht="15" customHeight="1" x14ac:dyDescent="0.2">
      <c r="B165" s="192" t="str">
        <f>IF(FROTA!B166="","",FROTA!B166)</f>
        <v/>
      </c>
      <c r="C165" s="192" t="str">
        <f>IF(B165="","",FROTA!Z166)</f>
        <v/>
      </c>
      <c r="D165" s="192" t="str">
        <f>IF(B165="","",VLOOKUP(B165,FROTA!$B$5:$C$310,2,0))</f>
        <v/>
      </c>
      <c r="E165" s="233" t="str">
        <f>IF(D165="","",VLOOKUP(D165,ESCALA!$B$3:$H$19,7,0))</f>
        <v/>
      </c>
      <c r="F165" s="219" t="s">
        <v>222</v>
      </c>
      <c r="G165" s="305" t="str">
        <f t="shared" si="25"/>
        <v/>
      </c>
      <c r="H165" s="314" t="str">
        <f>IF($B165="","",IF(H$4="NÃO",0,IF(VLOOKUP($B165,FROTA!$B$5:$R$305,17,0)=H$3,0.02,0)))</f>
        <v/>
      </c>
      <c r="I165" s="193" t="str">
        <f>IF($B165="","",IF(I$4="NÃO",0,IF(VLOOKUP($B165,FROTA!$B$5:$R$305,17,0)=I$3,0.02,0)))</f>
        <v/>
      </c>
      <c r="J165" s="193" t="str">
        <f>IF($B165="","",IF(J$4="NÃO",0,IF(VLOOKUP($B165,FROTA!$B$5:$R$305,17,0)=J$3,0.02,0)))</f>
        <v/>
      </c>
      <c r="K165" s="193" t="str">
        <f>IF($B165="","",IF(K$4="NÃO",0,IF(VLOOKUP($B165,FROTA!$B$5:$R$305,17,0)=K$3,0.02,0)))</f>
        <v/>
      </c>
      <c r="L165" s="193" t="str">
        <f>IF($B165="","",IF(L$4="NÃO",0,IF(VLOOKUP($B165,FROTA!$B$5:$R$305,17,0)=L$3,0.02,0)))</f>
        <v/>
      </c>
      <c r="M165" s="193" t="str">
        <f>IF($B165="","",IF(M$4="NÃO",0,IF(VLOOKUP($B165,FROTA!$B$5:$R$305,17,0)=M$3,0.02,0)))</f>
        <v/>
      </c>
      <c r="N165" s="193" t="str">
        <f>IF($B165="","",IF(M$4="NÃO",0,IF(VLOOKUP($B165,FROTA!$B$5:$R$305,17,0)=N$3,0.02,0)))</f>
        <v/>
      </c>
      <c r="O165" s="311" t="str">
        <f>IF($B165="","",IF(O$4="NÃO",0,IF(VLOOKUP($B165,FROTA!$B$5:$R$305,10,0)=O$3,0.01,0)))</f>
        <v/>
      </c>
      <c r="P165" s="307" t="str">
        <f>IF($B165="","",IF(P$4="NÃO",0,IF(VLOOKUP($B165,FROTA!$B$5:$R$305,10,0)=P$3,0.01,0)))</f>
        <v/>
      </c>
      <c r="Q165" s="307" t="str">
        <f>IF($B165="","",IF(Q$4="NÃO",0,IF(VLOOKUP($B165,FROTA!$B$5:$R$305,10,0)=Q$3,0.01,0)))</f>
        <v/>
      </c>
      <c r="R165" s="307" t="str">
        <f>IF($B165="","",IF(R$4="NÃO",0,IF(VLOOKUP($B165,FROTA!$B$5:$R$305,10,0)=R$3,0.01,0)))</f>
        <v/>
      </c>
      <c r="S165" s="307" t="str">
        <f>IF($B165="","",IF(S$4="NÃO",0,IF(VLOOKUP($B165,FROTA!$B$5:$R$305,10,0)=S$3,0.01,0)))</f>
        <v/>
      </c>
      <c r="T165" s="307" t="str">
        <f>IF($B165="","",IF(T$4="NÃO",0,IF(VLOOKUP($B165,FROTA!$B$5:$R$305,10,0)=T$3,0.01,0)))</f>
        <v/>
      </c>
      <c r="U165" s="307" t="str">
        <f>IF($B165="","",IF(U$4="NÃO",0,IF(VLOOKUP($B165,FROTA!$B$5:$R$305,10,0)=U$3,0.01,0)))</f>
        <v/>
      </c>
      <c r="V165" s="306" t="str">
        <f t="shared" si="26"/>
        <v/>
      </c>
      <c r="W165" s="238" t="str">
        <f t="shared" si="24"/>
        <v/>
      </c>
      <c r="X165" s="576" t="str">
        <f t="shared" si="27"/>
        <v/>
      </c>
      <c r="BA165" s="581">
        <v>44998</v>
      </c>
      <c r="BB165" s="582">
        <v>2023</v>
      </c>
    </row>
    <row r="166" spans="2:54" ht="15" customHeight="1" x14ac:dyDescent="0.2">
      <c r="B166" s="192" t="str">
        <f>IF(FROTA!B167="","",FROTA!B167)</f>
        <v/>
      </c>
      <c r="C166" s="192" t="str">
        <f>IF(B166="","",FROTA!Z167)</f>
        <v/>
      </c>
      <c r="D166" s="192" t="str">
        <f>IF(B166="","",VLOOKUP(B166,FROTA!$B$5:$C$310,2,0))</f>
        <v/>
      </c>
      <c r="E166" s="233" t="str">
        <f>IF(D166="","",VLOOKUP(D166,ESCALA!$B$3:$H$19,7,0))</f>
        <v/>
      </c>
      <c r="F166" s="219" t="s">
        <v>222</v>
      </c>
      <c r="G166" s="305" t="str">
        <f t="shared" si="25"/>
        <v/>
      </c>
      <c r="H166" s="314" t="str">
        <f>IF($B166="","",IF(H$4="NÃO",0,IF(VLOOKUP($B166,FROTA!$B$5:$R$305,17,0)=H$3,0.02,0)))</f>
        <v/>
      </c>
      <c r="I166" s="193" t="str">
        <f>IF($B166="","",IF(I$4="NÃO",0,IF(VLOOKUP($B166,FROTA!$B$5:$R$305,17,0)=I$3,0.02,0)))</f>
        <v/>
      </c>
      <c r="J166" s="193" t="str">
        <f>IF($B166="","",IF(J$4="NÃO",0,IF(VLOOKUP($B166,FROTA!$B$5:$R$305,17,0)=J$3,0.02,0)))</f>
        <v/>
      </c>
      <c r="K166" s="193" t="str">
        <f>IF($B166="","",IF(K$4="NÃO",0,IF(VLOOKUP($B166,FROTA!$B$5:$R$305,17,0)=K$3,0.02,0)))</f>
        <v/>
      </c>
      <c r="L166" s="193" t="str">
        <f>IF($B166="","",IF(L$4="NÃO",0,IF(VLOOKUP($B166,FROTA!$B$5:$R$305,17,0)=L$3,0.02,0)))</f>
        <v/>
      </c>
      <c r="M166" s="193" t="str">
        <f>IF($B166="","",IF(M$4="NÃO",0,IF(VLOOKUP($B166,FROTA!$B$5:$R$305,17,0)=M$3,0.02,0)))</f>
        <v/>
      </c>
      <c r="N166" s="193" t="str">
        <f>IF($B166="","",IF(M$4="NÃO",0,IF(VLOOKUP($B166,FROTA!$B$5:$R$305,17,0)=N$3,0.02,0)))</f>
        <v/>
      </c>
      <c r="O166" s="311" t="str">
        <f>IF($B166="","",IF(O$4="NÃO",0,IF(VLOOKUP($B166,FROTA!$B$5:$R$305,10,0)=O$3,0.01,0)))</f>
        <v/>
      </c>
      <c r="P166" s="307" t="str">
        <f>IF($B166="","",IF(P$4="NÃO",0,IF(VLOOKUP($B166,FROTA!$B$5:$R$305,10,0)=P$3,0.01,0)))</f>
        <v/>
      </c>
      <c r="Q166" s="307" t="str">
        <f>IF($B166="","",IF(Q$4="NÃO",0,IF(VLOOKUP($B166,FROTA!$B$5:$R$305,10,0)=Q$3,0.01,0)))</f>
        <v/>
      </c>
      <c r="R166" s="307" t="str">
        <f>IF($B166="","",IF(R$4="NÃO",0,IF(VLOOKUP($B166,FROTA!$B$5:$R$305,10,0)=R$3,0.01,0)))</f>
        <v/>
      </c>
      <c r="S166" s="307" t="str">
        <f>IF($B166="","",IF(S$4="NÃO",0,IF(VLOOKUP($B166,FROTA!$B$5:$R$305,10,0)=S$3,0.01,0)))</f>
        <v/>
      </c>
      <c r="T166" s="307" t="str">
        <f>IF($B166="","",IF(T$4="NÃO",0,IF(VLOOKUP($B166,FROTA!$B$5:$R$305,10,0)=T$3,0.01,0)))</f>
        <v/>
      </c>
      <c r="U166" s="307" t="str">
        <f>IF($B166="","",IF(U$4="NÃO",0,IF(VLOOKUP($B166,FROTA!$B$5:$R$305,10,0)=U$3,0.01,0)))</f>
        <v/>
      </c>
      <c r="V166" s="306" t="str">
        <f t="shared" si="26"/>
        <v/>
      </c>
      <c r="W166" s="238" t="str">
        <f t="shared" si="24"/>
        <v/>
      </c>
      <c r="X166" s="576" t="str">
        <f t="shared" si="27"/>
        <v/>
      </c>
      <c r="BA166" s="581">
        <v>44999</v>
      </c>
      <c r="BB166" s="582">
        <v>2023</v>
      </c>
    </row>
    <row r="167" spans="2:54" ht="15" customHeight="1" x14ac:dyDescent="0.2">
      <c r="B167" s="192" t="str">
        <f>IF(FROTA!B168="","",FROTA!B168)</f>
        <v/>
      </c>
      <c r="C167" s="192" t="str">
        <f>IF(B167="","",FROTA!Z168)</f>
        <v/>
      </c>
      <c r="D167" s="192" t="str">
        <f>IF(B167="","",VLOOKUP(B167,FROTA!$B$5:$C$310,2,0))</f>
        <v/>
      </c>
      <c r="E167" s="233" t="str">
        <f>IF(D167="","",VLOOKUP(D167,ESCALA!$B$3:$H$19,7,0))</f>
        <v/>
      </c>
      <c r="F167" s="219" t="s">
        <v>222</v>
      </c>
      <c r="G167" s="305" t="str">
        <f t="shared" si="25"/>
        <v/>
      </c>
      <c r="H167" s="314" t="str">
        <f>IF($B167="","",IF(H$4="NÃO",0,IF(VLOOKUP($B167,FROTA!$B$5:$R$305,17,0)=H$3,0.02,0)))</f>
        <v/>
      </c>
      <c r="I167" s="193" t="str">
        <f>IF($B167="","",IF(I$4="NÃO",0,IF(VLOOKUP($B167,FROTA!$B$5:$R$305,17,0)=I$3,0.02,0)))</f>
        <v/>
      </c>
      <c r="J167" s="193" t="str">
        <f>IF($B167="","",IF(J$4="NÃO",0,IF(VLOOKUP($B167,FROTA!$B$5:$R$305,17,0)=J$3,0.02,0)))</f>
        <v/>
      </c>
      <c r="K167" s="193" t="str">
        <f>IF($B167="","",IF(K$4="NÃO",0,IF(VLOOKUP($B167,FROTA!$B$5:$R$305,17,0)=K$3,0.02,0)))</f>
        <v/>
      </c>
      <c r="L167" s="193" t="str">
        <f>IF($B167="","",IF(L$4="NÃO",0,IF(VLOOKUP($B167,FROTA!$B$5:$R$305,17,0)=L$3,0.02,0)))</f>
        <v/>
      </c>
      <c r="M167" s="193" t="str">
        <f>IF($B167="","",IF(M$4="NÃO",0,IF(VLOOKUP($B167,FROTA!$B$5:$R$305,17,0)=M$3,0.02,0)))</f>
        <v/>
      </c>
      <c r="N167" s="193" t="str">
        <f>IF($B167="","",IF(M$4="NÃO",0,IF(VLOOKUP($B167,FROTA!$B$5:$R$305,17,0)=N$3,0.02,0)))</f>
        <v/>
      </c>
      <c r="O167" s="311" t="str">
        <f>IF($B167="","",IF(O$4="NÃO",0,IF(VLOOKUP($B167,FROTA!$B$5:$R$305,10,0)=O$3,0.01,0)))</f>
        <v/>
      </c>
      <c r="P167" s="307" t="str">
        <f>IF($B167="","",IF(P$4="NÃO",0,IF(VLOOKUP($B167,FROTA!$B$5:$R$305,10,0)=P$3,0.01,0)))</f>
        <v/>
      </c>
      <c r="Q167" s="307" t="str">
        <f>IF($B167="","",IF(Q$4="NÃO",0,IF(VLOOKUP($B167,FROTA!$B$5:$R$305,10,0)=Q$3,0.01,0)))</f>
        <v/>
      </c>
      <c r="R167" s="307" t="str">
        <f>IF($B167="","",IF(R$4="NÃO",0,IF(VLOOKUP($B167,FROTA!$B$5:$R$305,10,0)=R$3,0.01,0)))</f>
        <v/>
      </c>
      <c r="S167" s="307" t="str">
        <f>IF($B167="","",IF(S$4="NÃO",0,IF(VLOOKUP($B167,FROTA!$B$5:$R$305,10,0)=S$3,0.01,0)))</f>
        <v/>
      </c>
      <c r="T167" s="307" t="str">
        <f>IF($B167="","",IF(T$4="NÃO",0,IF(VLOOKUP($B167,FROTA!$B$5:$R$305,10,0)=T$3,0.01,0)))</f>
        <v/>
      </c>
      <c r="U167" s="307" t="str">
        <f>IF($B167="","",IF(U$4="NÃO",0,IF(VLOOKUP($B167,FROTA!$B$5:$R$305,10,0)=U$3,0.01,0)))</f>
        <v/>
      </c>
      <c r="V167" s="306" t="str">
        <f t="shared" si="26"/>
        <v/>
      </c>
      <c r="W167" s="238" t="str">
        <f t="shared" si="24"/>
        <v/>
      </c>
      <c r="X167" s="576" t="str">
        <f t="shared" si="27"/>
        <v/>
      </c>
      <c r="BA167" s="581">
        <v>45000</v>
      </c>
      <c r="BB167" s="582">
        <v>2023</v>
      </c>
    </row>
    <row r="168" spans="2:54" ht="15" customHeight="1" x14ac:dyDescent="0.2">
      <c r="B168" s="192" t="str">
        <f>IF(FROTA!B169="","",FROTA!B169)</f>
        <v/>
      </c>
      <c r="C168" s="192" t="str">
        <f>IF(B168="","",FROTA!Z169)</f>
        <v/>
      </c>
      <c r="D168" s="192" t="str">
        <f>IF(B168="","",VLOOKUP(B168,FROTA!$B$5:$C$310,2,0))</f>
        <v/>
      </c>
      <c r="E168" s="233" t="str">
        <f>IF(D168="","",VLOOKUP(D168,ESCALA!$B$3:$H$19,7,0))</f>
        <v/>
      </c>
      <c r="F168" s="219" t="s">
        <v>222</v>
      </c>
      <c r="G168" s="305" t="str">
        <f t="shared" si="25"/>
        <v/>
      </c>
      <c r="H168" s="314" t="str">
        <f>IF($B168="","",IF(H$4="NÃO",0,IF(VLOOKUP($B168,FROTA!$B$5:$R$305,17,0)=H$3,0.02,0)))</f>
        <v/>
      </c>
      <c r="I168" s="193" t="str">
        <f>IF($B168="","",IF(I$4="NÃO",0,IF(VLOOKUP($B168,FROTA!$B$5:$R$305,17,0)=I$3,0.02,0)))</f>
        <v/>
      </c>
      <c r="J168" s="193" t="str">
        <f>IF($B168="","",IF(J$4="NÃO",0,IF(VLOOKUP($B168,FROTA!$B$5:$R$305,17,0)=J$3,0.02,0)))</f>
        <v/>
      </c>
      <c r="K168" s="193" t="str">
        <f>IF($B168="","",IF(K$4="NÃO",0,IF(VLOOKUP($B168,FROTA!$B$5:$R$305,17,0)=K$3,0.02,0)))</f>
        <v/>
      </c>
      <c r="L168" s="193" t="str">
        <f>IF($B168="","",IF(L$4="NÃO",0,IF(VLOOKUP($B168,FROTA!$B$5:$R$305,17,0)=L$3,0.02,0)))</f>
        <v/>
      </c>
      <c r="M168" s="193" t="str">
        <f>IF($B168="","",IF(M$4="NÃO",0,IF(VLOOKUP($B168,FROTA!$B$5:$R$305,17,0)=M$3,0.02,0)))</f>
        <v/>
      </c>
      <c r="N168" s="193" t="str">
        <f>IF($B168="","",IF(M$4="NÃO",0,IF(VLOOKUP($B168,FROTA!$B$5:$R$305,17,0)=N$3,0.02,0)))</f>
        <v/>
      </c>
      <c r="O168" s="311" t="str">
        <f>IF($B168="","",IF(O$4="NÃO",0,IF(VLOOKUP($B168,FROTA!$B$5:$R$305,10,0)=O$3,0.01,0)))</f>
        <v/>
      </c>
      <c r="P168" s="307" t="str">
        <f>IF($B168="","",IF(P$4="NÃO",0,IF(VLOOKUP($B168,FROTA!$B$5:$R$305,10,0)=P$3,0.01,0)))</f>
        <v/>
      </c>
      <c r="Q168" s="307" t="str">
        <f>IF($B168="","",IF(Q$4="NÃO",0,IF(VLOOKUP($B168,FROTA!$B$5:$R$305,10,0)=Q$3,0.01,0)))</f>
        <v/>
      </c>
      <c r="R168" s="307" t="str">
        <f>IF($B168="","",IF(R$4="NÃO",0,IF(VLOOKUP($B168,FROTA!$B$5:$R$305,10,0)=R$3,0.01,0)))</f>
        <v/>
      </c>
      <c r="S168" s="307" t="str">
        <f>IF($B168="","",IF(S$4="NÃO",0,IF(VLOOKUP($B168,FROTA!$B$5:$R$305,10,0)=S$3,0.01,0)))</f>
        <v/>
      </c>
      <c r="T168" s="307" t="str">
        <f>IF($B168="","",IF(T$4="NÃO",0,IF(VLOOKUP($B168,FROTA!$B$5:$R$305,10,0)=T$3,0.01,0)))</f>
        <v/>
      </c>
      <c r="U168" s="307" t="str">
        <f>IF($B168="","",IF(U$4="NÃO",0,IF(VLOOKUP($B168,FROTA!$B$5:$R$305,10,0)=U$3,0.01,0)))</f>
        <v/>
      </c>
      <c r="V168" s="306" t="str">
        <f t="shared" si="26"/>
        <v/>
      </c>
      <c r="W168" s="238" t="str">
        <f t="shared" si="24"/>
        <v/>
      </c>
      <c r="X168" s="576" t="str">
        <f t="shared" si="27"/>
        <v/>
      </c>
      <c r="BA168" s="581">
        <v>45001</v>
      </c>
      <c r="BB168" s="582">
        <v>2023</v>
      </c>
    </row>
    <row r="169" spans="2:54" ht="15" customHeight="1" x14ac:dyDescent="0.2">
      <c r="B169" s="192" t="str">
        <f>IF(FROTA!B170="","",FROTA!B170)</f>
        <v/>
      </c>
      <c r="C169" s="192" t="str">
        <f>IF(B169="","",FROTA!Z170)</f>
        <v/>
      </c>
      <c r="D169" s="192" t="str">
        <f>IF(B169="","",VLOOKUP(B169,FROTA!$B$5:$C$310,2,0))</f>
        <v/>
      </c>
      <c r="E169" s="233" t="str">
        <f>IF(D169="","",VLOOKUP(D169,ESCALA!$B$3:$H$19,7,0))</f>
        <v/>
      </c>
      <c r="F169" s="219" t="s">
        <v>222</v>
      </c>
      <c r="G169" s="305" t="str">
        <f t="shared" si="25"/>
        <v/>
      </c>
      <c r="H169" s="314" t="str">
        <f>IF($B169="","",IF(H$4="NÃO",0,IF(VLOOKUP($B169,FROTA!$B$5:$R$305,17,0)=H$3,0.02,0)))</f>
        <v/>
      </c>
      <c r="I169" s="193" t="str">
        <f>IF($B169="","",IF(I$4="NÃO",0,IF(VLOOKUP($B169,FROTA!$B$5:$R$305,17,0)=I$3,0.02,0)))</f>
        <v/>
      </c>
      <c r="J169" s="193" t="str">
        <f>IF($B169="","",IF(J$4="NÃO",0,IF(VLOOKUP($B169,FROTA!$B$5:$R$305,17,0)=J$3,0.02,0)))</f>
        <v/>
      </c>
      <c r="K169" s="193" t="str">
        <f>IF($B169="","",IF(K$4="NÃO",0,IF(VLOOKUP($B169,FROTA!$B$5:$R$305,17,0)=K$3,0.02,0)))</f>
        <v/>
      </c>
      <c r="L169" s="193" t="str">
        <f>IF($B169="","",IF(L$4="NÃO",0,IF(VLOOKUP($B169,FROTA!$B$5:$R$305,17,0)=L$3,0.02,0)))</f>
        <v/>
      </c>
      <c r="M169" s="193" t="str">
        <f>IF($B169="","",IF(M$4="NÃO",0,IF(VLOOKUP($B169,FROTA!$B$5:$R$305,17,0)=M$3,0.02,0)))</f>
        <v/>
      </c>
      <c r="N169" s="193" t="str">
        <f>IF($B169="","",IF(M$4="NÃO",0,IF(VLOOKUP($B169,FROTA!$B$5:$R$305,17,0)=N$3,0.02,0)))</f>
        <v/>
      </c>
      <c r="O169" s="311" t="str">
        <f>IF($B169="","",IF(O$4="NÃO",0,IF(VLOOKUP($B169,FROTA!$B$5:$R$305,10,0)=O$3,0.01,0)))</f>
        <v/>
      </c>
      <c r="P169" s="307" t="str">
        <f>IF($B169="","",IF(P$4="NÃO",0,IF(VLOOKUP($B169,FROTA!$B$5:$R$305,10,0)=P$3,0.01,0)))</f>
        <v/>
      </c>
      <c r="Q169" s="307" t="str">
        <f>IF($B169="","",IF(Q$4="NÃO",0,IF(VLOOKUP($B169,FROTA!$B$5:$R$305,10,0)=Q$3,0.01,0)))</f>
        <v/>
      </c>
      <c r="R169" s="307" t="str">
        <f>IF($B169="","",IF(R$4="NÃO",0,IF(VLOOKUP($B169,FROTA!$B$5:$R$305,10,0)=R$3,0.01,0)))</f>
        <v/>
      </c>
      <c r="S169" s="307" t="str">
        <f>IF($B169="","",IF(S$4="NÃO",0,IF(VLOOKUP($B169,FROTA!$B$5:$R$305,10,0)=S$3,0.01,0)))</f>
        <v/>
      </c>
      <c r="T169" s="307" t="str">
        <f>IF($B169="","",IF(T$4="NÃO",0,IF(VLOOKUP($B169,FROTA!$B$5:$R$305,10,0)=T$3,0.01,0)))</f>
        <v/>
      </c>
      <c r="U169" s="307" t="str">
        <f>IF($B169="","",IF(U$4="NÃO",0,IF(VLOOKUP($B169,FROTA!$B$5:$R$305,10,0)=U$3,0.01,0)))</f>
        <v/>
      </c>
      <c r="V169" s="306" t="str">
        <f t="shared" si="26"/>
        <v/>
      </c>
      <c r="W169" s="238" t="str">
        <f t="shared" si="24"/>
        <v/>
      </c>
      <c r="X169" s="576" t="str">
        <f t="shared" si="27"/>
        <v/>
      </c>
      <c r="BA169" s="581">
        <v>45002</v>
      </c>
      <c r="BB169" s="582">
        <v>2023</v>
      </c>
    </row>
    <row r="170" spans="2:54" ht="15" customHeight="1" x14ac:dyDescent="0.2">
      <c r="B170" s="192" t="str">
        <f>IF(FROTA!B171="","",FROTA!B171)</f>
        <v/>
      </c>
      <c r="C170" s="192" t="str">
        <f>IF(B170="","",FROTA!Z171)</f>
        <v/>
      </c>
      <c r="D170" s="192" t="str">
        <f>IF(B170="","",VLOOKUP(B170,FROTA!$B$5:$C$310,2,0))</f>
        <v/>
      </c>
      <c r="E170" s="233" t="str">
        <f>IF(D170="","",VLOOKUP(D170,ESCALA!$B$3:$H$19,7,0))</f>
        <v/>
      </c>
      <c r="F170" s="219" t="s">
        <v>222</v>
      </c>
      <c r="G170" s="305" t="str">
        <f t="shared" si="25"/>
        <v/>
      </c>
      <c r="H170" s="314" t="str">
        <f>IF($B170="","",IF(H$4="NÃO",0,IF(VLOOKUP($B170,FROTA!$B$5:$R$305,17,0)=H$3,0.02,0)))</f>
        <v/>
      </c>
      <c r="I170" s="193" t="str">
        <f>IF($B170="","",IF(I$4="NÃO",0,IF(VLOOKUP($B170,FROTA!$B$5:$R$305,17,0)=I$3,0.02,0)))</f>
        <v/>
      </c>
      <c r="J170" s="193" t="str">
        <f>IF($B170="","",IF(J$4="NÃO",0,IF(VLOOKUP($B170,FROTA!$B$5:$R$305,17,0)=J$3,0.02,0)))</f>
        <v/>
      </c>
      <c r="K170" s="193" t="str">
        <f>IF($B170="","",IF(K$4="NÃO",0,IF(VLOOKUP($B170,FROTA!$B$5:$R$305,17,0)=K$3,0.02,0)))</f>
        <v/>
      </c>
      <c r="L170" s="193" t="str">
        <f>IF($B170="","",IF(L$4="NÃO",0,IF(VLOOKUP($B170,FROTA!$B$5:$R$305,17,0)=L$3,0.02,0)))</f>
        <v/>
      </c>
      <c r="M170" s="193" t="str">
        <f>IF($B170="","",IF(M$4="NÃO",0,IF(VLOOKUP($B170,FROTA!$B$5:$R$305,17,0)=M$3,0.02,0)))</f>
        <v/>
      </c>
      <c r="N170" s="193" t="str">
        <f>IF($B170="","",IF(M$4="NÃO",0,IF(VLOOKUP($B170,FROTA!$B$5:$R$305,17,0)=N$3,0.02,0)))</f>
        <v/>
      </c>
      <c r="O170" s="311" t="str">
        <f>IF($B170="","",IF(O$4="NÃO",0,IF(VLOOKUP($B170,FROTA!$B$5:$R$305,10,0)=O$3,0.01,0)))</f>
        <v/>
      </c>
      <c r="P170" s="307" t="str">
        <f>IF($B170="","",IF(P$4="NÃO",0,IF(VLOOKUP($B170,FROTA!$B$5:$R$305,10,0)=P$3,0.01,0)))</f>
        <v/>
      </c>
      <c r="Q170" s="307" t="str">
        <f>IF($B170="","",IF(Q$4="NÃO",0,IF(VLOOKUP($B170,FROTA!$B$5:$R$305,10,0)=Q$3,0.01,0)))</f>
        <v/>
      </c>
      <c r="R170" s="307" t="str">
        <f>IF($B170="","",IF(R$4="NÃO",0,IF(VLOOKUP($B170,FROTA!$B$5:$R$305,10,0)=R$3,0.01,0)))</f>
        <v/>
      </c>
      <c r="S170" s="307" t="str">
        <f>IF($B170="","",IF(S$4="NÃO",0,IF(VLOOKUP($B170,FROTA!$B$5:$R$305,10,0)=S$3,0.01,0)))</f>
        <v/>
      </c>
      <c r="T170" s="307" t="str">
        <f>IF($B170="","",IF(T$4="NÃO",0,IF(VLOOKUP($B170,FROTA!$B$5:$R$305,10,0)=T$3,0.01,0)))</f>
        <v/>
      </c>
      <c r="U170" s="307" t="str">
        <f>IF($B170="","",IF(U$4="NÃO",0,IF(VLOOKUP($B170,FROTA!$B$5:$R$305,10,0)=U$3,0.01,0)))</f>
        <v/>
      </c>
      <c r="V170" s="306" t="str">
        <f t="shared" si="26"/>
        <v/>
      </c>
      <c r="W170" s="238" t="str">
        <f t="shared" si="24"/>
        <v/>
      </c>
      <c r="X170" s="576" t="str">
        <f t="shared" si="27"/>
        <v/>
      </c>
      <c r="BA170" s="581">
        <v>45003</v>
      </c>
      <c r="BB170" s="582">
        <v>2023</v>
      </c>
    </row>
    <row r="171" spans="2:54" ht="15" customHeight="1" x14ac:dyDescent="0.2">
      <c r="B171" s="192" t="str">
        <f>IF(FROTA!B172="","",FROTA!B172)</f>
        <v/>
      </c>
      <c r="C171" s="192" t="str">
        <f>IF(B171="","",FROTA!Z172)</f>
        <v/>
      </c>
      <c r="D171" s="192" t="str">
        <f>IF(B171="","",VLOOKUP(B171,FROTA!$B$5:$C$310,2,0))</f>
        <v/>
      </c>
      <c r="E171" s="233" t="str">
        <f>IF(D171="","",VLOOKUP(D171,ESCALA!$B$3:$H$19,7,0))</f>
        <v/>
      </c>
      <c r="F171" s="219" t="s">
        <v>222</v>
      </c>
      <c r="G171" s="305" t="str">
        <f t="shared" si="25"/>
        <v/>
      </c>
      <c r="H171" s="314" t="str">
        <f>IF($B171="","",IF(H$4="NÃO",0,IF(VLOOKUP($B171,FROTA!$B$5:$R$305,17,0)=H$3,0.02,0)))</f>
        <v/>
      </c>
      <c r="I171" s="193" t="str">
        <f>IF($B171="","",IF(I$4="NÃO",0,IF(VLOOKUP($B171,FROTA!$B$5:$R$305,17,0)=I$3,0.02,0)))</f>
        <v/>
      </c>
      <c r="J171" s="193" t="str">
        <f>IF($B171="","",IF(J$4="NÃO",0,IF(VLOOKUP($B171,FROTA!$B$5:$R$305,17,0)=J$3,0.02,0)))</f>
        <v/>
      </c>
      <c r="K171" s="193" t="str">
        <f>IF($B171="","",IF(K$4="NÃO",0,IF(VLOOKUP($B171,FROTA!$B$5:$R$305,17,0)=K$3,0.02,0)))</f>
        <v/>
      </c>
      <c r="L171" s="193" t="str">
        <f>IF($B171="","",IF(L$4="NÃO",0,IF(VLOOKUP($B171,FROTA!$B$5:$R$305,17,0)=L$3,0.02,0)))</f>
        <v/>
      </c>
      <c r="M171" s="193" t="str">
        <f>IF($B171="","",IF(M$4="NÃO",0,IF(VLOOKUP($B171,FROTA!$B$5:$R$305,17,0)=M$3,0.02,0)))</f>
        <v/>
      </c>
      <c r="N171" s="193" t="str">
        <f>IF($B171="","",IF(M$4="NÃO",0,IF(VLOOKUP($B171,FROTA!$B$5:$R$305,17,0)=N$3,0.02,0)))</f>
        <v/>
      </c>
      <c r="O171" s="311" t="str">
        <f>IF($B171="","",IF(O$4="NÃO",0,IF(VLOOKUP($B171,FROTA!$B$5:$R$305,10,0)=O$3,0.01,0)))</f>
        <v/>
      </c>
      <c r="P171" s="307" t="str">
        <f>IF($B171="","",IF(P$4="NÃO",0,IF(VLOOKUP($B171,FROTA!$B$5:$R$305,10,0)=P$3,0.01,0)))</f>
        <v/>
      </c>
      <c r="Q171" s="307" t="str">
        <f>IF($B171="","",IF(Q$4="NÃO",0,IF(VLOOKUP($B171,FROTA!$B$5:$R$305,10,0)=Q$3,0.01,0)))</f>
        <v/>
      </c>
      <c r="R171" s="307" t="str">
        <f>IF($B171="","",IF(R$4="NÃO",0,IF(VLOOKUP($B171,FROTA!$B$5:$R$305,10,0)=R$3,0.01,0)))</f>
        <v/>
      </c>
      <c r="S171" s="307" t="str">
        <f>IF($B171="","",IF(S$4="NÃO",0,IF(VLOOKUP($B171,FROTA!$B$5:$R$305,10,0)=S$3,0.01,0)))</f>
        <v/>
      </c>
      <c r="T171" s="307" t="str">
        <f>IF($B171="","",IF(T$4="NÃO",0,IF(VLOOKUP($B171,FROTA!$B$5:$R$305,10,0)=T$3,0.01,0)))</f>
        <v/>
      </c>
      <c r="U171" s="307" t="str">
        <f>IF($B171="","",IF(U$4="NÃO",0,IF(VLOOKUP($B171,FROTA!$B$5:$R$305,10,0)=U$3,0.01,0)))</f>
        <v/>
      </c>
      <c r="V171" s="306" t="str">
        <f t="shared" si="26"/>
        <v/>
      </c>
      <c r="W171" s="238" t="str">
        <f t="shared" si="24"/>
        <v/>
      </c>
      <c r="X171" s="576" t="str">
        <f t="shared" si="27"/>
        <v/>
      </c>
      <c r="BA171" s="581">
        <v>45004</v>
      </c>
      <c r="BB171" s="582">
        <v>2023</v>
      </c>
    </row>
    <row r="172" spans="2:54" ht="15" customHeight="1" x14ac:dyDescent="0.2">
      <c r="B172" s="192" t="str">
        <f>IF(FROTA!B173="","",FROTA!B173)</f>
        <v/>
      </c>
      <c r="C172" s="192" t="str">
        <f>IF(B172="","",FROTA!Z173)</f>
        <v/>
      </c>
      <c r="D172" s="192" t="str">
        <f>IF(B172="","",VLOOKUP(B172,FROTA!$B$5:$C$310,2,0))</f>
        <v/>
      </c>
      <c r="E172" s="233" t="str">
        <f>IF(D172="","",VLOOKUP(D172,ESCALA!$B$3:$H$19,7,0))</f>
        <v/>
      </c>
      <c r="F172" s="219" t="s">
        <v>222</v>
      </c>
      <c r="G172" s="305" t="str">
        <f t="shared" si="25"/>
        <v/>
      </c>
      <c r="H172" s="314" t="str">
        <f>IF($B172="","",IF(H$4="NÃO",0,IF(VLOOKUP($B172,FROTA!$B$5:$R$305,17,0)=H$3,0.02,0)))</f>
        <v/>
      </c>
      <c r="I172" s="193" t="str">
        <f>IF($B172="","",IF(I$4="NÃO",0,IF(VLOOKUP($B172,FROTA!$B$5:$R$305,17,0)=I$3,0.02,0)))</f>
        <v/>
      </c>
      <c r="J172" s="193" t="str">
        <f>IF($B172="","",IF(J$4="NÃO",0,IF(VLOOKUP($B172,FROTA!$B$5:$R$305,17,0)=J$3,0.02,0)))</f>
        <v/>
      </c>
      <c r="K172" s="193" t="str">
        <f>IF($B172="","",IF(K$4="NÃO",0,IF(VLOOKUP($B172,FROTA!$B$5:$R$305,17,0)=K$3,0.02,0)))</f>
        <v/>
      </c>
      <c r="L172" s="193" t="str">
        <f>IF($B172="","",IF(L$4="NÃO",0,IF(VLOOKUP($B172,FROTA!$B$5:$R$305,17,0)=L$3,0.02,0)))</f>
        <v/>
      </c>
      <c r="M172" s="193" t="str">
        <f>IF($B172="","",IF(M$4="NÃO",0,IF(VLOOKUP($B172,FROTA!$B$5:$R$305,17,0)=M$3,0.02,0)))</f>
        <v/>
      </c>
      <c r="N172" s="193" t="str">
        <f>IF($B172="","",IF(M$4="NÃO",0,IF(VLOOKUP($B172,FROTA!$B$5:$R$305,17,0)=N$3,0.02,0)))</f>
        <v/>
      </c>
      <c r="O172" s="311" t="str">
        <f>IF($B172="","",IF(O$4="NÃO",0,IF(VLOOKUP($B172,FROTA!$B$5:$R$305,10,0)=O$3,0.01,0)))</f>
        <v/>
      </c>
      <c r="P172" s="307" t="str">
        <f>IF($B172="","",IF(P$4="NÃO",0,IF(VLOOKUP($B172,FROTA!$B$5:$R$305,10,0)=P$3,0.01,0)))</f>
        <v/>
      </c>
      <c r="Q172" s="307" t="str">
        <f>IF($B172="","",IF(Q$4="NÃO",0,IF(VLOOKUP($B172,FROTA!$B$5:$R$305,10,0)=Q$3,0.01,0)))</f>
        <v/>
      </c>
      <c r="R172" s="307" t="str">
        <f>IF($B172="","",IF(R$4="NÃO",0,IF(VLOOKUP($B172,FROTA!$B$5:$R$305,10,0)=R$3,0.01,0)))</f>
        <v/>
      </c>
      <c r="S172" s="307" t="str">
        <f>IF($B172="","",IF(S$4="NÃO",0,IF(VLOOKUP($B172,FROTA!$B$5:$R$305,10,0)=S$3,0.01,0)))</f>
        <v/>
      </c>
      <c r="T172" s="307" t="str">
        <f>IF($B172="","",IF(T$4="NÃO",0,IF(VLOOKUP($B172,FROTA!$B$5:$R$305,10,0)=T$3,0.01,0)))</f>
        <v/>
      </c>
      <c r="U172" s="307" t="str">
        <f>IF($B172="","",IF(U$4="NÃO",0,IF(VLOOKUP($B172,FROTA!$B$5:$R$305,10,0)=U$3,0.01,0)))</f>
        <v/>
      </c>
      <c r="V172" s="306" t="str">
        <f t="shared" si="26"/>
        <v/>
      </c>
      <c r="W172" s="238" t="str">
        <f t="shared" si="24"/>
        <v/>
      </c>
      <c r="X172" s="576" t="str">
        <f t="shared" si="27"/>
        <v/>
      </c>
      <c r="BA172" s="581">
        <v>45005</v>
      </c>
      <c r="BB172" s="582">
        <v>2023</v>
      </c>
    </row>
    <row r="173" spans="2:54" ht="15" customHeight="1" x14ac:dyDescent="0.2">
      <c r="B173" s="192" t="str">
        <f>IF(FROTA!B174="","",FROTA!B174)</f>
        <v/>
      </c>
      <c r="C173" s="192" t="str">
        <f>IF(B173="","",FROTA!Z174)</f>
        <v/>
      </c>
      <c r="D173" s="192" t="str">
        <f>IF(B173="","",VLOOKUP(B173,FROTA!$B$5:$C$310,2,0))</f>
        <v/>
      </c>
      <c r="E173" s="233" t="str">
        <f>IF(D173="","",VLOOKUP(D173,ESCALA!$B$3:$H$19,7,0))</f>
        <v/>
      </c>
      <c r="F173" s="219" t="s">
        <v>222</v>
      </c>
      <c r="G173" s="305" t="str">
        <f t="shared" si="25"/>
        <v/>
      </c>
      <c r="H173" s="314" t="str">
        <f>IF($B173="","",IF(H$4="NÃO",0,IF(VLOOKUP($B173,FROTA!$B$5:$R$305,17,0)=H$3,0.02,0)))</f>
        <v/>
      </c>
      <c r="I173" s="193" t="str">
        <f>IF($B173="","",IF(I$4="NÃO",0,IF(VLOOKUP($B173,FROTA!$B$5:$R$305,17,0)=I$3,0.02,0)))</f>
        <v/>
      </c>
      <c r="J173" s="193" t="str">
        <f>IF($B173="","",IF(J$4="NÃO",0,IF(VLOOKUP($B173,FROTA!$B$5:$R$305,17,0)=J$3,0.02,0)))</f>
        <v/>
      </c>
      <c r="K173" s="193" t="str">
        <f>IF($B173="","",IF(K$4="NÃO",0,IF(VLOOKUP($B173,FROTA!$B$5:$R$305,17,0)=K$3,0.02,0)))</f>
        <v/>
      </c>
      <c r="L173" s="193" t="str">
        <f>IF($B173="","",IF(L$4="NÃO",0,IF(VLOOKUP($B173,FROTA!$B$5:$R$305,17,0)=L$3,0.02,0)))</f>
        <v/>
      </c>
      <c r="M173" s="193" t="str">
        <f>IF($B173="","",IF(M$4="NÃO",0,IF(VLOOKUP($B173,FROTA!$B$5:$R$305,17,0)=M$3,0.02,0)))</f>
        <v/>
      </c>
      <c r="N173" s="193" t="str">
        <f>IF($B173="","",IF(M$4="NÃO",0,IF(VLOOKUP($B173,FROTA!$B$5:$R$305,17,0)=N$3,0.02,0)))</f>
        <v/>
      </c>
      <c r="O173" s="311" t="str">
        <f>IF($B173="","",IF(O$4="NÃO",0,IF(VLOOKUP($B173,FROTA!$B$5:$R$305,10,0)=O$3,0.01,0)))</f>
        <v/>
      </c>
      <c r="P173" s="307" t="str">
        <f>IF($B173="","",IF(P$4="NÃO",0,IF(VLOOKUP($B173,FROTA!$B$5:$R$305,10,0)=P$3,0.01,0)))</f>
        <v/>
      </c>
      <c r="Q173" s="307" t="str">
        <f>IF($B173="","",IF(Q$4="NÃO",0,IF(VLOOKUP($B173,FROTA!$B$5:$R$305,10,0)=Q$3,0.01,0)))</f>
        <v/>
      </c>
      <c r="R173" s="307" t="str">
        <f>IF($B173="","",IF(R$4="NÃO",0,IF(VLOOKUP($B173,FROTA!$B$5:$R$305,10,0)=R$3,0.01,0)))</f>
        <v/>
      </c>
      <c r="S173" s="307" t="str">
        <f>IF($B173="","",IF(S$4="NÃO",0,IF(VLOOKUP($B173,FROTA!$B$5:$R$305,10,0)=S$3,0.01,0)))</f>
        <v/>
      </c>
      <c r="T173" s="307" t="str">
        <f>IF($B173="","",IF(T$4="NÃO",0,IF(VLOOKUP($B173,FROTA!$B$5:$R$305,10,0)=T$3,0.01,0)))</f>
        <v/>
      </c>
      <c r="U173" s="307" t="str">
        <f>IF($B173="","",IF(U$4="NÃO",0,IF(VLOOKUP($B173,FROTA!$B$5:$R$305,10,0)=U$3,0.01,0)))</f>
        <v/>
      </c>
      <c r="V173" s="306" t="str">
        <f t="shared" si="26"/>
        <v/>
      </c>
      <c r="W173" s="238" t="str">
        <f t="shared" si="24"/>
        <v/>
      </c>
      <c r="X173" s="576" t="str">
        <f t="shared" si="27"/>
        <v/>
      </c>
      <c r="BA173" s="581">
        <v>45006</v>
      </c>
      <c r="BB173" s="582">
        <v>2023</v>
      </c>
    </row>
    <row r="174" spans="2:54" ht="15" customHeight="1" x14ac:dyDescent="0.2">
      <c r="B174" s="192" t="str">
        <f>IF(FROTA!B175="","",FROTA!B175)</f>
        <v/>
      </c>
      <c r="C174" s="192" t="str">
        <f>IF(B174="","",FROTA!Z175)</f>
        <v/>
      </c>
      <c r="D174" s="192" t="str">
        <f>IF(B174="","",VLOOKUP(B174,FROTA!$B$5:$C$310,2,0))</f>
        <v/>
      </c>
      <c r="E174" s="233" t="str">
        <f>IF(D174="","",VLOOKUP(D174,ESCALA!$B$3:$H$19,7,0))</f>
        <v/>
      </c>
      <c r="F174" s="219" t="s">
        <v>222</v>
      </c>
      <c r="G174" s="305" t="str">
        <f t="shared" si="25"/>
        <v/>
      </c>
      <c r="H174" s="314" t="str">
        <f>IF($B174="","",IF(H$4="NÃO",0,IF(VLOOKUP($B174,FROTA!$B$5:$R$305,17,0)=H$3,0.02,0)))</f>
        <v/>
      </c>
      <c r="I174" s="193" t="str">
        <f>IF($B174="","",IF(I$4="NÃO",0,IF(VLOOKUP($B174,FROTA!$B$5:$R$305,17,0)=I$3,0.02,0)))</f>
        <v/>
      </c>
      <c r="J174" s="193" t="str">
        <f>IF($B174="","",IF(J$4="NÃO",0,IF(VLOOKUP($B174,FROTA!$B$5:$R$305,17,0)=J$3,0.02,0)))</f>
        <v/>
      </c>
      <c r="K174" s="193" t="str">
        <f>IF($B174="","",IF(K$4="NÃO",0,IF(VLOOKUP($B174,FROTA!$B$5:$R$305,17,0)=K$3,0.02,0)))</f>
        <v/>
      </c>
      <c r="L174" s="193" t="str">
        <f>IF($B174="","",IF(L$4="NÃO",0,IF(VLOOKUP($B174,FROTA!$B$5:$R$305,17,0)=L$3,0.02,0)))</f>
        <v/>
      </c>
      <c r="M174" s="193" t="str">
        <f>IF($B174="","",IF(M$4="NÃO",0,IF(VLOOKUP($B174,FROTA!$B$5:$R$305,17,0)=M$3,0.02,0)))</f>
        <v/>
      </c>
      <c r="N174" s="193" t="str">
        <f>IF($B174="","",IF(M$4="NÃO",0,IF(VLOOKUP($B174,FROTA!$B$5:$R$305,17,0)=N$3,0.02,0)))</f>
        <v/>
      </c>
      <c r="O174" s="311" t="str">
        <f>IF($B174="","",IF(O$4="NÃO",0,IF(VLOOKUP($B174,FROTA!$B$5:$R$305,10,0)=O$3,0.01,0)))</f>
        <v/>
      </c>
      <c r="P174" s="307" t="str">
        <f>IF($B174="","",IF(P$4="NÃO",0,IF(VLOOKUP($B174,FROTA!$B$5:$R$305,10,0)=P$3,0.01,0)))</f>
        <v/>
      </c>
      <c r="Q174" s="307" t="str">
        <f>IF($B174="","",IF(Q$4="NÃO",0,IF(VLOOKUP($B174,FROTA!$B$5:$R$305,10,0)=Q$3,0.01,0)))</f>
        <v/>
      </c>
      <c r="R174" s="307" t="str">
        <f>IF($B174="","",IF(R$4="NÃO",0,IF(VLOOKUP($B174,FROTA!$B$5:$R$305,10,0)=R$3,0.01,0)))</f>
        <v/>
      </c>
      <c r="S174" s="307" t="str">
        <f>IF($B174="","",IF(S$4="NÃO",0,IF(VLOOKUP($B174,FROTA!$B$5:$R$305,10,0)=S$3,0.01,0)))</f>
        <v/>
      </c>
      <c r="T174" s="307" t="str">
        <f>IF($B174="","",IF(T$4="NÃO",0,IF(VLOOKUP($B174,FROTA!$B$5:$R$305,10,0)=T$3,0.01,0)))</f>
        <v/>
      </c>
      <c r="U174" s="307" t="str">
        <f>IF($B174="","",IF(U$4="NÃO",0,IF(VLOOKUP($B174,FROTA!$B$5:$R$305,10,0)=U$3,0.01,0)))</f>
        <v/>
      </c>
      <c r="V174" s="306" t="str">
        <f t="shared" si="26"/>
        <v/>
      </c>
      <c r="W174" s="238" t="str">
        <f t="shared" si="24"/>
        <v/>
      </c>
      <c r="X174" s="576" t="str">
        <f t="shared" si="27"/>
        <v/>
      </c>
      <c r="BA174" s="581">
        <v>45007</v>
      </c>
      <c r="BB174" s="582">
        <v>2023</v>
      </c>
    </row>
    <row r="175" spans="2:54" ht="15" customHeight="1" x14ac:dyDescent="0.2">
      <c r="B175" s="192" t="str">
        <f>IF(FROTA!B176="","",FROTA!B176)</f>
        <v/>
      </c>
      <c r="C175" s="192" t="str">
        <f>IF(B175="","",FROTA!Z176)</f>
        <v/>
      </c>
      <c r="D175" s="192" t="str">
        <f>IF(B175="","",VLOOKUP(B175,FROTA!$B$5:$C$310,2,0))</f>
        <v/>
      </c>
      <c r="E175" s="233" t="str">
        <f>IF(D175="","",VLOOKUP(D175,ESCALA!$B$3:$H$19,7,0))</f>
        <v/>
      </c>
      <c r="F175" s="219" t="s">
        <v>222</v>
      </c>
      <c r="G175" s="305" t="str">
        <f t="shared" si="25"/>
        <v/>
      </c>
      <c r="H175" s="314" t="str">
        <f>IF($B175="","",IF(H$4="NÃO",0,IF(VLOOKUP($B175,FROTA!$B$5:$R$305,17,0)=H$3,0.02,0)))</f>
        <v/>
      </c>
      <c r="I175" s="193" t="str">
        <f>IF($B175="","",IF(I$4="NÃO",0,IF(VLOOKUP($B175,FROTA!$B$5:$R$305,17,0)=I$3,0.02,0)))</f>
        <v/>
      </c>
      <c r="J175" s="193" t="str">
        <f>IF($B175="","",IF(J$4="NÃO",0,IF(VLOOKUP($B175,FROTA!$B$5:$R$305,17,0)=J$3,0.02,0)))</f>
        <v/>
      </c>
      <c r="K175" s="193" t="str">
        <f>IF($B175="","",IF(K$4="NÃO",0,IF(VLOOKUP($B175,FROTA!$B$5:$R$305,17,0)=K$3,0.02,0)))</f>
        <v/>
      </c>
      <c r="L175" s="193" t="str">
        <f>IF($B175="","",IF(L$4="NÃO",0,IF(VLOOKUP($B175,FROTA!$B$5:$R$305,17,0)=L$3,0.02,0)))</f>
        <v/>
      </c>
      <c r="M175" s="193" t="str">
        <f>IF($B175="","",IF(M$4="NÃO",0,IF(VLOOKUP($B175,FROTA!$B$5:$R$305,17,0)=M$3,0.02,0)))</f>
        <v/>
      </c>
      <c r="N175" s="193" t="str">
        <f>IF($B175="","",IF(M$4="NÃO",0,IF(VLOOKUP($B175,FROTA!$B$5:$R$305,17,0)=N$3,0.02,0)))</f>
        <v/>
      </c>
      <c r="O175" s="311" t="str">
        <f>IF($B175="","",IF(O$4="NÃO",0,IF(VLOOKUP($B175,FROTA!$B$5:$R$305,10,0)=O$3,0.01,0)))</f>
        <v/>
      </c>
      <c r="P175" s="307" t="str">
        <f>IF($B175="","",IF(P$4="NÃO",0,IF(VLOOKUP($B175,FROTA!$B$5:$R$305,10,0)=P$3,0.01,0)))</f>
        <v/>
      </c>
      <c r="Q175" s="307" t="str">
        <f>IF($B175="","",IF(Q$4="NÃO",0,IF(VLOOKUP($B175,FROTA!$B$5:$R$305,10,0)=Q$3,0.01,0)))</f>
        <v/>
      </c>
      <c r="R175" s="307" t="str">
        <f>IF($B175="","",IF(R$4="NÃO",0,IF(VLOOKUP($B175,FROTA!$B$5:$R$305,10,0)=R$3,0.01,0)))</f>
        <v/>
      </c>
      <c r="S175" s="307" t="str">
        <f>IF($B175="","",IF(S$4="NÃO",0,IF(VLOOKUP($B175,FROTA!$B$5:$R$305,10,0)=S$3,0.01,0)))</f>
        <v/>
      </c>
      <c r="T175" s="307" t="str">
        <f>IF($B175="","",IF(T$4="NÃO",0,IF(VLOOKUP($B175,FROTA!$B$5:$R$305,10,0)=T$3,0.01,0)))</f>
        <v/>
      </c>
      <c r="U175" s="307" t="str">
        <f>IF($B175="","",IF(U$4="NÃO",0,IF(VLOOKUP($B175,FROTA!$B$5:$R$305,10,0)=U$3,0.01,0)))</f>
        <v/>
      </c>
      <c r="V175" s="306" t="str">
        <f t="shared" si="26"/>
        <v/>
      </c>
      <c r="W175" s="238" t="str">
        <f t="shared" si="24"/>
        <v/>
      </c>
      <c r="X175" s="576" t="str">
        <f t="shared" si="27"/>
        <v/>
      </c>
      <c r="BA175" s="581">
        <v>45008</v>
      </c>
      <c r="BB175" s="582">
        <v>2023</v>
      </c>
    </row>
    <row r="176" spans="2:54" ht="15" customHeight="1" x14ac:dyDescent="0.2">
      <c r="B176" s="192" t="str">
        <f>IF(FROTA!B177="","",FROTA!B177)</f>
        <v/>
      </c>
      <c r="C176" s="192" t="str">
        <f>IF(B176="","",FROTA!Z177)</f>
        <v/>
      </c>
      <c r="D176" s="192" t="str">
        <f>IF(B176="","",VLOOKUP(B176,FROTA!$B$5:$C$310,2,0))</f>
        <v/>
      </c>
      <c r="E176" s="233" t="str">
        <f>IF(D176="","",VLOOKUP(D176,ESCALA!$B$3:$H$19,7,0))</f>
        <v/>
      </c>
      <c r="F176" s="219" t="s">
        <v>222</v>
      </c>
      <c r="G176" s="305" t="str">
        <f t="shared" si="25"/>
        <v/>
      </c>
      <c r="H176" s="314" t="str">
        <f>IF($B176="","",IF(H$4="NÃO",0,IF(VLOOKUP($B176,FROTA!$B$5:$R$305,17,0)=H$3,0.02,0)))</f>
        <v/>
      </c>
      <c r="I176" s="193" t="str">
        <f>IF($B176="","",IF(I$4="NÃO",0,IF(VLOOKUP($B176,FROTA!$B$5:$R$305,17,0)=I$3,0.02,0)))</f>
        <v/>
      </c>
      <c r="J176" s="193" t="str">
        <f>IF($B176="","",IF(J$4="NÃO",0,IF(VLOOKUP($B176,FROTA!$B$5:$R$305,17,0)=J$3,0.02,0)))</f>
        <v/>
      </c>
      <c r="K176" s="193" t="str">
        <f>IF($B176="","",IF(K$4="NÃO",0,IF(VLOOKUP($B176,FROTA!$B$5:$R$305,17,0)=K$3,0.02,0)))</f>
        <v/>
      </c>
      <c r="L176" s="193" t="str">
        <f>IF($B176="","",IF(L$4="NÃO",0,IF(VLOOKUP($B176,FROTA!$B$5:$R$305,17,0)=L$3,0.02,0)))</f>
        <v/>
      </c>
      <c r="M176" s="193" t="str">
        <f>IF($B176="","",IF(M$4="NÃO",0,IF(VLOOKUP($B176,FROTA!$B$5:$R$305,17,0)=M$3,0.02,0)))</f>
        <v/>
      </c>
      <c r="N176" s="193" t="str">
        <f>IF($B176="","",IF(M$4="NÃO",0,IF(VLOOKUP($B176,FROTA!$B$5:$R$305,17,0)=N$3,0.02,0)))</f>
        <v/>
      </c>
      <c r="O176" s="311" t="str">
        <f>IF($B176="","",IF(O$4="NÃO",0,IF(VLOOKUP($B176,FROTA!$B$5:$R$305,10,0)=O$3,0.01,0)))</f>
        <v/>
      </c>
      <c r="P176" s="307" t="str">
        <f>IF($B176="","",IF(P$4="NÃO",0,IF(VLOOKUP($B176,FROTA!$B$5:$R$305,10,0)=P$3,0.01,0)))</f>
        <v/>
      </c>
      <c r="Q176" s="307" t="str">
        <f>IF($B176="","",IF(Q$4="NÃO",0,IF(VLOOKUP($B176,FROTA!$B$5:$R$305,10,0)=Q$3,0.01,0)))</f>
        <v/>
      </c>
      <c r="R176" s="307" t="str">
        <f>IF($B176="","",IF(R$4="NÃO",0,IF(VLOOKUP($B176,FROTA!$B$5:$R$305,10,0)=R$3,0.01,0)))</f>
        <v/>
      </c>
      <c r="S176" s="307" t="str">
        <f>IF($B176="","",IF(S$4="NÃO",0,IF(VLOOKUP($B176,FROTA!$B$5:$R$305,10,0)=S$3,0.01,0)))</f>
        <v/>
      </c>
      <c r="T176" s="307" t="str">
        <f>IF($B176="","",IF(T$4="NÃO",0,IF(VLOOKUP($B176,FROTA!$B$5:$R$305,10,0)=T$3,0.01,0)))</f>
        <v/>
      </c>
      <c r="U176" s="307" t="str">
        <f>IF($B176="","",IF(U$4="NÃO",0,IF(VLOOKUP($B176,FROTA!$B$5:$R$305,10,0)=U$3,0.01,0)))</f>
        <v/>
      </c>
      <c r="V176" s="306" t="str">
        <f t="shared" si="26"/>
        <v/>
      </c>
      <c r="W176" s="238" t="str">
        <f t="shared" si="24"/>
        <v/>
      </c>
      <c r="X176" s="576" t="str">
        <f t="shared" si="27"/>
        <v/>
      </c>
      <c r="BA176" s="581">
        <v>45009</v>
      </c>
      <c r="BB176" s="582">
        <v>2023</v>
      </c>
    </row>
    <row r="177" spans="2:54" ht="15" customHeight="1" x14ac:dyDescent="0.2">
      <c r="B177" s="192" t="str">
        <f>IF(FROTA!B178="","",FROTA!B178)</f>
        <v/>
      </c>
      <c r="C177" s="192" t="str">
        <f>IF(B177="","",FROTA!Z178)</f>
        <v/>
      </c>
      <c r="D177" s="192" t="str">
        <f>IF(B177="","",VLOOKUP(B177,FROTA!$B$5:$C$310,2,0))</f>
        <v/>
      </c>
      <c r="E177" s="233" t="str">
        <f>IF(D177="","",VLOOKUP(D177,ESCALA!$B$3:$H$19,7,0))</f>
        <v/>
      </c>
      <c r="F177" s="219" t="s">
        <v>222</v>
      </c>
      <c r="G177" s="305" t="str">
        <f t="shared" si="25"/>
        <v/>
      </c>
      <c r="H177" s="314" t="str">
        <f>IF($B177="","",IF(H$4="NÃO",0,IF(VLOOKUP($B177,FROTA!$B$5:$R$305,17,0)=H$3,0.02,0)))</f>
        <v/>
      </c>
      <c r="I177" s="193" t="str">
        <f>IF($B177="","",IF(I$4="NÃO",0,IF(VLOOKUP($B177,FROTA!$B$5:$R$305,17,0)=I$3,0.02,0)))</f>
        <v/>
      </c>
      <c r="J177" s="193" t="str">
        <f>IF($B177="","",IF(J$4="NÃO",0,IF(VLOOKUP($B177,FROTA!$B$5:$R$305,17,0)=J$3,0.02,0)))</f>
        <v/>
      </c>
      <c r="K177" s="193" t="str">
        <f>IF($B177="","",IF(K$4="NÃO",0,IF(VLOOKUP($B177,FROTA!$B$5:$R$305,17,0)=K$3,0.02,0)))</f>
        <v/>
      </c>
      <c r="L177" s="193" t="str">
        <f>IF($B177="","",IF(L$4="NÃO",0,IF(VLOOKUP($B177,FROTA!$B$5:$R$305,17,0)=L$3,0.02,0)))</f>
        <v/>
      </c>
      <c r="M177" s="193" t="str">
        <f>IF($B177="","",IF(M$4="NÃO",0,IF(VLOOKUP($B177,FROTA!$B$5:$R$305,17,0)=M$3,0.02,0)))</f>
        <v/>
      </c>
      <c r="N177" s="193" t="str">
        <f>IF($B177="","",IF(M$4="NÃO",0,IF(VLOOKUP($B177,FROTA!$B$5:$R$305,17,0)=N$3,0.02,0)))</f>
        <v/>
      </c>
      <c r="O177" s="311" t="str">
        <f>IF($B177="","",IF(O$4="NÃO",0,IF(VLOOKUP($B177,FROTA!$B$5:$R$305,10,0)=O$3,0.01,0)))</f>
        <v/>
      </c>
      <c r="P177" s="307" t="str">
        <f>IF($B177="","",IF(P$4="NÃO",0,IF(VLOOKUP($B177,FROTA!$B$5:$R$305,10,0)=P$3,0.01,0)))</f>
        <v/>
      </c>
      <c r="Q177" s="307" t="str">
        <f>IF($B177="","",IF(Q$4="NÃO",0,IF(VLOOKUP($B177,FROTA!$B$5:$R$305,10,0)=Q$3,0.01,0)))</f>
        <v/>
      </c>
      <c r="R177" s="307" t="str">
        <f>IF($B177="","",IF(R$4="NÃO",0,IF(VLOOKUP($B177,FROTA!$B$5:$R$305,10,0)=R$3,0.01,0)))</f>
        <v/>
      </c>
      <c r="S177" s="307" t="str">
        <f>IF($B177="","",IF(S$4="NÃO",0,IF(VLOOKUP($B177,FROTA!$B$5:$R$305,10,0)=S$3,0.01,0)))</f>
        <v/>
      </c>
      <c r="T177" s="307" t="str">
        <f>IF($B177="","",IF(T$4="NÃO",0,IF(VLOOKUP($B177,FROTA!$B$5:$R$305,10,0)=T$3,0.01,0)))</f>
        <v/>
      </c>
      <c r="U177" s="307" t="str">
        <f>IF($B177="","",IF(U$4="NÃO",0,IF(VLOOKUP($B177,FROTA!$B$5:$R$305,10,0)=U$3,0.01,0)))</f>
        <v/>
      </c>
      <c r="V177" s="306" t="str">
        <f t="shared" si="26"/>
        <v/>
      </c>
      <c r="W177" s="238" t="str">
        <f t="shared" si="24"/>
        <v/>
      </c>
      <c r="X177" s="576" t="str">
        <f t="shared" si="27"/>
        <v/>
      </c>
      <c r="BA177" s="581">
        <v>45010</v>
      </c>
      <c r="BB177" s="582">
        <v>2023</v>
      </c>
    </row>
    <row r="178" spans="2:54" ht="15" customHeight="1" x14ac:dyDescent="0.2">
      <c r="B178" s="192" t="str">
        <f>IF(FROTA!B179="","",FROTA!B179)</f>
        <v/>
      </c>
      <c r="C178" s="192" t="str">
        <f>IF(B178="","",FROTA!Z179)</f>
        <v/>
      </c>
      <c r="D178" s="192" t="str">
        <f>IF(B178="","",VLOOKUP(B178,FROTA!$B$5:$C$310,2,0))</f>
        <v/>
      </c>
      <c r="E178" s="233" t="str">
        <f>IF(D178="","",VLOOKUP(D178,ESCALA!$B$3:$H$19,7,0))</f>
        <v/>
      </c>
      <c r="F178" s="219" t="s">
        <v>222</v>
      </c>
      <c r="G178" s="305" t="str">
        <f t="shared" si="25"/>
        <v/>
      </c>
      <c r="H178" s="314" t="str">
        <f>IF($B178="","",IF(H$4="NÃO",0,IF(VLOOKUP($B178,FROTA!$B$5:$R$305,17,0)=H$3,0.02,0)))</f>
        <v/>
      </c>
      <c r="I178" s="193" t="str">
        <f>IF($B178="","",IF(I$4="NÃO",0,IF(VLOOKUP($B178,FROTA!$B$5:$R$305,17,0)=I$3,0.02,0)))</f>
        <v/>
      </c>
      <c r="J178" s="193" t="str">
        <f>IF($B178="","",IF(J$4="NÃO",0,IF(VLOOKUP($B178,FROTA!$B$5:$R$305,17,0)=J$3,0.02,0)))</f>
        <v/>
      </c>
      <c r="K178" s="193" t="str">
        <f>IF($B178="","",IF(K$4="NÃO",0,IF(VLOOKUP($B178,FROTA!$B$5:$R$305,17,0)=K$3,0.02,0)))</f>
        <v/>
      </c>
      <c r="L178" s="193" t="str">
        <f>IF($B178="","",IF(L$4="NÃO",0,IF(VLOOKUP($B178,FROTA!$B$5:$R$305,17,0)=L$3,0.02,0)))</f>
        <v/>
      </c>
      <c r="M178" s="193" t="str">
        <f>IF($B178="","",IF(M$4="NÃO",0,IF(VLOOKUP($B178,FROTA!$B$5:$R$305,17,0)=M$3,0.02,0)))</f>
        <v/>
      </c>
      <c r="N178" s="193" t="str">
        <f>IF($B178="","",IF(M$4="NÃO",0,IF(VLOOKUP($B178,FROTA!$B$5:$R$305,17,0)=N$3,0.02,0)))</f>
        <v/>
      </c>
      <c r="O178" s="311" t="str">
        <f>IF($B178="","",IF(O$4="NÃO",0,IF(VLOOKUP($B178,FROTA!$B$5:$R$305,10,0)=O$3,0.01,0)))</f>
        <v/>
      </c>
      <c r="P178" s="307" t="str">
        <f>IF($B178="","",IF(P$4="NÃO",0,IF(VLOOKUP($B178,FROTA!$B$5:$R$305,10,0)=P$3,0.01,0)))</f>
        <v/>
      </c>
      <c r="Q178" s="307" t="str">
        <f>IF($B178="","",IF(Q$4="NÃO",0,IF(VLOOKUP($B178,FROTA!$B$5:$R$305,10,0)=Q$3,0.01,0)))</f>
        <v/>
      </c>
      <c r="R178" s="307" t="str">
        <f>IF($B178="","",IF(R$4="NÃO",0,IF(VLOOKUP($B178,FROTA!$B$5:$R$305,10,0)=R$3,0.01,0)))</f>
        <v/>
      </c>
      <c r="S178" s="307" t="str">
        <f>IF($B178="","",IF(S$4="NÃO",0,IF(VLOOKUP($B178,FROTA!$B$5:$R$305,10,0)=S$3,0.01,0)))</f>
        <v/>
      </c>
      <c r="T178" s="307" t="str">
        <f>IF($B178="","",IF(T$4="NÃO",0,IF(VLOOKUP($B178,FROTA!$B$5:$R$305,10,0)=T$3,0.01,0)))</f>
        <v/>
      </c>
      <c r="U178" s="307" t="str">
        <f>IF($B178="","",IF(U$4="NÃO",0,IF(VLOOKUP($B178,FROTA!$B$5:$R$305,10,0)=U$3,0.01,0)))</f>
        <v/>
      </c>
      <c r="V178" s="306" t="str">
        <f t="shared" si="26"/>
        <v/>
      </c>
      <c r="W178" s="238" t="str">
        <f t="shared" si="24"/>
        <v/>
      </c>
      <c r="X178" s="576" t="str">
        <f t="shared" si="27"/>
        <v/>
      </c>
      <c r="BA178" s="581">
        <v>45011</v>
      </c>
      <c r="BB178" s="582">
        <v>2023</v>
      </c>
    </row>
    <row r="179" spans="2:54" ht="15" customHeight="1" x14ac:dyDescent="0.2">
      <c r="B179" s="192" t="str">
        <f>IF(FROTA!B180="","",FROTA!B180)</f>
        <v/>
      </c>
      <c r="C179" s="192" t="str">
        <f>IF(B179="","",FROTA!Z180)</f>
        <v/>
      </c>
      <c r="D179" s="192" t="str">
        <f>IF(B179="","",VLOOKUP(B179,FROTA!$B$5:$C$310,2,0))</f>
        <v/>
      </c>
      <c r="E179" s="233" t="str">
        <f>IF(D179="","",VLOOKUP(D179,ESCALA!$B$3:$H$19,7,0))</f>
        <v/>
      </c>
      <c r="F179" s="219" t="s">
        <v>222</v>
      </c>
      <c r="G179" s="305" t="str">
        <f t="shared" si="25"/>
        <v/>
      </c>
      <c r="H179" s="314" t="str">
        <f>IF($B179="","",IF(H$4="NÃO",0,IF(VLOOKUP($B179,FROTA!$B$5:$R$305,17,0)=H$3,0.02,0)))</f>
        <v/>
      </c>
      <c r="I179" s="193" t="str">
        <f>IF($B179="","",IF(I$4="NÃO",0,IF(VLOOKUP($B179,FROTA!$B$5:$R$305,17,0)=I$3,0.02,0)))</f>
        <v/>
      </c>
      <c r="J179" s="193" t="str">
        <f>IF($B179="","",IF(J$4="NÃO",0,IF(VLOOKUP($B179,FROTA!$B$5:$R$305,17,0)=J$3,0.02,0)))</f>
        <v/>
      </c>
      <c r="K179" s="193" t="str">
        <f>IF($B179="","",IF(K$4="NÃO",0,IF(VLOOKUP($B179,FROTA!$B$5:$R$305,17,0)=K$3,0.02,0)))</f>
        <v/>
      </c>
      <c r="L179" s="193" t="str">
        <f>IF($B179="","",IF(L$4="NÃO",0,IF(VLOOKUP($B179,FROTA!$B$5:$R$305,17,0)=L$3,0.02,0)))</f>
        <v/>
      </c>
      <c r="M179" s="193" t="str">
        <f>IF($B179="","",IF(M$4="NÃO",0,IF(VLOOKUP($B179,FROTA!$B$5:$R$305,17,0)=M$3,0.02,0)))</f>
        <v/>
      </c>
      <c r="N179" s="193" t="str">
        <f>IF($B179="","",IF(M$4="NÃO",0,IF(VLOOKUP($B179,FROTA!$B$5:$R$305,17,0)=N$3,0.02,0)))</f>
        <v/>
      </c>
      <c r="O179" s="311" t="str">
        <f>IF($B179="","",IF(O$4="NÃO",0,IF(VLOOKUP($B179,FROTA!$B$5:$R$305,10,0)=O$3,0.01,0)))</f>
        <v/>
      </c>
      <c r="P179" s="307" t="str">
        <f>IF($B179="","",IF(P$4="NÃO",0,IF(VLOOKUP($B179,FROTA!$B$5:$R$305,10,0)=P$3,0.01,0)))</f>
        <v/>
      </c>
      <c r="Q179" s="307" t="str">
        <f>IF($B179="","",IF(Q$4="NÃO",0,IF(VLOOKUP($B179,FROTA!$B$5:$R$305,10,0)=Q$3,0.01,0)))</f>
        <v/>
      </c>
      <c r="R179" s="307" t="str">
        <f>IF($B179="","",IF(R$4="NÃO",0,IF(VLOOKUP($B179,FROTA!$B$5:$R$305,10,0)=R$3,0.01,0)))</f>
        <v/>
      </c>
      <c r="S179" s="307" t="str">
        <f>IF($B179="","",IF(S$4="NÃO",0,IF(VLOOKUP($B179,FROTA!$B$5:$R$305,10,0)=S$3,0.01,0)))</f>
        <v/>
      </c>
      <c r="T179" s="307" t="str">
        <f>IF($B179="","",IF(T$4="NÃO",0,IF(VLOOKUP($B179,FROTA!$B$5:$R$305,10,0)=T$3,0.01,0)))</f>
        <v/>
      </c>
      <c r="U179" s="307" t="str">
        <f>IF($B179="","",IF(U$4="NÃO",0,IF(VLOOKUP($B179,FROTA!$B$5:$R$305,10,0)=U$3,0.01,0)))</f>
        <v/>
      </c>
      <c r="V179" s="306" t="str">
        <f t="shared" si="26"/>
        <v/>
      </c>
      <c r="W179" s="238" t="str">
        <f t="shared" si="24"/>
        <v/>
      </c>
      <c r="X179" s="576" t="str">
        <f t="shared" si="27"/>
        <v/>
      </c>
      <c r="BA179" s="581">
        <v>45012</v>
      </c>
      <c r="BB179" s="582">
        <v>2023</v>
      </c>
    </row>
    <row r="180" spans="2:54" ht="15" customHeight="1" x14ac:dyDescent="0.2">
      <c r="B180" s="192" t="str">
        <f>IF(FROTA!B181="","",FROTA!B181)</f>
        <v/>
      </c>
      <c r="C180" s="192" t="str">
        <f>IF(B180="","",FROTA!Z181)</f>
        <v/>
      </c>
      <c r="D180" s="192" t="str">
        <f>IF(B180="","",VLOOKUP(B180,FROTA!$B$5:$C$310,2,0))</f>
        <v/>
      </c>
      <c r="E180" s="233" t="str">
        <f>IF(D180="","",VLOOKUP(D180,ESCALA!$B$3:$H$19,7,0))</f>
        <v/>
      </c>
      <c r="F180" s="219" t="s">
        <v>222</v>
      </c>
      <c r="G180" s="305" t="str">
        <f t="shared" si="25"/>
        <v/>
      </c>
      <c r="H180" s="314" t="str">
        <f>IF($B180="","",IF(H$4="NÃO",0,IF(VLOOKUP($B180,FROTA!$B$5:$R$305,17,0)=H$3,0.02,0)))</f>
        <v/>
      </c>
      <c r="I180" s="193" t="str">
        <f>IF($B180="","",IF(I$4="NÃO",0,IF(VLOOKUP($B180,FROTA!$B$5:$R$305,17,0)=I$3,0.02,0)))</f>
        <v/>
      </c>
      <c r="J180" s="193" t="str">
        <f>IF($B180="","",IF(J$4="NÃO",0,IF(VLOOKUP($B180,FROTA!$B$5:$R$305,17,0)=J$3,0.02,0)))</f>
        <v/>
      </c>
      <c r="K180" s="193" t="str">
        <f>IF($B180="","",IF(K$4="NÃO",0,IF(VLOOKUP($B180,FROTA!$B$5:$R$305,17,0)=K$3,0.02,0)))</f>
        <v/>
      </c>
      <c r="L180" s="193" t="str">
        <f>IF($B180="","",IF(L$4="NÃO",0,IF(VLOOKUP($B180,FROTA!$B$5:$R$305,17,0)=L$3,0.02,0)))</f>
        <v/>
      </c>
      <c r="M180" s="193" t="str">
        <f>IF($B180="","",IF(M$4="NÃO",0,IF(VLOOKUP($B180,FROTA!$B$5:$R$305,17,0)=M$3,0.02,0)))</f>
        <v/>
      </c>
      <c r="N180" s="193" t="str">
        <f>IF($B180="","",IF(M$4="NÃO",0,IF(VLOOKUP($B180,FROTA!$B$5:$R$305,17,0)=N$3,0.02,0)))</f>
        <v/>
      </c>
      <c r="O180" s="311" t="str">
        <f>IF($B180="","",IF(O$4="NÃO",0,IF(VLOOKUP($B180,FROTA!$B$5:$R$305,10,0)=O$3,0.01,0)))</f>
        <v/>
      </c>
      <c r="P180" s="307" t="str">
        <f>IF($B180="","",IF(P$4="NÃO",0,IF(VLOOKUP($B180,FROTA!$B$5:$R$305,10,0)=P$3,0.01,0)))</f>
        <v/>
      </c>
      <c r="Q180" s="307" t="str">
        <f>IF($B180="","",IF(Q$4="NÃO",0,IF(VLOOKUP($B180,FROTA!$B$5:$R$305,10,0)=Q$3,0.01,0)))</f>
        <v/>
      </c>
      <c r="R180" s="307" t="str">
        <f>IF($B180="","",IF(R$4="NÃO",0,IF(VLOOKUP($B180,FROTA!$B$5:$R$305,10,0)=R$3,0.01,0)))</f>
        <v/>
      </c>
      <c r="S180" s="307" t="str">
        <f>IF($B180="","",IF(S$4="NÃO",0,IF(VLOOKUP($B180,FROTA!$B$5:$R$305,10,0)=S$3,0.01,0)))</f>
        <v/>
      </c>
      <c r="T180" s="307" t="str">
        <f>IF($B180="","",IF(T$4="NÃO",0,IF(VLOOKUP($B180,FROTA!$B$5:$R$305,10,0)=T$3,0.01,0)))</f>
        <v/>
      </c>
      <c r="U180" s="307" t="str">
        <f>IF($B180="","",IF(U$4="NÃO",0,IF(VLOOKUP($B180,FROTA!$B$5:$R$305,10,0)=U$3,0.01,0)))</f>
        <v/>
      </c>
      <c r="V180" s="306" t="str">
        <f t="shared" si="26"/>
        <v/>
      </c>
      <c r="W180" s="238" t="str">
        <f t="shared" si="24"/>
        <v/>
      </c>
      <c r="X180" s="576" t="str">
        <f t="shared" si="27"/>
        <v/>
      </c>
      <c r="BA180" s="581">
        <v>45013</v>
      </c>
      <c r="BB180" s="582">
        <v>2023</v>
      </c>
    </row>
    <row r="181" spans="2:54" ht="15" customHeight="1" x14ac:dyDescent="0.2">
      <c r="B181" s="192" t="str">
        <f>IF(FROTA!B182="","",FROTA!B182)</f>
        <v/>
      </c>
      <c r="C181" s="192" t="str">
        <f>IF(B181="","",FROTA!Z182)</f>
        <v/>
      </c>
      <c r="D181" s="192" t="str">
        <f>IF(B181="","",VLOOKUP(B181,FROTA!$B$5:$C$310,2,0))</f>
        <v/>
      </c>
      <c r="E181" s="233" t="str">
        <f>IF(D181="","",VLOOKUP(D181,ESCALA!$B$3:$H$19,7,0))</f>
        <v/>
      </c>
      <c r="F181" s="219" t="s">
        <v>222</v>
      </c>
      <c r="G181" s="305" t="str">
        <f t="shared" si="25"/>
        <v/>
      </c>
      <c r="H181" s="314" t="str">
        <f>IF($B181="","",IF(H$4="NÃO",0,IF(VLOOKUP($B181,FROTA!$B$5:$R$305,17,0)=H$3,0.02,0)))</f>
        <v/>
      </c>
      <c r="I181" s="193" t="str">
        <f>IF($B181="","",IF(I$4="NÃO",0,IF(VLOOKUP($B181,FROTA!$B$5:$R$305,17,0)=I$3,0.02,0)))</f>
        <v/>
      </c>
      <c r="J181" s="193" t="str">
        <f>IF($B181="","",IF(J$4="NÃO",0,IF(VLOOKUP($B181,FROTA!$B$5:$R$305,17,0)=J$3,0.02,0)))</f>
        <v/>
      </c>
      <c r="K181" s="193" t="str">
        <f>IF($B181="","",IF(K$4="NÃO",0,IF(VLOOKUP($B181,FROTA!$B$5:$R$305,17,0)=K$3,0.02,0)))</f>
        <v/>
      </c>
      <c r="L181" s="193" t="str">
        <f>IF($B181="","",IF(L$4="NÃO",0,IF(VLOOKUP($B181,FROTA!$B$5:$R$305,17,0)=L$3,0.02,0)))</f>
        <v/>
      </c>
      <c r="M181" s="193" t="str">
        <f>IF($B181="","",IF(M$4="NÃO",0,IF(VLOOKUP($B181,FROTA!$B$5:$R$305,17,0)=M$3,0.02,0)))</f>
        <v/>
      </c>
      <c r="N181" s="193" t="str">
        <f>IF($B181="","",IF(M$4="NÃO",0,IF(VLOOKUP($B181,FROTA!$B$5:$R$305,17,0)=N$3,0.02,0)))</f>
        <v/>
      </c>
      <c r="O181" s="311" t="str">
        <f>IF($B181="","",IF(O$4="NÃO",0,IF(VLOOKUP($B181,FROTA!$B$5:$R$305,10,0)=O$3,0.01,0)))</f>
        <v/>
      </c>
      <c r="P181" s="307" t="str">
        <f>IF($B181="","",IF(P$4="NÃO",0,IF(VLOOKUP($B181,FROTA!$B$5:$R$305,10,0)=P$3,0.01,0)))</f>
        <v/>
      </c>
      <c r="Q181" s="307" t="str">
        <f>IF($B181="","",IF(Q$4="NÃO",0,IF(VLOOKUP($B181,FROTA!$B$5:$R$305,10,0)=Q$3,0.01,0)))</f>
        <v/>
      </c>
      <c r="R181" s="307" t="str">
        <f>IF($B181="","",IF(R$4="NÃO",0,IF(VLOOKUP($B181,FROTA!$B$5:$R$305,10,0)=R$3,0.01,0)))</f>
        <v/>
      </c>
      <c r="S181" s="307" t="str">
        <f>IF($B181="","",IF(S$4="NÃO",0,IF(VLOOKUP($B181,FROTA!$B$5:$R$305,10,0)=S$3,0.01,0)))</f>
        <v/>
      </c>
      <c r="T181" s="307" t="str">
        <f>IF($B181="","",IF(T$4="NÃO",0,IF(VLOOKUP($B181,FROTA!$B$5:$R$305,10,0)=T$3,0.01,0)))</f>
        <v/>
      </c>
      <c r="U181" s="307" t="str">
        <f>IF($B181="","",IF(U$4="NÃO",0,IF(VLOOKUP($B181,FROTA!$B$5:$R$305,10,0)=U$3,0.01,0)))</f>
        <v/>
      </c>
      <c r="V181" s="306" t="str">
        <f t="shared" si="26"/>
        <v/>
      </c>
      <c r="W181" s="238" t="str">
        <f t="shared" si="24"/>
        <v/>
      </c>
      <c r="X181" s="576" t="str">
        <f t="shared" si="27"/>
        <v/>
      </c>
      <c r="BA181" s="581">
        <v>45014</v>
      </c>
      <c r="BB181" s="582">
        <v>2023</v>
      </c>
    </row>
    <row r="182" spans="2:54" ht="15" customHeight="1" x14ac:dyDescent="0.2">
      <c r="B182" s="192" t="str">
        <f>IF(FROTA!B183="","",FROTA!B183)</f>
        <v/>
      </c>
      <c r="C182" s="192" t="str">
        <f>IF(B182="","",FROTA!Z183)</f>
        <v/>
      </c>
      <c r="D182" s="192" t="str">
        <f>IF(B182="","",VLOOKUP(B182,FROTA!$B$5:$C$310,2,0))</f>
        <v/>
      </c>
      <c r="E182" s="233" t="str">
        <f>IF(D182="","",VLOOKUP(D182,ESCALA!$B$3:$H$19,7,0))</f>
        <v/>
      </c>
      <c r="F182" s="219" t="s">
        <v>222</v>
      </c>
      <c r="G182" s="305" t="str">
        <f t="shared" si="25"/>
        <v/>
      </c>
      <c r="H182" s="314" t="str">
        <f>IF($B182="","",IF(H$4="NÃO",0,IF(VLOOKUP($B182,FROTA!$B$5:$R$305,17,0)=H$3,0.02,0)))</f>
        <v/>
      </c>
      <c r="I182" s="193" t="str">
        <f>IF($B182="","",IF(I$4="NÃO",0,IF(VLOOKUP($B182,FROTA!$B$5:$R$305,17,0)=I$3,0.02,0)))</f>
        <v/>
      </c>
      <c r="J182" s="193" t="str">
        <f>IF($B182="","",IF(J$4="NÃO",0,IF(VLOOKUP($B182,FROTA!$B$5:$R$305,17,0)=J$3,0.02,0)))</f>
        <v/>
      </c>
      <c r="K182" s="193" t="str">
        <f>IF($B182="","",IF(K$4="NÃO",0,IF(VLOOKUP($B182,FROTA!$B$5:$R$305,17,0)=K$3,0.02,0)))</f>
        <v/>
      </c>
      <c r="L182" s="193" t="str">
        <f>IF($B182="","",IF(L$4="NÃO",0,IF(VLOOKUP($B182,FROTA!$B$5:$R$305,17,0)=L$3,0.02,0)))</f>
        <v/>
      </c>
      <c r="M182" s="193" t="str">
        <f>IF($B182="","",IF(M$4="NÃO",0,IF(VLOOKUP($B182,FROTA!$B$5:$R$305,17,0)=M$3,0.02,0)))</f>
        <v/>
      </c>
      <c r="N182" s="193" t="str">
        <f>IF($B182="","",IF(M$4="NÃO",0,IF(VLOOKUP($B182,FROTA!$B$5:$R$305,17,0)=N$3,0.02,0)))</f>
        <v/>
      </c>
      <c r="O182" s="311" t="str">
        <f>IF($B182="","",IF(O$4="NÃO",0,IF(VLOOKUP($B182,FROTA!$B$5:$R$305,10,0)=O$3,0.01,0)))</f>
        <v/>
      </c>
      <c r="P182" s="307" t="str">
        <f>IF($B182="","",IF(P$4="NÃO",0,IF(VLOOKUP($B182,FROTA!$B$5:$R$305,10,0)=P$3,0.01,0)))</f>
        <v/>
      </c>
      <c r="Q182" s="307" t="str">
        <f>IF($B182="","",IF(Q$4="NÃO",0,IF(VLOOKUP($B182,FROTA!$B$5:$R$305,10,0)=Q$3,0.01,0)))</f>
        <v/>
      </c>
      <c r="R182" s="307" t="str">
        <f>IF($B182="","",IF(R$4="NÃO",0,IF(VLOOKUP($B182,FROTA!$B$5:$R$305,10,0)=R$3,0.01,0)))</f>
        <v/>
      </c>
      <c r="S182" s="307" t="str">
        <f>IF($B182="","",IF(S$4="NÃO",0,IF(VLOOKUP($B182,FROTA!$B$5:$R$305,10,0)=S$3,0.01,0)))</f>
        <v/>
      </c>
      <c r="T182" s="307" t="str">
        <f>IF($B182="","",IF(T$4="NÃO",0,IF(VLOOKUP($B182,FROTA!$B$5:$R$305,10,0)=T$3,0.01,0)))</f>
        <v/>
      </c>
      <c r="U182" s="307" t="str">
        <f>IF($B182="","",IF(U$4="NÃO",0,IF(VLOOKUP($B182,FROTA!$B$5:$R$305,10,0)=U$3,0.01,0)))</f>
        <v/>
      </c>
      <c r="V182" s="306" t="str">
        <f t="shared" si="26"/>
        <v/>
      </c>
      <c r="W182" s="238" t="str">
        <f t="shared" si="24"/>
        <v/>
      </c>
      <c r="X182" s="576" t="str">
        <f t="shared" si="27"/>
        <v/>
      </c>
      <c r="BA182" s="581">
        <v>45015</v>
      </c>
      <c r="BB182" s="582">
        <v>2023</v>
      </c>
    </row>
    <row r="183" spans="2:54" ht="15" customHeight="1" x14ac:dyDescent="0.2">
      <c r="B183" s="192" t="str">
        <f>IF(FROTA!B184="","",FROTA!B184)</f>
        <v/>
      </c>
      <c r="C183" s="192" t="str">
        <f>IF(B183="","",FROTA!Z184)</f>
        <v/>
      </c>
      <c r="D183" s="192" t="str">
        <f>IF(B183="","",VLOOKUP(B183,FROTA!$B$5:$C$310,2,0))</f>
        <v/>
      </c>
      <c r="E183" s="233" t="str">
        <f>IF(D183="","",VLOOKUP(D183,ESCALA!$B$3:$H$19,7,0))</f>
        <v/>
      </c>
      <c r="F183" s="219" t="s">
        <v>222</v>
      </c>
      <c r="G183" s="305" t="str">
        <f t="shared" si="25"/>
        <v/>
      </c>
      <c r="H183" s="314" t="str">
        <f>IF($B183="","",IF(H$4="NÃO",0,IF(VLOOKUP($B183,FROTA!$B$5:$R$305,17,0)=H$3,0.02,0)))</f>
        <v/>
      </c>
      <c r="I183" s="193" t="str">
        <f>IF($B183="","",IF(I$4="NÃO",0,IF(VLOOKUP($B183,FROTA!$B$5:$R$305,17,0)=I$3,0.02,0)))</f>
        <v/>
      </c>
      <c r="J183" s="193" t="str">
        <f>IF($B183="","",IF(J$4="NÃO",0,IF(VLOOKUP($B183,FROTA!$B$5:$R$305,17,0)=J$3,0.02,0)))</f>
        <v/>
      </c>
      <c r="K183" s="193" t="str">
        <f>IF($B183="","",IF(K$4="NÃO",0,IF(VLOOKUP($B183,FROTA!$B$5:$R$305,17,0)=K$3,0.02,0)))</f>
        <v/>
      </c>
      <c r="L183" s="193" t="str">
        <f>IF($B183="","",IF(L$4="NÃO",0,IF(VLOOKUP($B183,FROTA!$B$5:$R$305,17,0)=L$3,0.02,0)))</f>
        <v/>
      </c>
      <c r="M183" s="193" t="str">
        <f>IF($B183="","",IF(M$4="NÃO",0,IF(VLOOKUP($B183,FROTA!$B$5:$R$305,17,0)=M$3,0.02,0)))</f>
        <v/>
      </c>
      <c r="N183" s="193" t="str">
        <f>IF($B183="","",IF(M$4="NÃO",0,IF(VLOOKUP($B183,FROTA!$B$5:$R$305,17,0)=N$3,0.02,0)))</f>
        <v/>
      </c>
      <c r="O183" s="311" t="str">
        <f>IF($B183="","",IF(O$4="NÃO",0,IF(VLOOKUP($B183,FROTA!$B$5:$R$305,10,0)=O$3,0.01,0)))</f>
        <v/>
      </c>
      <c r="P183" s="307" t="str">
        <f>IF($B183="","",IF(P$4="NÃO",0,IF(VLOOKUP($B183,FROTA!$B$5:$R$305,10,0)=P$3,0.01,0)))</f>
        <v/>
      </c>
      <c r="Q183" s="307" t="str">
        <f>IF($B183="","",IF(Q$4="NÃO",0,IF(VLOOKUP($B183,FROTA!$B$5:$R$305,10,0)=Q$3,0.01,0)))</f>
        <v/>
      </c>
      <c r="R183" s="307" t="str">
        <f>IF($B183="","",IF(R$4="NÃO",0,IF(VLOOKUP($B183,FROTA!$B$5:$R$305,10,0)=R$3,0.01,0)))</f>
        <v/>
      </c>
      <c r="S183" s="307" t="str">
        <f>IF($B183="","",IF(S$4="NÃO",0,IF(VLOOKUP($B183,FROTA!$B$5:$R$305,10,0)=S$3,0.01,0)))</f>
        <v/>
      </c>
      <c r="T183" s="307" t="str">
        <f>IF($B183="","",IF(T$4="NÃO",0,IF(VLOOKUP($B183,FROTA!$B$5:$R$305,10,0)=T$3,0.01,0)))</f>
        <v/>
      </c>
      <c r="U183" s="307" t="str">
        <f>IF($B183="","",IF(U$4="NÃO",0,IF(VLOOKUP($B183,FROTA!$B$5:$R$305,10,0)=U$3,0.01,0)))</f>
        <v/>
      </c>
      <c r="V183" s="306" t="str">
        <f t="shared" si="26"/>
        <v/>
      </c>
      <c r="W183" s="238" t="str">
        <f t="shared" si="24"/>
        <v/>
      </c>
      <c r="X183" s="576" t="str">
        <f t="shared" si="27"/>
        <v/>
      </c>
      <c r="BA183" s="581">
        <v>45016</v>
      </c>
      <c r="BB183" s="582">
        <v>2023</v>
      </c>
    </row>
    <row r="184" spans="2:54" ht="15" customHeight="1" x14ac:dyDescent="0.2">
      <c r="B184" s="192" t="str">
        <f>IF(FROTA!B185="","",FROTA!B185)</f>
        <v/>
      </c>
      <c r="C184" s="192" t="str">
        <f>IF(B184="","",FROTA!Z185)</f>
        <v/>
      </c>
      <c r="D184" s="192" t="str">
        <f>IF(B184="","",VLOOKUP(B184,FROTA!$B$5:$C$310,2,0))</f>
        <v/>
      </c>
      <c r="E184" s="233" t="str">
        <f>IF(D184="","",VLOOKUP(D184,ESCALA!$B$3:$H$19,7,0))</f>
        <v/>
      </c>
      <c r="F184" s="219" t="s">
        <v>222</v>
      </c>
      <c r="G184" s="305" t="str">
        <f t="shared" si="25"/>
        <v/>
      </c>
      <c r="H184" s="314" t="str">
        <f>IF($B184="","",IF(H$4="NÃO",0,IF(VLOOKUP($B184,FROTA!$B$5:$R$305,17,0)=H$3,0.02,0)))</f>
        <v/>
      </c>
      <c r="I184" s="193" t="str">
        <f>IF($B184="","",IF(I$4="NÃO",0,IF(VLOOKUP($B184,FROTA!$B$5:$R$305,17,0)=I$3,0.02,0)))</f>
        <v/>
      </c>
      <c r="J184" s="193" t="str">
        <f>IF($B184="","",IF(J$4="NÃO",0,IF(VLOOKUP($B184,FROTA!$B$5:$R$305,17,0)=J$3,0.02,0)))</f>
        <v/>
      </c>
      <c r="K184" s="193" t="str">
        <f>IF($B184="","",IF(K$4="NÃO",0,IF(VLOOKUP($B184,FROTA!$B$5:$R$305,17,0)=K$3,0.02,0)))</f>
        <v/>
      </c>
      <c r="L184" s="193" t="str">
        <f>IF($B184="","",IF(L$4="NÃO",0,IF(VLOOKUP($B184,FROTA!$B$5:$R$305,17,0)=L$3,0.02,0)))</f>
        <v/>
      </c>
      <c r="M184" s="193" t="str">
        <f>IF($B184="","",IF(M$4="NÃO",0,IF(VLOOKUP($B184,FROTA!$B$5:$R$305,17,0)=M$3,0.02,0)))</f>
        <v/>
      </c>
      <c r="N184" s="193" t="str">
        <f>IF($B184="","",IF(M$4="NÃO",0,IF(VLOOKUP($B184,FROTA!$B$5:$R$305,17,0)=N$3,0.02,0)))</f>
        <v/>
      </c>
      <c r="O184" s="311" t="str">
        <f>IF($B184="","",IF(O$4="NÃO",0,IF(VLOOKUP($B184,FROTA!$B$5:$R$305,10,0)=O$3,0.01,0)))</f>
        <v/>
      </c>
      <c r="P184" s="307" t="str">
        <f>IF($B184="","",IF(P$4="NÃO",0,IF(VLOOKUP($B184,FROTA!$B$5:$R$305,10,0)=P$3,0.01,0)))</f>
        <v/>
      </c>
      <c r="Q184" s="307" t="str">
        <f>IF($B184="","",IF(Q$4="NÃO",0,IF(VLOOKUP($B184,FROTA!$B$5:$R$305,10,0)=Q$3,0.01,0)))</f>
        <v/>
      </c>
      <c r="R184" s="307" t="str">
        <f>IF($B184="","",IF(R$4="NÃO",0,IF(VLOOKUP($B184,FROTA!$B$5:$R$305,10,0)=R$3,0.01,0)))</f>
        <v/>
      </c>
      <c r="S184" s="307" t="str">
        <f>IF($B184="","",IF(S$4="NÃO",0,IF(VLOOKUP($B184,FROTA!$B$5:$R$305,10,0)=S$3,0.01,0)))</f>
        <v/>
      </c>
      <c r="T184" s="307" t="str">
        <f>IF($B184="","",IF(T$4="NÃO",0,IF(VLOOKUP($B184,FROTA!$B$5:$R$305,10,0)=T$3,0.01,0)))</f>
        <v/>
      </c>
      <c r="U184" s="307" t="str">
        <f>IF($B184="","",IF(U$4="NÃO",0,IF(VLOOKUP($B184,FROTA!$B$5:$R$305,10,0)=U$3,0.01,0)))</f>
        <v/>
      </c>
      <c r="V184" s="306" t="str">
        <f t="shared" si="26"/>
        <v/>
      </c>
      <c r="W184" s="238" t="str">
        <f t="shared" si="24"/>
        <v/>
      </c>
      <c r="X184" s="576" t="str">
        <f t="shared" si="27"/>
        <v/>
      </c>
      <c r="BA184" s="581">
        <v>45017</v>
      </c>
      <c r="BB184" s="582">
        <v>2023</v>
      </c>
    </row>
    <row r="185" spans="2:54" ht="15" customHeight="1" x14ac:dyDescent="0.2">
      <c r="B185" s="192" t="str">
        <f>IF(FROTA!B186="","",FROTA!B186)</f>
        <v/>
      </c>
      <c r="C185" s="192" t="str">
        <f>IF(B185="","",FROTA!Z186)</f>
        <v/>
      </c>
      <c r="D185" s="192" t="str">
        <f>IF(B185="","",VLOOKUP(B185,FROTA!$B$5:$C$310,2,0))</f>
        <v/>
      </c>
      <c r="E185" s="233" t="str">
        <f>IF(D185="","",VLOOKUP(D185,ESCALA!$B$3:$H$19,7,0))</f>
        <v/>
      </c>
      <c r="F185" s="219" t="s">
        <v>222</v>
      </c>
      <c r="G185" s="305" t="str">
        <f t="shared" si="25"/>
        <v/>
      </c>
      <c r="H185" s="314" t="str">
        <f>IF($B185="","",IF(H$4="NÃO",0,IF(VLOOKUP($B185,FROTA!$B$5:$R$305,17,0)=H$3,0.02,0)))</f>
        <v/>
      </c>
      <c r="I185" s="193" t="str">
        <f>IF($B185="","",IF(I$4="NÃO",0,IF(VLOOKUP($B185,FROTA!$B$5:$R$305,17,0)=I$3,0.02,0)))</f>
        <v/>
      </c>
      <c r="J185" s="193" t="str">
        <f>IF($B185="","",IF(J$4="NÃO",0,IF(VLOOKUP($B185,FROTA!$B$5:$R$305,17,0)=J$3,0.02,0)))</f>
        <v/>
      </c>
      <c r="K185" s="193" t="str">
        <f>IF($B185="","",IF(K$4="NÃO",0,IF(VLOOKUP($B185,FROTA!$B$5:$R$305,17,0)=K$3,0.02,0)))</f>
        <v/>
      </c>
      <c r="L185" s="193" t="str">
        <f>IF($B185="","",IF(L$4="NÃO",0,IF(VLOOKUP($B185,FROTA!$B$5:$R$305,17,0)=L$3,0.02,0)))</f>
        <v/>
      </c>
      <c r="M185" s="193" t="str">
        <f>IF($B185="","",IF(M$4="NÃO",0,IF(VLOOKUP($B185,FROTA!$B$5:$R$305,17,0)=M$3,0.02,0)))</f>
        <v/>
      </c>
      <c r="N185" s="193" t="str">
        <f>IF($B185="","",IF(M$4="NÃO",0,IF(VLOOKUP($B185,FROTA!$B$5:$R$305,17,0)=N$3,0.02,0)))</f>
        <v/>
      </c>
      <c r="O185" s="311" t="str">
        <f>IF($B185="","",IF(O$4="NÃO",0,IF(VLOOKUP($B185,FROTA!$B$5:$R$305,10,0)=O$3,0.01,0)))</f>
        <v/>
      </c>
      <c r="P185" s="307" t="str">
        <f>IF($B185="","",IF(P$4="NÃO",0,IF(VLOOKUP($B185,FROTA!$B$5:$R$305,10,0)=P$3,0.01,0)))</f>
        <v/>
      </c>
      <c r="Q185" s="307" t="str">
        <f>IF($B185="","",IF(Q$4="NÃO",0,IF(VLOOKUP($B185,FROTA!$B$5:$R$305,10,0)=Q$3,0.01,0)))</f>
        <v/>
      </c>
      <c r="R185" s="307" t="str">
        <f>IF($B185="","",IF(R$4="NÃO",0,IF(VLOOKUP($B185,FROTA!$B$5:$R$305,10,0)=R$3,0.01,0)))</f>
        <v/>
      </c>
      <c r="S185" s="307" t="str">
        <f>IF($B185="","",IF(S$4="NÃO",0,IF(VLOOKUP($B185,FROTA!$B$5:$R$305,10,0)=S$3,0.01,0)))</f>
        <v/>
      </c>
      <c r="T185" s="307" t="str">
        <f>IF($B185="","",IF(T$4="NÃO",0,IF(VLOOKUP($B185,FROTA!$B$5:$R$305,10,0)=T$3,0.01,0)))</f>
        <v/>
      </c>
      <c r="U185" s="307" t="str">
        <f>IF($B185="","",IF(U$4="NÃO",0,IF(VLOOKUP($B185,FROTA!$B$5:$R$305,10,0)=U$3,0.01,0)))</f>
        <v/>
      </c>
      <c r="V185" s="306" t="str">
        <f t="shared" si="26"/>
        <v/>
      </c>
      <c r="W185" s="238" t="str">
        <f t="shared" si="24"/>
        <v/>
      </c>
      <c r="X185" s="576" t="str">
        <f t="shared" si="27"/>
        <v/>
      </c>
      <c r="BA185" s="581">
        <v>45018</v>
      </c>
      <c r="BB185" s="582">
        <v>2023</v>
      </c>
    </row>
    <row r="186" spans="2:54" ht="15" customHeight="1" x14ac:dyDescent="0.2">
      <c r="B186" s="192" t="str">
        <f>IF(FROTA!B187="","",FROTA!B187)</f>
        <v/>
      </c>
      <c r="C186" s="192" t="str">
        <f>IF(B186="","",FROTA!Z187)</f>
        <v/>
      </c>
      <c r="D186" s="192" t="str">
        <f>IF(B186="","",VLOOKUP(B186,FROTA!$B$5:$C$310,2,0))</f>
        <v/>
      </c>
      <c r="E186" s="233" t="str">
        <f>IF(D186="","",VLOOKUP(D186,ESCALA!$B$3:$H$19,7,0))</f>
        <v/>
      </c>
      <c r="F186" s="219" t="s">
        <v>222</v>
      </c>
      <c r="G186" s="305" t="str">
        <f t="shared" si="25"/>
        <v/>
      </c>
      <c r="H186" s="314" t="str">
        <f>IF($B186="","",IF(H$4="NÃO",0,IF(VLOOKUP($B186,FROTA!$B$5:$R$305,17,0)=H$3,0.02,0)))</f>
        <v/>
      </c>
      <c r="I186" s="193" t="str">
        <f>IF($B186="","",IF(I$4="NÃO",0,IF(VLOOKUP($B186,FROTA!$B$5:$R$305,17,0)=I$3,0.02,0)))</f>
        <v/>
      </c>
      <c r="J186" s="193" t="str">
        <f>IF($B186="","",IF(J$4="NÃO",0,IF(VLOOKUP($B186,FROTA!$B$5:$R$305,17,0)=J$3,0.02,0)))</f>
        <v/>
      </c>
      <c r="K186" s="193" t="str">
        <f>IF($B186="","",IF(K$4="NÃO",0,IF(VLOOKUP($B186,FROTA!$B$5:$R$305,17,0)=K$3,0.02,0)))</f>
        <v/>
      </c>
      <c r="L186" s="193" t="str">
        <f>IF($B186="","",IF(L$4="NÃO",0,IF(VLOOKUP($B186,FROTA!$B$5:$R$305,17,0)=L$3,0.02,0)))</f>
        <v/>
      </c>
      <c r="M186" s="193" t="str">
        <f>IF($B186="","",IF(M$4="NÃO",0,IF(VLOOKUP($B186,FROTA!$B$5:$R$305,17,0)=M$3,0.02,0)))</f>
        <v/>
      </c>
      <c r="N186" s="193" t="str">
        <f>IF($B186="","",IF(M$4="NÃO",0,IF(VLOOKUP($B186,FROTA!$B$5:$R$305,17,0)=N$3,0.02,0)))</f>
        <v/>
      </c>
      <c r="O186" s="311" t="str">
        <f>IF($B186="","",IF(O$4="NÃO",0,IF(VLOOKUP($B186,FROTA!$B$5:$R$305,10,0)=O$3,0.01,0)))</f>
        <v/>
      </c>
      <c r="P186" s="307" t="str">
        <f>IF($B186="","",IF(P$4="NÃO",0,IF(VLOOKUP($B186,FROTA!$B$5:$R$305,10,0)=P$3,0.01,0)))</f>
        <v/>
      </c>
      <c r="Q186" s="307" t="str">
        <f>IF($B186="","",IF(Q$4="NÃO",0,IF(VLOOKUP($B186,FROTA!$B$5:$R$305,10,0)=Q$3,0.01,0)))</f>
        <v/>
      </c>
      <c r="R186" s="307" t="str">
        <f>IF($B186="","",IF(R$4="NÃO",0,IF(VLOOKUP($B186,FROTA!$B$5:$R$305,10,0)=R$3,0.01,0)))</f>
        <v/>
      </c>
      <c r="S186" s="307" t="str">
        <f>IF($B186="","",IF(S$4="NÃO",0,IF(VLOOKUP($B186,FROTA!$B$5:$R$305,10,0)=S$3,0.01,0)))</f>
        <v/>
      </c>
      <c r="T186" s="307" t="str">
        <f>IF($B186="","",IF(T$4="NÃO",0,IF(VLOOKUP($B186,FROTA!$B$5:$R$305,10,0)=T$3,0.01,0)))</f>
        <v/>
      </c>
      <c r="U186" s="307" t="str">
        <f>IF($B186="","",IF(U$4="NÃO",0,IF(VLOOKUP($B186,FROTA!$B$5:$R$305,10,0)=U$3,0.01,0)))</f>
        <v/>
      </c>
      <c r="V186" s="306" t="str">
        <f t="shared" si="26"/>
        <v/>
      </c>
      <c r="W186" s="238" t="str">
        <f t="shared" si="24"/>
        <v/>
      </c>
      <c r="X186" s="576" t="str">
        <f t="shared" si="27"/>
        <v/>
      </c>
      <c r="BA186" s="581">
        <v>45019</v>
      </c>
      <c r="BB186" s="582">
        <v>2023</v>
      </c>
    </row>
    <row r="187" spans="2:54" ht="15" customHeight="1" x14ac:dyDescent="0.2">
      <c r="B187" s="192" t="str">
        <f>IF(FROTA!B188="","",FROTA!B188)</f>
        <v/>
      </c>
      <c r="C187" s="192" t="str">
        <f>IF(B187="","",FROTA!Z188)</f>
        <v/>
      </c>
      <c r="D187" s="192" t="str">
        <f>IF(B187="","",VLOOKUP(B187,FROTA!$B$5:$C$310,2,0))</f>
        <v/>
      </c>
      <c r="E187" s="233" t="str">
        <f>IF(D187="","",VLOOKUP(D187,ESCALA!$B$3:$H$19,7,0))</f>
        <v/>
      </c>
      <c r="F187" s="219" t="s">
        <v>222</v>
      </c>
      <c r="G187" s="305" t="str">
        <f t="shared" si="25"/>
        <v/>
      </c>
      <c r="H187" s="314" t="str">
        <f>IF($B187="","",IF(H$4="NÃO",0,IF(VLOOKUP($B187,FROTA!$B$5:$R$305,17,0)=H$3,0.02,0)))</f>
        <v/>
      </c>
      <c r="I187" s="193" t="str">
        <f>IF($B187="","",IF(I$4="NÃO",0,IF(VLOOKUP($B187,FROTA!$B$5:$R$305,17,0)=I$3,0.02,0)))</f>
        <v/>
      </c>
      <c r="J187" s="193" t="str">
        <f>IF($B187="","",IF(J$4="NÃO",0,IF(VLOOKUP($B187,FROTA!$B$5:$R$305,17,0)=J$3,0.02,0)))</f>
        <v/>
      </c>
      <c r="K187" s="193" t="str">
        <f>IF($B187="","",IF(K$4="NÃO",0,IF(VLOOKUP($B187,FROTA!$B$5:$R$305,17,0)=K$3,0.02,0)))</f>
        <v/>
      </c>
      <c r="L187" s="193" t="str">
        <f>IF($B187="","",IF(L$4="NÃO",0,IF(VLOOKUP($B187,FROTA!$B$5:$R$305,17,0)=L$3,0.02,0)))</f>
        <v/>
      </c>
      <c r="M187" s="193" t="str">
        <f>IF($B187="","",IF(M$4="NÃO",0,IF(VLOOKUP($B187,FROTA!$B$5:$R$305,17,0)=M$3,0.02,0)))</f>
        <v/>
      </c>
      <c r="N187" s="193" t="str">
        <f>IF($B187="","",IF(M$4="NÃO",0,IF(VLOOKUP($B187,FROTA!$B$5:$R$305,17,0)=N$3,0.02,0)))</f>
        <v/>
      </c>
      <c r="O187" s="311" t="str">
        <f>IF($B187="","",IF(O$4="NÃO",0,IF(VLOOKUP($B187,FROTA!$B$5:$R$305,10,0)=O$3,0.01,0)))</f>
        <v/>
      </c>
      <c r="P187" s="307" t="str">
        <f>IF($B187="","",IF(P$4="NÃO",0,IF(VLOOKUP($B187,FROTA!$B$5:$R$305,10,0)=P$3,0.01,0)))</f>
        <v/>
      </c>
      <c r="Q187" s="307" t="str">
        <f>IF($B187="","",IF(Q$4="NÃO",0,IF(VLOOKUP($B187,FROTA!$B$5:$R$305,10,0)=Q$3,0.01,0)))</f>
        <v/>
      </c>
      <c r="R187" s="307" t="str">
        <f>IF($B187="","",IF(R$4="NÃO",0,IF(VLOOKUP($B187,FROTA!$B$5:$R$305,10,0)=R$3,0.01,0)))</f>
        <v/>
      </c>
      <c r="S187" s="307" t="str">
        <f>IF($B187="","",IF(S$4="NÃO",0,IF(VLOOKUP($B187,FROTA!$B$5:$R$305,10,0)=S$3,0.01,0)))</f>
        <v/>
      </c>
      <c r="T187" s="307" t="str">
        <f>IF($B187="","",IF(T$4="NÃO",0,IF(VLOOKUP($B187,FROTA!$B$5:$R$305,10,0)=T$3,0.01,0)))</f>
        <v/>
      </c>
      <c r="U187" s="307" t="str">
        <f>IF($B187="","",IF(U$4="NÃO",0,IF(VLOOKUP($B187,FROTA!$B$5:$R$305,10,0)=U$3,0.01,0)))</f>
        <v/>
      </c>
      <c r="V187" s="306" t="str">
        <f t="shared" si="26"/>
        <v/>
      </c>
      <c r="W187" s="238" t="str">
        <f t="shared" si="24"/>
        <v/>
      </c>
      <c r="X187" s="576" t="str">
        <f t="shared" si="27"/>
        <v/>
      </c>
      <c r="BA187" s="581">
        <v>45020</v>
      </c>
      <c r="BB187" s="582">
        <v>2023</v>
      </c>
    </row>
    <row r="188" spans="2:54" ht="15" customHeight="1" x14ac:dyDescent="0.2">
      <c r="B188" s="192" t="str">
        <f>IF(FROTA!B189="","",FROTA!B189)</f>
        <v/>
      </c>
      <c r="C188" s="192" t="str">
        <f>IF(B188="","",FROTA!Z189)</f>
        <v/>
      </c>
      <c r="D188" s="192" t="str">
        <f>IF(B188="","",VLOOKUP(B188,FROTA!$B$5:$C$310,2,0))</f>
        <v/>
      </c>
      <c r="E188" s="233" t="str">
        <f>IF(D188="","",VLOOKUP(D188,ESCALA!$B$3:$H$19,7,0))</f>
        <v/>
      </c>
      <c r="F188" s="219" t="s">
        <v>222</v>
      </c>
      <c r="G188" s="305" t="str">
        <f t="shared" si="25"/>
        <v/>
      </c>
      <c r="H188" s="314" t="str">
        <f>IF($B188="","",IF(H$4="NÃO",0,IF(VLOOKUP($B188,FROTA!$B$5:$R$305,17,0)=H$3,0.02,0)))</f>
        <v/>
      </c>
      <c r="I188" s="193" t="str">
        <f>IF($B188="","",IF(I$4="NÃO",0,IF(VLOOKUP($B188,FROTA!$B$5:$R$305,17,0)=I$3,0.02,0)))</f>
        <v/>
      </c>
      <c r="J188" s="193" t="str">
        <f>IF($B188="","",IF(J$4="NÃO",0,IF(VLOOKUP($B188,FROTA!$B$5:$R$305,17,0)=J$3,0.02,0)))</f>
        <v/>
      </c>
      <c r="K188" s="193" t="str">
        <f>IF($B188="","",IF(K$4="NÃO",0,IF(VLOOKUP($B188,FROTA!$B$5:$R$305,17,0)=K$3,0.02,0)))</f>
        <v/>
      </c>
      <c r="L188" s="193" t="str">
        <f>IF($B188="","",IF(L$4="NÃO",0,IF(VLOOKUP($B188,FROTA!$B$5:$R$305,17,0)=L$3,0.02,0)))</f>
        <v/>
      </c>
      <c r="M188" s="193" t="str">
        <f>IF($B188="","",IF(M$4="NÃO",0,IF(VLOOKUP($B188,FROTA!$B$5:$R$305,17,0)=M$3,0.02,0)))</f>
        <v/>
      </c>
      <c r="N188" s="193" t="str">
        <f>IF($B188="","",IF(M$4="NÃO",0,IF(VLOOKUP($B188,FROTA!$B$5:$R$305,17,0)=N$3,0.02,0)))</f>
        <v/>
      </c>
      <c r="O188" s="311" t="str">
        <f>IF($B188="","",IF(O$4="NÃO",0,IF(VLOOKUP($B188,FROTA!$B$5:$R$305,10,0)=O$3,0.01,0)))</f>
        <v/>
      </c>
      <c r="P188" s="307" t="str">
        <f>IF($B188="","",IF(P$4="NÃO",0,IF(VLOOKUP($B188,FROTA!$B$5:$R$305,10,0)=P$3,0.01,0)))</f>
        <v/>
      </c>
      <c r="Q188" s="307" t="str">
        <f>IF($B188="","",IF(Q$4="NÃO",0,IF(VLOOKUP($B188,FROTA!$B$5:$R$305,10,0)=Q$3,0.01,0)))</f>
        <v/>
      </c>
      <c r="R188" s="307" t="str">
        <f>IF($B188="","",IF(R$4="NÃO",0,IF(VLOOKUP($B188,FROTA!$B$5:$R$305,10,0)=R$3,0.01,0)))</f>
        <v/>
      </c>
      <c r="S188" s="307" t="str">
        <f>IF($B188="","",IF(S$4="NÃO",0,IF(VLOOKUP($B188,FROTA!$B$5:$R$305,10,0)=S$3,0.01,0)))</f>
        <v/>
      </c>
      <c r="T188" s="307" t="str">
        <f>IF($B188="","",IF(T$4="NÃO",0,IF(VLOOKUP($B188,FROTA!$B$5:$R$305,10,0)=T$3,0.01,0)))</f>
        <v/>
      </c>
      <c r="U188" s="307" t="str">
        <f>IF($B188="","",IF(U$4="NÃO",0,IF(VLOOKUP($B188,FROTA!$B$5:$R$305,10,0)=U$3,0.01,0)))</f>
        <v/>
      </c>
      <c r="V188" s="306" t="str">
        <f t="shared" si="26"/>
        <v/>
      </c>
      <c r="W188" s="238" t="str">
        <f t="shared" si="24"/>
        <v/>
      </c>
      <c r="X188" s="576" t="str">
        <f t="shared" si="27"/>
        <v/>
      </c>
      <c r="BA188" s="581">
        <v>45021</v>
      </c>
      <c r="BB188" s="582">
        <v>2023</v>
      </c>
    </row>
    <row r="189" spans="2:54" ht="15" customHeight="1" x14ac:dyDescent="0.2">
      <c r="B189" s="192" t="str">
        <f>IF(FROTA!B190="","",FROTA!B190)</f>
        <v/>
      </c>
      <c r="C189" s="192" t="str">
        <f>IF(B189="","",FROTA!Z190)</f>
        <v/>
      </c>
      <c r="D189" s="192" t="str">
        <f>IF(B189="","",VLOOKUP(B189,FROTA!$B$5:$C$310,2,0))</f>
        <v/>
      </c>
      <c r="E189" s="233" t="str">
        <f>IF(D189="","",VLOOKUP(D189,ESCALA!$B$3:$H$19,7,0))</f>
        <v/>
      </c>
      <c r="F189" s="219" t="s">
        <v>222</v>
      </c>
      <c r="G189" s="305" t="str">
        <f t="shared" si="25"/>
        <v/>
      </c>
      <c r="H189" s="314" t="str">
        <f>IF($B189="","",IF(H$4="NÃO",0,IF(VLOOKUP($B189,FROTA!$B$5:$R$305,17,0)=H$3,0.02,0)))</f>
        <v/>
      </c>
      <c r="I189" s="193" t="str">
        <f>IF($B189="","",IF(I$4="NÃO",0,IF(VLOOKUP($B189,FROTA!$B$5:$R$305,17,0)=I$3,0.02,0)))</f>
        <v/>
      </c>
      <c r="J189" s="193" t="str">
        <f>IF($B189="","",IF(J$4="NÃO",0,IF(VLOOKUP($B189,FROTA!$B$5:$R$305,17,0)=J$3,0.02,0)))</f>
        <v/>
      </c>
      <c r="K189" s="193" t="str">
        <f>IF($B189="","",IF(K$4="NÃO",0,IF(VLOOKUP($B189,FROTA!$B$5:$R$305,17,0)=K$3,0.02,0)))</f>
        <v/>
      </c>
      <c r="L189" s="193" t="str">
        <f>IF($B189="","",IF(L$4="NÃO",0,IF(VLOOKUP($B189,FROTA!$B$5:$R$305,17,0)=L$3,0.02,0)))</f>
        <v/>
      </c>
      <c r="M189" s="193" t="str">
        <f>IF($B189="","",IF(M$4="NÃO",0,IF(VLOOKUP($B189,FROTA!$B$5:$R$305,17,0)=M$3,0.02,0)))</f>
        <v/>
      </c>
      <c r="N189" s="193" t="str">
        <f>IF($B189="","",IF(M$4="NÃO",0,IF(VLOOKUP($B189,FROTA!$B$5:$R$305,17,0)=N$3,0.02,0)))</f>
        <v/>
      </c>
      <c r="O189" s="311" t="str">
        <f>IF($B189="","",IF(O$4="NÃO",0,IF(VLOOKUP($B189,FROTA!$B$5:$R$305,10,0)=O$3,0.01,0)))</f>
        <v/>
      </c>
      <c r="P189" s="307" t="str">
        <f>IF($B189="","",IF(P$4="NÃO",0,IF(VLOOKUP($B189,FROTA!$B$5:$R$305,10,0)=P$3,0.01,0)))</f>
        <v/>
      </c>
      <c r="Q189" s="307" t="str">
        <f>IF($B189="","",IF(Q$4="NÃO",0,IF(VLOOKUP($B189,FROTA!$B$5:$R$305,10,0)=Q$3,0.01,0)))</f>
        <v/>
      </c>
      <c r="R189" s="307" t="str">
        <f>IF($B189="","",IF(R$4="NÃO",0,IF(VLOOKUP($B189,FROTA!$B$5:$R$305,10,0)=R$3,0.01,0)))</f>
        <v/>
      </c>
      <c r="S189" s="307" t="str">
        <f>IF($B189="","",IF(S$4="NÃO",0,IF(VLOOKUP($B189,FROTA!$B$5:$R$305,10,0)=S$3,0.01,0)))</f>
        <v/>
      </c>
      <c r="T189" s="307" t="str">
        <f>IF($B189="","",IF(T$4="NÃO",0,IF(VLOOKUP($B189,FROTA!$B$5:$R$305,10,0)=T$3,0.01,0)))</f>
        <v/>
      </c>
      <c r="U189" s="307" t="str">
        <f>IF($B189="","",IF(U$4="NÃO",0,IF(VLOOKUP($B189,FROTA!$B$5:$R$305,10,0)=U$3,0.01,0)))</f>
        <v/>
      </c>
      <c r="V189" s="306" t="str">
        <f t="shared" si="26"/>
        <v/>
      </c>
      <c r="W189" s="238" t="str">
        <f t="shared" si="24"/>
        <v/>
      </c>
      <c r="X189" s="576" t="str">
        <f t="shared" si="27"/>
        <v/>
      </c>
      <c r="BA189" s="581">
        <v>45022</v>
      </c>
      <c r="BB189" s="582">
        <v>2023</v>
      </c>
    </row>
    <row r="190" spans="2:54" ht="15" customHeight="1" x14ac:dyDescent="0.2">
      <c r="B190" s="192" t="str">
        <f>IF(FROTA!B191="","",FROTA!B191)</f>
        <v/>
      </c>
      <c r="C190" s="192" t="str">
        <f>IF(B190="","",FROTA!Z191)</f>
        <v/>
      </c>
      <c r="D190" s="192" t="str">
        <f>IF(B190="","",VLOOKUP(B190,FROTA!$B$5:$C$310,2,0))</f>
        <v/>
      </c>
      <c r="E190" s="233" t="str">
        <f>IF(D190="","",VLOOKUP(D190,ESCALA!$B$3:$H$19,7,0))</f>
        <v/>
      </c>
      <c r="F190" s="219" t="s">
        <v>222</v>
      </c>
      <c r="G190" s="305" t="str">
        <f t="shared" si="25"/>
        <v/>
      </c>
      <c r="H190" s="314" t="str">
        <f>IF($B190="","",IF(H$4="NÃO",0,IF(VLOOKUP($B190,FROTA!$B$5:$R$305,17,0)=H$3,0.02,0)))</f>
        <v/>
      </c>
      <c r="I190" s="193" t="str">
        <f>IF($B190="","",IF(I$4="NÃO",0,IF(VLOOKUP($B190,FROTA!$B$5:$R$305,17,0)=I$3,0.02,0)))</f>
        <v/>
      </c>
      <c r="J190" s="193" t="str">
        <f>IF($B190="","",IF(J$4="NÃO",0,IF(VLOOKUP($B190,FROTA!$B$5:$R$305,17,0)=J$3,0.02,0)))</f>
        <v/>
      </c>
      <c r="K190" s="193" t="str">
        <f>IF($B190="","",IF(K$4="NÃO",0,IF(VLOOKUP($B190,FROTA!$B$5:$R$305,17,0)=K$3,0.02,0)))</f>
        <v/>
      </c>
      <c r="L190" s="193" t="str">
        <f>IF($B190="","",IF(L$4="NÃO",0,IF(VLOOKUP($B190,FROTA!$B$5:$R$305,17,0)=L$3,0.02,0)))</f>
        <v/>
      </c>
      <c r="M190" s="193" t="str">
        <f>IF($B190="","",IF(M$4="NÃO",0,IF(VLOOKUP($B190,FROTA!$B$5:$R$305,17,0)=M$3,0.02,0)))</f>
        <v/>
      </c>
      <c r="N190" s="193" t="str">
        <f>IF($B190="","",IF(M$4="NÃO",0,IF(VLOOKUP($B190,FROTA!$B$5:$R$305,17,0)=N$3,0.02,0)))</f>
        <v/>
      </c>
      <c r="O190" s="311" t="str">
        <f>IF($B190="","",IF(O$4="NÃO",0,IF(VLOOKUP($B190,FROTA!$B$5:$R$305,10,0)=O$3,0.01,0)))</f>
        <v/>
      </c>
      <c r="P190" s="307" t="str">
        <f>IF($B190="","",IF(P$4="NÃO",0,IF(VLOOKUP($B190,FROTA!$B$5:$R$305,10,0)=P$3,0.01,0)))</f>
        <v/>
      </c>
      <c r="Q190" s="307" t="str">
        <f>IF($B190="","",IF(Q$4="NÃO",0,IF(VLOOKUP($B190,FROTA!$B$5:$R$305,10,0)=Q$3,0.01,0)))</f>
        <v/>
      </c>
      <c r="R190" s="307" t="str">
        <f>IF($B190="","",IF(R$4="NÃO",0,IF(VLOOKUP($B190,FROTA!$B$5:$R$305,10,0)=R$3,0.01,0)))</f>
        <v/>
      </c>
      <c r="S190" s="307" t="str">
        <f>IF($B190="","",IF(S$4="NÃO",0,IF(VLOOKUP($B190,FROTA!$B$5:$R$305,10,0)=S$3,0.01,0)))</f>
        <v/>
      </c>
      <c r="T190" s="307" t="str">
        <f>IF($B190="","",IF(T$4="NÃO",0,IF(VLOOKUP($B190,FROTA!$B$5:$R$305,10,0)=T$3,0.01,0)))</f>
        <v/>
      </c>
      <c r="U190" s="307" t="str">
        <f>IF($B190="","",IF(U$4="NÃO",0,IF(VLOOKUP($B190,FROTA!$B$5:$R$305,10,0)=U$3,0.01,0)))</f>
        <v/>
      </c>
      <c r="V190" s="306" t="str">
        <f t="shared" si="26"/>
        <v/>
      </c>
      <c r="W190" s="238" t="str">
        <f t="shared" si="24"/>
        <v/>
      </c>
      <c r="X190" s="576" t="str">
        <f t="shared" si="27"/>
        <v/>
      </c>
      <c r="BA190" s="581">
        <v>45023</v>
      </c>
      <c r="BB190" s="582">
        <v>2023</v>
      </c>
    </row>
    <row r="191" spans="2:54" ht="15" customHeight="1" x14ac:dyDescent="0.2">
      <c r="B191" s="192" t="str">
        <f>IF(FROTA!B192="","",FROTA!B192)</f>
        <v/>
      </c>
      <c r="C191" s="192" t="str">
        <f>IF(B191="","",FROTA!Z192)</f>
        <v/>
      </c>
      <c r="D191" s="192" t="str">
        <f>IF(B191="","",VLOOKUP(B191,FROTA!$B$5:$C$310,2,0))</f>
        <v/>
      </c>
      <c r="E191" s="233" t="str">
        <f>IF(D191="","",VLOOKUP(D191,ESCALA!$B$3:$H$19,7,0))</f>
        <v/>
      </c>
      <c r="F191" s="219" t="s">
        <v>222</v>
      </c>
      <c r="G191" s="305" t="str">
        <f t="shared" si="25"/>
        <v/>
      </c>
      <c r="H191" s="314" t="str">
        <f>IF($B191="","",IF(H$4="NÃO",0,IF(VLOOKUP($B191,FROTA!$B$5:$R$305,17,0)=H$3,0.02,0)))</f>
        <v/>
      </c>
      <c r="I191" s="193" t="str">
        <f>IF($B191="","",IF(I$4="NÃO",0,IF(VLOOKUP($B191,FROTA!$B$5:$R$305,17,0)=I$3,0.02,0)))</f>
        <v/>
      </c>
      <c r="J191" s="193" t="str">
        <f>IF($B191="","",IF(J$4="NÃO",0,IF(VLOOKUP($B191,FROTA!$B$5:$R$305,17,0)=J$3,0.02,0)))</f>
        <v/>
      </c>
      <c r="K191" s="193" t="str">
        <f>IF($B191="","",IF(K$4="NÃO",0,IF(VLOOKUP($B191,FROTA!$B$5:$R$305,17,0)=K$3,0.02,0)))</f>
        <v/>
      </c>
      <c r="L191" s="193" t="str">
        <f>IF($B191="","",IF(L$4="NÃO",0,IF(VLOOKUP($B191,FROTA!$B$5:$R$305,17,0)=L$3,0.02,0)))</f>
        <v/>
      </c>
      <c r="M191" s="193" t="str">
        <f>IF($B191="","",IF(M$4="NÃO",0,IF(VLOOKUP($B191,FROTA!$B$5:$R$305,17,0)=M$3,0.02,0)))</f>
        <v/>
      </c>
      <c r="N191" s="193" t="str">
        <f>IF($B191="","",IF(M$4="NÃO",0,IF(VLOOKUP($B191,FROTA!$B$5:$R$305,17,0)=N$3,0.02,0)))</f>
        <v/>
      </c>
      <c r="O191" s="311" t="str">
        <f>IF($B191="","",IF(O$4="NÃO",0,IF(VLOOKUP($B191,FROTA!$B$5:$R$305,10,0)=O$3,0.01,0)))</f>
        <v/>
      </c>
      <c r="P191" s="307" t="str">
        <f>IF($B191="","",IF(P$4="NÃO",0,IF(VLOOKUP($B191,FROTA!$B$5:$R$305,10,0)=P$3,0.01,0)))</f>
        <v/>
      </c>
      <c r="Q191" s="307" t="str">
        <f>IF($B191="","",IF(Q$4="NÃO",0,IF(VLOOKUP($B191,FROTA!$B$5:$R$305,10,0)=Q$3,0.01,0)))</f>
        <v/>
      </c>
      <c r="R191" s="307" t="str">
        <f>IF($B191="","",IF(R$4="NÃO",0,IF(VLOOKUP($B191,FROTA!$B$5:$R$305,10,0)=R$3,0.01,0)))</f>
        <v/>
      </c>
      <c r="S191" s="307" t="str">
        <f>IF($B191="","",IF(S$4="NÃO",0,IF(VLOOKUP($B191,FROTA!$B$5:$R$305,10,0)=S$3,0.01,0)))</f>
        <v/>
      </c>
      <c r="T191" s="307" t="str">
        <f>IF($B191="","",IF(T$4="NÃO",0,IF(VLOOKUP($B191,FROTA!$B$5:$R$305,10,0)=T$3,0.01,0)))</f>
        <v/>
      </c>
      <c r="U191" s="307" t="str">
        <f>IF($B191="","",IF(U$4="NÃO",0,IF(VLOOKUP($B191,FROTA!$B$5:$R$305,10,0)=U$3,0.01,0)))</f>
        <v/>
      </c>
      <c r="V191" s="306" t="str">
        <f t="shared" si="26"/>
        <v/>
      </c>
      <c r="W191" s="238" t="str">
        <f t="shared" si="24"/>
        <v/>
      </c>
      <c r="X191" s="576" t="str">
        <f t="shared" si="27"/>
        <v/>
      </c>
      <c r="BA191" s="581">
        <v>45024</v>
      </c>
      <c r="BB191" s="582">
        <v>2023</v>
      </c>
    </row>
    <row r="192" spans="2:54" ht="15" customHeight="1" x14ac:dyDescent="0.2">
      <c r="B192" s="192" t="str">
        <f>IF(FROTA!B193="","",FROTA!B193)</f>
        <v/>
      </c>
      <c r="C192" s="192" t="str">
        <f>IF(B192="","",FROTA!Z193)</f>
        <v/>
      </c>
      <c r="D192" s="192" t="str">
        <f>IF(B192="","",VLOOKUP(B192,FROTA!$B$5:$C$310,2,0))</f>
        <v/>
      </c>
      <c r="E192" s="233" t="str">
        <f>IF(D192="","",VLOOKUP(D192,ESCALA!$B$3:$H$19,7,0))</f>
        <v/>
      </c>
      <c r="F192" s="219" t="s">
        <v>222</v>
      </c>
      <c r="G192" s="305" t="str">
        <f t="shared" si="25"/>
        <v/>
      </c>
      <c r="H192" s="314" t="str">
        <f>IF($B192="","",IF(H$4="NÃO",0,IF(VLOOKUP($B192,FROTA!$B$5:$R$305,17,0)=H$3,0.02,0)))</f>
        <v/>
      </c>
      <c r="I192" s="193" t="str">
        <f>IF($B192="","",IF(I$4="NÃO",0,IF(VLOOKUP($B192,FROTA!$B$5:$R$305,17,0)=I$3,0.02,0)))</f>
        <v/>
      </c>
      <c r="J192" s="193" t="str">
        <f>IF($B192="","",IF(J$4="NÃO",0,IF(VLOOKUP($B192,FROTA!$B$5:$R$305,17,0)=J$3,0.02,0)))</f>
        <v/>
      </c>
      <c r="K192" s="193" t="str">
        <f>IF($B192="","",IF(K$4="NÃO",0,IF(VLOOKUP($B192,FROTA!$B$5:$R$305,17,0)=K$3,0.02,0)))</f>
        <v/>
      </c>
      <c r="L192" s="193" t="str">
        <f>IF($B192="","",IF(L$4="NÃO",0,IF(VLOOKUP($B192,FROTA!$B$5:$R$305,17,0)=L$3,0.02,0)))</f>
        <v/>
      </c>
      <c r="M192" s="193" t="str">
        <f>IF($B192="","",IF(M$4="NÃO",0,IF(VLOOKUP($B192,FROTA!$B$5:$R$305,17,0)=M$3,0.02,0)))</f>
        <v/>
      </c>
      <c r="N192" s="193" t="str">
        <f>IF($B192="","",IF(M$4="NÃO",0,IF(VLOOKUP($B192,FROTA!$B$5:$R$305,17,0)=N$3,0.02,0)))</f>
        <v/>
      </c>
      <c r="O192" s="311" t="str">
        <f>IF($B192="","",IF(O$4="NÃO",0,IF(VLOOKUP($B192,FROTA!$B$5:$R$305,10,0)=O$3,0.01,0)))</f>
        <v/>
      </c>
      <c r="P192" s="307" t="str">
        <f>IF($B192="","",IF(P$4="NÃO",0,IF(VLOOKUP($B192,FROTA!$B$5:$R$305,10,0)=P$3,0.01,0)))</f>
        <v/>
      </c>
      <c r="Q192" s="307" t="str">
        <f>IF($B192="","",IF(Q$4="NÃO",0,IF(VLOOKUP($B192,FROTA!$B$5:$R$305,10,0)=Q$3,0.01,0)))</f>
        <v/>
      </c>
      <c r="R192" s="307" t="str">
        <f>IF($B192="","",IF(R$4="NÃO",0,IF(VLOOKUP($B192,FROTA!$B$5:$R$305,10,0)=R$3,0.01,0)))</f>
        <v/>
      </c>
      <c r="S192" s="307" t="str">
        <f>IF($B192="","",IF(S$4="NÃO",0,IF(VLOOKUP($B192,FROTA!$B$5:$R$305,10,0)=S$3,0.01,0)))</f>
        <v/>
      </c>
      <c r="T192" s="307" t="str">
        <f>IF($B192="","",IF(T$4="NÃO",0,IF(VLOOKUP($B192,FROTA!$B$5:$R$305,10,0)=T$3,0.01,0)))</f>
        <v/>
      </c>
      <c r="U192" s="307" t="str">
        <f>IF($B192="","",IF(U$4="NÃO",0,IF(VLOOKUP($B192,FROTA!$B$5:$R$305,10,0)=U$3,0.01,0)))</f>
        <v/>
      </c>
      <c r="V192" s="306" t="str">
        <f t="shared" si="26"/>
        <v/>
      </c>
      <c r="W192" s="238" t="str">
        <f t="shared" si="24"/>
        <v/>
      </c>
      <c r="X192" s="576" t="str">
        <f t="shared" si="27"/>
        <v/>
      </c>
      <c r="BA192" s="581">
        <v>45025</v>
      </c>
      <c r="BB192" s="582">
        <v>2023</v>
      </c>
    </row>
    <row r="193" spans="2:54" ht="15" customHeight="1" x14ac:dyDescent="0.2">
      <c r="B193" s="192" t="str">
        <f>IF(FROTA!B194="","",FROTA!B194)</f>
        <v/>
      </c>
      <c r="C193" s="192" t="str">
        <f>IF(B193="","",FROTA!Z194)</f>
        <v/>
      </c>
      <c r="D193" s="192" t="str">
        <f>IF(B193="","",VLOOKUP(B193,FROTA!$B$5:$C$310,2,0))</f>
        <v/>
      </c>
      <c r="E193" s="233" t="str">
        <f>IF(D193="","",VLOOKUP(D193,ESCALA!$B$3:$H$19,7,0))</f>
        <v/>
      </c>
      <c r="F193" s="219" t="s">
        <v>222</v>
      </c>
      <c r="G193" s="305" t="str">
        <f t="shared" si="25"/>
        <v/>
      </c>
      <c r="H193" s="314" t="str">
        <f>IF($B193="","",IF(H$4="NÃO",0,IF(VLOOKUP($B193,FROTA!$B$5:$R$305,17,0)=H$3,0.02,0)))</f>
        <v/>
      </c>
      <c r="I193" s="193" t="str">
        <f>IF($B193="","",IF(I$4="NÃO",0,IF(VLOOKUP($B193,FROTA!$B$5:$R$305,17,0)=I$3,0.02,0)))</f>
        <v/>
      </c>
      <c r="J193" s="193" t="str">
        <f>IF($B193="","",IF(J$4="NÃO",0,IF(VLOOKUP($B193,FROTA!$B$5:$R$305,17,0)=J$3,0.02,0)))</f>
        <v/>
      </c>
      <c r="K193" s="193" t="str">
        <f>IF($B193="","",IF(K$4="NÃO",0,IF(VLOOKUP($B193,FROTA!$B$5:$R$305,17,0)=K$3,0.02,0)))</f>
        <v/>
      </c>
      <c r="L193" s="193" t="str">
        <f>IF($B193="","",IF(L$4="NÃO",0,IF(VLOOKUP($B193,FROTA!$B$5:$R$305,17,0)=L$3,0.02,0)))</f>
        <v/>
      </c>
      <c r="M193" s="193" t="str">
        <f>IF($B193="","",IF(M$4="NÃO",0,IF(VLOOKUP($B193,FROTA!$B$5:$R$305,17,0)=M$3,0.02,0)))</f>
        <v/>
      </c>
      <c r="N193" s="193" t="str">
        <f>IF($B193="","",IF(M$4="NÃO",0,IF(VLOOKUP($B193,FROTA!$B$5:$R$305,17,0)=N$3,0.02,0)))</f>
        <v/>
      </c>
      <c r="O193" s="311" t="str">
        <f>IF($B193="","",IF(O$4="NÃO",0,IF(VLOOKUP($B193,FROTA!$B$5:$R$305,10,0)=O$3,0.01,0)))</f>
        <v/>
      </c>
      <c r="P193" s="307" t="str">
        <f>IF($B193="","",IF(P$4="NÃO",0,IF(VLOOKUP($B193,FROTA!$B$5:$R$305,10,0)=P$3,0.01,0)))</f>
        <v/>
      </c>
      <c r="Q193" s="307" t="str">
        <f>IF($B193="","",IF(Q$4="NÃO",0,IF(VLOOKUP($B193,FROTA!$B$5:$R$305,10,0)=Q$3,0.01,0)))</f>
        <v/>
      </c>
      <c r="R193" s="307" t="str">
        <f>IF($B193="","",IF(R$4="NÃO",0,IF(VLOOKUP($B193,FROTA!$B$5:$R$305,10,0)=R$3,0.01,0)))</f>
        <v/>
      </c>
      <c r="S193" s="307" t="str">
        <f>IF($B193="","",IF(S$4="NÃO",0,IF(VLOOKUP($B193,FROTA!$B$5:$R$305,10,0)=S$3,0.01,0)))</f>
        <v/>
      </c>
      <c r="T193" s="307" t="str">
        <f>IF($B193="","",IF(T$4="NÃO",0,IF(VLOOKUP($B193,FROTA!$B$5:$R$305,10,0)=T$3,0.01,0)))</f>
        <v/>
      </c>
      <c r="U193" s="307" t="str">
        <f>IF($B193="","",IF(U$4="NÃO",0,IF(VLOOKUP($B193,FROTA!$B$5:$R$305,10,0)=U$3,0.01,0)))</f>
        <v/>
      </c>
      <c r="V193" s="306" t="str">
        <f t="shared" si="26"/>
        <v/>
      </c>
      <c r="W193" s="238" t="str">
        <f t="shared" si="24"/>
        <v/>
      </c>
      <c r="X193" s="576" t="str">
        <f t="shared" si="27"/>
        <v/>
      </c>
      <c r="BA193" s="581">
        <v>45026</v>
      </c>
      <c r="BB193" s="582">
        <v>2023</v>
      </c>
    </row>
    <row r="194" spans="2:54" ht="15" customHeight="1" x14ac:dyDescent="0.2">
      <c r="B194" s="192" t="str">
        <f>IF(FROTA!B195="","",FROTA!B195)</f>
        <v/>
      </c>
      <c r="C194" s="192" t="str">
        <f>IF(B194="","",FROTA!Z195)</f>
        <v/>
      </c>
      <c r="D194" s="192" t="str">
        <f>IF(B194="","",VLOOKUP(B194,FROTA!$B$5:$C$310,2,0))</f>
        <v/>
      </c>
      <c r="E194" s="233" t="str">
        <f>IF(D194="","",VLOOKUP(D194,ESCALA!$B$3:$H$19,7,0))</f>
        <v/>
      </c>
      <c r="F194" s="219" t="s">
        <v>222</v>
      </c>
      <c r="G194" s="305" t="str">
        <f t="shared" si="25"/>
        <v/>
      </c>
      <c r="H194" s="314" t="str">
        <f>IF($B194="","",IF(H$4="NÃO",0,IF(VLOOKUP($B194,FROTA!$B$5:$R$305,17,0)=H$3,0.02,0)))</f>
        <v/>
      </c>
      <c r="I194" s="193" t="str">
        <f>IF($B194="","",IF(I$4="NÃO",0,IF(VLOOKUP($B194,FROTA!$B$5:$R$305,17,0)=I$3,0.02,0)))</f>
        <v/>
      </c>
      <c r="J194" s="193" t="str">
        <f>IF($B194="","",IF(J$4="NÃO",0,IF(VLOOKUP($B194,FROTA!$B$5:$R$305,17,0)=J$3,0.02,0)))</f>
        <v/>
      </c>
      <c r="K194" s="193" t="str">
        <f>IF($B194="","",IF(K$4="NÃO",0,IF(VLOOKUP($B194,FROTA!$B$5:$R$305,17,0)=K$3,0.02,0)))</f>
        <v/>
      </c>
      <c r="L194" s="193" t="str">
        <f>IF($B194="","",IF(L$4="NÃO",0,IF(VLOOKUP($B194,FROTA!$B$5:$R$305,17,0)=L$3,0.02,0)))</f>
        <v/>
      </c>
      <c r="M194" s="193" t="str">
        <f>IF($B194="","",IF(M$4="NÃO",0,IF(VLOOKUP($B194,FROTA!$B$5:$R$305,17,0)=M$3,0.02,0)))</f>
        <v/>
      </c>
      <c r="N194" s="193" t="str">
        <f>IF($B194="","",IF(M$4="NÃO",0,IF(VLOOKUP($B194,FROTA!$B$5:$R$305,17,0)=N$3,0.02,0)))</f>
        <v/>
      </c>
      <c r="O194" s="311" t="str">
        <f>IF($B194="","",IF(O$4="NÃO",0,IF(VLOOKUP($B194,FROTA!$B$5:$R$305,10,0)=O$3,0.01,0)))</f>
        <v/>
      </c>
      <c r="P194" s="307" t="str">
        <f>IF($B194="","",IF(P$4="NÃO",0,IF(VLOOKUP($B194,FROTA!$B$5:$R$305,10,0)=P$3,0.01,0)))</f>
        <v/>
      </c>
      <c r="Q194" s="307" t="str">
        <f>IF($B194="","",IF(Q$4="NÃO",0,IF(VLOOKUP($B194,FROTA!$B$5:$R$305,10,0)=Q$3,0.01,0)))</f>
        <v/>
      </c>
      <c r="R194" s="307" t="str">
        <f>IF($B194="","",IF(R$4="NÃO",0,IF(VLOOKUP($B194,FROTA!$B$5:$R$305,10,0)=R$3,0.01,0)))</f>
        <v/>
      </c>
      <c r="S194" s="307" t="str">
        <f>IF($B194="","",IF(S$4="NÃO",0,IF(VLOOKUP($B194,FROTA!$B$5:$R$305,10,0)=S$3,0.01,0)))</f>
        <v/>
      </c>
      <c r="T194" s="307" t="str">
        <f>IF($B194="","",IF(T$4="NÃO",0,IF(VLOOKUP($B194,FROTA!$B$5:$R$305,10,0)=T$3,0.01,0)))</f>
        <v/>
      </c>
      <c r="U194" s="307" t="str">
        <f>IF($B194="","",IF(U$4="NÃO",0,IF(VLOOKUP($B194,FROTA!$B$5:$R$305,10,0)=U$3,0.01,0)))</f>
        <v/>
      </c>
      <c r="V194" s="306" t="str">
        <f t="shared" si="26"/>
        <v/>
      </c>
      <c r="W194" s="238" t="str">
        <f t="shared" si="24"/>
        <v/>
      </c>
      <c r="X194" s="576" t="str">
        <f t="shared" si="27"/>
        <v/>
      </c>
      <c r="BA194" s="581">
        <v>45027</v>
      </c>
      <c r="BB194" s="582">
        <v>2023</v>
      </c>
    </row>
    <row r="195" spans="2:54" ht="15" customHeight="1" x14ac:dyDescent="0.2">
      <c r="B195" s="192" t="str">
        <f>IF(FROTA!B196="","",FROTA!B196)</f>
        <v/>
      </c>
      <c r="C195" s="192" t="str">
        <f>IF(B195="","",FROTA!Z196)</f>
        <v/>
      </c>
      <c r="D195" s="192" t="str">
        <f>IF(B195="","",VLOOKUP(B195,FROTA!$B$5:$C$310,2,0))</f>
        <v/>
      </c>
      <c r="E195" s="233" t="str">
        <f>IF(D195="","",VLOOKUP(D195,ESCALA!$B$3:$H$19,7,0))</f>
        <v/>
      </c>
      <c r="F195" s="219" t="s">
        <v>222</v>
      </c>
      <c r="G195" s="305" t="str">
        <f t="shared" si="25"/>
        <v/>
      </c>
      <c r="H195" s="314" t="str">
        <f>IF($B195="","",IF(H$4="NÃO",0,IF(VLOOKUP($B195,FROTA!$B$5:$R$305,17,0)=H$3,0.02,0)))</f>
        <v/>
      </c>
      <c r="I195" s="193" t="str">
        <f>IF($B195="","",IF(I$4="NÃO",0,IF(VLOOKUP($B195,FROTA!$B$5:$R$305,17,0)=I$3,0.02,0)))</f>
        <v/>
      </c>
      <c r="J195" s="193" t="str">
        <f>IF($B195="","",IF(J$4="NÃO",0,IF(VLOOKUP($B195,FROTA!$B$5:$R$305,17,0)=J$3,0.02,0)))</f>
        <v/>
      </c>
      <c r="K195" s="193" t="str">
        <f>IF($B195="","",IF(K$4="NÃO",0,IF(VLOOKUP($B195,FROTA!$B$5:$R$305,17,0)=K$3,0.02,0)))</f>
        <v/>
      </c>
      <c r="L195" s="193" t="str">
        <f>IF($B195="","",IF(L$4="NÃO",0,IF(VLOOKUP($B195,FROTA!$B$5:$R$305,17,0)=L$3,0.02,0)))</f>
        <v/>
      </c>
      <c r="M195" s="193" t="str">
        <f>IF($B195="","",IF(M$4="NÃO",0,IF(VLOOKUP($B195,FROTA!$B$5:$R$305,17,0)=M$3,0.02,0)))</f>
        <v/>
      </c>
      <c r="N195" s="193" t="str">
        <f>IF($B195="","",IF(M$4="NÃO",0,IF(VLOOKUP($B195,FROTA!$B$5:$R$305,17,0)=N$3,0.02,0)))</f>
        <v/>
      </c>
      <c r="O195" s="311" t="str">
        <f>IF($B195="","",IF(O$4="NÃO",0,IF(VLOOKUP($B195,FROTA!$B$5:$R$305,10,0)=O$3,0.01,0)))</f>
        <v/>
      </c>
      <c r="P195" s="307" t="str">
        <f>IF($B195="","",IF(P$4="NÃO",0,IF(VLOOKUP($B195,FROTA!$B$5:$R$305,10,0)=P$3,0.01,0)))</f>
        <v/>
      </c>
      <c r="Q195" s="307" t="str">
        <f>IF($B195="","",IF(Q$4="NÃO",0,IF(VLOOKUP($B195,FROTA!$B$5:$R$305,10,0)=Q$3,0.01,0)))</f>
        <v/>
      </c>
      <c r="R195" s="307" t="str">
        <f>IF($B195="","",IF(R$4="NÃO",0,IF(VLOOKUP($B195,FROTA!$B$5:$R$305,10,0)=R$3,0.01,0)))</f>
        <v/>
      </c>
      <c r="S195" s="307" t="str">
        <f>IF($B195="","",IF(S$4="NÃO",0,IF(VLOOKUP($B195,FROTA!$B$5:$R$305,10,0)=S$3,0.01,0)))</f>
        <v/>
      </c>
      <c r="T195" s="307" t="str">
        <f>IF($B195="","",IF(T$4="NÃO",0,IF(VLOOKUP($B195,FROTA!$B$5:$R$305,10,0)=T$3,0.01,0)))</f>
        <v/>
      </c>
      <c r="U195" s="307" t="str">
        <f>IF($B195="","",IF(U$4="NÃO",0,IF(VLOOKUP($B195,FROTA!$B$5:$R$305,10,0)=U$3,0.01,0)))</f>
        <v/>
      </c>
      <c r="V195" s="306" t="str">
        <f t="shared" si="26"/>
        <v/>
      </c>
      <c r="W195" s="238" t="str">
        <f t="shared" si="24"/>
        <v/>
      </c>
      <c r="X195" s="576" t="str">
        <f t="shared" si="27"/>
        <v/>
      </c>
      <c r="BA195" s="581">
        <v>45028</v>
      </c>
      <c r="BB195" s="582">
        <v>2023</v>
      </c>
    </row>
    <row r="196" spans="2:54" ht="15" customHeight="1" x14ac:dyDescent="0.2">
      <c r="B196" s="192" t="str">
        <f>IF(FROTA!B197="","",FROTA!B197)</f>
        <v/>
      </c>
      <c r="C196" s="192" t="str">
        <f>IF(B196="","",FROTA!Z197)</f>
        <v/>
      </c>
      <c r="D196" s="192" t="str">
        <f>IF(B196="","",VLOOKUP(B196,FROTA!$B$5:$C$310,2,0))</f>
        <v/>
      </c>
      <c r="E196" s="233" t="str">
        <f>IF(D196="","",VLOOKUP(D196,ESCALA!$B$3:$H$19,7,0))</f>
        <v/>
      </c>
      <c r="F196" s="219" t="s">
        <v>222</v>
      </c>
      <c r="G196" s="305" t="str">
        <f t="shared" si="25"/>
        <v/>
      </c>
      <c r="H196" s="314" t="str">
        <f>IF($B196="","",IF(H$4="NÃO",0,IF(VLOOKUP($B196,FROTA!$B$5:$R$305,17,0)=H$3,0.02,0)))</f>
        <v/>
      </c>
      <c r="I196" s="193" t="str">
        <f>IF($B196="","",IF(I$4="NÃO",0,IF(VLOOKUP($B196,FROTA!$B$5:$R$305,17,0)=I$3,0.02,0)))</f>
        <v/>
      </c>
      <c r="J196" s="193" t="str">
        <f>IF($B196="","",IF(J$4="NÃO",0,IF(VLOOKUP($B196,FROTA!$B$5:$R$305,17,0)=J$3,0.02,0)))</f>
        <v/>
      </c>
      <c r="K196" s="193" t="str">
        <f>IF($B196="","",IF(K$4="NÃO",0,IF(VLOOKUP($B196,FROTA!$B$5:$R$305,17,0)=K$3,0.02,0)))</f>
        <v/>
      </c>
      <c r="L196" s="193" t="str">
        <f>IF($B196="","",IF(L$4="NÃO",0,IF(VLOOKUP($B196,FROTA!$B$5:$R$305,17,0)=L$3,0.02,0)))</f>
        <v/>
      </c>
      <c r="M196" s="193" t="str">
        <f>IF($B196="","",IF(M$4="NÃO",0,IF(VLOOKUP($B196,FROTA!$B$5:$R$305,17,0)=M$3,0.02,0)))</f>
        <v/>
      </c>
      <c r="N196" s="193" t="str">
        <f>IF($B196="","",IF(M$4="NÃO",0,IF(VLOOKUP($B196,FROTA!$B$5:$R$305,17,0)=N$3,0.02,0)))</f>
        <v/>
      </c>
      <c r="O196" s="311" t="str">
        <f>IF($B196="","",IF(O$4="NÃO",0,IF(VLOOKUP($B196,FROTA!$B$5:$R$305,10,0)=O$3,0.01,0)))</f>
        <v/>
      </c>
      <c r="P196" s="307" t="str">
        <f>IF($B196="","",IF(P$4="NÃO",0,IF(VLOOKUP($B196,FROTA!$B$5:$R$305,10,0)=P$3,0.01,0)))</f>
        <v/>
      </c>
      <c r="Q196" s="307" t="str">
        <f>IF($B196="","",IF(Q$4="NÃO",0,IF(VLOOKUP($B196,FROTA!$B$5:$R$305,10,0)=Q$3,0.01,0)))</f>
        <v/>
      </c>
      <c r="R196" s="307" t="str">
        <f>IF($B196="","",IF(R$4="NÃO",0,IF(VLOOKUP($B196,FROTA!$B$5:$R$305,10,0)=R$3,0.01,0)))</f>
        <v/>
      </c>
      <c r="S196" s="307" t="str">
        <f>IF($B196="","",IF(S$4="NÃO",0,IF(VLOOKUP($B196,FROTA!$B$5:$R$305,10,0)=S$3,0.01,0)))</f>
        <v/>
      </c>
      <c r="T196" s="307" t="str">
        <f>IF($B196="","",IF(T$4="NÃO",0,IF(VLOOKUP($B196,FROTA!$B$5:$R$305,10,0)=T$3,0.01,0)))</f>
        <v/>
      </c>
      <c r="U196" s="307" t="str">
        <f>IF($B196="","",IF(U$4="NÃO",0,IF(VLOOKUP($B196,FROTA!$B$5:$R$305,10,0)=U$3,0.01,0)))</f>
        <v/>
      </c>
      <c r="V196" s="306" t="str">
        <f t="shared" si="26"/>
        <v/>
      </c>
      <c r="W196" s="238" t="str">
        <f t="shared" si="24"/>
        <v/>
      </c>
      <c r="X196" s="576" t="str">
        <f t="shared" si="27"/>
        <v/>
      </c>
      <c r="BA196" s="581">
        <v>45029</v>
      </c>
      <c r="BB196" s="582">
        <v>2023</v>
      </c>
    </row>
    <row r="197" spans="2:54" ht="15" customHeight="1" x14ac:dyDescent="0.2">
      <c r="B197" s="192" t="str">
        <f>IF(FROTA!B198="","",FROTA!B198)</f>
        <v/>
      </c>
      <c r="C197" s="192" t="str">
        <f>IF(B197="","",FROTA!Z198)</f>
        <v/>
      </c>
      <c r="D197" s="192" t="str">
        <f>IF(B197="","",VLOOKUP(B197,FROTA!$B$5:$C$310,2,0))</f>
        <v/>
      </c>
      <c r="E197" s="233" t="str">
        <f>IF(D197="","",VLOOKUP(D197,ESCALA!$B$3:$H$19,7,0))</f>
        <v/>
      </c>
      <c r="F197" s="219" t="s">
        <v>222</v>
      </c>
      <c r="G197" s="305" t="str">
        <f t="shared" si="25"/>
        <v/>
      </c>
      <c r="H197" s="314" t="str">
        <f>IF($B197="","",IF(H$4="NÃO",0,IF(VLOOKUP($B197,FROTA!$B$5:$R$305,17,0)=H$3,0.02,0)))</f>
        <v/>
      </c>
      <c r="I197" s="193" t="str">
        <f>IF($B197="","",IF(I$4="NÃO",0,IF(VLOOKUP($B197,FROTA!$B$5:$R$305,17,0)=I$3,0.02,0)))</f>
        <v/>
      </c>
      <c r="J197" s="193" t="str">
        <f>IF($B197="","",IF(J$4="NÃO",0,IF(VLOOKUP($B197,FROTA!$B$5:$R$305,17,0)=J$3,0.02,0)))</f>
        <v/>
      </c>
      <c r="K197" s="193" t="str">
        <f>IF($B197="","",IF(K$4="NÃO",0,IF(VLOOKUP($B197,FROTA!$B$5:$R$305,17,0)=K$3,0.02,0)))</f>
        <v/>
      </c>
      <c r="L197" s="193" t="str">
        <f>IF($B197="","",IF(L$4="NÃO",0,IF(VLOOKUP($B197,FROTA!$B$5:$R$305,17,0)=L$3,0.02,0)))</f>
        <v/>
      </c>
      <c r="M197" s="193" t="str">
        <f>IF($B197="","",IF(M$4="NÃO",0,IF(VLOOKUP($B197,FROTA!$B$5:$R$305,17,0)=M$3,0.02,0)))</f>
        <v/>
      </c>
      <c r="N197" s="193" t="str">
        <f>IF($B197="","",IF(M$4="NÃO",0,IF(VLOOKUP($B197,FROTA!$B$5:$R$305,17,0)=N$3,0.02,0)))</f>
        <v/>
      </c>
      <c r="O197" s="311" t="str">
        <f>IF($B197="","",IF(O$4="NÃO",0,IF(VLOOKUP($B197,FROTA!$B$5:$R$305,10,0)=O$3,0.01,0)))</f>
        <v/>
      </c>
      <c r="P197" s="307" t="str">
        <f>IF($B197="","",IF(P$4="NÃO",0,IF(VLOOKUP($B197,FROTA!$B$5:$R$305,10,0)=P$3,0.01,0)))</f>
        <v/>
      </c>
      <c r="Q197" s="307" t="str">
        <f>IF($B197="","",IF(Q$4="NÃO",0,IF(VLOOKUP($B197,FROTA!$B$5:$R$305,10,0)=Q$3,0.01,0)))</f>
        <v/>
      </c>
      <c r="R197" s="307" t="str">
        <f>IF($B197="","",IF(R$4="NÃO",0,IF(VLOOKUP($B197,FROTA!$B$5:$R$305,10,0)=R$3,0.01,0)))</f>
        <v/>
      </c>
      <c r="S197" s="307" t="str">
        <f>IF($B197="","",IF(S$4="NÃO",0,IF(VLOOKUP($B197,FROTA!$B$5:$R$305,10,0)=S$3,0.01,0)))</f>
        <v/>
      </c>
      <c r="T197" s="307" t="str">
        <f>IF($B197="","",IF(T$4="NÃO",0,IF(VLOOKUP($B197,FROTA!$B$5:$R$305,10,0)=T$3,0.01,0)))</f>
        <v/>
      </c>
      <c r="U197" s="307" t="str">
        <f>IF($B197="","",IF(U$4="NÃO",0,IF(VLOOKUP($B197,FROTA!$B$5:$R$305,10,0)=U$3,0.01,0)))</f>
        <v/>
      </c>
      <c r="V197" s="306" t="str">
        <f t="shared" si="26"/>
        <v/>
      </c>
      <c r="W197" s="238" t="str">
        <f t="shared" ref="W197:W260" si="28">IF($E197="","",IF($E197="",0,IF($E197=0,AVERAGE(F197,0.8),IF($E197=1,AVERAGE(F197,VLOOKUP($C197,$Y$1:$Z$30,2,0)),IF($E197=2,AVERAGE(F197,VLOOKUP($C197,$AB$1:$AC$30,2,0)),IF($E197=3,AVERAGE(F197,VLOOKUP($C197,$AE$1:$AF$30,2,0)),""))))))</f>
        <v/>
      </c>
      <c r="X197" s="576" t="str">
        <f t="shared" si="27"/>
        <v/>
      </c>
      <c r="BA197" s="581">
        <v>45030</v>
      </c>
      <c r="BB197" s="582">
        <v>2023</v>
      </c>
    </row>
    <row r="198" spans="2:54" ht="15" customHeight="1" x14ac:dyDescent="0.2">
      <c r="B198" s="192" t="str">
        <f>IF(FROTA!B199="","",FROTA!B199)</f>
        <v/>
      </c>
      <c r="C198" s="192" t="str">
        <f>IF(B198="","",FROTA!Z199)</f>
        <v/>
      </c>
      <c r="D198" s="192" t="str">
        <f>IF(B198="","",VLOOKUP(B198,FROTA!$B$5:$C$310,2,0))</f>
        <v/>
      </c>
      <c r="E198" s="233" t="str">
        <f>IF(D198="","",VLOOKUP(D198,ESCALA!$B$3:$H$19,7,0))</f>
        <v/>
      </c>
      <c r="F198" s="219" t="s">
        <v>222</v>
      </c>
      <c r="G198" s="305" t="str">
        <f t="shared" ref="G198:G261" si="29">IF(W198="",IF(X198="","",X198),W198)</f>
        <v/>
      </c>
      <c r="H198" s="314" t="str">
        <f>IF($B198="","",IF(H$4="NÃO",0,IF(VLOOKUP($B198,FROTA!$B$5:$R$305,17,0)=H$3,0.02,0)))</f>
        <v/>
      </c>
      <c r="I198" s="193" t="str">
        <f>IF($B198="","",IF(I$4="NÃO",0,IF(VLOOKUP($B198,FROTA!$B$5:$R$305,17,0)=I$3,0.02,0)))</f>
        <v/>
      </c>
      <c r="J198" s="193" t="str">
        <f>IF($B198="","",IF(J$4="NÃO",0,IF(VLOOKUP($B198,FROTA!$B$5:$R$305,17,0)=J$3,0.02,0)))</f>
        <v/>
      </c>
      <c r="K198" s="193" t="str">
        <f>IF($B198="","",IF(K$4="NÃO",0,IF(VLOOKUP($B198,FROTA!$B$5:$R$305,17,0)=K$3,0.02,0)))</f>
        <v/>
      </c>
      <c r="L198" s="193" t="str">
        <f>IF($B198="","",IF(L$4="NÃO",0,IF(VLOOKUP($B198,FROTA!$B$5:$R$305,17,0)=L$3,0.02,0)))</f>
        <v/>
      </c>
      <c r="M198" s="193" t="str">
        <f>IF($B198="","",IF(M$4="NÃO",0,IF(VLOOKUP($B198,FROTA!$B$5:$R$305,17,0)=M$3,0.02,0)))</f>
        <v/>
      </c>
      <c r="N198" s="193" t="str">
        <f>IF($B198="","",IF(M$4="NÃO",0,IF(VLOOKUP($B198,FROTA!$B$5:$R$305,17,0)=N$3,0.02,0)))</f>
        <v/>
      </c>
      <c r="O198" s="311" t="str">
        <f>IF($B198="","",IF(O$4="NÃO",0,IF(VLOOKUP($B198,FROTA!$B$5:$R$305,10,0)=O$3,0.01,0)))</f>
        <v/>
      </c>
      <c r="P198" s="307" t="str">
        <f>IF($B198="","",IF(P$4="NÃO",0,IF(VLOOKUP($B198,FROTA!$B$5:$R$305,10,0)=P$3,0.01,0)))</f>
        <v/>
      </c>
      <c r="Q198" s="307" t="str">
        <f>IF($B198="","",IF(Q$4="NÃO",0,IF(VLOOKUP($B198,FROTA!$B$5:$R$305,10,0)=Q$3,0.01,0)))</f>
        <v/>
      </c>
      <c r="R198" s="307" t="str">
        <f>IF($B198="","",IF(R$4="NÃO",0,IF(VLOOKUP($B198,FROTA!$B$5:$R$305,10,0)=R$3,0.01,0)))</f>
        <v/>
      </c>
      <c r="S198" s="307" t="str">
        <f>IF($B198="","",IF(S$4="NÃO",0,IF(VLOOKUP($B198,FROTA!$B$5:$R$305,10,0)=S$3,0.01,0)))</f>
        <v/>
      </c>
      <c r="T198" s="307" t="str">
        <f>IF($B198="","",IF(T$4="NÃO",0,IF(VLOOKUP($B198,FROTA!$B$5:$R$305,10,0)=T$3,0.01,0)))</f>
        <v/>
      </c>
      <c r="U198" s="307" t="str">
        <f>IF($B198="","",IF(U$4="NÃO",0,IF(VLOOKUP($B198,FROTA!$B$5:$R$305,10,0)=U$3,0.01,0)))</f>
        <v/>
      </c>
      <c r="V198" s="306" t="str">
        <f t="shared" ref="V198:V261" si="30">IF(B198="","",IF(G198="","",IF(G198-SUM(H198:U198)&lt;0,0,G198-SUM(H198:U198))))</f>
        <v/>
      </c>
      <c r="W198" s="238" t="str">
        <f t="shared" si="28"/>
        <v/>
      </c>
      <c r="X198" s="576" t="str">
        <f t="shared" ref="X198:X261" si="31">IF(E198="","",IF(E198=4,AVERAGE(F198,VLOOKUP(C198,$AH$1:$AI$30,2,0)),IF(E198=5,AVERAGE(F198,VLOOKUP(C198,$AK$1:$AL$30,2,0)),IF(E198=6,AVERAGE(F198,VLOOKUP(C198,$AN$1:$AO$30,2,0)),IF(E198&gt;=7,AVERAGE(F198,VLOOKUP(C198,$AQ$1:$AR$30,2,0)),"")))))</f>
        <v/>
      </c>
      <c r="BA198" s="581">
        <v>45031</v>
      </c>
      <c r="BB198" s="582">
        <v>2023</v>
      </c>
    </row>
    <row r="199" spans="2:54" ht="15" customHeight="1" x14ac:dyDescent="0.2">
      <c r="B199" s="192" t="str">
        <f>IF(FROTA!B200="","",FROTA!B200)</f>
        <v/>
      </c>
      <c r="C199" s="192" t="str">
        <f>IF(B199="","",FROTA!Z200)</f>
        <v/>
      </c>
      <c r="D199" s="192" t="str">
        <f>IF(B199="","",VLOOKUP(B199,FROTA!$B$5:$C$310,2,0))</f>
        <v/>
      </c>
      <c r="E199" s="233" t="str">
        <f>IF(D199="","",VLOOKUP(D199,ESCALA!$B$3:$H$19,7,0))</f>
        <v/>
      </c>
      <c r="F199" s="219" t="s">
        <v>222</v>
      </c>
      <c r="G199" s="305" t="str">
        <f t="shared" si="29"/>
        <v/>
      </c>
      <c r="H199" s="314" t="str">
        <f>IF($B199="","",IF(H$4="NÃO",0,IF(VLOOKUP($B199,FROTA!$B$5:$R$305,17,0)=H$3,0.02,0)))</f>
        <v/>
      </c>
      <c r="I199" s="193" t="str">
        <f>IF($B199="","",IF(I$4="NÃO",0,IF(VLOOKUP($B199,FROTA!$B$5:$R$305,17,0)=I$3,0.02,0)))</f>
        <v/>
      </c>
      <c r="J199" s="193" t="str">
        <f>IF($B199="","",IF(J$4="NÃO",0,IF(VLOOKUP($B199,FROTA!$B$5:$R$305,17,0)=J$3,0.02,0)))</f>
        <v/>
      </c>
      <c r="K199" s="193" t="str">
        <f>IF($B199="","",IF(K$4="NÃO",0,IF(VLOOKUP($B199,FROTA!$B$5:$R$305,17,0)=K$3,0.02,0)))</f>
        <v/>
      </c>
      <c r="L199" s="193" t="str">
        <f>IF($B199="","",IF(L$4="NÃO",0,IF(VLOOKUP($B199,FROTA!$B$5:$R$305,17,0)=L$3,0.02,0)))</f>
        <v/>
      </c>
      <c r="M199" s="193" t="str">
        <f>IF($B199="","",IF(M$4="NÃO",0,IF(VLOOKUP($B199,FROTA!$B$5:$R$305,17,0)=M$3,0.02,0)))</f>
        <v/>
      </c>
      <c r="N199" s="193" t="str">
        <f>IF($B199="","",IF(M$4="NÃO",0,IF(VLOOKUP($B199,FROTA!$B$5:$R$305,17,0)=N$3,0.02,0)))</f>
        <v/>
      </c>
      <c r="O199" s="311" t="str">
        <f>IF($B199="","",IF(O$4="NÃO",0,IF(VLOOKUP($B199,FROTA!$B$5:$R$305,10,0)=O$3,0.01,0)))</f>
        <v/>
      </c>
      <c r="P199" s="307" t="str">
        <f>IF($B199="","",IF(P$4="NÃO",0,IF(VLOOKUP($B199,FROTA!$B$5:$R$305,10,0)=P$3,0.01,0)))</f>
        <v/>
      </c>
      <c r="Q199" s="307" t="str">
        <f>IF($B199="","",IF(Q$4="NÃO",0,IF(VLOOKUP($B199,FROTA!$B$5:$R$305,10,0)=Q$3,0.01,0)))</f>
        <v/>
      </c>
      <c r="R199" s="307" t="str">
        <f>IF($B199="","",IF(R$4="NÃO",0,IF(VLOOKUP($B199,FROTA!$B$5:$R$305,10,0)=R$3,0.01,0)))</f>
        <v/>
      </c>
      <c r="S199" s="307" t="str">
        <f>IF($B199="","",IF(S$4="NÃO",0,IF(VLOOKUP($B199,FROTA!$B$5:$R$305,10,0)=S$3,0.01,0)))</f>
        <v/>
      </c>
      <c r="T199" s="307" t="str">
        <f>IF($B199="","",IF(T$4="NÃO",0,IF(VLOOKUP($B199,FROTA!$B$5:$R$305,10,0)=T$3,0.01,0)))</f>
        <v/>
      </c>
      <c r="U199" s="307" t="str">
        <f>IF($B199="","",IF(U$4="NÃO",0,IF(VLOOKUP($B199,FROTA!$B$5:$R$305,10,0)=U$3,0.01,0)))</f>
        <v/>
      </c>
      <c r="V199" s="306" t="str">
        <f t="shared" si="30"/>
        <v/>
      </c>
      <c r="W199" s="238" t="str">
        <f t="shared" si="28"/>
        <v/>
      </c>
      <c r="X199" s="576" t="str">
        <f t="shared" si="31"/>
        <v/>
      </c>
      <c r="BA199" s="581">
        <v>45032</v>
      </c>
      <c r="BB199" s="582">
        <v>2023</v>
      </c>
    </row>
    <row r="200" spans="2:54" ht="15" customHeight="1" x14ac:dyDescent="0.2">
      <c r="B200" s="192" t="str">
        <f>IF(FROTA!B201="","",FROTA!B201)</f>
        <v/>
      </c>
      <c r="C200" s="192" t="str">
        <f>IF(B200="","",FROTA!Z201)</f>
        <v/>
      </c>
      <c r="D200" s="192" t="str">
        <f>IF(B200="","",VLOOKUP(B200,FROTA!$B$5:$C$310,2,0))</f>
        <v/>
      </c>
      <c r="E200" s="233" t="str">
        <f>IF(D200="","",VLOOKUP(D200,ESCALA!$B$3:$H$19,7,0))</f>
        <v/>
      </c>
      <c r="F200" s="219" t="s">
        <v>222</v>
      </c>
      <c r="G200" s="305" t="str">
        <f t="shared" si="29"/>
        <v/>
      </c>
      <c r="H200" s="314" t="str">
        <f>IF($B200="","",IF(H$4="NÃO",0,IF(VLOOKUP($B200,FROTA!$B$5:$R$305,17,0)=H$3,0.02,0)))</f>
        <v/>
      </c>
      <c r="I200" s="193" t="str">
        <f>IF($B200="","",IF(I$4="NÃO",0,IF(VLOOKUP($B200,FROTA!$B$5:$R$305,17,0)=I$3,0.02,0)))</f>
        <v/>
      </c>
      <c r="J200" s="193" t="str">
        <f>IF($B200="","",IF(J$4="NÃO",0,IF(VLOOKUP($B200,FROTA!$B$5:$R$305,17,0)=J$3,0.02,0)))</f>
        <v/>
      </c>
      <c r="K200" s="193" t="str">
        <f>IF($B200="","",IF(K$4="NÃO",0,IF(VLOOKUP($B200,FROTA!$B$5:$R$305,17,0)=K$3,0.02,0)))</f>
        <v/>
      </c>
      <c r="L200" s="193" t="str">
        <f>IF($B200="","",IF(L$4="NÃO",0,IF(VLOOKUP($B200,FROTA!$B$5:$R$305,17,0)=L$3,0.02,0)))</f>
        <v/>
      </c>
      <c r="M200" s="193" t="str">
        <f>IF($B200="","",IF(M$4="NÃO",0,IF(VLOOKUP($B200,FROTA!$B$5:$R$305,17,0)=M$3,0.02,0)))</f>
        <v/>
      </c>
      <c r="N200" s="193" t="str">
        <f>IF($B200="","",IF(M$4="NÃO",0,IF(VLOOKUP($B200,FROTA!$B$5:$R$305,17,0)=N$3,0.02,0)))</f>
        <v/>
      </c>
      <c r="O200" s="311" t="str">
        <f>IF($B200="","",IF(O$4="NÃO",0,IF(VLOOKUP($B200,FROTA!$B$5:$R$305,10,0)=O$3,0.01,0)))</f>
        <v/>
      </c>
      <c r="P200" s="307" t="str">
        <f>IF($B200="","",IF(P$4="NÃO",0,IF(VLOOKUP($B200,FROTA!$B$5:$R$305,10,0)=P$3,0.01,0)))</f>
        <v/>
      </c>
      <c r="Q200" s="307" t="str">
        <f>IF($B200="","",IF(Q$4="NÃO",0,IF(VLOOKUP($B200,FROTA!$B$5:$R$305,10,0)=Q$3,0.01,0)))</f>
        <v/>
      </c>
      <c r="R200" s="307" t="str">
        <f>IF($B200="","",IF(R$4="NÃO",0,IF(VLOOKUP($B200,FROTA!$B$5:$R$305,10,0)=R$3,0.01,0)))</f>
        <v/>
      </c>
      <c r="S200" s="307" t="str">
        <f>IF($B200="","",IF(S$4="NÃO",0,IF(VLOOKUP($B200,FROTA!$B$5:$R$305,10,0)=S$3,0.01,0)))</f>
        <v/>
      </c>
      <c r="T200" s="307" t="str">
        <f>IF($B200="","",IF(T$4="NÃO",0,IF(VLOOKUP($B200,FROTA!$B$5:$R$305,10,0)=T$3,0.01,0)))</f>
        <v/>
      </c>
      <c r="U200" s="307" t="str">
        <f>IF($B200="","",IF(U$4="NÃO",0,IF(VLOOKUP($B200,FROTA!$B$5:$R$305,10,0)=U$3,0.01,0)))</f>
        <v/>
      </c>
      <c r="V200" s="306" t="str">
        <f t="shared" si="30"/>
        <v/>
      </c>
      <c r="W200" s="238" t="str">
        <f t="shared" si="28"/>
        <v/>
      </c>
      <c r="X200" s="576" t="str">
        <f t="shared" si="31"/>
        <v/>
      </c>
      <c r="BA200" s="581">
        <v>45033</v>
      </c>
      <c r="BB200" s="582">
        <v>2023</v>
      </c>
    </row>
    <row r="201" spans="2:54" ht="15" customHeight="1" x14ac:dyDescent="0.2">
      <c r="B201" s="192" t="str">
        <f>IF(FROTA!B202="","",FROTA!B202)</f>
        <v/>
      </c>
      <c r="C201" s="192" t="str">
        <f>IF(B201="","",FROTA!Z202)</f>
        <v/>
      </c>
      <c r="D201" s="192" t="str">
        <f>IF(B201="","",VLOOKUP(B201,FROTA!$B$5:$C$310,2,0))</f>
        <v/>
      </c>
      <c r="E201" s="233" t="str">
        <f>IF(D201="","",VLOOKUP(D201,ESCALA!$B$3:$H$19,7,0))</f>
        <v/>
      </c>
      <c r="F201" s="219" t="s">
        <v>222</v>
      </c>
      <c r="G201" s="305" t="str">
        <f t="shared" si="29"/>
        <v/>
      </c>
      <c r="H201" s="314" t="str">
        <f>IF($B201="","",IF(H$4="NÃO",0,IF(VLOOKUP($B201,FROTA!$B$5:$R$305,17,0)=H$3,0.02,0)))</f>
        <v/>
      </c>
      <c r="I201" s="193" t="str">
        <f>IF($B201="","",IF(I$4="NÃO",0,IF(VLOOKUP($B201,FROTA!$B$5:$R$305,17,0)=I$3,0.02,0)))</f>
        <v/>
      </c>
      <c r="J201" s="193" t="str">
        <f>IF($B201="","",IF(J$4="NÃO",0,IF(VLOOKUP($B201,FROTA!$B$5:$R$305,17,0)=J$3,0.02,0)))</f>
        <v/>
      </c>
      <c r="K201" s="193" t="str">
        <f>IF($B201="","",IF(K$4="NÃO",0,IF(VLOOKUP($B201,FROTA!$B$5:$R$305,17,0)=K$3,0.02,0)))</f>
        <v/>
      </c>
      <c r="L201" s="193" t="str">
        <f>IF($B201="","",IF(L$4="NÃO",0,IF(VLOOKUP($B201,FROTA!$B$5:$R$305,17,0)=L$3,0.02,0)))</f>
        <v/>
      </c>
      <c r="M201" s="193" t="str">
        <f>IF($B201="","",IF(M$4="NÃO",0,IF(VLOOKUP($B201,FROTA!$B$5:$R$305,17,0)=M$3,0.02,0)))</f>
        <v/>
      </c>
      <c r="N201" s="193" t="str">
        <f>IF($B201="","",IF(M$4="NÃO",0,IF(VLOOKUP($B201,FROTA!$B$5:$R$305,17,0)=N$3,0.02,0)))</f>
        <v/>
      </c>
      <c r="O201" s="311" t="str">
        <f>IF($B201="","",IF(O$4="NÃO",0,IF(VLOOKUP($B201,FROTA!$B$5:$R$305,10,0)=O$3,0.01,0)))</f>
        <v/>
      </c>
      <c r="P201" s="307" t="str">
        <f>IF($B201="","",IF(P$4="NÃO",0,IF(VLOOKUP($B201,FROTA!$B$5:$R$305,10,0)=P$3,0.01,0)))</f>
        <v/>
      </c>
      <c r="Q201" s="307" t="str">
        <f>IF($B201="","",IF(Q$4="NÃO",0,IF(VLOOKUP($B201,FROTA!$B$5:$R$305,10,0)=Q$3,0.01,0)))</f>
        <v/>
      </c>
      <c r="R201" s="307" t="str">
        <f>IF($B201="","",IF(R$4="NÃO",0,IF(VLOOKUP($B201,FROTA!$B$5:$R$305,10,0)=R$3,0.01,0)))</f>
        <v/>
      </c>
      <c r="S201" s="307" t="str">
        <f>IF($B201="","",IF(S$4="NÃO",0,IF(VLOOKUP($B201,FROTA!$B$5:$R$305,10,0)=S$3,0.01,0)))</f>
        <v/>
      </c>
      <c r="T201" s="307" t="str">
        <f>IF($B201="","",IF(T$4="NÃO",0,IF(VLOOKUP($B201,FROTA!$B$5:$R$305,10,0)=T$3,0.01,0)))</f>
        <v/>
      </c>
      <c r="U201" s="307" t="str">
        <f>IF($B201="","",IF(U$4="NÃO",0,IF(VLOOKUP($B201,FROTA!$B$5:$R$305,10,0)=U$3,0.01,0)))</f>
        <v/>
      </c>
      <c r="V201" s="306" t="str">
        <f t="shared" si="30"/>
        <v/>
      </c>
      <c r="W201" s="238" t="str">
        <f t="shared" si="28"/>
        <v/>
      </c>
      <c r="X201" s="576" t="str">
        <f t="shared" si="31"/>
        <v/>
      </c>
      <c r="BA201" s="581">
        <v>45034</v>
      </c>
      <c r="BB201" s="582">
        <v>2023</v>
      </c>
    </row>
    <row r="202" spans="2:54" ht="15" customHeight="1" x14ac:dyDescent="0.2">
      <c r="B202" s="192" t="str">
        <f>IF(FROTA!B203="","",FROTA!B203)</f>
        <v/>
      </c>
      <c r="C202" s="192" t="str">
        <f>IF(B202="","",FROTA!Z203)</f>
        <v/>
      </c>
      <c r="D202" s="192" t="str">
        <f>IF(B202="","",VLOOKUP(B202,FROTA!$B$5:$C$310,2,0))</f>
        <v/>
      </c>
      <c r="E202" s="233" t="str">
        <f>IF(D202="","",VLOOKUP(D202,ESCALA!$B$3:$H$19,7,0))</f>
        <v/>
      </c>
      <c r="F202" s="219" t="s">
        <v>222</v>
      </c>
      <c r="G202" s="305" t="str">
        <f t="shared" si="29"/>
        <v/>
      </c>
      <c r="H202" s="314" t="str">
        <f>IF($B202="","",IF(H$4="NÃO",0,IF(VLOOKUP($B202,FROTA!$B$5:$R$305,17,0)=H$3,0.02,0)))</f>
        <v/>
      </c>
      <c r="I202" s="193" t="str">
        <f>IF($B202="","",IF(I$4="NÃO",0,IF(VLOOKUP($B202,FROTA!$B$5:$R$305,17,0)=I$3,0.02,0)))</f>
        <v/>
      </c>
      <c r="J202" s="193" t="str">
        <f>IF($B202="","",IF(J$4="NÃO",0,IF(VLOOKUP($B202,FROTA!$B$5:$R$305,17,0)=J$3,0.02,0)))</f>
        <v/>
      </c>
      <c r="K202" s="193" t="str">
        <f>IF($B202="","",IF(K$4="NÃO",0,IF(VLOOKUP($B202,FROTA!$B$5:$R$305,17,0)=K$3,0.02,0)))</f>
        <v/>
      </c>
      <c r="L202" s="193" t="str">
        <f>IF($B202="","",IF(L$4="NÃO",0,IF(VLOOKUP($B202,FROTA!$B$5:$R$305,17,0)=L$3,0.02,0)))</f>
        <v/>
      </c>
      <c r="M202" s="193" t="str">
        <f>IF($B202="","",IF(M$4="NÃO",0,IF(VLOOKUP($B202,FROTA!$B$5:$R$305,17,0)=M$3,0.02,0)))</f>
        <v/>
      </c>
      <c r="N202" s="193" t="str">
        <f>IF($B202="","",IF(M$4="NÃO",0,IF(VLOOKUP($B202,FROTA!$B$5:$R$305,17,0)=N$3,0.02,0)))</f>
        <v/>
      </c>
      <c r="O202" s="311" t="str">
        <f>IF($B202="","",IF(O$4="NÃO",0,IF(VLOOKUP($B202,FROTA!$B$5:$R$305,10,0)=O$3,0.01,0)))</f>
        <v/>
      </c>
      <c r="P202" s="307" t="str">
        <f>IF($B202="","",IF(P$4="NÃO",0,IF(VLOOKUP($B202,FROTA!$B$5:$R$305,10,0)=P$3,0.01,0)))</f>
        <v/>
      </c>
      <c r="Q202" s="307" t="str">
        <f>IF($B202="","",IF(Q$4="NÃO",0,IF(VLOOKUP($B202,FROTA!$B$5:$R$305,10,0)=Q$3,0.01,0)))</f>
        <v/>
      </c>
      <c r="R202" s="307" t="str">
        <f>IF($B202="","",IF(R$4="NÃO",0,IF(VLOOKUP($B202,FROTA!$B$5:$R$305,10,0)=R$3,0.01,0)))</f>
        <v/>
      </c>
      <c r="S202" s="307" t="str">
        <f>IF($B202="","",IF(S$4="NÃO",0,IF(VLOOKUP($B202,FROTA!$B$5:$R$305,10,0)=S$3,0.01,0)))</f>
        <v/>
      </c>
      <c r="T202" s="307" t="str">
        <f>IF($B202="","",IF(T$4="NÃO",0,IF(VLOOKUP($B202,FROTA!$B$5:$R$305,10,0)=T$3,0.01,0)))</f>
        <v/>
      </c>
      <c r="U202" s="307" t="str">
        <f>IF($B202="","",IF(U$4="NÃO",0,IF(VLOOKUP($B202,FROTA!$B$5:$R$305,10,0)=U$3,0.01,0)))</f>
        <v/>
      </c>
      <c r="V202" s="306" t="str">
        <f t="shared" si="30"/>
        <v/>
      </c>
      <c r="W202" s="238" t="str">
        <f t="shared" si="28"/>
        <v/>
      </c>
      <c r="X202" s="576" t="str">
        <f t="shared" si="31"/>
        <v/>
      </c>
      <c r="BA202" s="581">
        <v>45035</v>
      </c>
      <c r="BB202" s="582">
        <v>2023</v>
      </c>
    </row>
    <row r="203" spans="2:54" ht="15" customHeight="1" x14ac:dyDescent="0.2">
      <c r="B203" s="192" t="str">
        <f>IF(FROTA!B204="","",FROTA!B204)</f>
        <v/>
      </c>
      <c r="C203" s="192" t="str">
        <f>IF(B203="","",FROTA!Z204)</f>
        <v/>
      </c>
      <c r="D203" s="192" t="str">
        <f>IF(B203="","",VLOOKUP(B203,FROTA!$B$5:$C$310,2,0))</f>
        <v/>
      </c>
      <c r="E203" s="233" t="str">
        <f>IF(D203="","",VLOOKUP(D203,ESCALA!$B$3:$H$19,7,0))</f>
        <v/>
      </c>
      <c r="F203" s="219" t="s">
        <v>222</v>
      </c>
      <c r="G203" s="305" t="str">
        <f t="shared" si="29"/>
        <v/>
      </c>
      <c r="H203" s="314" t="str">
        <f>IF($B203="","",IF(H$4="NÃO",0,IF(VLOOKUP($B203,FROTA!$B$5:$R$305,17,0)=H$3,0.02,0)))</f>
        <v/>
      </c>
      <c r="I203" s="193" t="str">
        <f>IF($B203="","",IF(I$4="NÃO",0,IF(VLOOKUP($B203,FROTA!$B$5:$R$305,17,0)=I$3,0.02,0)))</f>
        <v/>
      </c>
      <c r="J203" s="193" t="str">
        <f>IF($B203="","",IF(J$4="NÃO",0,IF(VLOOKUP($B203,FROTA!$B$5:$R$305,17,0)=J$3,0.02,0)))</f>
        <v/>
      </c>
      <c r="K203" s="193" t="str">
        <f>IF($B203="","",IF(K$4="NÃO",0,IF(VLOOKUP($B203,FROTA!$B$5:$R$305,17,0)=K$3,0.02,0)))</f>
        <v/>
      </c>
      <c r="L203" s="193" t="str">
        <f>IF($B203="","",IF(L$4="NÃO",0,IF(VLOOKUP($B203,FROTA!$B$5:$R$305,17,0)=L$3,0.02,0)))</f>
        <v/>
      </c>
      <c r="M203" s="193" t="str">
        <f>IF($B203="","",IF(M$4="NÃO",0,IF(VLOOKUP($B203,FROTA!$B$5:$R$305,17,0)=M$3,0.02,0)))</f>
        <v/>
      </c>
      <c r="N203" s="193" t="str">
        <f>IF($B203="","",IF(M$4="NÃO",0,IF(VLOOKUP($B203,FROTA!$B$5:$R$305,17,0)=N$3,0.02,0)))</f>
        <v/>
      </c>
      <c r="O203" s="311" t="str">
        <f>IF($B203="","",IF(O$4="NÃO",0,IF(VLOOKUP($B203,FROTA!$B$5:$R$305,10,0)=O$3,0.01,0)))</f>
        <v/>
      </c>
      <c r="P203" s="307" t="str">
        <f>IF($B203="","",IF(P$4="NÃO",0,IF(VLOOKUP($B203,FROTA!$B$5:$R$305,10,0)=P$3,0.01,0)))</f>
        <v/>
      </c>
      <c r="Q203" s="307" t="str">
        <f>IF($B203="","",IF(Q$4="NÃO",0,IF(VLOOKUP($B203,FROTA!$B$5:$R$305,10,0)=Q$3,0.01,0)))</f>
        <v/>
      </c>
      <c r="R203" s="307" t="str">
        <f>IF($B203="","",IF(R$4="NÃO",0,IF(VLOOKUP($B203,FROTA!$B$5:$R$305,10,0)=R$3,0.01,0)))</f>
        <v/>
      </c>
      <c r="S203" s="307" t="str">
        <f>IF($B203="","",IF(S$4="NÃO",0,IF(VLOOKUP($B203,FROTA!$B$5:$R$305,10,0)=S$3,0.01,0)))</f>
        <v/>
      </c>
      <c r="T203" s="307" t="str">
        <f>IF($B203="","",IF(T$4="NÃO",0,IF(VLOOKUP($B203,FROTA!$B$5:$R$305,10,0)=T$3,0.01,0)))</f>
        <v/>
      </c>
      <c r="U203" s="307" t="str">
        <f>IF($B203="","",IF(U$4="NÃO",0,IF(VLOOKUP($B203,FROTA!$B$5:$R$305,10,0)=U$3,0.01,0)))</f>
        <v/>
      </c>
      <c r="V203" s="306" t="str">
        <f t="shared" si="30"/>
        <v/>
      </c>
      <c r="W203" s="238" t="str">
        <f t="shared" si="28"/>
        <v/>
      </c>
      <c r="X203" s="576" t="str">
        <f t="shared" si="31"/>
        <v/>
      </c>
      <c r="BA203" s="581">
        <v>45036</v>
      </c>
      <c r="BB203" s="582">
        <v>2023</v>
      </c>
    </row>
    <row r="204" spans="2:54" ht="15" customHeight="1" x14ac:dyDescent="0.2">
      <c r="B204" s="192" t="str">
        <f>IF(FROTA!B205="","",FROTA!B205)</f>
        <v/>
      </c>
      <c r="C204" s="192" t="str">
        <f>IF(B204="","",FROTA!Z205)</f>
        <v/>
      </c>
      <c r="D204" s="192" t="str">
        <f>IF(B204="","",VLOOKUP(B204,FROTA!$B$5:$C$310,2,0))</f>
        <v/>
      </c>
      <c r="E204" s="233" t="str">
        <f>IF(D204="","",VLOOKUP(D204,ESCALA!$B$3:$H$19,7,0))</f>
        <v/>
      </c>
      <c r="F204" s="219" t="s">
        <v>222</v>
      </c>
      <c r="G204" s="305" t="str">
        <f t="shared" si="29"/>
        <v/>
      </c>
      <c r="H204" s="314" t="str">
        <f>IF($B204="","",IF(H$4="NÃO",0,IF(VLOOKUP($B204,FROTA!$B$5:$R$305,17,0)=H$3,0.02,0)))</f>
        <v/>
      </c>
      <c r="I204" s="193" t="str">
        <f>IF($B204="","",IF(I$4="NÃO",0,IF(VLOOKUP($B204,FROTA!$B$5:$R$305,17,0)=I$3,0.02,0)))</f>
        <v/>
      </c>
      <c r="J204" s="193" t="str">
        <f>IF($B204="","",IF(J$4="NÃO",0,IF(VLOOKUP($B204,FROTA!$B$5:$R$305,17,0)=J$3,0.02,0)))</f>
        <v/>
      </c>
      <c r="K204" s="193" t="str">
        <f>IF($B204="","",IF(K$4="NÃO",0,IF(VLOOKUP($B204,FROTA!$B$5:$R$305,17,0)=K$3,0.02,0)))</f>
        <v/>
      </c>
      <c r="L204" s="193" t="str">
        <f>IF($B204="","",IF(L$4="NÃO",0,IF(VLOOKUP($B204,FROTA!$B$5:$R$305,17,0)=L$3,0.02,0)))</f>
        <v/>
      </c>
      <c r="M204" s="193" t="str">
        <f>IF($B204="","",IF(M$4="NÃO",0,IF(VLOOKUP($B204,FROTA!$B$5:$R$305,17,0)=M$3,0.02,0)))</f>
        <v/>
      </c>
      <c r="N204" s="193" t="str">
        <f>IF($B204="","",IF(M$4="NÃO",0,IF(VLOOKUP($B204,FROTA!$B$5:$R$305,17,0)=N$3,0.02,0)))</f>
        <v/>
      </c>
      <c r="O204" s="311" t="str">
        <f>IF($B204="","",IF(O$4="NÃO",0,IF(VLOOKUP($B204,FROTA!$B$5:$R$305,10,0)=O$3,0.01,0)))</f>
        <v/>
      </c>
      <c r="P204" s="307" t="str">
        <f>IF($B204="","",IF(P$4="NÃO",0,IF(VLOOKUP($B204,FROTA!$B$5:$R$305,10,0)=P$3,0.01,0)))</f>
        <v/>
      </c>
      <c r="Q204" s="307" t="str">
        <f>IF($B204="","",IF(Q$4="NÃO",0,IF(VLOOKUP($B204,FROTA!$B$5:$R$305,10,0)=Q$3,0.01,0)))</f>
        <v/>
      </c>
      <c r="R204" s="307" t="str">
        <f>IF($B204="","",IF(R$4="NÃO",0,IF(VLOOKUP($B204,FROTA!$B$5:$R$305,10,0)=R$3,0.01,0)))</f>
        <v/>
      </c>
      <c r="S204" s="307" t="str">
        <f>IF($B204="","",IF(S$4="NÃO",0,IF(VLOOKUP($B204,FROTA!$B$5:$R$305,10,0)=S$3,0.01,0)))</f>
        <v/>
      </c>
      <c r="T204" s="307" t="str">
        <f>IF($B204="","",IF(T$4="NÃO",0,IF(VLOOKUP($B204,FROTA!$B$5:$R$305,10,0)=T$3,0.01,0)))</f>
        <v/>
      </c>
      <c r="U204" s="307" t="str">
        <f>IF($B204="","",IF(U$4="NÃO",0,IF(VLOOKUP($B204,FROTA!$B$5:$R$305,10,0)=U$3,0.01,0)))</f>
        <v/>
      </c>
      <c r="V204" s="306" t="str">
        <f t="shared" si="30"/>
        <v/>
      </c>
      <c r="W204" s="238" t="str">
        <f t="shared" si="28"/>
        <v/>
      </c>
      <c r="X204" s="576" t="str">
        <f t="shared" si="31"/>
        <v/>
      </c>
      <c r="BA204" s="581">
        <v>45037</v>
      </c>
      <c r="BB204" s="582">
        <v>2023</v>
      </c>
    </row>
    <row r="205" spans="2:54" ht="15" customHeight="1" x14ac:dyDescent="0.2">
      <c r="B205" s="192" t="str">
        <f>IF(FROTA!B206="","",FROTA!B206)</f>
        <v/>
      </c>
      <c r="C205" s="192" t="str">
        <f>IF(B205="","",FROTA!Z206)</f>
        <v/>
      </c>
      <c r="D205" s="192" t="str">
        <f>IF(B205="","",VLOOKUP(B205,FROTA!$B$5:$C$310,2,0))</f>
        <v/>
      </c>
      <c r="E205" s="233" t="str">
        <f>IF(D205="","",VLOOKUP(D205,ESCALA!$B$3:$H$19,7,0))</f>
        <v/>
      </c>
      <c r="F205" s="219" t="s">
        <v>222</v>
      </c>
      <c r="G205" s="305" t="str">
        <f t="shared" si="29"/>
        <v/>
      </c>
      <c r="H205" s="314" t="str">
        <f>IF($B205="","",IF(H$4="NÃO",0,IF(VLOOKUP($B205,FROTA!$B$5:$R$305,17,0)=H$3,0.02,0)))</f>
        <v/>
      </c>
      <c r="I205" s="193" t="str">
        <f>IF($B205="","",IF(I$4="NÃO",0,IF(VLOOKUP($B205,FROTA!$B$5:$R$305,17,0)=I$3,0.02,0)))</f>
        <v/>
      </c>
      <c r="J205" s="193" t="str">
        <f>IF($B205="","",IF(J$4="NÃO",0,IF(VLOOKUP($B205,FROTA!$B$5:$R$305,17,0)=J$3,0.02,0)))</f>
        <v/>
      </c>
      <c r="K205" s="193" t="str">
        <f>IF($B205="","",IF(K$4="NÃO",0,IF(VLOOKUP($B205,FROTA!$B$5:$R$305,17,0)=K$3,0.02,0)))</f>
        <v/>
      </c>
      <c r="L205" s="193" t="str">
        <f>IF($B205="","",IF(L$4="NÃO",0,IF(VLOOKUP($B205,FROTA!$B$5:$R$305,17,0)=L$3,0.02,0)))</f>
        <v/>
      </c>
      <c r="M205" s="193" t="str">
        <f>IF($B205="","",IF(M$4="NÃO",0,IF(VLOOKUP($B205,FROTA!$B$5:$R$305,17,0)=M$3,0.02,0)))</f>
        <v/>
      </c>
      <c r="N205" s="193" t="str">
        <f>IF($B205="","",IF(M$4="NÃO",0,IF(VLOOKUP($B205,FROTA!$B$5:$R$305,17,0)=N$3,0.02,0)))</f>
        <v/>
      </c>
      <c r="O205" s="311" t="str">
        <f>IF($B205="","",IF(O$4="NÃO",0,IF(VLOOKUP($B205,FROTA!$B$5:$R$305,10,0)=O$3,0.01,0)))</f>
        <v/>
      </c>
      <c r="P205" s="307" t="str">
        <f>IF($B205="","",IF(P$4="NÃO",0,IF(VLOOKUP($B205,FROTA!$B$5:$R$305,10,0)=P$3,0.01,0)))</f>
        <v/>
      </c>
      <c r="Q205" s="307" t="str">
        <f>IF($B205="","",IF(Q$4="NÃO",0,IF(VLOOKUP($B205,FROTA!$B$5:$R$305,10,0)=Q$3,0.01,0)))</f>
        <v/>
      </c>
      <c r="R205" s="307" t="str">
        <f>IF($B205="","",IF(R$4="NÃO",0,IF(VLOOKUP($B205,FROTA!$B$5:$R$305,10,0)=R$3,0.01,0)))</f>
        <v/>
      </c>
      <c r="S205" s="307" t="str">
        <f>IF($B205="","",IF(S$4="NÃO",0,IF(VLOOKUP($B205,FROTA!$B$5:$R$305,10,0)=S$3,0.01,0)))</f>
        <v/>
      </c>
      <c r="T205" s="307" t="str">
        <f>IF($B205="","",IF(T$4="NÃO",0,IF(VLOOKUP($B205,FROTA!$B$5:$R$305,10,0)=T$3,0.01,0)))</f>
        <v/>
      </c>
      <c r="U205" s="307" t="str">
        <f>IF($B205="","",IF(U$4="NÃO",0,IF(VLOOKUP($B205,FROTA!$B$5:$R$305,10,0)=U$3,0.01,0)))</f>
        <v/>
      </c>
      <c r="V205" s="306" t="str">
        <f t="shared" si="30"/>
        <v/>
      </c>
      <c r="W205" s="238" t="str">
        <f t="shared" si="28"/>
        <v/>
      </c>
      <c r="X205" s="576" t="str">
        <f t="shared" si="31"/>
        <v/>
      </c>
      <c r="BA205" s="581">
        <v>45038</v>
      </c>
      <c r="BB205" s="582">
        <v>2023</v>
      </c>
    </row>
    <row r="206" spans="2:54" ht="15" customHeight="1" x14ac:dyDescent="0.2">
      <c r="B206" s="192" t="str">
        <f>IF(FROTA!B207="","",FROTA!B207)</f>
        <v/>
      </c>
      <c r="C206" s="192" t="str">
        <f>IF(B206="","",FROTA!Z207)</f>
        <v/>
      </c>
      <c r="D206" s="192" t="str">
        <f>IF(B206="","",VLOOKUP(B206,FROTA!$B$5:$C$310,2,0))</f>
        <v/>
      </c>
      <c r="E206" s="233" t="str">
        <f>IF(D206="","",VLOOKUP(D206,ESCALA!$B$3:$H$19,7,0))</f>
        <v/>
      </c>
      <c r="F206" s="219" t="s">
        <v>222</v>
      </c>
      <c r="G206" s="305" t="str">
        <f t="shared" si="29"/>
        <v/>
      </c>
      <c r="H206" s="314" t="str">
        <f>IF($B206="","",IF(H$4="NÃO",0,IF(VLOOKUP($B206,FROTA!$B$5:$R$305,17,0)=H$3,0.02,0)))</f>
        <v/>
      </c>
      <c r="I206" s="193" t="str">
        <f>IF($B206="","",IF(I$4="NÃO",0,IF(VLOOKUP($B206,FROTA!$B$5:$R$305,17,0)=I$3,0.02,0)))</f>
        <v/>
      </c>
      <c r="J206" s="193" t="str">
        <f>IF($B206="","",IF(J$4="NÃO",0,IF(VLOOKUP($B206,FROTA!$B$5:$R$305,17,0)=J$3,0.02,0)))</f>
        <v/>
      </c>
      <c r="K206" s="193" t="str">
        <f>IF($B206="","",IF(K$4="NÃO",0,IF(VLOOKUP($B206,FROTA!$B$5:$R$305,17,0)=K$3,0.02,0)))</f>
        <v/>
      </c>
      <c r="L206" s="193" t="str">
        <f>IF($B206="","",IF(L$4="NÃO",0,IF(VLOOKUP($B206,FROTA!$B$5:$R$305,17,0)=L$3,0.02,0)))</f>
        <v/>
      </c>
      <c r="M206" s="193" t="str">
        <f>IF($B206="","",IF(M$4="NÃO",0,IF(VLOOKUP($B206,FROTA!$B$5:$R$305,17,0)=M$3,0.02,0)))</f>
        <v/>
      </c>
      <c r="N206" s="193" t="str">
        <f>IF($B206="","",IF(M$4="NÃO",0,IF(VLOOKUP($B206,FROTA!$B$5:$R$305,17,0)=N$3,0.02,0)))</f>
        <v/>
      </c>
      <c r="O206" s="311" t="str">
        <f>IF($B206="","",IF(O$4="NÃO",0,IF(VLOOKUP($B206,FROTA!$B$5:$R$305,10,0)=O$3,0.01,0)))</f>
        <v/>
      </c>
      <c r="P206" s="307" t="str">
        <f>IF($B206="","",IF(P$4="NÃO",0,IF(VLOOKUP($B206,FROTA!$B$5:$R$305,10,0)=P$3,0.01,0)))</f>
        <v/>
      </c>
      <c r="Q206" s="307" t="str">
        <f>IF($B206="","",IF(Q$4="NÃO",0,IF(VLOOKUP($B206,FROTA!$B$5:$R$305,10,0)=Q$3,0.01,0)))</f>
        <v/>
      </c>
      <c r="R206" s="307" t="str">
        <f>IF($B206="","",IF(R$4="NÃO",0,IF(VLOOKUP($B206,FROTA!$B$5:$R$305,10,0)=R$3,0.01,0)))</f>
        <v/>
      </c>
      <c r="S206" s="307" t="str">
        <f>IF($B206="","",IF(S$4="NÃO",0,IF(VLOOKUP($B206,FROTA!$B$5:$R$305,10,0)=S$3,0.01,0)))</f>
        <v/>
      </c>
      <c r="T206" s="307" t="str">
        <f>IF($B206="","",IF(T$4="NÃO",0,IF(VLOOKUP($B206,FROTA!$B$5:$R$305,10,0)=T$3,0.01,0)))</f>
        <v/>
      </c>
      <c r="U206" s="307" t="str">
        <f>IF($B206="","",IF(U$4="NÃO",0,IF(VLOOKUP($B206,FROTA!$B$5:$R$305,10,0)=U$3,0.01,0)))</f>
        <v/>
      </c>
      <c r="V206" s="306" t="str">
        <f t="shared" si="30"/>
        <v/>
      </c>
      <c r="W206" s="238" t="str">
        <f t="shared" si="28"/>
        <v/>
      </c>
      <c r="X206" s="576" t="str">
        <f t="shared" si="31"/>
        <v/>
      </c>
      <c r="BA206" s="581">
        <v>45039</v>
      </c>
      <c r="BB206" s="582">
        <v>2023</v>
      </c>
    </row>
    <row r="207" spans="2:54" ht="15" customHeight="1" x14ac:dyDescent="0.2">
      <c r="B207" s="192" t="str">
        <f>IF(FROTA!B208="","",FROTA!B208)</f>
        <v/>
      </c>
      <c r="C207" s="192" t="str">
        <f>IF(B207="","",FROTA!Z208)</f>
        <v/>
      </c>
      <c r="D207" s="192" t="str">
        <f>IF(B207="","",VLOOKUP(B207,FROTA!$B$5:$C$310,2,0))</f>
        <v/>
      </c>
      <c r="E207" s="233" t="str">
        <f>IF(D207="","",VLOOKUP(D207,ESCALA!$B$3:$H$19,7,0))</f>
        <v/>
      </c>
      <c r="F207" s="219" t="s">
        <v>222</v>
      </c>
      <c r="G207" s="305" t="str">
        <f t="shared" si="29"/>
        <v/>
      </c>
      <c r="H207" s="314" t="str">
        <f>IF($B207="","",IF(H$4="NÃO",0,IF(VLOOKUP($B207,FROTA!$B$5:$R$305,17,0)=H$3,0.02,0)))</f>
        <v/>
      </c>
      <c r="I207" s="193" t="str">
        <f>IF($B207="","",IF(I$4="NÃO",0,IF(VLOOKUP($B207,FROTA!$B$5:$R$305,17,0)=I$3,0.02,0)))</f>
        <v/>
      </c>
      <c r="J207" s="193" t="str">
        <f>IF($B207="","",IF(J$4="NÃO",0,IF(VLOOKUP($B207,FROTA!$B$5:$R$305,17,0)=J$3,0.02,0)))</f>
        <v/>
      </c>
      <c r="K207" s="193" t="str">
        <f>IF($B207="","",IF(K$4="NÃO",0,IF(VLOOKUP($B207,FROTA!$B$5:$R$305,17,0)=K$3,0.02,0)))</f>
        <v/>
      </c>
      <c r="L207" s="193" t="str">
        <f>IF($B207="","",IF(L$4="NÃO",0,IF(VLOOKUP($B207,FROTA!$B$5:$R$305,17,0)=L$3,0.02,0)))</f>
        <v/>
      </c>
      <c r="M207" s="193" t="str">
        <f>IF($B207="","",IF(M$4="NÃO",0,IF(VLOOKUP($B207,FROTA!$B$5:$R$305,17,0)=M$3,0.02,0)))</f>
        <v/>
      </c>
      <c r="N207" s="193" t="str">
        <f>IF($B207="","",IF(M$4="NÃO",0,IF(VLOOKUP($B207,FROTA!$B$5:$R$305,17,0)=N$3,0.02,0)))</f>
        <v/>
      </c>
      <c r="O207" s="311" t="str">
        <f>IF($B207="","",IF(O$4="NÃO",0,IF(VLOOKUP($B207,FROTA!$B$5:$R$305,10,0)=O$3,0.01,0)))</f>
        <v/>
      </c>
      <c r="P207" s="307" t="str">
        <f>IF($B207="","",IF(P$4="NÃO",0,IF(VLOOKUP($B207,FROTA!$B$5:$R$305,10,0)=P$3,0.01,0)))</f>
        <v/>
      </c>
      <c r="Q207" s="307" t="str">
        <f>IF($B207="","",IF(Q$4="NÃO",0,IF(VLOOKUP($B207,FROTA!$B$5:$R$305,10,0)=Q$3,0.01,0)))</f>
        <v/>
      </c>
      <c r="R207" s="307" t="str">
        <f>IF($B207="","",IF(R$4="NÃO",0,IF(VLOOKUP($B207,FROTA!$B$5:$R$305,10,0)=R$3,0.01,0)))</f>
        <v/>
      </c>
      <c r="S207" s="307" t="str">
        <f>IF($B207="","",IF(S$4="NÃO",0,IF(VLOOKUP($B207,FROTA!$B$5:$R$305,10,0)=S$3,0.01,0)))</f>
        <v/>
      </c>
      <c r="T207" s="307" t="str">
        <f>IF($B207="","",IF(T$4="NÃO",0,IF(VLOOKUP($B207,FROTA!$B$5:$R$305,10,0)=T$3,0.01,0)))</f>
        <v/>
      </c>
      <c r="U207" s="307" t="str">
        <f>IF($B207="","",IF(U$4="NÃO",0,IF(VLOOKUP($B207,FROTA!$B$5:$R$305,10,0)=U$3,0.01,0)))</f>
        <v/>
      </c>
      <c r="V207" s="306" t="str">
        <f t="shared" si="30"/>
        <v/>
      </c>
      <c r="W207" s="238" t="str">
        <f t="shared" si="28"/>
        <v/>
      </c>
      <c r="X207" s="576" t="str">
        <f t="shared" si="31"/>
        <v/>
      </c>
      <c r="BA207" s="581">
        <v>45040</v>
      </c>
      <c r="BB207" s="582">
        <v>2023</v>
      </c>
    </row>
    <row r="208" spans="2:54" ht="15" customHeight="1" x14ac:dyDescent="0.2">
      <c r="B208" s="192" t="str">
        <f>IF(FROTA!B209="","",FROTA!B209)</f>
        <v/>
      </c>
      <c r="C208" s="192" t="str">
        <f>IF(B208="","",FROTA!Z209)</f>
        <v/>
      </c>
      <c r="D208" s="192" t="str">
        <f>IF(B208="","",VLOOKUP(B208,FROTA!$B$5:$C$310,2,0))</f>
        <v/>
      </c>
      <c r="E208" s="233" t="str">
        <f>IF(D208="","",VLOOKUP(D208,ESCALA!$B$3:$H$19,7,0))</f>
        <v/>
      </c>
      <c r="F208" s="219" t="s">
        <v>222</v>
      </c>
      <c r="G208" s="305" t="str">
        <f t="shared" si="29"/>
        <v/>
      </c>
      <c r="H208" s="314" t="str">
        <f>IF($B208="","",IF(H$4="NÃO",0,IF(VLOOKUP($B208,FROTA!$B$5:$R$305,17,0)=H$3,0.02,0)))</f>
        <v/>
      </c>
      <c r="I208" s="193" t="str">
        <f>IF($B208="","",IF(I$4="NÃO",0,IF(VLOOKUP($B208,FROTA!$B$5:$R$305,17,0)=I$3,0.02,0)))</f>
        <v/>
      </c>
      <c r="J208" s="193" t="str">
        <f>IF($B208="","",IF(J$4="NÃO",0,IF(VLOOKUP($B208,FROTA!$B$5:$R$305,17,0)=J$3,0.02,0)))</f>
        <v/>
      </c>
      <c r="K208" s="193" t="str">
        <f>IF($B208="","",IF(K$4="NÃO",0,IF(VLOOKUP($B208,FROTA!$B$5:$R$305,17,0)=K$3,0.02,0)))</f>
        <v/>
      </c>
      <c r="L208" s="193" t="str">
        <f>IF($B208="","",IF(L$4="NÃO",0,IF(VLOOKUP($B208,FROTA!$B$5:$R$305,17,0)=L$3,0.02,0)))</f>
        <v/>
      </c>
      <c r="M208" s="193" t="str">
        <f>IF($B208="","",IF(M$4="NÃO",0,IF(VLOOKUP($B208,FROTA!$B$5:$R$305,17,0)=M$3,0.02,0)))</f>
        <v/>
      </c>
      <c r="N208" s="193" t="str">
        <f>IF($B208="","",IF(M$4="NÃO",0,IF(VLOOKUP($B208,FROTA!$B$5:$R$305,17,0)=N$3,0.02,0)))</f>
        <v/>
      </c>
      <c r="O208" s="311" t="str">
        <f>IF($B208="","",IF(O$4="NÃO",0,IF(VLOOKUP($B208,FROTA!$B$5:$R$305,10,0)=O$3,0.01,0)))</f>
        <v/>
      </c>
      <c r="P208" s="307" t="str">
        <f>IF($B208="","",IF(P$4="NÃO",0,IF(VLOOKUP($B208,FROTA!$B$5:$R$305,10,0)=P$3,0.01,0)))</f>
        <v/>
      </c>
      <c r="Q208" s="307" t="str">
        <f>IF($B208="","",IF(Q$4="NÃO",0,IF(VLOOKUP($B208,FROTA!$B$5:$R$305,10,0)=Q$3,0.01,0)))</f>
        <v/>
      </c>
      <c r="R208" s="307" t="str">
        <f>IF($B208="","",IF(R$4="NÃO",0,IF(VLOOKUP($B208,FROTA!$B$5:$R$305,10,0)=R$3,0.01,0)))</f>
        <v/>
      </c>
      <c r="S208" s="307" t="str">
        <f>IF($B208="","",IF(S$4="NÃO",0,IF(VLOOKUP($B208,FROTA!$B$5:$R$305,10,0)=S$3,0.01,0)))</f>
        <v/>
      </c>
      <c r="T208" s="307" t="str">
        <f>IF($B208="","",IF(T$4="NÃO",0,IF(VLOOKUP($B208,FROTA!$B$5:$R$305,10,0)=T$3,0.01,0)))</f>
        <v/>
      </c>
      <c r="U208" s="307" t="str">
        <f>IF($B208="","",IF(U$4="NÃO",0,IF(VLOOKUP($B208,FROTA!$B$5:$R$305,10,0)=U$3,0.01,0)))</f>
        <v/>
      </c>
      <c r="V208" s="306" t="str">
        <f t="shared" si="30"/>
        <v/>
      </c>
      <c r="W208" s="238" t="str">
        <f t="shared" si="28"/>
        <v/>
      </c>
      <c r="X208" s="576" t="str">
        <f t="shared" si="31"/>
        <v/>
      </c>
      <c r="BA208" s="581">
        <v>45041</v>
      </c>
      <c r="BB208" s="582">
        <v>2023</v>
      </c>
    </row>
    <row r="209" spans="2:54" ht="15" customHeight="1" x14ac:dyDescent="0.2">
      <c r="B209" s="192" t="str">
        <f>IF(FROTA!B210="","",FROTA!B210)</f>
        <v/>
      </c>
      <c r="C209" s="192" t="str">
        <f>IF(B209="","",FROTA!Z210)</f>
        <v/>
      </c>
      <c r="D209" s="192" t="str">
        <f>IF(B209="","",VLOOKUP(B209,FROTA!$B$5:$C$310,2,0))</f>
        <v/>
      </c>
      <c r="E209" s="233" t="str">
        <f>IF(D209="","",VLOOKUP(D209,ESCALA!$B$3:$H$19,7,0))</f>
        <v/>
      </c>
      <c r="F209" s="219" t="s">
        <v>222</v>
      </c>
      <c r="G209" s="305" t="str">
        <f t="shared" si="29"/>
        <v/>
      </c>
      <c r="H209" s="314" t="str">
        <f>IF($B209="","",IF(H$4="NÃO",0,IF(VLOOKUP($B209,FROTA!$B$5:$R$305,17,0)=H$3,0.02,0)))</f>
        <v/>
      </c>
      <c r="I209" s="193" t="str">
        <f>IF($B209="","",IF(I$4="NÃO",0,IF(VLOOKUP($B209,FROTA!$B$5:$R$305,17,0)=I$3,0.02,0)))</f>
        <v/>
      </c>
      <c r="J209" s="193" t="str">
        <f>IF($B209="","",IF(J$4="NÃO",0,IF(VLOOKUP($B209,FROTA!$B$5:$R$305,17,0)=J$3,0.02,0)))</f>
        <v/>
      </c>
      <c r="K209" s="193" t="str">
        <f>IF($B209="","",IF(K$4="NÃO",0,IF(VLOOKUP($B209,FROTA!$B$5:$R$305,17,0)=K$3,0.02,0)))</f>
        <v/>
      </c>
      <c r="L209" s="193" t="str">
        <f>IF($B209="","",IF(L$4="NÃO",0,IF(VLOOKUP($B209,FROTA!$B$5:$R$305,17,0)=L$3,0.02,0)))</f>
        <v/>
      </c>
      <c r="M209" s="193" t="str">
        <f>IF($B209="","",IF(M$4="NÃO",0,IF(VLOOKUP($B209,FROTA!$B$5:$R$305,17,0)=M$3,0.02,0)))</f>
        <v/>
      </c>
      <c r="N209" s="193" t="str">
        <f>IF($B209="","",IF(M$4="NÃO",0,IF(VLOOKUP($B209,FROTA!$B$5:$R$305,17,0)=N$3,0.02,0)))</f>
        <v/>
      </c>
      <c r="O209" s="311" t="str">
        <f>IF($B209="","",IF(O$4="NÃO",0,IF(VLOOKUP($B209,FROTA!$B$5:$R$305,10,0)=O$3,0.01,0)))</f>
        <v/>
      </c>
      <c r="P209" s="307" t="str">
        <f>IF($B209="","",IF(P$4="NÃO",0,IF(VLOOKUP($B209,FROTA!$B$5:$R$305,10,0)=P$3,0.01,0)))</f>
        <v/>
      </c>
      <c r="Q209" s="307" t="str">
        <f>IF($B209="","",IF(Q$4="NÃO",0,IF(VLOOKUP($B209,FROTA!$B$5:$R$305,10,0)=Q$3,0.01,0)))</f>
        <v/>
      </c>
      <c r="R209" s="307" t="str">
        <f>IF($B209="","",IF(R$4="NÃO",0,IF(VLOOKUP($B209,FROTA!$B$5:$R$305,10,0)=R$3,0.01,0)))</f>
        <v/>
      </c>
      <c r="S209" s="307" t="str">
        <f>IF($B209="","",IF(S$4="NÃO",0,IF(VLOOKUP($B209,FROTA!$B$5:$R$305,10,0)=S$3,0.01,0)))</f>
        <v/>
      </c>
      <c r="T209" s="307" t="str">
        <f>IF($B209="","",IF(T$4="NÃO",0,IF(VLOOKUP($B209,FROTA!$B$5:$R$305,10,0)=T$3,0.01,0)))</f>
        <v/>
      </c>
      <c r="U209" s="307" t="str">
        <f>IF($B209="","",IF(U$4="NÃO",0,IF(VLOOKUP($B209,FROTA!$B$5:$R$305,10,0)=U$3,0.01,0)))</f>
        <v/>
      </c>
      <c r="V209" s="306" t="str">
        <f t="shared" si="30"/>
        <v/>
      </c>
      <c r="W209" s="238" t="str">
        <f t="shared" si="28"/>
        <v/>
      </c>
      <c r="X209" s="576" t="str">
        <f t="shared" si="31"/>
        <v/>
      </c>
      <c r="BA209" s="581">
        <v>45042</v>
      </c>
      <c r="BB209" s="582">
        <v>2023</v>
      </c>
    </row>
    <row r="210" spans="2:54" ht="15" customHeight="1" x14ac:dyDescent="0.2">
      <c r="B210" s="192" t="str">
        <f>IF(FROTA!B211="","",FROTA!B211)</f>
        <v/>
      </c>
      <c r="C210" s="192" t="str">
        <f>IF(B210="","",FROTA!Z211)</f>
        <v/>
      </c>
      <c r="D210" s="192" t="str">
        <f>IF(B210="","",VLOOKUP(B210,FROTA!$B$5:$C$310,2,0))</f>
        <v/>
      </c>
      <c r="E210" s="233" t="str">
        <f>IF(D210="","",VLOOKUP(D210,ESCALA!$B$3:$H$19,7,0))</f>
        <v/>
      </c>
      <c r="F210" s="219" t="s">
        <v>222</v>
      </c>
      <c r="G210" s="305" t="str">
        <f t="shared" si="29"/>
        <v/>
      </c>
      <c r="H210" s="314" t="str">
        <f>IF($B210="","",IF(H$4="NÃO",0,IF(VLOOKUP($B210,FROTA!$B$5:$R$305,17,0)=H$3,0.02,0)))</f>
        <v/>
      </c>
      <c r="I210" s="193" t="str">
        <f>IF($B210="","",IF(I$4="NÃO",0,IF(VLOOKUP($B210,FROTA!$B$5:$R$305,17,0)=I$3,0.02,0)))</f>
        <v/>
      </c>
      <c r="J210" s="193" t="str">
        <f>IF($B210="","",IF(J$4="NÃO",0,IF(VLOOKUP($B210,FROTA!$B$5:$R$305,17,0)=J$3,0.02,0)))</f>
        <v/>
      </c>
      <c r="K210" s="193" t="str">
        <f>IF($B210="","",IF(K$4="NÃO",0,IF(VLOOKUP($B210,FROTA!$B$5:$R$305,17,0)=K$3,0.02,0)))</f>
        <v/>
      </c>
      <c r="L210" s="193" t="str">
        <f>IF($B210="","",IF(L$4="NÃO",0,IF(VLOOKUP($B210,FROTA!$B$5:$R$305,17,0)=L$3,0.02,0)))</f>
        <v/>
      </c>
      <c r="M210" s="193" t="str">
        <f>IF($B210="","",IF(M$4="NÃO",0,IF(VLOOKUP($B210,FROTA!$B$5:$R$305,17,0)=M$3,0.02,0)))</f>
        <v/>
      </c>
      <c r="N210" s="193" t="str">
        <f>IF($B210="","",IF(M$4="NÃO",0,IF(VLOOKUP($B210,FROTA!$B$5:$R$305,17,0)=N$3,0.02,0)))</f>
        <v/>
      </c>
      <c r="O210" s="311" t="str">
        <f>IF($B210="","",IF(O$4="NÃO",0,IF(VLOOKUP($B210,FROTA!$B$5:$R$305,10,0)=O$3,0.01,0)))</f>
        <v/>
      </c>
      <c r="P210" s="307" t="str">
        <f>IF($B210="","",IF(P$4="NÃO",0,IF(VLOOKUP($B210,FROTA!$B$5:$R$305,10,0)=P$3,0.01,0)))</f>
        <v/>
      </c>
      <c r="Q210" s="307" t="str">
        <f>IF($B210="","",IF(Q$4="NÃO",0,IF(VLOOKUP($B210,FROTA!$B$5:$R$305,10,0)=Q$3,0.01,0)))</f>
        <v/>
      </c>
      <c r="R210" s="307" t="str">
        <f>IF($B210="","",IF(R$4="NÃO",0,IF(VLOOKUP($B210,FROTA!$B$5:$R$305,10,0)=R$3,0.01,0)))</f>
        <v/>
      </c>
      <c r="S210" s="307" t="str">
        <f>IF($B210="","",IF(S$4="NÃO",0,IF(VLOOKUP($B210,FROTA!$B$5:$R$305,10,0)=S$3,0.01,0)))</f>
        <v/>
      </c>
      <c r="T210" s="307" t="str">
        <f>IF($B210="","",IF(T$4="NÃO",0,IF(VLOOKUP($B210,FROTA!$B$5:$R$305,10,0)=T$3,0.01,0)))</f>
        <v/>
      </c>
      <c r="U210" s="307" t="str">
        <f>IF($B210="","",IF(U$4="NÃO",0,IF(VLOOKUP($B210,FROTA!$B$5:$R$305,10,0)=U$3,0.01,0)))</f>
        <v/>
      </c>
      <c r="V210" s="306" t="str">
        <f t="shared" si="30"/>
        <v/>
      </c>
      <c r="W210" s="238" t="str">
        <f t="shared" si="28"/>
        <v/>
      </c>
      <c r="X210" s="576" t="str">
        <f t="shared" si="31"/>
        <v/>
      </c>
      <c r="BA210" s="581">
        <v>45043</v>
      </c>
      <c r="BB210" s="582">
        <v>2023</v>
      </c>
    </row>
    <row r="211" spans="2:54" ht="15" customHeight="1" x14ac:dyDescent="0.2">
      <c r="B211" s="192" t="str">
        <f>IF(FROTA!B212="","",FROTA!B212)</f>
        <v/>
      </c>
      <c r="C211" s="192" t="str">
        <f>IF(B211="","",FROTA!Z212)</f>
        <v/>
      </c>
      <c r="D211" s="192" t="str">
        <f>IF(B211="","",VLOOKUP(B211,FROTA!$B$5:$C$310,2,0))</f>
        <v/>
      </c>
      <c r="E211" s="233" t="str">
        <f>IF(D211="","",VLOOKUP(D211,ESCALA!$B$3:$H$19,7,0))</f>
        <v/>
      </c>
      <c r="F211" s="219" t="s">
        <v>222</v>
      </c>
      <c r="G211" s="305" t="str">
        <f t="shared" si="29"/>
        <v/>
      </c>
      <c r="H211" s="314" t="str">
        <f>IF($B211="","",IF(H$4="NÃO",0,IF(VLOOKUP($B211,FROTA!$B$5:$R$305,17,0)=H$3,0.02,0)))</f>
        <v/>
      </c>
      <c r="I211" s="193" t="str">
        <f>IF($B211="","",IF(I$4="NÃO",0,IF(VLOOKUP($B211,FROTA!$B$5:$R$305,17,0)=I$3,0.02,0)))</f>
        <v/>
      </c>
      <c r="J211" s="193" t="str">
        <f>IF($B211="","",IF(J$4="NÃO",0,IF(VLOOKUP($B211,FROTA!$B$5:$R$305,17,0)=J$3,0.02,0)))</f>
        <v/>
      </c>
      <c r="K211" s="193" t="str">
        <f>IF($B211="","",IF(K$4="NÃO",0,IF(VLOOKUP($B211,FROTA!$B$5:$R$305,17,0)=K$3,0.02,0)))</f>
        <v/>
      </c>
      <c r="L211" s="193" t="str">
        <f>IF($B211="","",IF(L$4="NÃO",0,IF(VLOOKUP($B211,FROTA!$B$5:$R$305,17,0)=L$3,0.02,0)))</f>
        <v/>
      </c>
      <c r="M211" s="193" t="str">
        <f>IF($B211="","",IF(M$4="NÃO",0,IF(VLOOKUP($B211,FROTA!$B$5:$R$305,17,0)=M$3,0.02,0)))</f>
        <v/>
      </c>
      <c r="N211" s="193" t="str">
        <f>IF($B211="","",IF(M$4="NÃO",0,IF(VLOOKUP($B211,FROTA!$B$5:$R$305,17,0)=N$3,0.02,0)))</f>
        <v/>
      </c>
      <c r="O211" s="311" t="str">
        <f>IF($B211="","",IF(O$4="NÃO",0,IF(VLOOKUP($B211,FROTA!$B$5:$R$305,10,0)=O$3,0.01,0)))</f>
        <v/>
      </c>
      <c r="P211" s="307" t="str">
        <f>IF($B211="","",IF(P$4="NÃO",0,IF(VLOOKUP($B211,FROTA!$B$5:$R$305,10,0)=P$3,0.01,0)))</f>
        <v/>
      </c>
      <c r="Q211" s="307" t="str">
        <f>IF($B211="","",IF(Q$4="NÃO",0,IF(VLOOKUP($B211,FROTA!$B$5:$R$305,10,0)=Q$3,0.01,0)))</f>
        <v/>
      </c>
      <c r="R211" s="307" t="str">
        <f>IF($B211="","",IF(R$4="NÃO",0,IF(VLOOKUP($B211,FROTA!$B$5:$R$305,10,0)=R$3,0.01,0)))</f>
        <v/>
      </c>
      <c r="S211" s="307" t="str">
        <f>IF($B211="","",IF(S$4="NÃO",0,IF(VLOOKUP($B211,FROTA!$B$5:$R$305,10,0)=S$3,0.01,0)))</f>
        <v/>
      </c>
      <c r="T211" s="307" t="str">
        <f>IF($B211="","",IF(T$4="NÃO",0,IF(VLOOKUP($B211,FROTA!$B$5:$R$305,10,0)=T$3,0.01,0)))</f>
        <v/>
      </c>
      <c r="U211" s="307" t="str">
        <f>IF($B211="","",IF(U$4="NÃO",0,IF(VLOOKUP($B211,FROTA!$B$5:$R$305,10,0)=U$3,0.01,0)))</f>
        <v/>
      </c>
      <c r="V211" s="306" t="str">
        <f t="shared" si="30"/>
        <v/>
      </c>
      <c r="W211" s="238" t="str">
        <f t="shared" si="28"/>
        <v/>
      </c>
      <c r="X211" s="576" t="str">
        <f t="shared" si="31"/>
        <v/>
      </c>
      <c r="BA211" s="581">
        <v>45044</v>
      </c>
      <c r="BB211" s="582">
        <v>2023</v>
      </c>
    </row>
    <row r="212" spans="2:54" ht="15" customHeight="1" x14ac:dyDescent="0.2">
      <c r="B212" s="192" t="str">
        <f>IF(FROTA!B213="","",FROTA!B213)</f>
        <v/>
      </c>
      <c r="C212" s="192" t="str">
        <f>IF(B212="","",FROTA!Z213)</f>
        <v/>
      </c>
      <c r="D212" s="192" t="str">
        <f>IF(B212="","",VLOOKUP(B212,FROTA!$B$5:$C$310,2,0))</f>
        <v/>
      </c>
      <c r="E212" s="233" t="str">
        <f>IF(D212="","",VLOOKUP(D212,ESCALA!$B$3:$H$19,7,0))</f>
        <v/>
      </c>
      <c r="F212" s="219" t="s">
        <v>222</v>
      </c>
      <c r="G212" s="305" t="str">
        <f t="shared" si="29"/>
        <v/>
      </c>
      <c r="H212" s="314" t="str">
        <f>IF($B212="","",IF(H$4="NÃO",0,IF(VLOOKUP($B212,FROTA!$B$5:$R$305,17,0)=H$3,0.02,0)))</f>
        <v/>
      </c>
      <c r="I212" s="193" t="str">
        <f>IF($B212="","",IF(I$4="NÃO",0,IF(VLOOKUP($B212,FROTA!$B$5:$R$305,17,0)=I$3,0.02,0)))</f>
        <v/>
      </c>
      <c r="J212" s="193" t="str">
        <f>IF($B212="","",IF(J$4="NÃO",0,IF(VLOOKUP($B212,FROTA!$B$5:$R$305,17,0)=J$3,0.02,0)))</f>
        <v/>
      </c>
      <c r="K212" s="193" t="str">
        <f>IF($B212="","",IF(K$4="NÃO",0,IF(VLOOKUP($B212,FROTA!$B$5:$R$305,17,0)=K$3,0.02,0)))</f>
        <v/>
      </c>
      <c r="L212" s="193" t="str">
        <f>IF($B212="","",IF(L$4="NÃO",0,IF(VLOOKUP($B212,FROTA!$B$5:$R$305,17,0)=L$3,0.02,0)))</f>
        <v/>
      </c>
      <c r="M212" s="193" t="str">
        <f>IF($B212="","",IF(M$4="NÃO",0,IF(VLOOKUP($B212,FROTA!$B$5:$R$305,17,0)=M$3,0.02,0)))</f>
        <v/>
      </c>
      <c r="N212" s="193" t="str">
        <f>IF($B212="","",IF(M$4="NÃO",0,IF(VLOOKUP($B212,FROTA!$B$5:$R$305,17,0)=N$3,0.02,0)))</f>
        <v/>
      </c>
      <c r="O212" s="311" t="str">
        <f>IF($B212="","",IF(O$4="NÃO",0,IF(VLOOKUP($B212,FROTA!$B$5:$R$305,10,0)=O$3,0.01,0)))</f>
        <v/>
      </c>
      <c r="P212" s="307" t="str">
        <f>IF($B212="","",IF(P$4="NÃO",0,IF(VLOOKUP($B212,FROTA!$B$5:$R$305,10,0)=P$3,0.01,0)))</f>
        <v/>
      </c>
      <c r="Q212" s="307" t="str">
        <f>IF($B212="","",IF(Q$4="NÃO",0,IF(VLOOKUP($B212,FROTA!$B$5:$R$305,10,0)=Q$3,0.01,0)))</f>
        <v/>
      </c>
      <c r="R212" s="307" t="str">
        <f>IF($B212="","",IF(R$4="NÃO",0,IF(VLOOKUP($B212,FROTA!$B$5:$R$305,10,0)=R$3,0.01,0)))</f>
        <v/>
      </c>
      <c r="S212" s="307" t="str">
        <f>IF($B212="","",IF(S$4="NÃO",0,IF(VLOOKUP($B212,FROTA!$B$5:$R$305,10,0)=S$3,0.01,0)))</f>
        <v/>
      </c>
      <c r="T212" s="307" t="str">
        <f>IF($B212="","",IF(T$4="NÃO",0,IF(VLOOKUP($B212,FROTA!$B$5:$R$305,10,0)=T$3,0.01,0)))</f>
        <v/>
      </c>
      <c r="U212" s="307" t="str">
        <f>IF($B212="","",IF(U$4="NÃO",0,IF(VLOOKUP($B212,FROTA!$B$5:$R$305,10,0)=U$3,0.01,0)))</f>
        <v/>
      </c>
      <c r="V212" s="306" t="str">
        <f t="shared" si="30"/>
        <v/>
      </c>
      <c r="W212" s="238" t="str">
        <f t="shared" si="28"/>
        <v/>
      </c>
      <c r="X212" s="576" t="str">
        <f t="shared" si="31"/>
        <v/>
      </c>
      <c r="BA212" s="581">
        <v>45045</v>
      </c>
      <c r="BB212" s="582">
        <v>2023</v>
      </c>
    </row>
    <row r="213" spans="2:54" ht="15" customHeight="1" x14ac:dyDescent="0.2">
      <c r="B213" s="192" t="str">
        <f>IF(FROTA!B214="","",FROTA!B214)</f>
        <v/>
      </c>
      <c r="C213" s="192" t="str">
        <f>IF(B213="","",FROTA!Z214)</f>
        <v/>
      </c>
      <c r="D213" s="192" t="str">
        <f>IF(B213="","",VLOOKUP(B213,FROTA!$B$5:$C$310,2,0))</f>
        <v/>
      </c>
      <c r="E213" s="233" t="str">
        <f>IF(D213="","",VLOOKUP(D213,ESCALA!$B$3:$H$19,7,0))</f>
        <v/>
      </c>
      <c r="F213" s="219" t="s">
        <v>222</v>
      </c>
      <c r="G213" s="305" t="str">
        <f t="shared" si="29"/>
        <v/>
      </c>
      <c r="H213" s="314" t="str">
        <f>IF($B213="","",IF(H$4="NÃO",0,IF(VLOOKUP($B213,FROTA!$B$5:$R$305,17,0)=H$3,0.02,0)))</f>
        <v/>
      </c>
      <c r="I213" s="193" t="str">
        <f>IF($B213="","",IF(I$4="NÃO",0,IF(VLOOKUP($B213,FROTA!$B$5:$R$305,17,0)=I$3,0.02,0)))</f>
        <v/>
      </c>
      <c r="J213" s="193" t="str">
        <f>IF($B213="","",IF(J$4="NÃO",0,IF(VLOOKUP($B213,FROTA!$B$5:$R$305,17,0)=J$3,0.02,0)))</f>
        <v/>
      </c>
      <c r="K213" s="193" t="str">
        <f>IF($B213="","",IF(K$4="NÃO",0,IF(VLOOKUP($B213,FROTA!$B$5:$R$305,17,0)=K$3,0.02,0)))</f>
        <v/>
      </c>
      <c r="L213" s="193" t="str">
        <f>IF($B213="","",IF(L$4="NÃO",0,IF(VLOOKUP($B213,FROTA!$B$5:$R$305,17,0)=L$3,0.02,0)))</f>
        <v/>
      </c>
      <c r="M213" s="193" t="str">
        <f>IF($B213="","",IF(M$4="NÃO",0,IF(VLOOKUP($B213,FROTA!$B$5:$R$305,17,0)=M$3,0.02,0)))</f>
        <v/>
      </c>
      <c r="N213" s="193" t="str">
        <f>IF($B213="","",IF(M$4="NÃO",0,IF(VLOOKUP($B213,FROTA!$B$5:$R$305,17,0)=N$3,0.02,0)))</f>
        <v/>
      </c>
      <c r="O213" s="311" t="str">
        <f>IF($B213="","",IF(O$4="NÃO",0,IF(VLOOKUP($B213,FROTA!$B$5:$R$305,10,0)=O$3,0.01,0)))</f>
        <v/>
      </c>
      <c r="P213" s="307" t="str">
        <f>IF($B213="","",IF(P$4="NÃO",0,IF(VLOOKUP($B213,FROTA!$B$5:$R$305,10,0)=P$3,0.01,0)))</f>
        <v/>
      </c>
      <c r="Q213" s="307" t="str">
        <f>IF($B213="","",IF(Q$4="NÃO",0,IF(VLOOKUP($B213,FROTA!$B$5:$R$305,10,0)=Q$3,0.01,0)))</f>
        <v/>
      </c>
      <c r="R213" s="307" t="str">
        <f>IF($B213="","",IF(R$4="NÃO",0,IF(VLOOKUP($B213,FROTA!$B$5:$R$305,10,0)=R$3,0.01,0)))</f>
        <v/>
      </c>
      <c r="S213" s="307" t="str">
        <f>IF($B213="","",IF(S$4="NÃO",0,IF(VLOOKUP($B213,FROTA!$B$5:$R$305,10,0)=S$3,0.01,0)))</f>
        <v/>
      </c>
      <c r="T213" s="307" t="str">
        <f>IF($B213="","",IF(T$4="NÃO",0,IF(VLOOKUP($B213,FROTA!$B$5:$R$305,10,0)=T$3,0.01,0)))</f>
        <v/>
      </c>
      <c r="U213" s="307" t="str">
        <f>IF($B213="","",IF(U$4="NÃO",0,IF(VLOOKUP($B213,FROTA!$B$5:$R$305,10,0)=U$3,0.01,0)))</f>
        <v/>
      </c>
      <c r="V213" s="306" t="str">
        <f t="shared" si="30"/>
        <v/>
      </c>
      <c r="W213" s="238" t="str">
        <f t="shared" si="28"/>
        <v/>
      </c>
      <c r="X213" s="576" t="str">
        <f t="shared" si="31"/>
        <v/>
      </c>
      <c r="BA213" s="581">
        <v>45046</v>
      </c>
      <c r="BB213" s="582">
        <v>2023</v>
      </c>
    </row>
    <row r="214" spans="2:54" ht="15" customHeight="1" x14ac:dyDescent="0.2">
      <c r="B214" s="192" t="str">
        <f>IF(FROTA!B215="","",FROTA!B215)</f>
        <v/>
      </c>
      <c r="C214" s="192" t="str">
        <f>IF(B214="","",FROTA!Z215)</f>
        <v/>
      </c>
      <c r="D214" s="192" t="str">
        <f>IF(B214="","",VLOOKUP(B214,FROTA!$B$5:$C$310,2,0))</f>
        <v/>
      </c>
      <c r="E214" s="233" t="str">
        <f>IF(D214="","",VLOOKUP(D214,ESCALA!$B$3:$H$19,7,0))</f>
        <v/>
      </c>
      <c r="F214" s="219" t="s">
        <v>222</v>
      </c>
      <c r="G214" s="305" t="str">
        <f t="shared" si="29"/>
        <v/>
      </c>
      <c r="H214" s="314" t="str">
        <f>IF($B214="","",IF(H$4="NÃO",0,IF(VLOOKUP($B214,FROTA!$B$5:$R$305,17,0)=H$3,0.02,0)))</f>
        <v/>
      </c>
      <c r="I214" s="193" t="str">
        <f>IF($B214="","",IF(I$4="NÃO",0,IF(VLOOKUP($B214,FROTA!$B$5:$R$305,17,0)=I$3,0.02,0)))</f>
        <v/>
      </c>
      <c r="J214" s="193" t="str">
        <f>IF($B214="","",IF(J$4="NÃO",0,IF(VLOOKUP($B214,FROTA!$B$5:$R$305,17,0)=J$3,0.02,0)))</f>
        <v/>
      </c>
      <c r="K214" s="193" t="str">
        <f>IF($B214="","",IF(K$4="NÃO",0,IF(VLOOKUP($B214,FROTA!$B$5:$R$305,17,0)=K$3,0.02,0)))</f>
        <v/>
      </c>
      <c r="L214" s="193" t="str">
        <f>IF($B214="","",IF(L$4="NÃO",0,IF(VLOOKUP($B214,FROTA!$B$5:$R$305,17,0)=L$3,0.02,0)))</f>
        <v/>
      </c>
      <c r="M214" s="193" t="str">
        <f>IF($B214="","",IF(M$4="NÃO",0,IF(VLOOKUP($B214,FROTA!$B$5:$R$305,17,0)=M$3,0.02,0)))</f>
        <v/>
      </c>
      <c r="N214" s="193" t="str">
        <f>IF($B214="","",IF(M$4="NÃO",0,IF(VLOOKUP($B214,FROTA!$B$5:$R$305,17,0)=N$3,0.02,0)))</f>
        <v/>
      </c>
      <c r="O214" s="311" t="str">
        <f>IF($B214="","",IF(O$4="NÃO",0,IF(VLOOKUP($B214,FROTA!$B$5:$R$305,10,0)=O$3,0.01,0)))</f>
        <v/>
      </c>
      <c r="P214" s="307" t="str">
        <f>IF($B214="","",IF(P$4="NÃO",0,IF(VLOOKUP($B214,FROTA!$B$5:$R$305,10,0)=P$3,0.01,0)))</f>
        <v/>
      </c>
      <c r="Q214" s="307" t="str">
        <f>IF($B214="","",IF(Q$4="NÃO",0,IF(VLOOKUP($B214,FROTA!$B$5:$R$305,10,0)=Q$3,0.01,0)))</f>
        <v/>
      </c>
      <c r="R214" s="307" t="str">
        <f>IF($B214="","",IF(R$4="NÃO",0,IF(VLOOKUP($B214,FROTA!$B$5:$R$305,10,0)=R$3,0.01,0)))</f>
        <v/>
      </c>
      <c r="S214" s="307" t="str">
        <f>IF($B214="","",IF(S$4="NÃO",0,IF(VLOOKUP($B214,FROTA!$B$5:$R$305,10,0)=S$3,0.01,0)))</f>
        <v/>
      </c>
      <c r="T214" s="307" t="str">
        <f>IF($B214="","",IF(T$4="NÃO",0,IF(VLOOKUP($B214,FROTA!$B$5:$R$305,10,0)=T$3,0.01,0)))</f>
        <v/>
      </c>
      <c r="U214" s="307" t="str">
        <f>IF($B214="","",IF(U$4="NÃO",0,IF(VLOOKUP($B214,FROTA!$B$5:$R$305,10,0)=U$3,0.01,0)))</f>
        <v/>
      </c>
      <c r="V214" s="306" t="str">
        <f t="shared" si="30"/>
        <v/>
      </c>
      <c r="W214" s="238" t="str">
        <f t="shared" si="28"/>
        <v/>
      </c>
      <c r="X214" s="576" t="str">
        <f t="shared" si="31"/>
        <v/>
      </c>
      <c r="BA214" s="581">
        <v>45047</v>
      </c>
      <c r="BB214" s="582">
        <v>2023</v>
      </c>
    </row>
    <row r="215" spans="2:54" ht="15" customHeight="1" x14ac:dyDescent="0.2">
      <c r="B215" s="192" t="str">
        <f>IF(FROTA!B216="","",FROTA!B216)</f>
        <v/>
      </c>
      <c r="C215" s="192" t="str">
        <f>IF(B215="","",FROTA!Z216)</f>
        <v/>
      </c>
      <c r="D215" s="192" t="str">
        <f>IF(B215="","",VLOOKUP(B215,FROTA!$B$5:$C$310,2,0))</f>
        <v/>
      </c>
      <c r="E215" s="233" t="str">
        <f>IF(D215="","",VLOOKUP(D215,ESCALA!$B$3:$H$19,7,0))</f>
        <v/>
      </c>
      <c r="F215" s="219" t="s">
        <v>222</v>
      </c>
      <c r="G215" s="305" t="str">
        <f t="shared" si="29"/>
        <v/>
      </c>
      <c r="H215" s="314" t="str">
        <f>IF($B215="","",IF(H$4="NÃO",0,IF(VLOOKUP($B215,FROTA!$B$5:$R$305,17,0)=H$3,0.02,0)))</f>
        <v/>
      </c>
      <c r="I215" s="193" t="str">
        <f>IF($B215="","",IF(I$4="NÃO",0,IF(VLOOKUP($B215,FROTA!$B$5:$R$305,17,0)=I$3,0.02,0)))</f>
        <v/>
      </c>
      <c r="J215" s="193" t="str">
        <f>IF($B215="","",IF(J$4="NÃO",0,IF(VLOOKUP($B215,FROTA!$B$5:$R$305,17,0)=J$3,0.02,0)))</f>
        <v/>
      </c>
      <c r="K215" s="193" t="str">
        <f>IF($B215="","",IF(K$4="NÃO",0,IF(VLOOKUP($B215,FROTA!$B$5:$R$305,17,0)=K$3,0.02,0)))</f>
        <v/>
      </c>
      <c r="L215" s="193" t="str">
        <f>IF($B215="","",IF(L$4="NÃO",0,IF(VLOOKUP($B215,FROTA!$B$5:$R$305,17,0)=L$3,0.02,0)))</f>
        <v/>
      </c>
      <c r="M215" s="193" t="str">
        <f>IF($B215="","",IF(M$4="NÃO",0,IF(VLOOKUP($B215,FROTA!$B$5:$R$305,17,0)=M$3,0.02,0)))</f>
        <v/>
      </c>
      <c r="N215" s="193" t="str">
        <f>IF($B215="","",IF(M$4="NÃO",0,IF(VLOOKUP($B215,FROTA!$B$5:$R$305,17,0)=N$3,0.02,0)))</f>
        <v/>
      </c>
      <c r="O215" s="311" t="str">
        <f>IF($B215="","",IF(O$4="NÃO",0,IF(VLOOKUP($B215,FROTA!$B$5:$R$305,10,0)=O$3,0.01,0)))</f>
        <v/>
      </c>
      <c r="P215" s="307" t="str">
        <f>IF($B215="","",IF(P$4="NÃO",0,IF(VLOOKUP($B215,FROTA!$B$5:$R$305,10,0)=P$3,0.01,0)))</f>
        <v/>
      </c>
      <c r="Q215" s="307" t="str">
        <f>IF($B215="","",IF(Q$4="NÃO",0,IF(VLOOKUP($B215,FROTA!$B$5:$R$305,10,0)=Q$3,0.01,0)))</f>
        <v/>
      </c>
      <c r="R215" s="307" t="str">
        <f>IF($B215="","",IF(R$4="NÃO",0,IF(VLOOKUP($B215,FROTA!$B$5:$R$305,10,0)=R$3,0.01,0)))</f>
        <v/>
      </c>
      <c r="S215" s="307" t="str">
        <f>IF($B215="","",IF(S$4="NÃO",0,IF(VLOOKUP($B215,FROTA!$B$5:$R$305,10,0)=S$3,0.01,0)))</f>
        <v/>
      </c>
      <c r="T215" s="307" t="str">
        <f>IF($B215="","",IF(T$4="NÃO",0,IF(VLOOKUP($B215,FROTA!$B$5:$R$305,10,0)=T$3,0.01,0)))</f>
        <v/>
      </c>
      <c r="U215" s="307" t="str">
        <f>IF($B215="","",IF(U$4="NÃO",0,IF(VLOOKUP($B215,FROTA!$B$5:$R$305,10,0)=U$3,0.01,0)))</f>
        <v/>
      </c>
      <c r="V215" s="306" t="str">
        <f t="shared" si="30"/>
        <v/>
      </c>
      <c r="W215" s="238" t="str">
        <f t="shared" si="28"/>
        <v/>
      </c>
      <c r="X215" s="576" t="str">
        <f t="shared" si="31"/>
        <v/>
      </c>
      <c r="BA215" s="581">
        <v>45048</v>
      </c>
      <c r="BB215" s="582">
        <v>2023</v>
      </c>
    </row>
    <row r="216" spans="2:54" ht="15" customHeight="1" x14ac:dyDescent="0.2">
      <c r="B216" s="192" t="str">
        <f>IF(FROTA!B217="","",FROTA!B217)</f>
        <v/>
      </c>
      <c r="C216" s="192" t="str">
        <f>IF(B216="","",FROTA!Z217)</f>
        <v/>
      </c>
      <c r="D216" s="192" t="str">
        <f>IF(B216="","",VLOOKUP(B216,FROTA!$B$5:$C$310,2,0))</f>
        <v/>
      </c>
      <c r="E216" s="233" t="str">
        <f>IF(D216="","",VLOOKUP(D216,ESCALA!$B$3:$H$19,7,0))</f>
        <v/>
      </c>
      <c r="F216" s="219" t="s">
        <v>222</v>
      </c>
      <c r="G216" s="305" t="str">
        <f t="shared" si="29"/>
        <v/>
      </c>
      <c r="H216" s="314" t="str">
        <f>IF($B216="","",IF(H$4="NÃO",0,IF(VLOOKUP($B216,FROTA!$B$5:$R$305,17,0)=H$3,0.02,0)))</f>
        <v/>
      </c>
      <c r="I216" s="193" t="str">
        <f>IF($B216="","",IF(I$4="NÃO",0,IF(VLOOKUP($B216,FROTA!$B$5:$R$305,17,0)=I$3,0.02,0)))</f>
        <v/>
      </c>
      <c r="J216" s="193" t="str">
        <f>IF($B216="","",IF(J$4="NÃO",0,IF(VLOOKUP($B216,FROTA!$B$5:$R$305,17,0)=J$3,0.02,0)))</f>
        <v/>
      </c>
      <c r="K216" s="193" t="str">
        <f>IF($B216="","",IF(K$4="NÃO",0,IF(VLOOKUP($B216,FROTA!$B$5:$R$305,17,0)=K$3,0.02,0)))</f>
        <v/>
      </c>
      <c r="L216" s="193" t="str">
        <f>IF($B216="","",IF(L$4="NÃO",0,IF(VLOOKUP($B216,FROTA!$B$5:$R$305,17,0)=L$3,0.02,0)))</f>
        <v/>
      </c>
      <c r="M216" s="193" t="str">
        <f>IF($B216="","",IF(M$4="NÃO",0,IF(VLOOKUP($B216,FROTA!$B$5:$R$305,17,0)=M$3,0.02,0)))</f>
        <v/>
      </c>
      <c r="N216" s="193" t="str">
        <f>IF($B216="","",IF(M$4="NÃO",0,IF(VLOOKUP($B216,FROTA!$B$5:$R$305,17,0)=N$3,0.02,0)))</f>
        <v/>
      </c>
      <c r="O216" s="311" t="str">
        <f>IF($B216="","",IF(O$4="NÃO",0,IF(VLOOKUP($B216,FROTA!$B$5:$R$305,10,0)=O$3,0.01,0)))</f>
        <v/>
      </c>
      <c r="P216" s="307" t="str">
        <f>IF($B216="","",IF(P$4="NÃO",0,IF(VLOOKUP($B216,FROTA!$B$5:$R$305,10,0)=P$3,0.01,0)))</f>
        <v/>
      </c>
      <c r="Q216" s="307" t="str">
        <f>IF($B216="","",IF(Q$4="NÃO",0,IF(VLOOKUP($B216,FROTA!$B$5:$R$305,10,0)=Q$3,0.01,0)))</f>
        <v/>
      </c>
      <c r="R216" s="307" t="str">
        <f>IF($B216="","",IF(R$4="NÃO",0,IF(VLOOKUP($B216,FROTA!$B$5:$R$305,10,0)=R$3,0.01,0)))</f>
        <v/>
      </c>
      <c r="S216" s="307" t="str">
        <f>IF($B216="","",IF(S$4="NÃO",0,IF(VLOOKUP($B216,FROTA!$B$5:$R$305,10,0)=S$3,0.01,0)))</f>
        <v/>
      </c>
      <c r="T216" s="307" t="str">
        <f>IF($B216="","",IF(T$4="NÃO",0,IF(VLOOKUP($B216,FROTA!$B$5:$R$305,10,0)=T$3,0.01,0)))</f>
        <v/>
      </c>
      <c r="U216" s="307" t="str">
        <f>IF($B216="","",IF(U$4="NÃO",0,IF(VLOOKUP($B216,FROTA!$B$5:$R$305,10,0)=U$3,0.01,0)))</f>
        <v/>
      </c>
      <c r="V216" s="306" t="str">
        <f t="shared" si="30"/>
        <v/>
      </c>
      <c r="W216" s="238" t="str">
        <f t="shared" si="28"/>
        <v/>
      </c>
      <c r="X216" s="576" t="str">
        <f t="shared" si="31"/>
        <v/>
      </c>
      <c r="BA216" s="581">
        <v>45049</v>
      </c>
      <c r="BB216" s="582">
        <v>2023</v>
      </c>
    </row>
    <row r="217" spans="2:54" ht="15" customHeight="1" x14ac:dyDescent="0.2">
      <c r="B217" s="192" t="str">
        <f>IF(FROTA!B218="","",FROTA!B218)</f>
        <v/>
      </c>
      <c r="C217" s="192" t="str">
        <f>IF(B217="","",FROTA!Z218)</f>
        <v/>
      </c>
      <c r="D217" s="192" t="str">
        <f>IF(B217="","",VLOOKUP(B217,FROTA!$B$5:$C$310,2,0))</f>
        <v/>
      </c>
      <c r="E217" s="233" t="str">
        <f>IF(D217="","",VLOOKUP(D217,ESCALA!$B$3:$H$19,7,0))</f>
        <v/>
      </c>
      <c r="F217" s="219" t="s">
        <v>222</v>
      </c>
      <c r="G217" s="305" t="str">
        <f t="shared" si="29"/>
        <v/>
      </c>
      <c r="H217" s="314" t="str">
        <f>IF($B217="","",IF(H$4="NÃO",0,IF(VLOOKUP($B217,FROTA!$B$5:$R$305,17,0)=H$3,0.02,0)))</f>
        <v/>
      </c>
      <c r="I217" s="193" t="str">
        <f>IF($B217="","",IF(I$4="NÃO",0,IF(VLOOKUP($B217,FROTA!$B$5:$R$305,17,0)=I$3,0.02,0)))</f>
        <v/>
      </c>
      <c r="J217" s="193" t="str">
        <f>IF($B217="","",IF(J$4="NÃO",0,IF(VLOOKUP($B217,FROTA!$B$5:$R$305,17,0)=J$3,0.02,0)))</f>
        <v/>
      </c>
      <c r="K217" s="193" t="str">
        <f>IF($B217="","",IF(K$4="NÃO",0,IF(VLOOKUP($B217,FROTA!$B$5:$R$305,17,0)=K$3,0.02,0)))</f>
        <v/>
      </c>
      <c r="L217" s="193" t="str">
        <f>IF($B217="","",IF(L$4="NÃO",0,IF(VLOOKUP($B217,FROTA!$B$5:$R$305,17,0)=L$3,0.02,0)))</f>
        <v/>
      </c>
      <c r="M217" s="193" t="str">
        <f>IF($B217="","",IF(M$4="NÃO",0,IF(VLOOKUP($B217,FROTA!$B$5:$R$305,17,0)=M$3,0.02,0)))</f>
        <v/>
      </c>
      <c r="N217" s="193" t="str">
        <f>IF($B217="","",IF(M$4="NÃO",0,IF(VLOOKUP($B217,FROTA!$B$5:$R$305,17,0)=N$3,0.02,0)))</f>
        <v/>
      </c>
      <c r="O217" s="311" t="str">
        <f>IF($B217="","",IF(O$4="NÃO",0,IF(VLOOKUP($B217,FROTA!$B$5:$R$305,10,0)=O$3,0.01,0)))</f>
        <v/>
      </c>
      <c r="P217" s="307" t="str">
        <f>IF($B217="","",IF(P$4="NÃO",0,IF(VLOOKUP($B217,FROTA!$B$5:$R$305,10,0)=P$3,0.01,0)))</f>
        <v/>
      </c>
      <c r="Q217" s="307" t="str">
        <f>IF($B217="","",IF(Q$4="NÃO",0,IF(VLOOKUP($B217,FROTA!$B$5:$R$305,10,0)=Q$3,0.01,0)))</f>
        <v/>
      </c>
      <c r="R217" s="307" t="str">
        <f>IF($B217="","",IF(R$4="NÃO",0,IF(VLOOKUP($B217,FROTA!$B$5:$R$305,10,0)=R$3,0.01,0)))</f>
        <v/>
      </c>
      <c r="S217" s="307" t="str">
        <f>IF($B217="","",IF(S$4="NÃO",0,IF(VLOOKUP($B217,FROTA!$B$5:$R$305,10,0)=S$3,0.01,0)))</f>
        <v/>
      </c>
      <c r="T217" s="307" t="str">
        <f>IF($B217="","",IF(T$4="NÃO",0,IF(VLOOKUP($B217,FROTA!$B$5:$R$305,10,0)=T$3,0.01,0)))</f>
        <v/>
      </c>
      <c r="U217" s="307" t="str">
        <f>IF($B217="","",IF(U$4="NÃO",0,IF(VLOOKUP($B217,FROTA!$B$5:$R$305,10,0)=U$3,0.01,0)))</f>
        <v/>
      </c>
      <c r="V217" s="306" t="str">
        <f t="shared" si="30"/>
        <v/>
      </c>
      <c r="W217" s="238" t="str">
        <f t="shared" si="28"/>
        <v/>
      </c>
      <c r="X217" s="576" t="str">
        <f t="shared" si="31"/>
        <v/>
      </c>
      <c r="BA217" s="581">
        <v>45050</v>
      </c>
      <c r="BB217" s="582">
        <v>2023</v>
      </c>
    </row>
    <row r="218" spans="2:54" ht="15" customHeight="1" x14ac:dyDescent="0.2">
      <c r="B218" s="192" t="str">
        <f>IF(FROTA!B219="","",FROTA!B219)</f>
        <v/>
      </c>
      <c r="C218" s="192" t="str">
        <f>IF(B218="","",FROTA!Z219)</f>
        <v/>
      </c>
      <c r="D218" s="192" t="str">
        <f>IF(B218="","",VLOOKUP(B218,FROTA!$B$5:$C$310,2,0))</f>
        <v/>
      </c>
      <c r="E218" s="233" t="str">
        <f>IF(D218="","",VLOOKUP(D218,ESCALA!$B$3:$H$19,7,0))</f>
        <v/>
      </c>
      <c r="F218" s="219" t="s">
        <v>222</v>
      </c>
      <c r="G218" s="305" t="str">
        <f t="shared" si="29"/>
        <v/>
      </c>
      <c r="H218" s="314" t="str">
        <f>IF($B218="","",IF(H$4="NÃO",0,IF(VLOOKUP($B218,FROTA!$B$5:$R$305,17,0)=H$3,0.02,0)))</f>
        <v/>
      </c>
      <c r="I218" s="193" t="str">
        <f>IF($B218="","",IF(I$4="NÃO",0,IF(VLOOKUP($B218,FROTA!$B$5:$R$305,17,0)=I$3,0.02,0)))</f>
        <v/>
      </c>
      <c r="J218" s="193" t="str">
        <f>IF($B218="","",IF(J$4="NÃO",0,IF(VLOOKUP($B218,FROTA!$B$5:$R$305,17,0)=J$3,0.02,0)))</f>
        <v/>
      </c>
      <c r="K218" s="193" t="str">
        <f>IF($B218="","",IF(K$4="NÃO",0,IF(VLOOKUP($B218,FROTA!$B$5:$R$305,17,0)=K$3,0.02,0)))</f>
        <v/>
      </c>
      <c r="L218" s="193" t="str">
        <f>IF($B218="","",IF(L$4="NÃO",0,IF(VLOOKUP($B218,FROTA!$B$5:$R$305,17,0)=L$3,0.02,0)))</f>
        <v/>
      </c>
      <c r="M218" s="193" t="str">
        <f>IF($B218="","",IF(M$4="NÃO",0,IF(VLOOKUP($B218,FROTA!$B$5:$R$305,17,0)=M$3,0.02,0)))</f>
        <v/>
      </c>
      <c r="N218" s="193" t="str">
        <f>IF($B218="","",IF(M$4="NÃO",0,IF(VLOOKUP($B218,FROTA!$B$5:$R$305,17,0)=N$3,0.02,0)))</f>
        <v/>
      </c>
      <c r="O218" s="311" t="str">
        <f>IF($B218="","",IF(O$4="NÃO",0,IF(VLOOKUP($B218,FROTA!$B$5:$R$305,10,0)=O$3,0.01,0)))</f>
        <v/>
      </c>
      <c r="P218" s="307" t="str">
        <f>IF($B218="","",IF(P$4="NÃO",0,IF(VLOOKUP($B218,FROTA!$B$5:$R$305,10,0)=P$3,0.01,0)))</f>
        <v/>
      </c>
      <c r="Q218" s="307" t="str">
        <f>IF($B218="","",IF(Q$4="NÃO",0,IF(VLOOKUP($B218,FROTA!$B$5:$R$305,10,0)=Q$3,0.01,0)))</f>
        <v/>
      </c>
      <c r="R218" s="307" t="str">
        <f>IF($B218="","",IF(R$4="NÃO",0,IF(VLOOKUP($B218,FROTA!$B$5:$R$305,10,0)=R$3,0.01,0)))</f>
        <v/>
      </c>
      <c r="S218" s="307" t="str">
        <f>IF($B218="","",IF(S$4="NÃO",0,IF(VLOOKUP($B218,FROTA!$B$5:$R$305,10,0)=S$3,0.01,0)))</f>
        <v/>
      </c>
      <c r="T218" s="307" t="str">
        <f>IF($B218="","",IF(T$4="NÃO",0,IF(VLOOKUP($B218,FROTA!$B$5:$R$305,10,0)=T$3,0.01,0)))</f>
        <v/>
      </c>
      <c r="U218" s="307" t="str">
        <f>IF($B218="","",IF(U$4="NÃO",0,IF(VLOOKUP($B218,FROTA!$B$5:$R$305,10,0)=U$3,0.01,0)))</f>
        <v/>
      </c>
      <c r="V218" s="306" t="str">
        <f t="shared" si="30"/>
        <v/>
      </c>
      <c r="W218" s="238" t="str">
        <f t="shared" si="28"/>
        <v/>
      </c>
      <c r="X218" s="576" t="str">
        <f t="shared" si="31"/>
        <v/>
      </c>
      <c r="BA218" s="581">
        <v>45051</v>
      </c>
      <c r="BB218" s="582">
        <v>2023</v>
      </c>
    </row>
    <row r="219" spans="2:54" ht="15" customHeight="1" x14ac:dyDescent="0.2">
      <c r="B219" s="192" t="str">
        <f>IF(FROTA!B220="","",FROTA!B220)</f>
        <v/>
      </c>
      <c r="C219" s="192" t="str">
        <f>IF(B219="","",FROTA!Z220)</f>
        <v/>
      </c>
      <c r="D219" s="192" t="str">
        <f>IF(B219="","",VLOOKUP(B219,FROTA!$B$5:$C$310,2,0))</f>
        <v/>
      </c>
      <c r="E219" s="233" t="str">
        <f>IF(D219="","",VLOOKUP(D219,ESCALA!$B$3:$H$19,7,0))</f>
        <v/>
      </c>
      <c r="F219" s="219" t="s">
        <v>222</v>
      </c>
      <c r="G219" s="305" t="str">
        <f t="shared" si="29"/>
        <v/>
      </c>
      <c r="H219" s="314" t="str">
        <f>IF($B219="","",IF(H$4="NÃO",0,IF(VLOOKUP($B219,FROTA!$B$5:$R$305,17,0)=H$3,0.02,0)))</f>
        <v/>
      </c>
      <c r="I219" s="193" t="str">
        <f>IF($B219="","",IF(I$4="NÃO",0,IF(VLOOKUP($B219,FROTA!$B$5:$R$305,17,0)=I$3,0.02,0)))</f>
        <v/>
      </c>
      <c r="J219" s="193" t="str">
        <f>IF($B219="","",IF(J$4="NÃO",0,IF(VLOOKUP($B219,FROTA!$B$5:$R$305,17,0)=J$3,0.02,0)))</f>
        <v/>
      </c>
      <c r="K219" s="193" t="str">
        <f>IF($B219="","",IF(K$4="NÃO",0,IF(VLOOKUP($B219,FROTA!$B$5:$R$305,17,0)=K$3,0.02,0)))</f>
        <v/>
      </c>
      <c r="L219" s="193" t="str">
        <f>IF($B219="","",IF(L$4="NÃO",0,IF(VLOOKUP($B219,FROTA!$B$5:$R$305,17,0)=L$3,0.02,0)))</f>
        <v/>
      </c>
      <c r="M219" s="193" t="str">
        <f>IF($B219="","",IF(M$4="NÃO",0,IF(VLOOKUP($B219,FROTA!$B$5:$R$305,17,0)=M$3,0.02,0)))</f>
        <v/>
      </c>
      <c r="N219" s="193" t="str">
        <f>IF($B219="","",IF(M$4="NÃO",0,IF(VLOOKUP($B219,FROTA!$B$5:$R$305,17,0)=N$3,0.02,0)))</f>
        <v/>
      </c>
      <c r="O219" s="311" t="str">
        <f>IF($B219="","",IF(O$4="NÃO",0,IF(VLOOKUP($B219,FROTA!$B$5:$R$305,10,0)=O$3,0.01,0)))</f>
        <v/>
      </c>
      <c r="P219" s="307" t="str">
        <f>IF($B219="","",IF(P$4="NÃO",0,IF(VLOOKUP($B219,FROTA!$B$5:$R$305,10,0)=P$3,0.01,0)))</f>
        <v/>
      </c>
      <c r="Q219" s="307" t="str">
        <f>IF($B219="","",IF(Q$4="NÃO",0,IF(VLOOKUP($B219,FROTA!$B$5:$R$305,10,0)=Q$3,0.01,0)))</f>
        <v/>
      </c>
      <c r="R219" s="307" t="str">
        <f>IF($B219="","",IF(R$4="NÃO",0,IF(VLOOKUP($B219,FROTA!$B$5:$R$305,10,0)=R$3,0.01,0)))</f>
        <v/>
      </c>
      <c r="S219" s="307" t="str">
        <f>IF($B219="","",IF(S$4="NÃO",0,IF(VLOOKUP($B219,FROTA!$B$5:$R$305,10,0)=S$3,0.01,0)))</f>
        <v/>
      </c>
      <c r="T219" s="307" t="str">
        <f>IF($B219="","",IF(T$4="NÃO",0,IF(VLOOKUP($B219,FROTA!$B$5:$R$305,10,0)=T$3,0.01,0)))</f>
        <v/>
      </c>
      <c r="U219" s="307" t="str">
        <f>IF($B219="","",IF(U$4="NÃO",0,IF(VLOOKUP($B219,FROTA!$B$5:$R$305,10,0)=U$3,0.01,0)))</f>
        <v/>
      </c>
      <c r="V219" s="306" t="str">
        <f t="shared" si="30"/>
        <v/>
      </c>
      <c r="W219" s="238" t="str">
        <f t="shared" si="28"/>
        <v/>
      </c>
      <c r="X219" s="576" t="str">
        <f t="shared" si="31"/>
        <v/>
      </c>
      <c r="BA219" s="581">
        <v>45052</v>
      </c>
      <c r="BB219" s="582">
        <v>2023</v>
      </c>
    </row>
    <row r="220" spans="2:54" ht="15" customHeight="1" x14ac:dyDescent="0.2">
      <c r="B220" s="192" t="str">
        <f>IF(FROTA!B221="","",FROTA!B221)</f>
        <v/>
      </c>
      <c r="C220" s="192" t="str">
        <f>IF(B220="","",FROTA!Z221)</f>
        <v/>
      </c>
      <c r="D220" s="192" t="str">
        <f>IF(B220="","",VLOOKUP(B220,FROTA!$B$5:$C$310,2,0))</f>
        <v/>
      </c>
      <c r="E220" s="233" t="str">
        <f>IF(D220="","",VLOOKUP(D220,ESCALA!$B$3:$H$19,7,0))</f>
        <v/>
      </c>
      <c r="F220" s="219" t="s">
        <v>222</v>
      </c>
      <c r="G220" s="305" t="str">
        <f t="shared" si="29"/>
        <v/>
      </c>
      <c r="H220" s="314" t="str">
        <f>IF($B220="","",IF(H$4="NÃO",0,IF(VLOOKUP($B220,FROTA!$B$5:$R$305,17,0)=H$3,0.02,0)))</f>
        <v/>
      </c>
      <c r="I220" s="193" t="str">
        <f>IF($B220="","",IF(I$4="NÃO",0,IF(VLOOKUP($B220,FROTA!$B$5:$R$305,17,0)=I$3,0.02,0)))</f>
        <v/>
      </c>
      <c r="J220" s="193" t="str">
        <f>IF($B220="","",IF(J$4="NÃO",0,IF(VLOOKUP($B220,FROTA!$B$5:$R$305,17,0)=J$3,0.02,0)))</f>
        <v/>
      </c>
      <c r="K220" s="193" t="str">
        <f>IF($B220="","",IF(K$4="NÃO",0,IF(VLOOKUP($B220,FROTA!$B$5:$R$305,17,0)=K$3,0.02,0)))</f>
        <v/>
      </c>
      <c r="L220" s="193" t="str">
        <f>IF($B220="","",IF(L$4="NÃO",0,IF(VLOOKUP($B220,FROTA!$B$5:$R$305,17,0)=L$3,0.02,0)))</f>
        <v/>
      </c>
      <c r="M220" s="193" t="str">
        <f>IF($B220="","",IF(M$4="NÃO",0,IF(VLOOKUP($B220,FROTA!$B$5:$R$305,17,0)=M$3,0.02,0)))</f>
        <v/>
      </c>
      <c r="N220" s="193" t="str">
        <f>IF($B220="","",IF(M$4="NÃO",0,IF(VLOOKUP($B220,FROTA!$B$5:$R$305,17,0)=N$3,0.02,0)))</f>
        <v/>
      </c>
      <c r="O220" s="311" t="str">
        <f>IF($B220="","",IF(O$4="NÃO",0,IF(VLOOKUP($B220,FROTA!$B$5:$R$305,10,0)=O$3,0.01,0)))</f>
        <v/>
      </c>
      <c r="P220" s="307" t="str">
        <f>IF($B220="","",IF(P$4="NÃO",0,IF(VLOOKUP($B220,FROTA!$B$5:$R$305,10,0)=P$3,0.01,0)))</f>
        <v/>
      </c>
      <c r="Q220" s="307" t="str">
        <f>IF($B220="","",IF(Q$4="NÃO",0,IF(VLOOKUP($B220,FROTA!$B$5:$R$305,10,0)=Q$3,0.01,0)))</f>
        <v/>
      </c>
      <c r="R220" s="307" t="str">
        <f>IF($B220="","",IF(R$4="NÃO",0,IF(VLOOKUP($B220,FROTA!$B$5:$R$305,10,0)=R$3,0.01,0)))</f>
        <v/>
      </c>
      <c r="S220" s="307" t="str">
        <f>IF($B220="","",IF(S$4="NÃO",0,IF(VLOOKUP($B220,FROTA!$B$5:$R$305,10,0)=S$3,0.01,0)))</f>
        <v/>
      </c>
      <c r="T220" s="307" t="str">
        <f>IF($B220="","",IF(T$4="NÃO",0,IF(VLOOKUP($B220,FROTA!$B$5:$R$305,10,0)=T$3,0.01,0)))</f>
        <v/>
      </c>
      <c r="U220" s="307" t="str">
        <f>IF($B220="","",IF(U$4="NÃO",0,IF(VLOOKUP($B220,FROTA!$B$5:$R$305,10,0)=U$3,0.01,0)))</f>
        <v/>
      </c>
      <c r="V220" s="306" t="str">
        <f t="shared" si="30"/>
        <v/>
      </c>
      <c r="W220" s="238" t="str">
        <f t="shared" si="28"/>
        <v/>
      </c>
      <c r="X220" s="576" t="str">
        <f t="shared" si="31"/>
        <v/>
      </c>
      <c r="BA220" s="581">
        <v>45053</v>
      </c>
      <c r="BB220" s="582">
        <v>2023</v>
      </c>
    </row>
    <row r="221" spans="2:54" ht="15" customHeight="1" x14ac:dyDescent="0.2">
      <c r="B221" s="192" t="str">
        <f>IF(FROTA!B222="","",FROTA!B222)</f>
        <v/>
      </c>
      <c r="C221" s="192" t="str">
        <f>IF(B221="","",FROTA!Z222)</f>
        <v/>
      </c>
      <c r="D221" s="192" t="str">
        <f>IF(B221="","",VLOOKUP(B221,FROTA!$B$5:$C$310,2,0))</f>
        <v/>
      </c>
      <c r="E221" s="233" t="str">
        <f>IF(D221="","",VLOOKUP(D221,ESCALA!$B$3:$H$19,7,0))</f>
        <v/>
      </c>
      <c r="F221" s="219" t="s">
        <v>222</v>
      </c>
      <c r="G221" s="305" t="str">
        <f t="shared" si="29"/>
        <v/>
      </c>
      <c r="H221" s="314" t="str">
        <f>IF($B221="","",IF(H$4="NÃO",0,IF(VLOOKUP($B221,FROTA!$B$5:$R$305,17,0)=H$3,0.02,0)))</f>
        <v/>
      </c>
      <c r="I221" s="193" t="str">
        <f>IF($B221="","",IF(I$4="NÃO",0,IF(VLOOKUP($B221,FROTA!$B$5:$R$305,17,0)=I$3,0.02,0)))</f>
        <v/>
      </c>
      <c r="J221" s="193" t="str">
        <f>IF($B221="","",IF(J$4="NÃO",0,IF(VLOOKUP($B221,FROTA!$B$5:$R$305,17,0)=J$3,0.02,0)))</f>
        <v/>
      </c>
      <c r="K221" s="193" t="str">
        <f>IF($B221="","",IF(K$4="NÃO",0,IF(VLOOKUP($B221,FROTA!$B$5:$R$305,17,0)=K$3,0.02,0)))</f>
        <v/>
      </c>
      <c r="L221" s="193" t="str">
        <f>IF($B221="","",IF(L$4="NÃO",0,IF(VLOOKUP($B221,FROTA!$B$5:$R$305,17,0)=L$3,0.02,0)))</f>
        <v/>
      </c>
      <c r="M221" s="193" t="str">
        <f>IF($B221="","",IF(M$4="NÃO",0,IF(VLOOKUP($B221,FROTA!$B$5:$R$305,17,0)=M$3,0.02,0)))</f>
        <v/>
      </c>
      <c r="N221" s="193" t="str">
        <f>IF($B221="","",IF(M$4="NÃO",0,IF(VLOOKUP($B221,FROTA!$B$5:$R$305,17,0)=N$3,0.02,0)))</f>
        <v/>
      </c>
      <c r="O221" s="311" t="str">
        <f>IF($B221="","",IF(O$4="NÃO",0,IF(VLOOKUP($B221,FROTA!$B$5:$R$305,10,0)=O$3,0.01,0)))</f>
        <v/>
      </c>
      <c r="P221" s="307" t="str">
        <f>IF($B221="","",IF(P$4="NÃO",0,IF(VLOOKUP($B221,FROTA!$B$5:$R$305,10,0)=P$3,0.01,0)))</f>
        <v/>
      </c>
      <c r="Q221" s="307" t="str">
        <f>IF($B221="","",IF(Q$4="NÃO",0,IF(VLOOKUP($B221,FROTA!$B$5:$R$305,10,0)=Q$3,0.01,0)))</f>
        <v/>
      </c>
      <c r="R221" s="307" t="str">
        <f>IF($B221="","",IF(R$4="NÃO",0,IF(VLOOKUP($B221,FROTA!$B$5:$R$305,10,0)=R$3,0.01,0)))</f>
        <v/>
      </c>
      <c r="S221" s="307" t="str">
        <f>IF($B221="","",IF(S$4="NÃO",0,IF(VLOOKUP($B221,FROTA!$B$5:$R$305,10,0)=S$3,0.01,0)))</f>
        <v/>
      </c>
      <c r="T221" s="307" t="str">
        <f>IF($B221="","",IF(T$4="NÃO",0,IF(VLOOKUP($B221,FROTA!$B$5:$R$305,10,0)=T$3,0.01,0)))</f>
        <v/>
      </c>
      <c r="U221" s="307" t="str">
        <f>IF($B221="","",IF(U$4="NÃO",0,IF(VLOOKUP($B221,FROTA!$B$5:$R$305,10,0)=U$3,0.01,0)))</f>
        <v/>
      </c>
      <c r="V221" s="306" t="str">
        <f t="shared" si="30"/>
        <v/>
      </c>
      <c r="W221" s="238" t="str">
        <f t="shared" si="28"/>
        <v/>
      </c>
      <c r="X221" s="576" t="str">
        <f t="shared" si="31"/>
        <v/>
      </c>
      <c r="BA221" s="581">
        <v>45054</v>
      </c>
      <c r="BB221" s="582">
        <v>2023</v>
      </c>
    </row>
    <row r="222" spans="2:54" ht="15" customHeight="1" x14ac:dyDescent="0.2">
      <c r="B222" s="192" t="str">
        <f>IF(FROTA!B223="","",FROTA!B223)</f>
        <v/>
      </c>
      <c r="C222" s="192" t="str">
        <f>IF(B222="","",FROTA!Z223)</f>
        <v/>
      </c>
      <c r="D222" s="192" t="str">
        <f>IF(B222="","",VLOOKUP(B222,FROTA!$B$5:$C$310,2,0))</f>
        <v/>
      </c>
      <c r="E222" s="233" t="str">
        <f>IF(D222="","",VLOOKUP(D222,ESCALA!$B$3:$H$19,7,0))</f>
        <v/>
      </c>
      <c r="F222" s="219" t="s">
        <v>222</v>
      </c>
      <c r="G222" s="305" t="str">
        <f t="shared" si="29"/>
        <v/>
      </c>
      <c r="H222" s="314" t="str">
        <f>IF($B222="","",IF(H$4="NÃO",0,IF(VLOOKUP($B222,FROTA!$B$5:$R$305,17,0)=H$3,0.02,0)))</f>
        <v/>
      </c>
      <c r="I222" s="193" t="str">
        <f>IF($B222="","",IF(I$4="NÃO",0,IF(VLOOKUP($B222,FROTA!$B$5:$R$305,17,0)=I$3,0.02,0)))</f>
        <v/>
      </c>
      <c r="J222" s="193" t="str">
        <f>IF($B222="","",IF(J$4="NÃO",0,IF(VLOOKUP($B222,FROTA!$B$5:$R$305,17,0)=J$3,0.02,0)))</f>
        <v/>
      </c>
      <c r="K222" s="193" t="str">
        <f>IF($B222="","",IF(K$4="NÃO",0,IF(VLOOKUP($B222,FROTA!$B$5:$R$305,17,0)=K$3,0.02,0)))</f>
        <v/>
      </c>
      <c r="L222" s="193" t="str">
        <f>IF($B222="","",IF(L$4="NÃO",0,IF(VLOOKUP($B222,FROTA!$B$5:$R$305,17,0)=L$3,0.02,0)))</f>
        <v/>
      </c>
      <c r="M222" s="193" t="str">
        <f>IF($B222="","",IF(M$4="NÃO",0,IF(VLOOKUP($B222,FROTA!$B$5:$R$305,17,0)=M$3,0.02,0)))</f>
        <v/>
      </c>
      <c r="N222" s="193" t="str">
        <f>IF($B222="","",IF(M$4="NÃO",0,IF(VLOOKUP($B222,FROTA!$B$5:$R$305,17,0)=N$3,0.02,0)))</f>
        <v/>
      </c>
      <c r="O222" s="311" t="str">
        <f>IF($B222="","",IF(O$4="NÃO",0,IF(VLOOKUP($B222,FROTA!$B$5:$R$305,10,0)=O$3,0.01,0)))</f>
        <v/>
      </c>
      <c r="P222" s="307" t="str">
        <f>IF($B222="","",IF(P$4="NÃO",0,IF(VLOOKUP($B222,FROTA!$B$5:$R$305,10,0)=P$3,0.01,0)))</f>
        <v/>
      </c>
      <c r="Q222" s="307" t="str">
        <f>IF($B222="","",IF(Q$4="NÃO",0,IF(VLOOKUP($B222,FROTA!$B$5:$R$305,10,0)=Q$3,0.01,0)))</f>
        <v/>
      </c>
      <c r="R222" s="307" t="str">
        <f>IF($B222="","",IF(R$4="NÃO",0,IF(VLOOKUP($B222,FROTA!$B$5:$R$305,10,0)=R$3,0.01,0)))</f>
        <v/>
      </c>
      <c r="S222" s="307" t="str">
        <f>IF($B222="","",IF(S$4="NÃO",0,IF(VLOOKUP($B222,FROTA!$B$5:$R$305,10,0)=S$3,0.01,0)))</f>
        <v/>
      </c>
      <c r="T222" s="307" t="str">
        <f>IF($B222="","",IF(T$4="NÃO",0,IF(VLOOKUP($B222,FROTA!$B$5:$R$305,10,0)=T$3,0.01,0)))</f>
        <v/>
      </c>
      <c r="U222" s="307" t="str">
        <f>IF($B222="","",IF(U$4="NÃO",0,IF(VLOOKUP($B222,FROTA!$B$5:$R$305,10,0)=U$3,0.01,0)))</f>
        <v/>
      </c>
      <c r="V222" s="306" t="str">
        <f t="shared" si="30"/>
        <v/>
      </c>
      <c r="W222" s="238" t="str">
        <f t="shared" si="28"/>
        <v/>
      </c>
      <c r="X222" s="576" t="str">
        <f t="shared" si="31"/>
        <v/>
      </c>
      <c r="BA222" s="581">
        <v>45055</v>
      </c>
      <c r="BB222" s="582">
        <v>2023</v>
      </c>
    </row>
    <row r="223" spans="2:54" ht="15" customHeight="1" x14ac:dyDescent="0.2">
      <c r="B223" s="192" t="str">
        <f>IF(FROTA!B224="","",FROTA!B224)</f>
        <v/>
      </c>
      <c r="C223" s="192" t="str">
        <f>IF(B223="","",FROTA!Z224)</f>
        <v/>
      </c>
      <c r="D223" s="192" t="str">
        <f>IF(B223="","",VLOOKUP(B223,FROTA!$B$5:$C$310,2,0))</f>
        <v/>
      </c>
      <c r="E223" s="233" t="str">
        <f>IF(D223="","",VLOOKUP(D223,ESCALA!$B$3:$H$19,7,0))</f>
        <v/>
      </c>
      <c r="F223" s="219" t="s">
        <v>222</v>
      </c>
      <c r="G223" s="305" t="str">
        <f t="shared" si="29"/>
        <v/>
      </c>
      <c r="H223" s="314" t="str">
        <f>IF($B223="","",IF(H$4="NÃO",0,IF(VLOOKUP($B223,FROTA!$B$5:$R$305,17,0)=H$3,0.02,0)))</f>
        <v/>
      </c>
      <c r="I223" s="193" t="str">
        <f>IF($B223="","",IF(I$4="NÃO",0,IF(VLOOKUP($B223,FROTA!$B$5:$R$305,17,0)=I$3,0.02,0)))</f>
        <v/>
      </c>
      <c r="J223" s="193" t="str">
        <f>IF($B223="","",IF(J$4="NÃO",0,IF(VLOOKUP($B223,FROTA!$B$5:$R$305,17,0)=J$3,0.02,0)))</f>
        <v/>
      </c>
      <c r="K223" s="193" t="str">
        <f>IF($B223="","",IF(K$4="NÃO",0,IF(VLOOKUP($B223,FROTA!$B$5:$R$305,17,0)=K$3,0.02,0)))</f>
        <v/>
      </c>
      <c r="L223" s="193" t="str">
        <f>IF($B223="","",IF(L$4="NÃO",0,IF(VLOOKUP($B223,FROTA!$B$5:$R$305,17,0)=L$3,0.02,0)))</f>
        <v/>
      </c>
      <c r="M223" s="193" t="str">
        <f>IF($B223="","",IF(M$4="NÃO",0,IF(VLOOKUP($B223,FROTA!$B$5:$R$305,17,0)=M$3,0.02,0)))</f>
        <v/>
      </c>
      <c r="N223" s="193" t="str">
        <f>IF($B223="","",IF(M$4="NÃO",0,IF(VLOOKUP($B223,FROTA!$B$5:$R$305,17,0)=N$3,0.02,0)))</f>
        <v/>
      </c>
      <c r="O223" s="311" t="str">
        <f>IF($B223="","",IF(O$4="NÃO",0,IF(VLOOKUP($B223,FROTA!$B$5:$R$305,10,0)=O$3,0.01,0)))</f>
        <v/>
      </c>
      <c r="P223" s="307" t="str">
        <f>IF($B223="","",IF(P$4="NÃO",0,IF(VLOOKUP($B223,FROTA!$B$5:$R$305,10,0)=P$3,0.01,0)))</f>
        <v/>
      </c>
      <c r="Q223" s="307" t="str">
        <f>IF($B223="","",IF(Q$4="NÃO",0,IF(VLOOKUP($B223,FROTA!$B$5:$R$305,10,0)=Q$3,0.01,0)))</f>
        <v/>
      </c>
      <c r="R223" s="307" t="str">
        <f>IF($B223="","",IF(R$4="NÃO",0,IF(VLOOKUP($B223,FROTA!$B$5:$R$305,10,0)=R$3,0.01,0)))</f>
        <v/>
      </c>
      <c r="S223" s="307" t="str">
        <f>IF($B223="","",IF(S$4="NÃO",0,IF(VLOOKUP($B223,FROTA!$B$5:$R$305,10,0)=S$3,0.01,0)))</f>
        <v/>
      </c>
      <c r="T223" s="307" t="str">
        <f>IF($B223="","",IF(T$4="NÃO",0,IF(VLOOKUP($B223,FROTA!$B$5:$R$305,10,0)=T$3,0.01,0)))</f>
        <v/>
      </c>
      <c r="U223" s="307" t="str">
        <f>IF($B223="","",IF(U$4="NÃO",0,IF(VLOOKUP($B223,FROTA!$B$5:$R$305,10,0)=U$3,0.01,0)))</f>
        <v/>
      </c>
      <c r="V223" s="306" t="str">
        <f t="shared" si="30"/>
        <v/>
      </c>
      <c r="W223" s="238" t="str">
        <f t="shared" si="28"/>
        <v/>
      </c>
      <c r="X223" s="576" t="str">
        <f t="shared" si="31"/>
        <v/>
      </c>
      <c r="BA223" s="581">
        <v>45056</v>
      </c>
      <c r="BB223" s="582">
        <v>2023</v>
      </c>
    </row>
    <row r="224" spans="2:54" ht="15" customHeight="1" x14ac:dyDescent="0.2">
      <c r="B224" s="192" t="str">
        <f>IF(FROTA!B225="","",FROTA!B225)</f>
        <v/>
      </c>
      <c r="C224" s="192" t="str">
        <f>IF(B224="","",FROTA!Z225)</f>
        <v/>
      </c>
      <c r="D224" s="192" t="str">
        <f>IF(B224="","",VLOOKUP(B224,FROTA!$B$5:$C$310,2,0))</f>
        <v/>
      </c>
      <c r="E224" s="233" t="str">
        <f>IF(D224="","",VLOOKUP(D224,ESCALA!$B$3:$H$19,7,0))</f>
        <v/>
      </c>
      <c r="F224" s="219" t="s">
        <v>222</v>
      </c>
      <c r="G224" s="305" t="str">
        <f t="shared" si="29"/>
        <v/>
      </c>
      <c r="H224" s="314" t="str">
        <f>IF($B224="","",IF(H$4="NÃO",0,IF(VLOOKUP($B224,FROTA!$B$5:$R$305,17,0)=H$3,0.02,0)))</f>
        <v/>
      </c>
      <c r="I224" s="193" t="str">
        <f>IF($B224="","",IF(I$4="NÃO",0,IF(VLOOKUP($B224,FROTA!$B$5:$R$305,17,0)=I$3,0.02,0)))</f>
        <v/>
      </c>
      <c r="J224" s="193" t="str">
        <f>IF($B224="","",IF(J$4="NÃO",0,IF(VLOOKUP($B224,FROTA!$B$5:$R$305,17,0)=J$3,0.02,0)))</f>
        <v/>
      </c>
      <c r="K224" s="193" t="str">
        <f>IF($B224="","",IF(K$4="NÃO",0,IF(VLOOKUP($B224,FROTA!$B$5:$R$305,17,0)=K$3,0.02,0)))</f>
        <v/>
      </c>
      <c r="L224" s="193" t="str">
        <f>IF($B224="","",IF(L$4="NÃO",0,IF(VLOOKUP($B224,FROTA!$B$5:$R$305,17,0)=L$3,0.02,0)))</f>
        <v/>
      </c>
      <c r="M224" s="193" t="str">
        <f>IF($B224="","",IF(M$4="NÃO",0,IF(VLOOKUP($B224,FROTA!$B$5:$R$305,17,0)=M$3,0.02,0)))</f>
        <v/>
      </c>
      <c r="N224" s="193" t="str">
        <f>IF($B224="","",IF(M$4="NÃO",0,IF(VLOOKUP($B224,FROTA!$B$5:$R$305,17,0)=N$3,0.02,0)))</f>
        <v/>
      </c>
      <c r="O224" s="311" t="str">
        <f>IF($B224="","",IF(O$4="NÃO",0,IF(VLOOKUP($B224,FROTA!$B$5:$R$305,10,0)=O$3,0.01,0)))</f>
        <v/>
      </c>
      <c r="P224" s="307" t="str">
        <f>IF($B224="","",IF(P$4="NÃO",0,IF(VLOOKUP($B224,FROTA!$B$5:$R$305,10,0)=P$3,0.01,0)))</f>
        <v/>
      </c>
      <c r="Q224" s="307" t="str">
        <f>IF($B224="","",IF(Q$4="NÃO",0,IF(VLOOKUP($B224,FROTA!$B$5:$R$305,10,0)=Q$3,0.01,0)))</f>
        <v/>
      </c>
      <c r="R224" s="307" t="str">
        <f>IF($B224="","",IF(R$4="NÃO",0,IF(VLOOKUP($B224,FROTA!$B$5:$R$305,10,0)=R$3,0.01,0)))</f>
        <v/>
      </c>
      <c r="S224" s="307" t="str">
        <f>IF($B224="","",IF(S$4="NÃO",0,IF(VLOOKUP($B224,FROTA!$B$5:$R$305,10,0)=S$3,0.01,0)))</f>
        <v/>
      </c>
      <c r="T224" s="307" t="str">
        <f>IF($B224="","",IF(T$4="NÃO",0,IF(VLOOKUP($B224,FROTA!$B$5:$R$305,10,0)=T$3,0.01,0)))</f>
        <v/>
      </c>
      <c r="U224" s="307" t="str">
        <f>IF($B224="","",IF(U$4="NÃO",0,IF(VLOOKUP($B224,FROTA!$B$5:$R$305,10,0)=U$3,0.01,0)))</f>
        <v/>
      </c>
      <c r="V224" s="306" t="str">
        <f t="shared" si="30"/>
        <v/>
      </c>
      <c r="W224" s="238" t="str">
        <f t="shared" si="28"/>
        <v/>
      </c>
      <c r="X224" s="576" t="str">
        <f t="shared" si="31"/>
        <v/>
      </c>
      <c r="BA224" s="581">
        <v>45057</v>
      </c>
      <c r="BB224" s="582">
        <v>2023</v>
      </c>
    </row>
    <row r="225" spans="2:54" ht="15" customHeight="1" x14ac:dyDescent="0.2">
      <c r="B225" s="192" t="str">
        <f>IF(FROTA!B226="","",FROTA!B226)</f>
        <v/>
      </c>
      <c r="C225" s="192" t="str">
        <f>IF(B225="","",FROTA!Z226)</f>
        <v/>
      </c>
      <c r="D225" s="192" t="str">
        <f>IF(B225="","",VLOOKUP(B225,FROTA!$B$5:$C$310,2,0))</f>
        <v/>
      </c>
      <c r="E225" s="233" t="str">
        <f>IF(D225="","",VLOOKUP(D225,ESCALA!$B$3:$H$19,7,0))</f>
        <v/>
      </c>
      <c r="F225" s="219" t="s">
        <v>222</v>
      </c>
      <c r="G225" s="305" t="str">
        <f t="shared" si="29"/>
        <v/>
      </c>
      <c r="H225" s="314" t="str">
        <f>IF($B225="","",IF(H$4="NÃO",0,IF(VLOOKUP($B225,FROTA!$B$5:$R$305,17,0)=H$3,0.02,0)))</f>
        <v/>
      </c>
      <c r="I225" s="193" t="str">
        <f>IF($B225="","",IF(I$4="NÃO",0,IF(VLOOKUP($B225,FROTA!$B$5:$R$305,17,0)=I$3,0.02,0)))</f>
        <v/>
      </c>
      <c r="J225" s="193" t="str">
        <f>IF($B225="","",IF(J$4="NÃO",0,IF(VLOOKUP($B225,FROTA!$B$5:$R$305,17,0)=J$3,0.02,0)))</f>
        <v/>
      </c>
      <c r="K225" s="193" t="str">
        <f>IF($B225="","",IF(K$4="NÃO",0,IF(VLOOKUP($B225,FROTA!$B$5:$R$305,17,0)=K$3,0.02,0)))</f>
        <v/>
      </c>
      <c r="L225" s="193" t="str">
        <f>IF($B225="","",IF(L$4="NÃO",0,IF(VLOOKUP($B225,FROTA!$B$5:$R$305,17,0)=L$3,0.02,0)))</f>
        <v/>
      </c>
      <c r="M225" s="193" t="str">
        <f>IF($B225="","",IF(M$4="NÃO",0,IF(VLOOKUP($B225,FROTA!$B$5:$R$305,17,0)=M$3,0.02,0)))</f>
        <v/>
      </c>
      <c r="N225" s="193" t="str">
        <f>IF($B225="","",IF(M$4="NÃO",0,IF(VLOOKUP($B225,FROTA!$B$5:$R$305,17,0)=N$3,0.02,0)))</f>
        <v/>
      </c>
      <c r="O225" s="311" t="str">
        <f>IF($B225="","",IF(O$4="NÃO",0,IF(VLOOKUP($B225,FROTA!$B$5:$R$305,10,0)=O$3,0.01,0)))</f>
        <v/>
      </c>
      <c r="P225" s="307" t="str">
        <f>IF($B225="","",IF(P$4="NÃO",0,IF(VLOOKUP($B225,FROTA!$B$5:$R$305,10,0)=P$3,0.01,0)))</f>
        <v/>
      </c>
      <c r="Q225" s="307" t="str">
        <f>IF($B225="","",IF(Q$4="NÃO",0,IF(VLOOKUP($B225,FROTA!$B$5:$R$305,10,0)=Q$3,0.01,0)))</f>
        <v/>
      </c>
      <c r="R225" s="307" t="str">
        <f>IF($B225="","",IF(R$4="NÃO",0,IF(VLOOKUP($B225,FROTA!$B$5:$R$305,10,0)=R$3,0.01,0)))</f>
        <v/>
      </c>
      <c r="S225" s="307" t="str">
        <f>IF($B225="","",IF(S$4="NÃO",0,IF(VLOOKUP($B225,FROTA!$B$5:$R$305,10,0)=S$3,0.01,0)))</f>
        <v/>
      </c>
      <c r="T225" s="307" t="str">
        <f>IF($B225="","",IF(T$4="NÃO",0,IF(VLOOKUP($B225,FROTA!$B$5:$R$305,10,0)=T$3,0.01,0)))</f>
        <v/>
      </c>
      <c r="U225" s="307" t="str">
        <f>IF($B225="","",IF(U$4="NÃO",0,IF(VLOOKUP($B225,FROTA!$B$5:$R$305,10,0)=U$3,0.01,0)))</f>
        <v/>
      </c>
      <c r="V225" s="306" t="str">
        <f t="shared" si="30"/>
        <v/>
      </c>
      <c r="W225" s="238" t="str">
        <f t="shared" si="28"/>
        <v/>
      </c>
      <c r="X225" s="576" t="str">
        <f t="shared" si="31"/>
        <v/>
      </c>
      <c r="BA225" s="581">
        <v>45058</v>
      </c>
      <c r="BB225" s="582">
        <v>2023</v>
      </c>
    </row>
    <row r="226" spans="2:54" ht="15" customHeight="1" x14ac:dyDescent="0.2">
      <c r="B226" s="192" t="str">
        <f>IF(FROTA!B227="","",FROTA!B227)</f>
        <v/>
      </c>
      <c r="C226" s="192" t="str">
        <f>IF(B226="","",FROTA!Z227)</f>
        <v/>
      </c>
      <c r="D226" s="192" t="str">
        <f>IF(B226="","",VLOOKUP(B226,FROTA!$B$5:$C$310,2,0))</f>
        <v/>
      </c>
      <c r="E226" s="233" t="str">
        <f>IF(D226="","",VLOOKUP(D226,ESCALA!$B$3:$H$19,7,0))</f>
        <v/>
      </c>
      <c r="F226" s="219" t="s">
        <v>222</v>
      </c>
      <c r="G226" s="305" t="str">
        <f t="shared" si="29"/>
        <v/>
      </c>
      <c r="H226" s="314" t="str">
        <f>IF($B226="","",IF(H$4="NÃO",0,IF(VLOOKUP($B226,FROTA!$B$5:$R$305,17,0)=H$3,0.02,0)))</f>
        <v/>
      </c>
      <c r="I226" s="193" t="str">
        <f>IF($B226="","",IF(I$4="NÃO",0,IF(VLOOKUP($B226,FROTA!$B$5:$R$305,17,0)=I$3,0.02,0)))</f>
        <v/>
      </c>
      <c r="J226" s="193" t="str">
        <f>IF($B226="","",IF(J$4="NÃO",0,IF(VLOOKUP($B226,FROTA!$B$5:$R$305,17,0)=J$3,0.02,0)))</f>
        <v/>
      </c>
      <c r="K226" s="193" t="str">
        <f>IF($B226="","",IF(K$4="NÃO",0,IF(VLOOKUP($B226,FROTA!$B$5:$R$305,17,0)=K$3,0.02,0)))</f>
        <v/>
      </c>
      <c r="L226" s="193" t="str">
        <f>IF($B226="","",IF(L$4="NÃO",0,IF(VLOOKUP($B226,FROTA!$B$5:$R$305,17,0)=L$3,0.02,0)))</f>
        <v/>
      </c>
      <c r="M226" s="193" t="str">
        <f>IF($B226="","",IF(M$4="NÃO",0,IF(VLOOKUP($B226,FROTA!$B$5:$R$305,17,0)=M$3,0.02,0)))</f>
        <v/>
      </c>
      <c r="N226" s="193" t="str">
        <f>IF($B226="","",IF(M$4="NÃO",0,IF(VLOOKUP($B226,FROTA!$B$5:$R$305,17,0)=N$3,0.02,0)))</f>
        <v/>
      </c>
      <c r="O226" s="311" t="str">
        <f>IF($B226="","",IF(O$4="NÃO",0,IF(VLOOKUP($B226,FROTA!$B$5:$R$305,10,0)=O$3,0.01,0)))</f>
        <v/>
      </c>
      <c r="P226" s="307" t="str">
        <f>IF($B226="","",IF(P$4="NÃO",0,IF(VLOOKUP($B226,FROTA!$B$5:$R$305,10,0)=P$3,0.01,0)))</f>
        <v/>
      </c>
      <c r="Q226" s="307" t="str">
        <f>IF($B226="","",IF(Q$4="NÃO",0,IF(VLOOKUP($B226,FROTA!$B$5:$R$305,10,0)=Q$3,0.01,0)))</f>
        <v/>
      </c>
      <c r="R226" s="307" t="str">
        <f>IF($B226="","",IF(R$4="NÃO",0,IF(VLOOKUP($B226,FROTA!$B$5:$R$305,10,0)=R$3,0.01,0)))</f>
        <v/>
      </c>
      <c r="S226" s="307" t="str">
        <f>IF($B226="","",IF(S$4="NÃO",0,IF(VLOOKUP($B226,FROTA!$B$5:$R$305,10,0)=S$3,0.01,0)))</f>
        <v/>
      </c>
      <c r="T226" s="307" t="str">
        <f>IF($B226="","",IF(T$4="NÃO",0,IF(VLOOKUP($B226,FROTA!$B$5:$R$305,10,0)=T$3,0.01,0)))</f>
        <v/>
      </c>
      <c r="U226" s="307" t="str">
        <f>IF($B226="","",IF(U$4="NÃO",0,IF(VLOOKUP($B226,FROTA!$B$5:$R$305,10,0)=U$3,0.01,0)))</f>
        <v/>
      </c>
      <c r="V226" s="306" t="str">
        <f t="shared" si="30"/>
        <v/>
      </c>
      <c r="W226" s="238" t="str">
        <f t="shared" si="28"/>
        <v/>
      </c>
      <c r="X226" s="576" t="str">
        <f t="shared" si="31"/>
        <v/>
      </c>
      <c r="BA226" s="581">
        <v>45059</v>
      </c>
      <c r="BB226" s="582">
        <v>2023</v>
      </c>
    </row>
    <row r="227" spans="2:54" ht="15" customHeight="1" x14ac:dyDescent="0.2">
      <c r="B227" s="192" t="str">
        <f>IF(FROTA!B228="","",FROTA!B228)</f>
        <v/>
      </c>
      <c r="C227" s="192" t="str">
        <f>IF(B227="","",FROTA!Z228)</f>
        <v/>
      </c>
      <c r="D227" s="192" t="str">
        <f>IF(B227="","",VLOOKUP(B227,FROTA!$B$5:$C$310,2,0))</f>
        <v/>
      </c>
      <c r="E227" s="233" t="str">
        <f>IF(D227="","",VLOOKUP(D227,ESCALA!$B$3:$H$19,7,0))</f>
        <v/>
      </c>
      <c r="F227" s="219" t="s">
        <v>222</v>
      </c>
      <c r="G227" s="305" t="str">
        <f t="shared" si="29"/>
        <v/>
      </c>
      <c r="H227" s="314" t="str">
        <f>IF($B227="","",IF(H$4="NÃO",0,IF(VLOOKUP($B227,FROTA!$B$5:$R$305,17,0)=H$3,0.02,0)))</f>
        <v/>
      </c>
      <c r="I227" s="193" t="str">
        <f>IF($B227="","",IF(I$4="NÃO",0,IF(VLOOKUP($B227,FROTA!$B$5:$R$305,17,0)=I$3,0.02,0)))</f>
        <v/>
      </c>
      <c r="J227" s="193" t="str">
        <f>IF($B227="","",IF(J$4="NÃO",0,IF(VLOOKUP($B227,FROTA!$B$5:$R$305,17,0)=J$3,0.02,0)))</f>
        <v/>
      </c>
      <c r="K227" s="193" t="str">
        <f>IF($B227="","",IF(K$4="NÃO",0,IF(VLOOKUP($B227,FROTA!$B$5:$R$305,17,0)=K$3,0.02,0)))</f>
        <v/>
      </c>
      <c r="L227" s="193" t="str">
        <f>IF($B227="","",IF(L$4="NÃO",0,IF(VLOOKUP($B227,FROTA!$B$5:$R$305,17,0)=L$3,0.02,0)))</f>
        <v/>
      </c>
      <c r="M227" s="193" t="str">
        <f>IF($B227="","",IF(M$4="NÃO",0,IF(VLOOKUP($B227,FROTA!$B$5:$R$305,17,0)=M$3,0.02,0)))</f>
        <v/>
      </c>
      <c r="N227" s="193" t="str">
        <f>IF($B227="","",IF(M$4="NÃO",0,IF(VLOOKUP($B227,FROTA!$B$5:$R$305,17,0)=N$3,0.02,0)))</f>
        <v/>
      </c>
      <c r="O227" s="311" t="str">
        <f>IF($B227="","",IF(O$4="NÃO",0,IF(VLOOKUP($B227,FROTA!$B$5:$R$305,10,0)=O$3,0.01,0)))</f>
        <v/>
      </c>
      <c r="P227" s="307" t="str">
        <f>IF($B227="","",IF(P$4="NÃO",0,IF(VLOOKUP($B227,FROTA!$B$5:$R$305,10,0)=P$3,0.01,0)))</f>
        <v/>
      </c>
      <c r="Q227" s="307" t="str">
        <f>IF($B227="","",IF(Q$4="NÃO",0,IF(VLOOKUP($B227,FROTA!$B$5:$R$305,10,0)=Q$3,0.01,0)))</f>
        <v/>
      </c>
      <c r="R227" s="307" t="str">
        <f>IF($B227="","",IF(R$4="NÃO",0,IF(VLOOKUP($B227,FROTA!$B$5:$R$305,10,0)=R$3,0.01,0)))</f>
        <v/>
      </c>
      <c r="S227" s="307" t="str">
        <f>IF($B227="","",IF(S$4="NÃO",0,IF(VLOOKUP($B227,FROTA!$B$5:$R$305,10,0)=S$3,0.01,0)))</f>
        <v/>
      </c>
      <c r="T227" s="307" t="str">
        <f>IF($B227="","",IF(T$4="NÃO",0,IF(VLOOKUP($B227,FROTA!$B$5:$R$305,10,0)=T$3,0.01,0)))</f>
        <v/>
      </c>
      <c r="U227" s="307" t="str">
        <f>IF($B227="","",IF(U$4="NÃO",0,IF(VLOOKUP($B227,FROTA!$B$5:$R$305,10,0)=U$3,0.01,0)))</f>
        <v/>
      </c>
      <c r="V227" s="306" t="str">
        <f t="shared" si="30"/>
        <v/>
      </c>
      <c r="W227" s="238" t="str">
        <f t="shared" si="28"/>
        <v/>
      </c>
      <c r="X227" s="576" t="str">
        <f t="shared" si="31"/>
        <v/>
      </c>
      <c r="BA227" s="581">
        <v>45060</v>
      </c>
      <c r="BB227" s="582">
        <v>2023</v>
      </c>
    </row>
    <row r="228" spans="2:54" ht="15" customHeight="1" x14ac:dyDescent="0.2">
      <c r="B228" s="192" t="str">
        <f>IF(FROTA!B229="","",FROTA!B229)</f>
        <v/>
      </c>
      <c r="C228" s="192" t="str">
        <f>IF(B228="","",FROTA!Z229)</f>
        <v/>
      </c>
      <c r="D228" s="192" t="str">
        <f>IF(B228="","",VLOOKUP(B228,FROTA!$B$5:$C$310,2,0))</f>
        <v/>
      </c>
      <c r="E228" s="233" t="str">
        <f>IF(D228="","",VLOOKUP(D228,ESCALA!$B$3:$H$19,7,0))</f>
        <v/>
      </c>
      <c r="F228" s="219" t="s">
        <v>222</v>
      </c>
      <c r="G228" s="305" t="str">
        <f t="shared" si="29"/>
        <v/>
      </c>
      <c r="H228" s="314" t="str">
        <f>IF($B228="","",IF(H$4="NÃO",0,IF(VLOOKUP($B228,FROTA!$B$5:$R$305,17,0)=H$3,0.02,0)))</f>
        <v/>
      </c>
      <c r="I228" s="193" t="str">
        <f>IF($B228="","",IF(I$4="NÃO",0,IF(VLOOKUP($B228,FROTA!$B$5:$R$305,17,0)=I$3,0.02,0)))</f>
        <v/>
      </c>
      <c r="J228" s="193" t="str">
        <f>IF($B228="","",IF(J$4="NÃO",0,IF(VLOOKUP($B228,FROTA!$B$5:$R$305,17,0)=J$3,0.02,0)))</f>
        <v/>
      </c>
      <c r="K228" s="193" t="str">
        <f>IF($B228="","",IF(K$4="NÃO",0,IF(VLOOKUP($B228,FROTA!$B$5:$R$305,17,0)=K$3,0.02,0)))</f>
        <v/>
      </c>
      <c r="L228" s="193" t="str">
        <f>IF($B228="","",IF(L$4="NÃO",0,IF(VLOOKUP($B228,FROTA!$B$5:$R$305,17,0)=L$3,0.02,0)))</f>
        <v/>
      </c>
      <c r="M228" s="193" t="str">
        <f>IF($B228="","",IF(M$4="NÃO",0,IF(VLOOKUP($B228,FROTA!$B$5:$R$305,17,0)=M$3,0.02,0)))</f>
        <v/>
      </c>
      <c r="N228" s="193" t="str">
        <f>IF($B228="","",IF(M$4="NÃO",0,IF(VLOOKUP($B228,FROTA!$B$5:$R$305,17,0)=N$3,0.02,0)))</f>
        <v/>
      </c>
      <c r="O228" s="311" t="str">
        <f>IF($B228="","",IF(O$4="NÃO",0,IF(VLOOKUP($B228,FROTA!$B$5:$R$305,10,0)=O$3,0.01,0)))</f>
        <v/>
      </c>
      <c r="P228" s="307" t="str">
        <f>IF($B228="","",IF(P$4="NÃO",0,IF(VLOOKUP($B228,FROTA!$B$5:$R$305,10,0)=P$3,0.01,0)))</f>
        <v/>
      </c>
      <c r="Q228" s="307" t="str">
        <f>IF($B228="","",IF(Q$4="NÃO",0,IF(VLOOKUP($B228,FROTA!$B$5:$R$305,10,0)=Q$3,0.01,0)))</f>
        <v/>
      </c>
      <c r="R228" s="307" t="str">
        <f>IF($B228="","",IF(R$4="NÃO",0,IF(VLOOKUP($B228,FROTA!$B$5:$R$305,10,0)=R$3,0.01,0)))</f>
        <v/>
      </c>
      <c r="S228" s="307" t="str">
        <f>IF($B228="","",IF(S$4="NÃO",0,IF(VLOOKUP($B228,FROTA!$B$5:$R$305,10,0)=S$3,0.01,0)))</f>
        <v/>
      </c>
      <c r="T228" s="307" t="str">
        <f>IF($B228="","",IF(T$4="NÃO",0,IF(VLOOKUP($B228,FROTA!$B$5:$R$305,10,0)=T$3,0.01,0)))</f>
        <v/>
      </c>
      <c r="U228" s="307" t="str">
        <f>IF($B228="","",IF(U$4="NÃO",0,IF(VLOOKUP($B228,FROTA!$B$5:$R$305,10,0)=U$3,0.01,0)))</f>
        <v/>
      </c>
      <c r="V228" s="306" t="str">
        <f t="shared" si="30"/>
        <v/>
      </c>
      <c r="W228" s="238" t="str">
        <f t="shared" si="28"/>
        <v/>
      </c>
      <c r="X228" s="576" t="str">
        <f t="shared" si="31"/>
        <v/>
      </c>
      <c r="BA228" s="581">
        <v>45061</v>
      </c>
      <c r="BB228" s="582">
        <v>2023</v>
      </c>
    </row>
    <row r="229" spans="2:54" ht="15" customHeight="1" x14ac:dyDescent="0.2">
      <c r="B229" s="192" t="str">
        <f>IF(FROTA!B230="","",FROTA!B230)</f>
        <v/>
      </c>
      <c r="C229" s="192" t="str">
        <f>IF(B229="","",FROTA!Z230)</f>
        <v/>
      </c>
      <c r="D229" s="192" t="str">
        <f>IF(B229="","",VLOOKUP(B229,FROTA!$B$5:$C$310,2,0))</f>
        <v/>
      </c>
      <c r="E229" s="233" t="str">
        <f>IF(D229="","",VLOOKUP(D229,ESCALA!$B$3:$H$19,7,0))</f>
        <v/>
      </c>
      <c r="F229" s="219" t="s">
        <v>222</v>
      </c>
      <c r="G229" s="305" t="str">
        <f t="shared" si="29"/>
        <v/>
      </c>
      <c r="H229" s="314" t="str">
        <f>IF($B229="","",IF(H$4="NÃO",0,IF(VLOOKUP($B229,FROTA!$B$5:$R$305,17,0)=H$3,0.02,0)))</f>
        <v/>
      </c>
      <c r="I229" s="193" t="str">
        <f>IF($B229="","",IF(I$4="NÃO",0,IF(VLOOKUP($B229,FROTA!$B$5:$R$305,17,0)=I$3,0.02,0)))</f>
        <v/>
      </c>
      <c r="J229" s="193" t="str">
        <f>IF($B229="","",IF(J$4="NÃO",0,IF(VLOOKUP($B229,FROTA!$B$5:$R$305,17,0)=J$3,0.02,0)))</f>
        <v/>
      </c>
      <c r="K229" s="193" t="str">
        <f>IF($B229="","",IF(K$4="NÃO",0,IF(VLOOKUP($B229,FROTA!$B$5:$R$305,17,0)=K$3,0.02,0)))</f>
        <v/>
      </c>
      <c r="L229" s="193" t="str">
        <f>IF($B229="","",IF(L$4="NÃO",0,IF(VLOOKUP($B229,FROTA!$B$5:$R$305,17,0)=L$3,0.02,0)))</f>
        <v/>
      </c>
      <c r="M229" s="193" t="str">
        <f>IF($B229="","",IF(M$4="NÃO",0,IF(VLOOKUP($B229,FROTA!$B$5:$R$305,17,0)=M$3,0.02,0)))</f>
        <v/>
      </c>
      <c r="N229" s="193" t="str">
        <f>IF($B229="","",IF(M$4="NÃO",0,IF(VLOOKUP($B229,FROTA!$B$5:$R$305,17,0)=N$3,0.02,0)))</f>
        <v/>
      </c>
      <c r="O229" s="311" t="str">
        <f>IF($B229="","",IF(O$4="NÃO",0,IF(VLOOKUP($B229,FROTA!$B$5:$R$305,10,0)=O$3,0.01,0)))</f>
        <v/>
      </c>
      <c r="P229" s="307" t="str">
        <f>IF($B229="","",IF(P$4="NÃO",0,IF(VLOOKUP($B229,FROTA!$B$5:$R$305,10,0)=P$3,0.01,0)))</f>
        <v/>
      </c>
      <c r="Q229" s="307" t="str">
        <f>IF($B229="","",IF(Q$4="NÃO",0,IF(VLOOKUP($B229,FROTA!$B$5:$R$305,10,0)=Q$3,0.01,0)))</f>
        <v/>
      </c>
      <c r="R229" s="307" t="str">
        <f>IF($B229="","",IF(R$4="NÃO",0,IF(VLOOKUP($B229,FROTA!$B$5:$R$305,10,0)=R$3,0.01,0)))</f>
        <v/>
      </c>
      <c r="S229" s="307" t="str">
        <f>IF($B229="","",IF(S$4="NÃO",0,IF(VLOOKUP($B229,FROTA!$B$5:$R$305,10,0)=S$3,0.01,0)))</f>
        <v/>
      </c>
      <c r="T229" s="307" t="str">
        <f>IF($B229="","",IF(T$4="NÃO",0,IF(VLOOKUP($B229,FROTA!$B$5:$R$305,10,0)=T$3,0.01,0)))</f>
        <v/>
      </c>
      <c r="U229" s="307" t="str">
        <f>IF($B229="","",IF(U$4="NÃO",0,IF(VLOOKUP($B229,FROTA!$B$5:$R$305,10,0)=U$3,0.01,0)))</f>
        <v/>
      </c>
      <c r="V229" s="306" t="str">
        <f t="shared" si="30"/>
        <v/>
      </c>
      <c r="W229" s="238" t="str">
        <f t="shared" si="28"/>
        <v/>
      </c>
      <c r="X229" s="576" t="str">
        <f t="shared" si="31"/>
        <v/>
      </c>
      <c r="BA229" s="581">
        <v>45062</v>
      </c>
      <c r="BB229" s="582">
        <v>2023</v>
      </c>
    </row>
    <row r="230" spans="2:54" ht="15" customHeight="1" x14ac:dyDescent="0.2">
      <c r="B230" s="192" t="str">
        <f>IF(FROTA!B231="","",FROTA!B231)</f>
        <v/>
      </c>
      <c r="C230" s="192" t="str">
        <f>IF(B230="","",FROTA!Z231)</f>
        <v/>
      </c>
      <c r="D230" s="192" t="str">
        <f>IF(B230="","",VLOOKUP(B230,FROTA!$B$5:$C$310,2,0))</f>
        <v/>
      </c>
      <c r="E230" s="233" t="str">
        <f>IF(D230="","",VLOOKUP(D230,ESCALA!$B$3:$H$19,7,0))</f>
        <v/>
      </c>
      <c r="F230" s="219" t="s">
        <v>222</v>
      </c>
      <c r="G230" s="305" t="str">
        <f t="shared" si="29"/>
        <v/>
      </c>
      <c r="H230" s="314" t="str">
        <f>IF($B230="","",IF(H$4="NÃO",0,IF(VLOOKUP($B230,FROTA!$B$5:$R$305,17,0)=H$3,0.02,0)))</f>
        <v/>
      </c>
      <c r="I230" s="193" t="str">
        <f>IF($B230="","",IF(I$4="NÃO",0,IF(VLOOKUP($B230,FROTA!$B$5:$R$305,17,0)=I$3,0.02,0)))</f>
        <v/>
      </c>
      <c r="J230" s="193" t="str">
        <f>IF($B230="","",IF(J$4="NÃO",0,IF(VLOOKUP($B230,FROTA!$B$5:$R$305,17,0)=J$3,0.02,0)))</f>
        <v/>
      </c>
      <c r="K230" s="193" t="str">
        <f>IF($B230="","",IF(K$4="NÃO",0,IF(VLOOKUP($B230,FROTA!$B$5:$R$305,17,0)=K$3,0.02,0)))</f>
        <v/>
      </c>
      <c r="L230" s="193" t="str">
        <f>IF($B230="","",IF(L$4="NÃO",0,IF(VLOOKUP($B230,FROTA!$B$5:$R$305,17,0)=L$3,0.02,0)))</f>
        <v/>
      </c>
      <c r="M230" s="193" t="str">
        <f>IF($B230="","",IF(M$4="NÃO",0,IF(VLOOKUP($B230,FROTA!$B$5:$R$305,17,0)=M$3,0.02,0)))</f>
        <v/>
      </c>
      <c r="N230" s="193" t="str">
        <f>IF($B230="","",IF(M$4="NÃO",0,IF(VLOOKUP($B230,FROTA!$B$5:$R$305,17,0)=N$3,0.02,0)))</f>
        <v/>
      </c>
      <c r="O230" s="311" t="str">
        <f>IF($B230="","",IF(O$4="NÃO",0,IF(VLOOKUP($B230,FROTA!$B$5:$R$305,10,0)=O$3,0.01,0)))</f>
        <v/>
      </c>
      <c r="P230" s="307" t="str">
        <f>IF($B230="","",IF(P$4="NÃO",0,IF(VLOOKUP($B230,FROTA!$B$5:$R$305,10,0)=P$3,0.01,0)))</f>
        <v/>
      </c>
      <c r="Q230" s="307" t="str">
        <f>IF($B230="","",IF(Q$4="NÃO",0,IF(VLOOKUP($B230,FROTA!$B$5:$R$305,10,0)=Q$3,0.01,0)))</f>
        <v/>
      </c>
      <c r="R230" s="307" t="str">
        <f>IF($B230="","",IF(R$4="NÃO",0,IF(VLOOKUP($B230,FROTA!$B$5:$R$305,10,0)=R$3,0.01,0)))</f>
        <v/>
      </c>
      <c r="S230" s="307" t="str">
        <f>IF($B230="","",IF(S$4="NÃO",0,IF(VLOOKUP($B230,FROTA!$B$5:$R$305,10,0)=S$3,0.01,0)))</f>
        <v/>
      </c>
      <c r="T230" s="307" t="str">
        <f>IF($B230="","",IF(T$4="NÃO",0,IF(VLOOKUP($B230,FROTA!$B$5:$R$305,10,0)=T$3,0.01,0)))</f>
        <v/>
      </c>
      <c r="U230" s="307" t="str">
        <f>IF($B230="","",IF(U$4="NÃO",0,IF(VLOOKUP($B230,FROTA!$B$5:$R$305,10,0)=U$3,0.01,0)))</f>
        <v/>
      </c>
      <c r="V230" s="306" t="str">
        <f t="shared" si="30"/>
        <v/>
      </c>
      <c r="W230" s="238" t="str">
        <f t="shared" si="28"/>
        <v/>
      </c>
      <c r="X230" s="576" t="str">
        <f t="shared" si="31"/>
        <v/>
      </c>
      <c r="BA230" s="581">
        <v>45063</v>
      </c>
      <c r="BB230" s="582">
        <v>2023</v>
      </c>
    </row>
    <row r="231" spans="2:54" ht="15" customHeight="1" x14ac:dyDescent="0.2">
      <c r="B231" s="192" t="str">
        <f>IF(FROTA!B232="","",FROTA!B232)</f>
        <v/>
      </c>
      <c r="C231" s="192" t="str">
        <f>IF(B231="","",FROTA!Z232)</f>
        <v/>
      </c>
      <c r="D231" s="192" t="str">
        <f>IF(B231="","",VLOOKUP(B231,FROTA!$B$5:$C$310,2,0))</f>
        <v/>
      </c>
      <c r="E231" s="233" t="str">
        <f>IF(D231="","",VLOOKUP(D231,ESCALA!$B$3:$H$19,7,0))</f>
        <v/>
      </c>
      <c r="F231" s="219" t="s">
        <v>222</v>
      </c>
      <c r="G231" s="305" t="str">
        <f t="shared" si="29"/>
        <v/>
      </c>
      <c r="H231" s="314" t="str">
        <f>IF($B231="","",IF(H$4="NÃO",0,IF(VLOOKUP($B231,FROTA!$B$5:$R$305,17,0)=H$3,0.02,0)))</f>
        <v/>
      </c>
      <c r="I231" s="193" t="str">
        <f>IF($B231="","",IF(I$4="NÃO",0,IF(VLOOKUP($B231,FROTA!$B$5:$R$305,17,0)=I$3,0.02,0)))</f>
        <v/>
      </c>
      <c r="J231" s="193" t="str">
        <f>IF($B231="","",IF(J$4="NÃO",0,IF(VLOOKUP($B231,FROTA!$B$5:$R$305,17,0)=J$3,0.02,0)))</f>
        <v/>
      </c>
      <c r="K231" s="193" t="str">
        <f>IF($B231="","",IF(K$4="NÃO",0,IF(VLOOKUP($B231,FROTA!$B$5:$R$305,17,0)=K$3,0.02,0)))</f>
        <v/>
      </c>
      <c r="L231" s="193" t="str">
        <f>IF($B231="","",IF(L$4="NÃO",0,IF(VLOOKUP($B231,FROTA!$B$5:$R$305,17,0)=L$3,0.02,0)))</f>
        <v/>
      </c>
      <c r="M231" s="193" t="str">
        <f>IF($B231="","",IF(M$4="NÃO",0,IF(VLOOKUP($B231,FROTA!$B$5:$R$305,17,0)=M$3,0.02,0)))</f>
        <v/>
      </c>
      <c r="N231" s="193" t="str">
        <f>IF($B231="","",IF(M$4="NÃO",0,IF(VLOOKUP($B231,FROTA!$B$5:$R$305,17,0)=N$3,0.02,0)))</f>
        <v/>
      </c>
      <c r="O231" s="311" t="str">
        <f>IF($B231="","",IF(O$4="NÃO",0,IF(VLOOKUP($B231,FROTA!$B$5:$R$305,10,0)=O$3,0.01,0)))</f>
        <v/>
      </c>
      <c r="P231" s="307" t="str">
        <f>IF($B231="","",IF(P$4="NÃO",0,IF(VLOOKUP($B231,FROTA!$B$5:$R$305,10,0)=P$3,0.01,0)))</f>
        <v/>
      </c>
      <c r="Q231" s="307" t="str">
        <f>IF($B231="","",IF(Q$4="NÃO",0,IF(VLOOKUP($B231,FROTA!$B$5:$R$305,10,0)=Q$3,0.01,0)))</f>
        <v/>
      </c>
      <c r="R231" s="307" t="str">
        <f>IF($B231="","",IF(R$4="NÃO",0,IF(VLOOKUP($B231,FROTA!$B$5:$R$305,10,0)=R$3,0.01,0)))</f>
        <v/>
      </c>
      <c r="S231" s="307" t="str">
        <f>IF($B231="","",IF(S$4="NÃO",0,IF(VLOOKUP($B231,FROTA!$B$5:$R$305,10,0)=S$3,0.01,0)))</f>
        <v/>
      </c>
      <c r="T231" s="307" t="str">
        <f>IF($B231="","",IF(T$4="NÃO",0,IF(VLOOKUP($B231,FROTA!$B$5:$R$305,10,0)=T$3,0.01,0)))</f>
        <v/>
      </c>
      <c r="U231" s="307" t="str">
        <f>IF($B231="","",IF(U$4="NÃO",0,IF(VLOOKUP($B231,FROTA!$B$5:$R$305,10,0)=U$3,0.01,0)))</f>
        <v/>
      </c>
      <c r="V231" s="306" t="str">
        <f t="shared" si="30"/>
        <v/>
      </c>
      <c r="W231" s="238" t="str">
        <f t="shared" si="28"/>
        <v/>
      </c>
      <c r="X231" s="576" t="str">
        <f t="shared" si="31"/>
        <v/>
      </c>
      <c r="BA231" s="581">
        <v>45064</v>
      </c>
      <c r="BB231" s="582">
        <v>2023</v>
      </c>
    </row>
    <row r="232" spans="2:54" ht="15" customHeight="1" x14ac:dyDescent="0.2">
      <c r="B232" s="192" t="str">
        <f>IF(FROTA!B233="","",FROTA!B233)</f>
        <v/>
      </c>
      <c r="C232" s="192" t="str">
        <f>IF(B232="","",FROTA!Z233)</f>
        <v/>
      </c>
      <c r="D232" s="192" t="str">
        <f>IF(B232="","",VLOOKUP(B232,FROTA!$B$5:$C$310,2,0))</f>
        <v/>
      </c>
      <c r="E232" s="233" t="str">
        <f>IF(D232="","",VLOOKUP(D232,ESCALA!$B$3:$H$19,7,0))</f>
        <v/>
      </c>
      <c r="F232" s="219" t="s">
        <v>222</v>
      </c>
      <c r="G232" s="305" t="str">
        <f t="shared" si="29"/>
        <v/>
      </c>
      <c r="H232" s="314" t="str">
        <f>IF($B232="","",IF(H$4="NÃO",0,IF(VLOOKUP($B232,FROTA!$B$5:$R$305,17,0)=H$3,0.02,0)))</f>
        <v/>
      </c>
      <c r="I232" s="193" t="str">
        <f>IF($B232="","",IF(I$4="NÃO",0,IF(VLOOKUP($B232,FROTA!$B$5:$R$305,17,0)=I$3,0.02,0)))</f>
        <v/>
      </c>
      <c r="J232" s="193" t="str">
        <f>IF($B232="","",IF(J$4="NÃO",0,IF(VLOOKUP($B232,FROTA!$B$5:$R$305,17,0)=J$3,0.02,0)))</f>
        <v/>
      </c>
      <c r="K232" s="193" t="str">
        <f>IF($B232="","",IF(K$4="NÃO",0,IF(VLOOKUP($B232,FROTA!$B$5:$R$305,17,0)=K$3,0.02,0)))</f>
        <v/>
      </c>
      <c r="L232" s="193" t="str">
        <f>IF($B232="","",IF(L$4="NÃO",0,IF(VLOOKUP($B232,FROTA!$B$5:$R$305,17,0)=L$3,0.02,0)))</f>
        <v/>
      </c>
      <c r="M232" s="193" t="str">
        <f>IF($B232="","",IF(M$4="NÃO",0,IF(VLOOKUP($B232,FROTA!$B$5:$R$305,17,0)=M$3,0.02,0)))</f>
        <v/>
      </c>
      <c r="N232" s="193" t="str">
        <f>IF($B232="","",IF(M$4="NÃO",0,IF(VLOOKUP($B232,FROTA!$B$5:$R$305,17,0)=N$3,0.02,0)))</f>
        <v/>
      </c>
      <c r="O232" s="311" t="str">
        <f>IF($B232="","",IF(O$4="NÃO",0,IF(VLOOKUP($B232,FROTA!$B$5:$R$305,10,0)=O$3,0.01,0)))</f>
        <v/>
      </c>
      <c r="P232" s="307" t="str">
        <f>IF($B232="","",IF(P$4="NÃO",0,IF(VLOOKUP($B232,FROTA!$B$5:$R$305,10,0)=P$3,0.01,0)))</f>
        <v/>
      </c>
      <c r="Q232" s="307" t="str">
        <f>IF($B232="","",IF(Q$4="NÃO",0,IF(VLOOKUP($B232,FROTA!$B$5:$R$305,10,0)=Q$3,0.01,0)))</f>
        <v/>
      </c>
      <c r="R232" s="307" t="str">
        <f>IF($B232="","",IF(R$4="NÃO",0,IF(VLOOKUP($B232,FROTA!$B$5:$R$305,10,0)=R$3,0.01,0)))</f>
        <v/>
      </c>
      <c r="S232" s="307" t="str">
        <f>IF($B232="","",IF(S$4="NÃO",0,IF(VLOOKUP($B232,FROTA!$B$5:$R$305,10,0)=S$3,0.01,0)))</f>
        <v/>
      </c>
      <c r="T232" s="307" t="str">
        <f>IF($B232="","",IF(T$4="NÃO",0,IF(VLOOKUP($B232,FROTA!$B$5:$R$305,10,0)=T$3,0.01,0)))</f>
        <v/>
      </c>
      <c r="U232" s="307" t="str">
        <f>IF($B232="","",IF(U$4="NÃO",0,IF(VLOOKUP($B232,FROTA!$B$5:$R$305,10,0)=U$3,0.01,0)))</f>
        <v/>
      </c>
      <c r="V232" s="306" t="str">
        <f t="shared" si="30"/>
        <v/>
      </c>
      <c r="W232" s="238" t="str">
        <f t="shared" si="28"/>
        <v/>
      </c>
      <c r="X232" s="576" t="str">
        <f t="shared" si="31"/>
        <v/>
      </c>
      <c r="BA232" s="581">
        <v>45065</v>
      </c>
      <c r="BB232" s="582">
        <v>2023</v>
      </c>
    </row>
    <row r="233" spans="2:54" ht="15" customHeight="1" x14ac:dyDescent="0.2">
      <c r="B233" s="192" t="str">
        <f>IF(FROTA!B234="","",FROTA!B234)</f>
        <v/>
      </c>
      <c r="C233" s="192" t="str">
        <f>IF(B233="","",FROTA!Z234)</f>
        <v/>
      </c>
      <c r="D233" s="192" t="str">
        <f>IF(B233="","",VLOOKUP(B233,FROTA!$B$5:$C$310,2,0))</f>
        <v/>
      </c>
      <c r="E233" s="233" t="str">
        <f>IF(D233="","",VLOOKUP(D233,ESCALA!$B$3:$H$19,7,0))</f>
        <v/>
      </c>
      <c r="F233" s="219" t="s">
        <v>222</v>
      </c>
      <c r="G233" s="305" t="str">
        <f t="shared" si="29"/>
        <v/>
      </c>
      <c r="H233" s="314" t="str">
        <f>IF($B233="","",IF(H$4="NÃO",0,IF(VLOOKUP($B233,FROTA!$B$5:$R$305,17,0)=H$3,0.02,0)))</f>
        <v/>
      </c>
      <c r="I233" s="193" t="str">
        <f>IF($B233="","",IF(I$4="NÃO",0,IF(VLOOKUP($B233,FROTA!$B$5:$R$305,17,0)=I$3,0.02,0)))</f>
        <v/>
      </c>
      <c r="J233" s="193" t="str">
        <f>IF($B233="","",IF(J$4="NÃO",0,IF(VLOOKUP($B233,FROTA!$B$5:$R$305,17,0)=J$3,0.02,0)))</f>
        <v/>
      </c>
      <c r="K233" s="193" t="str">
        <f>IF($B233="","",IF(K$4="NÃO",0,IF(VLOOKUP($B233,FROTA!$B$5:$R$305,17,0)=K$3,0.02,0)))</f>
        <v/>
      </c>
      <c r="L233" s="193" t="str">
        <f>IF($B233="","",IF(L$4="NÃO",0,IF(VLOOKUP($B233,FROTA!$B$5:$R$305,17,0)=L$3,0.02,0)))</f>
        <v/>
      </c>
      <c r="M233" s="193" t="str">
        <f>IF($B233="","",IF(M$4="NÃO",0,IF(VLOOKUP($B233,FROTA!$B$5:$R$305,17,0)=M$3,0.02,0)))</f>
        <v/>
      </c>
      <c r="N233" s="193" t="str">
        <f>IF($B233="","",IF(M$4="NÃO",0,IF(VLOOKUP($B233,FROTA!$B$5:$R$305,17,0)=N$3,0.02,0)))</f>
        <v/>
      </c>
      <c r="O233" s="311" t="str">
        <f>IF($B233="","",IF(O$4="NÃO",0,IF(VLOOKUP($B233,FROTA!$B$5:$R$305,10,0)=O$3,0.01,0)))</f>
        <v/>
      </c>
      <c r="P233" s="307" t="str">
        <f>IF($B233="","",IF(P$4="NÃO",0,IF(VLOOKUP($B233,FROTA!$B$5:$R$305,10,0)=P$3,0.01,0)))</f>
        <v/>
      </c>
      <c r="Q233" s="307" t="str">
        <f>IF($B233="","",IF(Q$4="NÃO",0,IF(VLOOKUP($B233,FROTA!$B$5:$R$305,10,0)=Q$3,0.01,0)))</f>
        <v/>
      </c>
      <c r="R233" s="307" t="str">
        <f>IF($B233="","",IF(R$4="NÃO",0,IF(VLOOKUP($B233,FROTA!$B$5:$R$305,10,0)=R$3,0.01,0)))</f>
        <v/>
      </c>
      <c r="S233" s="307" t="str">
        <f>IF($B233="","",IF(S$4="NÃO",0,IF(VLOOKUP($B233,FROTA!$B$5:$R$305,10,0)=S$3,0.01,0)))</f>
        <v/>
      </c>
      <c r="T233" s="307" t="str">
        <f>IF($B233="","",IF(T$4="NÃO",0,IF(VLOOKUP($B233,FROTA!$B$5:$R$305,10,0)=T$3,0.01,0)))</f>
        <v/>
      </c>
      <c r="U233" s="307" t="str">
        <f>IF($B233="","",IF(U$4="NÃO",0,IF(VLOOKUP($B233,FROTA!$B$5:$R$305,10,0)=U$3,0.01,0)))</f>
        <v/>
      </c>
      <c r="V233" s="306" t="str">
        <f t="shared" si="30"/>
        <v/>
      </c>
      <c r="W233" s="238" t="str">
        <f t="shared" si="28"/>
        <v/>
      </c>
      <c r="X233" s="576" t="str">
        <f t="shared" si="31"/>
        <v/>
      </c>
      <c r="BA233" s="581">
        <v>45066</v>
      </c>
      <c r="BB233" s="582">
        <v>2023</v>
      </c>
    </row>
    <row r="234" spans="2:54" ht="15" customHeight="1" x14ac:dyDescent="0.2">
      <c r="B234" s="192" t="str">
        <f>IF(FROTA!B235="","",FROTA!B235)</f>
        <v/>
      </c>
      <c r="C234" s="192" t="str">
        <f>IF(B234="","",FROTA!Z235)</f>
        <v/>
      </c>
      <c r="D234" s="192" t="str">
        <f>IF(B234="","",VLOOKUP(B234,FROTA!$B$5:$C$310,2,0))</f>
        <v/>
      </c>
      <c r="E234" s="233" t="str">
        <f>IF(D234="","",VLOOKUP(D234,ESCALA!$B$3:$H$19,7,0))</f>
        <v/>
      </c>
      <c r="F234" s="219" t="s">
        <v>222</v>
      </c>
      <c r="G234" s="305" t="str">
        <f t="shared" si="29"/>
        <v/>
      </c>
      <c r="H234" s="314" t="str">
        <f>IF($B234="","",IF(H$4="NÃO",0,IF(VLOOKUP($B234,FROTA!$B$5:$R$305,17,0)=H$3,0.02,0)))</f>
        <v/>
      </c>
      <c r="I234" s="193" t="str">
        <f>IF($B234="","",IF(I$4="NÃO",0,IF(VLOOKUP($B234,FROTA!$B$5:$R$305,17,0)=I$3,0.02,0)))</f>
        <v/>
      </c>
      <c r="J234" s="193" t="str">
        <f>IF($B234="","",IF(J$4="NÃO",0,IF(VLOOKUP($B234,FROTA!$B$5:$R$305,17,0)=J$3,0.02,0)))</f>
        <v/>
      </c>
      <c r="K234" s="193" t="str">
        <f>IF($B234="","",IF(K$4="NÃO",0,IF(VLOOKUP($B234,FROTA!$B$5:$R$305,17,0)=K$3,0.02,0)))</f>
        <v/>
      </c>
      <c r="L234" s="193" t="str">
        <f>IF($B234="","",IF(L$4="NÃO",0,IF(VLOOKUP($B234,FROTA!$B$5:$R$305,17,0)=L$3,0.02,0)))</f>
        <v/>
      </c>
      <c r="M234" s="193" t="str">
        <f>IF($B234="","",IF(M$4="NÃO",0,IF(VLOOKUP($B234,FROTA!$B$5:$R$305,17,0)=M$3,0.02,0)))</f>
        <v/>
      </c>
      <c r="N234" s="193" t="str">
        <f>IF($B234="","",IF(M$4="NÃO",0,IF(VLOOKUP($B234,FROTA!$B$5:$R$305,17,0)=N$3,0.02,0)))</f>
        <v/>
      </c>
      <c r="O234" s="311" t="str">
        <f>IF($B234="","",IF(O$4="NÃO",0,IF(VLOOKUP($B234,FROTA!$B$5:$R$305,10,0)=O$3,0.01,0)))</f>
        <v/>
      </c>
      <c r="P234" s="307" t="str">
        <f>IF($B234="","",IF(P$4="NÃO",0,IF(VLOOKUP($B234,FROTA!$B$5:$R$305,10,0)=P$3,0.01,0)))</f>
        <v/>
      </c>
      <c r="Q234" s="307" t="str">
        <f>IF($B234="","",IF(Q$4="NÃO",0,IF(VLOOKUP($B234,FROTA!$B$5:$R$305,10,0)=Q$3,0.01,0)))</f>
        <v/>
      </c>
      <c r="R234" s="307" t="str">
        <f>IF($B234="","",IF(R$4="NÃO",0,IF(VLOOKUP($B234,FROTA!$B$5:$R$305,10,0)=R$3,0.01,0)))</f>
        <v/>
      </c>
      <c r="S234" s="307" t="str">
        <f>IF($B234="","",IF(S$4="NÃO",0,IF(VLOOKUP($B234,FROTA!$B$5:$R$305,10,0)=S$3,0.01,0)))</f>
        <v/>
      </c>
      <c r="T234" s="307" t="str">
        <f>IF($B234="","",IF(T$4="NÃO",0,IF(VLOOKUP($B234,FROTA!$B$5:$R$305,10,0)=T$3,0.01,0)))</f>
        <v/>
      </c>
      <c r="U234" s="307" t="str">
        <f>IF($B234="","",IF(U$4="NÃO",0,IF(VLOOKUP($B234,FROTA!$B$5:$R$305,10,0)=U$3,0.01,0)))</f>
        <v/>
      </c>
      <c r="V234" s="306" t="str">
        <f t="shared" si="30"/>
        <v/>
      </c>
      <c r="W234" s="238" t="str">
        <f t="shared" si="28"/>
        <v/>
      </c>
      <c r="X234" s="576" t="str">
        <f t="shared" si="31"/>
        <v/>
      </c>
      <c r="BA234" s="581">
        <v>45067</v>
      </c>
      <c r="BB234" s="582">
        <v>2023</v>
      </c>
    </row>
    <row r="235" spans="2:54" ht="15" customHeight="1" x14ac:dyDescent="0.2">
      <c r="B235" s="192" t="str">
        <f>IF(FROTA!B236="","",FROTA!B236)</f>
        <v/>
      </c>
      <c r="C235" s="192" t="str">
        <f>IF(B235="","",FROTA!Z236)</f>
        <v/>
      </c>
      <c r="D235" s="192" t="str">
        <f>IF(B235="","",VLOOKUP(B235,FROTA!$B$5:$C$310,2,0))</f>
        <v/>
      </c>
      <c r="E235" s="233" t="str">
        <f>IF(D235="","",VLOOKUP(D235,ESCALA!$B$3:$H$19,7,0))</f>
        <v/>
      </c>
      <c r="F235" s="219" t="s">
        <v>222</v>
      </c>
      <c r="G235" s="305" t="str">
        <f t="shared" si="29"/>
        <v/>
      </c>
      <c r="H235" s="314" t="str">
        <f>IF($B235="","",IF(H$4="NÃO",0,IF(VLOOKUP($B235,FROTA!$B$5:$R$305,17,0)=H$3,0.02,0)))</f>
        <v/>
      </c>
      <c r="I235" s="193" t="str">
        <f>IF($B235="","",IF(I$4="NÃO",0,IF(VLOOKUP($B235,FROTA!$B$5:$R$305,17,0)=I$3,0.02,0)))</f>
        <v/>
      </c>
      <c r="J235" s="193" t="str">
        <f>IF($B235="","",IF(J$4="NÃO",0,IF(VLOOKUP($B235,FROTA!$B$5:$R$305,17,0)=J$3,0.02,0)))</f>
        <v/>
      </c>
      <c r="K235" s="193" t="str">
        <f>IF($B235="","",IF(K$4="NÃO",0,IF(VLOOKUP($B235,FROTA!$B$5:$R$305,17,0)=K$3,0.02,0)))</f>
        <v/>
      </c>
      <c r="L235" s="193" t="str">
        <f>IF($B235="","",IF(L$4="NÃO",0,IF(VLOOKUP($B235,FROTA!$B$5:$R$305,17,0)=L$3,0.02,0)))</f>
        <v/>
      </c>
      <c r="M235" s="193" t="str">
        <f>IF($B235="","",IF(M$4="NÃO",0,IF(VLOOKUP($B235,FROTA!$B$5:$R$305,17,0)=M$3,0.02,0)))</f>
        <v/>
      </c>
      <c r="N235" s="193" t="str">
        <f>IF($B235="","",IF(M$4="NÃO",0,IF(VLOOKUP($B235,FROTA!$B$5:$R$305,17,0)=N$3,0.02,0)))</f>
        <v/>
      </c>
      <c r="O235" s="311" t="str">
        <f>IF($B235="","",IF(O$4="NÃO",0,IF(VLOOKUP($B235,FROTA!$B$5:$R$305,10,0)=O$3,0.01,0)))</f>
        <v/>
      </c>
      <c r="P235" s="307" t="str">
        <f>IF($B235="","",IF(P$4="NÃO",0,IF(VLOOKUP($B235,FROTA!$B$5:$R$305,10,0)=P$3,0.01,0)))</f>
        <v/>
      </c>
      <c r="Q235" s="307" t="str">
        <f>IF($B235="","",IF(Q$4="NÃO",0,IF(VLOOKUP($B235,FROTA!$B$5:$R$305,10,0)=Q$3,0.01,0)))</f>
        <v/>
      </c>
      <c r="R235" s="307" t="str">
        <f>IF($B235="","",IF(R$4="NÃO",0,IF(VLOOKUP($B235,FROTA!$B$5:$R$305,10,0)=R$3,0.01,0)))</f>
        <v/>
      </c>
      <c r="S235" s="307" t="str">
        <f>IF($B235="","",IF(S$4="NÃO",0,IF(VLOOKUP($B235,FROTA!$B$5:$R$305,10,0)=S$3,0.01,0)))</f>
        <v/>
      </c>
      <c r="T235" s="307" t="str">
        <f>IF($B235="","",IF(T$4="NÃO",0,IF(VLOOKUP($B235,FROTA!$B$5:$R$305,10,0)=T$3,0.01,0)))</f>
        <v/>
      </c>
      <c r="U235" s="307" t="str">
        <f>IF($B235="","",IF(U$4="NÃO",0,IF(VLOOKUP($B235,FROTA!$B$5:$R$305,10,0)=U$3,0.01,0)))</f>
        <v/>
      </c>
      <c r="V235" s="306" t="str">
        <f t="shared" si="30"/>
        <v/>
      </c>
      <c r="W235" s="238" t="str">
        <f t="shared" si="28"/>
        <v/>
      </c>
      <c r="X235" s="576" t="str">
        <f t="shared" si="31"/>
        <v/>
      </c>
      <c r="BA235" s="581">
        <v>45068</v>
      </c>
      <c r="BB235" s="582">
        <v>2023</v>
      </c>
    </row>
    <row r="236" spans="2:54" ht="15" customHeight="1" x14ac:dyDescent="0.2">
      <c r="B236" s="192" t="str">
        <f>IF(FROTA!B237="","",FROTA!B237)</f>
        <v/>
      </c>
      <c r="C236" s="192" t="str">
        <f>IF(B236="","",FROTA!Z237)</f>
        <v/>
      </c>
      <c r="D236" s="192" t="str">
        <f>IF(B236="","",VLOOKUP(B236,FROTA!$B$5:$C$310,2,0))</f>
        <v/>
      </c>
      <c r="E236" s="233" t="str">
        <f>IF(D236="","",VLOOKUP(D236,ESCALA!$B$3:$H$19,7,0))</f>
        <v/>
      </c>
      <c r="F236" s="219" t="s">
        <v>222</v>
      </c>
      <c r="G236" s="305" t="str">
        <f t="shared" si="29"/>
        <v/>
      </c>
      <c r="H236" s="314" t="str">
        <f>IF($B236="","",IF(H$4="NÃO",0,IF(VLOOKUP($B236,FROTA!$B$5:$R$305,17,0)=H$3,0.02,0)))</f>
        <v/>
      </c>
      <c r="I236" s="193" t="str">
        <f>IF($B236="","",IF(I$4="NÃO",0,IF(VLOOKUP($B236,FROTA!$B$5:$R$305,17,0)=I$3,0.02,0)))</f>
        <v/>
      </c>
      <c r="J236" s="193" t="str">
        <f>IF($B236="","",IF(J$4="NÃO",0,IF(VLOOKUP($B236,FROTA!$B$5:$R$305,17,0)=J$3,0.02,0)))</f>
        <v/>
      </c>
      <c r="K236" s="193" t="str">
        <f>IF($B236="","",IF(K$4="NÃO",0,IF(VLOOKUP($B236,FROTA!$B$5:$R$305,17,0)=K$3,0.02,0)))</f>
        <v/>
      </c>
      <c r="L236" s="193" t="str">
        <f>IF($B236="","",IF(L$4="NÃO",0,IF(VLOOKUP($B236,FROTA!$B$5:$R$305,17,0)=L$3,0.02,0)))</f>
        <v/>
      </c>
      <c r="M236" s="193" t="str">
        <f>IF($B236="","",IF(M$4="NÃO",0,IF(VLOOKUP($B236,FROTA!$B$5:$R$305,17,0)=M$3,0.02,0)))</f>
        <v/>
      </c>
      <c r="N236" s="193" t="str">
        <f>IF($B236="","",IF(M$4="NÃO",0,IF(VLOOKUP($B236,FROTA!$B$5:$R$305,17,0)=N$3,0.02,0)))</f>
        <v/>
      </c>
      <c r="O236" s="311" t="str">
        <f>IF($B236="","",IF(O$4="NÃO",0,IF(VLOOKUP($B236,FROTA!$B$5:$R$305,10,0)=O$3,0.01,0)))</f>
        <v/>
      </c>
      <c r="P236" s="307" t="str">
        <f>IF($B236="","",IF(P$4="NÃO",0,IF(VLOOKUP($B236,FROTA!$B$5:$R$305,10,0)=P$3,0.01,0)))</f>
        <v/>
      </c>
      <c r="Q236" s="307" t="str">
        <f>IF($B236="","",IF(Q$4="NÃO",0,IF(VLOOKUP($B236,FROTA!$B$5:$R$305,10,0)=Q$3,0.01,0)))</f>
        <v/>
      </c>
      <c r="R236" s="307" t="str">
        <f>IF($B236="","",IF(R$4="NÃO",0,IF(VLOOKUP($B236,FROTA!$B$5:$R$305,10,0)=R$3,0.01,0)))</f>
        <v/>
      </c>
      <c r="S236" s="307" t="str">
        <f>IF($B236="","",IF(S$4="NÃO",0,IF(VLOOKUP($B236,FROTA!$B$5:$R$305,10,0)=S$3,0.01,0)))</f>
        <v/>
      </c>
      <c r="T236" s="307" t="str">
        <f>IF($B236="","",IF(T$4="NÃO",0,IF(VLOOKUP($B236,FROTA!$B$5:$R$305,10,0)=T$3,0.01,0)))</f>
        <v/>
      </c>
      <c r="U236" s="307" t="str">
        <f>IF($B236="","",IF(U$4="NÃO",0,IF(VLOOKUP($B236,FROTA!$B$5:$R$305,10,0)=U$3,0.01,0)))</f>
        <v/>
      </c>
      <c r="V236" s="306" t="str">
        <f t="shared" si="30"/>
        <v/>
      </c>
      <c r="W236" s="238" t="str">
        <f t="shared" si="28"/>
        <v/>
      </c>
      <c r="X236" s="576" t="str">
        <f t="shared" si="31"/>
        <v/>
      </c>
      <c r="BA236" s="581">
        <v>45069</v>
      </c>
      <c r="BB236" s="582">
        <v>2023</v>
      </c>
    </row>
    <row r="237" spans="2:54" ht="15" customHeight="1" x14ac:dyDescent="0.2">
      <c r="B237" s="192" t="str">
        <f>IF(FROTA!B238="","",FROTA!B238)</f>
        <v/>
      </c>
      <c r="C237" s="192" t="str">
        <f>IF(B237="","",FROTA!Z238)</f>
        <v/>
      </c>
      <c r="D237" s="192" t="str">
        <f>IF(B237="","",VLOOKUP(B237,FROTA!$B$5:$C$310,2,0))</f>
        <v/>
      </c>
      <c r="E237" s="233" t="str">
        <f>IF(D237="","",VLOOKUP(D237,ESCALA!$B$3:$H$19,7,0))</f>
        <v/>
      </c>
      <c r="F237" s="219" t="s">
        <v>222</v>
      </c>
      <c r="G237" s="305" t="str">
        <f t="shared" si="29"/>
        <v/>
      </c>
      <c r="H237" s="314" t="str">
        <f>IF($B237="","",IF(H$4="NÃO",0,IF(VLOOKUP($B237,FROTA!$B$5:$R$305,17,0)=H$3,0.02,0)))</f>
        <v/>
      </c>
      <c r="I237" s="193" t="str">
        <f>IF($B237="","",IF(I$4="NÃO",0,IF(VLOOKUP($B237,FROTA!$B$5:$R$305,17,0)=I$3,0.02,0)))</f>
        <v/>
      </c>
      <c r="J237" s="193" t="str">
        <f>IF($B237="","",IF(J$4="NÃO",0,IF(VLOOKUP($B237,FROTA!$B$5:$R$305,17,0)=J$3,0.02,0)))</f>
        <v/>
      </c>
      <c r="K237" s="193" t="str">
        <f>IF($B237="","",IF(K$4="NÃO",0,IF(VLOOKUP($B237,FROTA!$B$5:$R$305,17,0)=K$3,0.02,0)))</f>
        <v/>
      </c>
      <c r="L237" s="193" t="str">
        <f>IF($B237="","",IF(L$4="NÃO",0,IF(VLOOKUP($B237,FROTA!$B$5:$R$305,17,0)=L$3,0.02,0)))</f>
        <v/>
      </c>
      <c r="M237" s="193" t="str">
        <f>IF($B237="","",IF(M$4="NÃO",0,IF(VLOOKUP($B237,FROTA!$B$5:$R$305,17,0)=M$3,0.02,0)))</f>
        <v/>
      </c>
      <c r="N237" s="193" t="str">
        <f>IF($B237="","",IF(M$4="NÃO",0,IF(VLOOKUP($B237,FROTA!$B$5:$R$305,17,0)=N$3,0.02,0)))</f>
        <v/>
      </c>
      <c r="O237" s="311" t="str">
        <f>IF($B237="","",IF(O$4="NÃO",0,IF(VLOOKUP($B237,FROTA!$B$5:$R$305,10,0)=O$3,0.01,0)))</f>
        <v/>
      </c>
      <c r="P237" s="307" t="str">
        <f>IF($B237="","",IF(P$4="NÃO",0,IF(VLOOKUP($B237,FROTA!$B$5:$R$305,10,0)=P$3,0.01,0)))</f>
        <v/>
      </c>
      <c r="Q237" s="307" t="str">
        <f>IF($B237="","",IF(Q$4="NÃO",0,IF(VLOOKUP($B237,FROTA!$B$5:$R$305,10,0)=Q$3,0.01,0)))</f>
        <v/>
      </c>
      <c r="R237" s="307" t="str">
        <f>IF($B237="","",IF(R$4="NÃO",0,IF(VLOOKUP($B237,FROTA!$B$5:$R$305,10,0)=R$3,0.01,0)))</f>
        <v/>
      </c>
      <c r="S237" s="307" t="str">
        <f>IF($B237="","",IF(S$4="NÃO",0,IF(VLOOKUP($B237,FROTA!$B$5:$R$305,10,0)=S$3,0.01,0)))</f>
        <v/>
      </c>
      <c r="T237" s="307" t="str">
        <f>IF($B237="","",IF(T$4="NÃO",0,IF(VLOOKUP($B237,FROTA!$B$5:$R$305,10,0)=T$3,0.01,0)))</f>
        <v/>
      </c>
      <c r="U237" s="307" t="str">
        <f>IF($B237="","",IF(U$4="NÃO",0,IF(VLOOKUP($B237,FROTA!$B$5:$R$305,10,0)=U$3,0.01,0)))</f>
        <v/>
      </c>
      <c r="V237" s="306" t="str">
        <f t="shared" si="30"/>
        <v/>
      </c>
      <c r="W237" s="238" t="str">
        <f t="shared" si="28"/>
        <v/>
      </c>
      <c r="X237" s="576" t="str">
        <f t="shared" si="31"/>
        <v/>
      </c>
      <c r="BA237" s="581">
        <v>45070</v>
      </c>
      <c r="BB237" s="582">
        <v>2023</v>
      </c>
    </row>
    <row r="238" spans="2:54" ht="15" customHeight="1" x14ac:dyDescent="0.2">
      <c r="B238" s="192" t="str">
        <f>IF(FROTA!B239="","",FROTA!B239)</f>
        <v/>
      </c>
      <c r="C238" s="192" t="str">
        <f>IF(B238="","",FROTA!Z239)</f>
        <v/>
      </c>
      <c r="D238" s="192" t="str">
        <f>IF(B238="","",VLOOKUP(B238,FROTA!$B$5:$C$310,2,0))</f>
        <v/>
      </c>
      <c r="E238" s="233" t="str">
        <f>IF(D238="","",VLOOKUP(D238,ESCALA!$B$3:$H$19,7,0))</f>
        <v/>
      </c>
      <c r="F238" s="219" t="s">
        <v>222</v>
      </c>
      <c r="G238" s="305" t="str">
        <f t="shared" si="29"/>
        <v/>
      </c>
      <c r="H238" s="314" t="str">
        <f>IF($B238="","",IF(H$4="NÃO",0,IF(VLOOKUP($B238,FROTA!$B$5:$R$305,17,0)=H$3,0.02,0)))</f>
        <v/>
      </c>
      <c r="I238" s="193" t="str">
        <f>IF($B238="","",IF(I$4="NÃO",0,IF(VLOOKUP($B238,FROTA!$B$5:$R$305,17,0)=I$3,0.02,0)))</f>
        <v/>
      </c>
      <c r="J238" s="193" t="str">
        <f>IF($B238="","",IF(J$4="NÃO",0,IF(VLOOKUP($B238,FROTA!$B$5:$R$305,17,0)=J$3,0.02,0)))</f>
        <v/>
      </c>
      <c r="K238" s="193" t="str">
        <f>IF($B238="","",IF(K$4="NÃO",0,IF(VLOOKUP($B238,FROTA!$B$5:$R$305,17,0)=K$3,0.02,0)))</f>
        <v/>
      </c>
      <c r="L238" s="193" t="str">
        <f>IF($B238="","",IF(L$4="NÃO",0,IF(VLOOKUP($B238,FROTA!$B$5:$R$305,17,0)=L$3,0.02,0)))</f>
        <v/>
      </c>
      <c r="M238" s="193" t="str">
        <f>IF($B238="","",IF(M$4="NÃO",0,IF(VLOOKUP($B238,FROTA!$B$5:$R$305,17,0)=M$3,0.02,0)))</f>
        <v/>
      </c>
      <c r="N238" s="193" t="str">
        <f>IF($B238="","",IF(M$4="NÃO",0,IF(VLOOKUP($B238,FROTA!$B$5:$R$305,17,0)=N$3,0.02,0)))</f>
        <v/>
      </c>
      <c r="O238" s="311" t="str">
        <f>IF($B238="","",IF(O$4="NÃO",0,IF(VLOOKUP($B238,FROTA!$B$5:$R$305,10,0)=O$3,0.01,0)))</f>
        <v/>
      </c>
      <c r="P238" s="307" t="str">
        <f>IF($B238="","",IF(P$4="NÃO",0,IF(VLOOKUP($B238,FROTA!$B$5:$R$305,10,0)=P$3,0.01,0)))</f>
        <v/>
      </c>
      <c r="Q238" s="307" t="str">
        <f>IF($B238="","",IF(Q$4="NÃO",0,IF(VLOOKUP($B238,FROTA!$B$5:$R$305,10,0)=Q$3,0.01,0)))</f>
        <v/>
      </c>
      <c r="R238" s="307" t="str">
        <f>IF($B238="","",IF(R$4="NÃO",0,IF(VLOOKUP($B238,FROTA!$B$5:$R$305,10,0)=R$3,0.01,0)))</f>
        <v/>
      </c>
      <c r="S238" s="307" t="str">
        <f>IF($B238="","",IF(S$4="NÃO",0,IF(VLOOKUP($B238,FROTA!$B$5:$R$305,10,0)=S$3,0.01,0)))</f>
        <v/>
      </c>
      <c r="T238" s="307" t="str">
        <f>IF($B238="","",IF(T$4="NÃO",0,IF(VLOOKUP($B238,FROTA!$B$5:$R$305,10,0)=T$3,0.01,0)))</f>
        <v/>
      </c>
      <c r="U238" s="307" t="str">
        <f>IF($B238="","",IF(U$4="NÃO",0,IF(VLOOKUP($B238,FROTA!$B$5:$R$305,10,0)=U$3,0.01,0)))</f>
        <v/>
      </c>
      <c r="V238" s="306" t="str">
        <f t="shared" si="30"/>
        <v/>
      </c>
      <c r="W238" s="238" t="str">
        <f t="shared" si="28"/>
        <v/>
      </c>
      <c r="X238" s="576" t="str">
        <f t="shared" si="31"/>
        <v/>
      </c>
      <c r="BA238" s="581">
        <v>45071</v>
      </c>
      <c r="BB238" s="582">
        <v>2023</v>
      </c>
    </row>
    <row r="239" spans="2:54" ht="15" customHeight="1" x14ac:dyDescent="0.2">
      <c r="B239" s="192" t="str">
        <f>IF(FROTA!B240="","",FROTA!B240)</f>
        <v/>
      </c>
      <c r="C239" s="192" t="str">
        <f>IF(B239="","",FROTA!Z240)</f>
        <v/>
      </c>
      <c r="D239" s="192" t="str">
        <f>IF(B239="","",VLOOKUP(B239,FROTA!$B$5:$C$310,2,0))</f>
        <v/>
      </c>
      <c r="E239" s="233" t="str">
        <f>IF(D239="","",VLOOKUP(D239,ESCALA!$B$3:$H$19,7,0))</f>
        <v/>
      </c>
      <c r="F239" s="219" t="s">
        <v>222</v>
      </c>
      <c r="G239" s="305" t="str">
        <f t="shared" si="29"/>
        <v/>
      </c>
      <c r="H239" s="314" t="str">
        <f>IF($B239="","",IF(H$4="NÃO",0,IF(VLOOKUP($B239,FROTA!$B$5:$R$305,17,0)=H$3,0.02,0)))</f>
        <v/>
      </c>
      <c r="I239" s="193" t="str">
        <f>IF($B239="","",IF(I$4="NÃO",0,IF(VLOOKUP($B239,FROTA!$B$5:$R$305,17,0)=I$3,0.02,0)))</f>
        <v/>
      </c>
      <c r="J239" s="193" t="str">
        <f>IF($B239="","",IF(J$4="NÃO",0,IF(VLOOKUP($B239,FROTA!$B$5:$R$305,17,0)=J$3,0.02,0)))</f>
        <v/>
      </c>
      <c r="K239" s="193" t="str">
        <f>IF($B239="","",IF(K$4="NÃO",0,IF(VLOOKUP($B239,FROTA!$B$5:$R$305,17,0)=K$3,0.02,0)))</f>
        <v/>
      </c>
      <c r="L239" s="193" t="str">
        <f>IF($B239="","",IF(L$4="NÃO",0,IF(VLOOKUP($B239,FROTA!$B$5:$R$305,17,0)=L$3,0.02,0)))</f>
        <v/>
      </c>
      <c r="M239" s="193" t="str">
        <f>IF($B239="","",IF(M$4="NÃO",0,IF(VLOOKUP($B239,FROTA!$B$5:$R$305,17,0)=M$3,0.02,0)))</f>
        <v/>
      </c>
      <c r="N239" s="193" t="str">
        <f>IF($B239="","",IF(M$4="NÃO",0,IF(VLOOKUP($B239,FROTA!$B$5:$R$305,17,0)=N$3,0.02,0)))</f>
        <v/>
      </c>
      <c r="O239" s="311" t="str">
        <f>IF($B239="","",IF(O$4="NÃO",0,IF(VLOOKUP($B239,FROTA!$B$5:$R$305,10,0)=O$3,0.01,0)))</f>
        <v/>
      </c>
      <c r="P239" s="307" t="str">
        <f>IF($B239="","",IF(P$4="NÃO",0,IF(VLOOKUP($B239,FROTA!$B$5:$R$305,10,0)=P$3,0.01,0)))</f>
        <v/>
      </c>
      <c r="Q239" s="307" t="str">
        <f>IF($B239="","",IF(Q$4="NÃO",0,IF(VLOOKUP($B239,FROTA!$B$5:$R$305,10,0)=Q$3,0.01,0)))</f>
        <v/>
      </c>
      <c r="R239" s="307" t="str">
        <f>IF($B239="","",IF(R$4="NÃO",0,IF(VLOOKUP($B239,FROTA!$B$5:$R$305,10,0)=R$3,0.01,0)))</f>
        <v/>
      </c>
      <c r="S239" s="307" t="str">
        <f>IF($B239="","",IF(S$4="NÃO",0,IF(VLOOKUP($B239,FROTA!$B$5:$R$305,10,0)=S$3,0.01,0)))</f>
        <v/>
      </c>
      <c r="T239" s="307" t="str">
        <f>IF($B239="","",IF(T$4="NÃO",0,IF(VLOOKUP($B239,FROTA!$B$5:$R$305,10,0)=T$3,0.01,0)))</f>
        <v/>
      </c>
      <c r="U239" s="307" t="str">
        <f>IF($B239="","",IF(U$4="NÃO",0,IF(VLOOKUP($B239,FROTA!$B$5:$R$305,10,0)=U$3,0.01,0)))</f>
        <v/>
      </c>
      <c r="V239" s="306" t="str">
        <f t="shared" si="30"/>
        <v/>
      </c>
      <c r="W239" s="238" t="str">
        <f t="shared" si="28"/>
        <v/>
      </c>
      <c r="X239" s="576" t="str">
        <f t="shared" si="31"/>
        <v/>
      </c>
      <c r="BA239" s="581">
        <v>45072</v>
      </c>
      <c r="BB239" s="582">
        <v>2023</v>
      </c>
    </row>
    <row r="240" spans="2:54" ht="15" customHeight="1" x14ac:dyDescent="0.2">
      <c r="B240" s="192" t="str">
        <f>IF(FROTA!B241="","",FROTA!B241)</f>
        <v/>
      </c>
      <c r="C240" s="192" t="str">
        <f>IF(B240="","",FROTA!Z241)</f>
        <v/>
      </c>
      <c r="D240" s="192" t="str">
        <f>IF(B240="","",VLOOKUP(B240,FROTA!$B$5:$C$310,2,0))</f>
        <v/>
      </c>
      <c r="E240" s="233" t="str">
        <f>IF(D240="","",VLOOKUP(D240,ESCALA!$B$3:$H$19,7,0))</f>
        <v/>
      </c>
      <c r="F240" s="219" t="s">
        <v>222</v>
      </c>
      <c r="G240" s="305" t="str">
        <f t="shared" si="29"/>
        <v/>
      </c>
      <c r="H240" s="314" t="str">
        <f>IF($B240="","",IF(H$4="NÃO",0,IF(VLOOKUP($B240,FROTA!$B$5:$R$305,17,0)=H$3,0.02,0)))</f>
        <v/>
      </c>
      <c r="I240" s="193" t="str">
        <f>IF($B240="","",IF(I$4="NÃO",0,IF(VLOOKUP($B240,FROTA!$B$5:$R$305,17,0)=I$3,0.02,0)))</f>
        <v/>
      </c>
      <c r="J240" s="193" t="str">
        <f>IF($B240="","",IF(J$4="NÃO",0,IF(VLOOKUP($B240,FROTA!$B$5:$R$305,17,0)=J$3,0.02,0)))</f>
        <v/>
      </c>
      <c r="K240" s="193" t="str">
        <f>IF($B240="","",IF(K$4="NÃO",0,IF(VLOOKUP($B240,FROTA!$B$5:$R$305,17,0)=K$3,0.02,0)))</f>
        <v/>
      </c>
      <c r="L240" s="193" t="str">
        <f>IF($B240="","",IF(L$4="NÃO",0,IF(VLOOKUP($B240,FROTA!$B$5:$R$305,17,0)=L$3,0.02,0)))</f>
        <v/>
      </c>
      <c r="M240" s="193" t="str">
        <f>IF($B240="","",IF(M$4="NÃO",0,IF(VLOOKUP($B240,FROTA!$B$5:$R$305,17,0)=M$3,0.02,0)))</f>
        <v/>
      </c>
      <c r="N240" s="193" t="str">
        <f>IF($B240="","",IF(M$4="NÃO",0,IF(VLOOKUP($B240,FROTA!$B$5:$R$305,17,0)=N$3,0.02,0)))</f>
        <v/>
      </c>
      <c r="O240" s="311" t="str">
        <f>IF($B240="","",IF(O$4="NÃO",0,IF(VLOOKUP($B240,FROTA!$B$5:$R$305,10,0)=O$3,0.01,0)))</f>
        <v/>
      </c>
      <c r="P240" s="307" t="str">
        <f>IF($B240="","",IF(P$4="NÃO",0,IF(VLOOKUP($B240,FROTA!$B$5:$R$305,10,0)=P$3,0.01,0)))</f>
        <v/>
      </c>
      <c r="Q240" s="307" t="str">
        <f>IF($B240="","",IF(Q$4="NÃO",0,IF(VLOOKUP($B240,FROTA!$B$5:$R$305,10,0)=Q$3,0.01,0)))</f>
        <v/>
      </c>
      <c r="R240" s="307" t="str">
        <f>IF($B240="","",IF(R$4="NÃO",0,IF(VLOOKUP($B240,FROTA!$B$5:$R$305,10,0)=R$3,0.01,0)))</f>
        <v/>
      </c>
      <c r="S240" s="307" t="str">
        <f>IF($B240="","",IF(S$4="NÃO",0,IF(VLOOKUP($B240,FROTA!$B$5:$R$305,10,0)=S$3,0.01,0)))</f>
        <v/>
      </c>
      <c r="T240" s="307" t="str">
        <f>IF($B240="","",IF(T$4="NÃO",0,IF(VLOOKUP($B240,FROTA!$B$5:$R$305,10,0)=T$3,0.01,0)))</f>
        <v/>
      </c>
      <c r="U240" s="307" t="str">
        <f>IF($B240="","",IF(U$4="NÃO",0,IF(VLOOKUP($B240,FROTA!$B$5:$R$305,10,0)=U$3,0.01,0)))</f>
        <v/>
      </c>
      <c r="V240" s="306" t="str">
        <f t="shared" si="30"/>
        <v/>
      </c>
      <c r="W240" s="238" t="str">
        <f t="shared" si="28"/>
        <v/>
      </c>
      <c r="X240" s="576" t="str">
        <f t="shared" si="31"/>
        <v/>
      </c>
      <c r="BA240" s="581">
        <v>45073</v>
      </c>
      <c r="BB240" s="582">
        <v>2023</v>
      </c>
    </row>
    <row r="241" spans="2:54" ht="15" customHeight="1" x14ac:dyDescent="0.2">
      <c r="B241" s="192" t="str">
        <f>IF(FROTA!B242="","",FROTA!B242)</f>
        <v/>
      </c>
      <c r="C241" s="192" t="str">
        <f>IF(B241="","",FROTA!Z242)</f>
        <v/>
      </c>
      <c r="D241" s="192" t="str">
        <f>IF(B241="","",VLOOKUP(B241,FROTA!$B$5:$C$310,2,0))</f>
        <v/>
      </c>
      <c r="E241" s="233" t="str">
        <f>IF(D241="","",VLOOKUP(D241,ESCALA!$B$3:$H$19,7,0))</f>
        <v/>
      </c>
      <c r="F241" s="219" t="s">
        <v>222</v>
      </c>
      <c r="G241" s="305" t="str">
        <f t="shared" si="29"/>
        <v/>
      </c>
      <c r="H241" s="314" t="str">
        <f>IF($B241="","",IF(H$4="NÃO",0,IF(VLOOKUP($B241,FROTA!$B$5:$R$305,17,0)=H$3,0.02,0)))</f>
        <v/>
      </c>
      <c r="I241" s="193" t="str">
        <f>IF($B241="","",IF(I$4="NÃO",0,IF(VLOOKUP($B241,FROTA!$B$5:$R$305,17,0)=I$3,0.02,0)))</f>
        <v/>
      </c>
      <c r="J241" s="193" t="str">
        <f>IF($B241="","",IF(J$4="NÃO",0,IF(VLOOKUP($B241,FROTA!$B$5:$R$305,17,0)=J$3,0.02,0)))</f>
        <v/>
      </c>
      <c r="K241" s="193" t="str">
        <f>IF($B241="","",IF(K$4="NÃO",0,IF(VLOOKUP($B241,FROTA!$B$5:$R$305,17,0)=K$3,0.02,0)))</f>
        <v/>
      </c>
      <c r="L241" s="193" t="str">
        <f>IF($B241="","",IF(L$4="NÃO",0,IF(VLOOKUP($B241,FROTA!$B$5:$R$305,17,0)=L$3,0.02,0)))</f>
        <v/>
      </c>
      <c r="M241" s="193" t="str">
        <f>IF($B241="","",IF(M$4="NÃO",0,IF(VLOOKUP($B241,FROTA!$B$5:$R$305,17,0)=M$3,0.02,0)))</f>
        <v/>
      </c>
      <c r="N241" s="193" t="str">
        <f>IF($B241="","",IF(M$4="NÃO",0,IF(VLOOKUP($B241,FROTA!$B$5:$R$305,17,0)=N$3,0.02,0)))</f>
        <v/>
      </c>
      <c r="O241" s="311" t="str">
        <f>IF($B241="","",IF(O$4="NÃO",0,IF(VLOOKUP($B241,FROTA!$B$5:$R$305,10,0)=O$3,0.01,0)))</f>
        <v/>
      </c>
      <c r="P241" s="307" t="str">
        <f>IF($B241="","",IF(P$4="NÃO",0,IF(VLOOKUP($B241,FROTA!$B$5:$R$305,10,0)=P$3,0.01,0)))</f>
        <v/>
      </c>
      <c r="Q241" s="307" t="str">
        <f>IF($B241="","",IF(Q$4="NÃO",0,IF(VLOOKUP($B241,FROTA!$B$5:$R$305,10,0)=Q$3,0.01,0)))</f>
        <v/>
      </c>
      <c r="R241" s="307" t="str">
        <f>IF($B241="","",IF(R$4="NÃO",0,IF(VLOOKUP($B241,FROTA!$B$5:$R$305,10,0)=R$3,0.01,0)))</f>
        <v/>
      </c>
      <c r="S241" s="307" t="str">
        <f>IF($B241="","",IF(S$4="NÃO",0,IF(VLOOKUP($B241,FROTA!$B$5:$R$305,10,0)=S$3,0.01,0)))</f>
        <v/>
      </c>
      <c r="T241" s="307" t="str">
        <f>IF($B241="","",IF(T$4="NÃO",0,IF(VLOOKUP($B241,FROTA!$B$5:$R$305,10,0)=T$3,0.01,0)))</f>
        <v/>
      </c>
      <c r="U241" s="307" t="str">
        <f>IF($B241="","",IF(U$4="NÃO",0,IF(VLOOKUP($B241,FROTA!$B$5:$R$305,10,0)=U$3,0.01,0)))</f>
        <v/>
      </c>
      <c r="V241" s="306" t="str">
        <f t="shared" si="30"/>
        <v/>
      </c>
      <c r="W241" s="238" t="str">
        <f t="shared" si="28"/>
        <v/>
      </c>
      <c r="X241" s="576" t="str">
        <f t="shared" si="31"/>
        <v/>
      </c>
      <c r="BA241" s="581">
        <v>45074</v>
      </c>
      <c r="BB241" s="582">
        <v>2023</v>
      </c>
    </row>
    <row r="242" spans="2:54" ht="15" customHeight="1" x14ac:dyDescent="0.2">
      <c r="B242" s="192" t="str">
        <f>IF(FROTA!B243="","",FROTA!B243)</f>
        <v/>
      </c>
      <c r="C242" s="192" t="str">
        <f>IF(B242="","",FROTA!Z243)</f>
        <v/>
      </c>
      <c r="D242" s="192" t="str">
        <f>IF(B242="","",VLOOKUP(B242,FROTA!$B$5:$C$310,2,0))</f>
        <v/>
      </c>
      <c r="E242" s="233" t="str">
        <f>IF(D242="","",VLOOKUP(D242,ESCALA!$B$3:$H$19,7,0))</f>
        <v/>
      </c>
      <c r="F242" s="219" t="s">
        <v>222</v>
      </c>
      <c r="G242" s="305" t="str">
        <f t="shared" si="29"/>
        <v/>
      </c>
      <c r="H242" s="314" t="str">
        <f>IF($B242="","",IF(H$4="NÃO",0,IF(VLOOKUP($B242,FROTA!$B$5:$R$305,17,0)=H$3,0.02,0)))</f>
        <v/>
      </c>
      <c r="I242" s="193" t="str">
        <f>IF($B242="","",IF(I$4="NÃO",0,IF(VLOOKUP($B242,FROTA!$B$5:$R$305,17,0)=I$3,0.02,0)))</f>
        <v/>
      </c>
      <c r="J242" s="193" t="str">
        <f>IF($B242="","",IF(J$4="NÃO",0,IF(VLOOKUP($B242,FROTA!$B$5:$R$305,17,0)=J$3,0.02,0)))</f>
        <v/>
      </c>
      <c r="K242" s="193" t="str">
        <f>IF($B242="","",IF(K$4="NÃO",0,IF(VLOOKUP($B242,FROTA!$B$5:$R$305,17,0)=K$3,0.02,0)))</f>
        <v/>
      </c>
      <c r="L242" s="193" t="str">
        <f>IF($B242="","",IF(L$4="NÃO",0,IF(VLOOKUP($B242,FROTA!$B$5:$R$305,17,0)=L$3,0.02,0)))</f>
        <v/>
      </c>
      <c r="M242" s="193" t="str">
        <f>IF($B242="","",IF(M$4="NÃO",0,IF(VLOOKUP($B242,FROTA!$B$5:$R$305,17,0)=M$3,0.02,0)))</f>
        <v/>
      </c>
      <c r="N242" s="193" t="str">
        <f>IF($B242="","",IF(M$4="NÃO",0,IF(VLOOKUP($B242,FROTA!$B$5:$R$305,17,0)=N$3,0.02,0)))</f>
        <v/>
      </c>
      <c r="O242" s="311" t="str">
        <f>IF($B242="","",IF(O$4="NÃO",0,IF(VLOOKUP($B242,FROTA!$B$5:$R$305,10,0)=O$3,0.01,0)))</f>
        <v/>
      </c>
      <c r="P242" s="307" t="str">
        <f>IF($B242="","",IF(P$4="NÃO",0,IF(VLOOKUP($B242,FROTA!$B$5:$R$305,10,0)=P$3,0.01,0)))</f>
        <v/>
      </c>
      <c r="Q242" s="307" t="str">
        <f>IF($B242="","",IF(Q$4="NÃO",0,IF(VLOOKUP($B242,FROTA!$B$5:$R$305,10,0)=Q$3,0.01,0)))</f>
        <v/>
      </c>
      <c r="R242" s="307" t="str">
        <f>IF($B242="","",IF(R$4="NÃO",0,IF(VLOOKUP($B242,FROTA!$B$5:$R$305,10,0)=R$3,0.01,0)))</f>
        <v/>
      </c>
      <c r="S242" s="307" t="str">
        <f>IF($B242="","",IF(S$4="NÃO",0,IF(VLOOKUP($B242,FROTA!$B$5:$R$305,10,0)=S$3,0.01,0)))</f>
        <v/>
      </c>
      <c r="T242" s="307" t="str">
        <f>IF($B242="","",IF(T$4="NÃO",0,IF(VLOOKUP($B242,FROTA!$B$5:$R$305,10,0)=T$3,0.01,0)))</f>
        <v/>
      </c>
      <c r="U242" s="307" t="str">
        <f>IF($B242="","",IF(U$4="NÃO",0,IF(VLOOKUP($B242,FROTA!$B$5:$R$305,10,0)=U$3,0.01,0)))</f>
        <v/>
      </c>
      <c r="V242" s="306" t="str">
        <f t="shared" si="30"/>
        <v/>
      </c>
      <c r="W242" s="238" t="str">
        <f t="shared" si="28"/>
        <v/>
      </c>
      <c r="X242" s="576" t="str">
        <f t="shared" si="31"/>
        <v/>
      </c>
      <c r="BA242" s="581">
        <v>45075</v>
      </c>
      <c r="BB242" s="582">
        <v>2023</v>
      </c>
    </row>
    <row r="243" spans="2:54" ht="15" customHeight="1" x14ac:dyDescent="0.2">
      <c r="B243" s="192" t="str">
        <f>IF(FROTA!B244="","",FROTA!B244)</f>
        <v/>
      </c>
      <c r="C243" s="192" t="str">
        <f>IF(B243="","",FROTA!Z244)</f>
        <v/>
      </c>
      <c r="D243" s="192" t="str">
        <f>IF(B243="","",VLOOKUP(B243,FROTA!$B$5:$C$310,2,0))</f>
        <v/>
      </c>
      <c r="E243" s="233" t="str">
        <f>IF(D243="","",VLOOKUP(D243,ESCALA!$B$3:$H$19,7,0))</f>
        <v/>
      </c>
      <c r="F243" s="219" t="s">
        <v>222</v>
      </c>
      <c r="G243" s="305" t="str">
        <f t="shared" si="29"/>
        <v/>
      </c>
      <c r="H243" s="314" t="str">
        <f>IF($B243="","",IF(H$4="NÃO",0,IF(VLOOKUP($B243,FROTA!$B$5:$R$305,17,0)=H$3,0.02,0)))</f>
        <v/>
      </c>
      <c r="I243" s="193" t="str">
        <f>IF($B243="","",IF(I$4="NÃO",0,IF(VLOOKUP($B243,FROTA!$B$5:$R$305,17,0)=I$3,0.02,0)))</f>
        <v/>
      </c>
      <c r="J243" s="193" t="str">
        <f>IF($B243="","",IF(J$4="NÃO",0,IF(VLOOKUP($B243,FROTA!$B$5:$R$305,17,0)=J$3,0.02,0)))</f>
        <v/>
      </c>
      <c r="K243" s="193" t="str">
        <f>IF($B243="","",IF(K$4="NÃO",0,IF(VLOOKUP($B243,FROTA!$B$5:$R$305,17,0)=K$3,0.02,0)))</f>
        <v/>
      </c>
      <c r="L243" s="193" t="str">
        <f>IF($B243="","",IF(L$4="NÃO",0,IF(VLOOKUP($B243,FROTA!$B$5:$R$305,17,0)=L$3,0.02,0)))</f>
        <v/>
      </c>
      <c r="M243" s="193" t="str">
        <f>IF($B243="","",IF(M$4="NÃO",0,IF(VLOOKUP($B243,FROTA!$B$5:$R$305,17,0)=M$3,0.02,0)))</f>
        <v/>
      </c>
      <c r="N243" s="193" t="str">
        <f>IF($B243="","",IF(M$4="NÃO",0,IF(VLOOKUP($B243,FROTA!$B$5:$R$305,17,0)=N$3,0.02,0)))</f>
        <v/>
      </c>
      <c r="O243" s="311" t="str">
        <f>IF($B243="","",IF(O$4="NÃO",0,IF(VLOOKUP($B243,FROTA!$B$5:$R$305,10,0)=O$3,0.01,0)))</f>
        <v/>
      </c>
      <c r="P243" s="307" t="str">
        <f>IF($B243="","",IF(P$4="NÃO",0,IF(VLOOKUP($B243,FROTA!$B$5:$R$305,10,0)=P$3,0.01,0)))</f>
        <v/>
      </c>
      <c r="Q243" s="307" t="str">
        <f>IF($B243="","",IF(Q$4="NÃO",0,IF(VLOOKUP($B243,FROTA!$B$5:$R$305,10,0)=Q$3,0.01,0)))</f>
        <v/>
      </c>
      <c r="R243" s="307" t="str">
        <f>IF($B243="","",IF(R$4="NÃO",0,IF(VLOOKUP($B243,FROTA!$B$5:$R$305,10,0)=R$3,0.01,0)))</f>
        <v/>
      </c>
      <c r="S243" s="307" t="str">
        <f>IF($B243="","",IF(S$4="NÃO",0,IF(VLOOKUP($B243,FROTA!$B$5:$R$305,10,0)=S$3,0.01,0)))</f>
        <v/>
      </c>
      <c r="T243" s="307" t="str">
        <f>IF($B243="","",IF(T$4="NÃO",0,IF(VLOOKUP($B243,FROTA!$B$5:$R$305,10,0)=T$3,0.01,0)))</f>
        <v/>
      </c>
      <c r="U243" s="307" t="str">
        <f>IF($B243="","",IF(U$4="NÃO",0,IF(VLOOKUP($B243,FROTA!$B$5:$R$305,10,0)=U$3,0.01,0)))</f>
        <v/>
      </c>
      <c r="V243" s="306" t="str">
        <f t="shared" si="30"/>
        <v/>
      </c>
      <c r="W243" s="238" t="str">
        <f t="shared" si="28"/>
        <v/>
      </c>
      <c r="X243" s="576" t="str">
        <f t="shared" si="31"/>
        <v/>
      </c>
      <c r="BA243" s="581">
        <v>45076</v>
      </c>
      <c r="BB243" s="582">
        <v>2023</v>
      </c>
    </row>
    <row r="244" spans="2:54" ht="15" customHeight="1" x14ac:dyDescent="0.2">
      <c r="B244" s="192" t="str">
        <f>IF(FROTA!B245="","",FROTA!B245)</f>
        <v/>
      </c>
      <c r="C244" s="192" t="str">
        <f>IF(B244="","",FROTA!Z245)</f>
        <v/>
      </c>
      <c r="D244" s="192" t="str">
        <f>IF(B244="","",VLOOKUP(B244,FROTA!$B$5:$C$310,2,0))</f>
        <v/>
      </c>
      <c r="E244" s="233" t="str">
        <f>IF(D244="","",VLOOKUP(D244,ESCALA!$B$3:$H$19,7,0))</f>
        <v/>
      </c>
      <c r="F244" s="219" t="s">
        <v>222</v>
      </c>
      <c r="G244" s="305" t="str">
        <f t="shared" si="29"/>
        <v/>
      </c>
      <c r="H244" s="314" t="str">
        <f>IF($B244="","",IF(H$4="NÃO",0,IF(VLOOKUP($B244,FROTA!$B$5:$R$305,17,0)=H$3,0.02,0)))</f>
        <v/>
      </c>
      <c r="I244" s="193" t="str">
        <f>IF($B244="","",IF(I$4="NÃO",0,IF(VLOOKUP($B244,FROTA!$B$5:$R$305,17,0)=I$3,0.02,0)))</f>
        <v/>
      </c>
      <c r="J244" s="193" t="str">
        <f>IF($B244="","",IF(J$4="NÃO",0,IF(VLOOKUP($B244,FROTA!$B$5:$R$305,17,0)=J$3,0.02,0)))</f>
        <v/>
      </c>
      <c r="K244" s="193" t="str">
        <f>IF($B244="","",IF(K$4="NÃO",0,IF(VLOOKUP($B244,FROTA!$B$5:$R$305,17,0)=K$3,0.02,0)))</f>
        <v/>
      </c>
      <c r="L244" s="193" t="str">
        <f>IF($B244="","",IF(L$4="NÃO",0,IF(VLOOKUP($B244,FROTA!$B$5:$R$305,17,0)=L$3,0.02,0)))</f>
        <v/>
      </c>
      <c r="M244" s="193" t="str">
        <f>IF($B244="","",IF(M$4="NÃO",0,IF(VLOOKUP($B244,FROTA!$B$5:$R$305,17,0)=M$3,0.02,0)))</f>
        <v/>
      </c>
      <c r="N244" s="193" t="str">
        <f>IF($B244="","",IF(M$4="NÃO",0,IF(VLOOKUP($B244,FROTA!$B$5:$R$305,17,0)=N$3,0.02,0)))</f>
        <v/>
      </c>
      <c r="O244" s="311" t="str">
        <f>IF($B244="","",IF(O$4="NÃO",0,IF(VLOOKUP($B244,FROTA!$B$5:$R$305,10,0)=O$3,0.01,0)))</f>
        <v/>
      </c>
      <c r="P244" s="307" t="str">
        <f>IF($B244="","",IF(P$4="NÃO",0,IF(VLOOKUP($B244,FROTA!$B$5:$R$305,10,0)=P$3,0.01,0)))</f>
        <v/>
      </c>
      <c r="Q244" s="307" t="str">
        <f>IF($B244="","",IF(Q$4="NÃO",0,IF(VLOOKUP($B244,FROTA!$B$5:$R$305,10,0)=Q$3,0.01,0)))</f>
        <v/>
      </c>
      <c r="R244" s="307" t="str">
        <f>IF($B244="","",IF(R$4="NÃO",0,IF(VLOOKUP($B244,FROTA!$B$5:$R$305,10,0)=R$3,0.01,0)))</f>
        <v/>
      </c>
      <c r="S244" s="307" t="str">
        <f>IF($B244="","",IF(S$4="NÃO",0,IF(VLOOKUP($B244,FROTA!$B$5:$R$305,10,0)=S$3,0.01,0)))</f>
        <v/>
      </c>
      <c r="T244" s="307" t="str">
        <f>IF($B244="","",IF(T$4="NÃO",0,IF(VLOOKUP($B244,FROTA!$B$5:$R$305,10,0)=T$3,0.01,0)))</f>
        <v/>
      </c>
      <c r="U244" s="307" t="str">
        <f>IF($B244="","",IF(U$4="NÃO",0,IF(VLOOKUP($B244,FROTA!$B$5:$R$305,10,0)=U$3,0.01,0)))</f>
        <v/>
      </c>
      <c r="V244" s="306" t="str">
        <f t="shared" si="30"/>
        <v/>
      </c>
      <c r="W244" s="238" t="str">
        <f t="shared" si="28"/>
        <v/>
      </c>
      <c r="X244" s="576" t="str">
        <f t="shared" si="31"/>
        <v/>
      </c>
      <c r="BA244" s="581">
        <v>45077</v>
      </c>
      <c r="BB244" s="582">
        <v>2023</v>
      </c>
    </row>
    <row r="245" spans="2:54" ht="15" customHeight="1" x14ac:dyDescent="0.2">
      <c r="B245" s="192" t="str">
        <f>IF(FROTA!B246="","",FROTA!B246)</f>
        <v/>
      </c>
      <c r="C245" s="192" t="str">
        <f>IF(B245="","",FROTA!Z246)</f>
        <v/>
      </c>
      <c r="D245" s="192" t="str">
        <f>IF(B245="","",VLOOKUP(B245,FROTA!$B$5:$C$310,2,0))</f>
        <v/>
      </c>
      <c r="E245" s="233" t="str">
        <f>IF(D245="","",VLOOKUP(D245,ESCALA!$B$3:$H$19,7,0))</f>
        <v/>
      </c>
      <c r="F245" s="219" t="s">
        <v>222</v>
      </c>
      <c r="G245" s="305" t="str">
        <f t="shared" si="29"/>
        <v/>
      </c>
      <c r="H245" s="314" t="str">
        <f>IF($B245="","",IF(H$4="NÃO",0,IF(VLOOKUP($B245,FROTA!$B$5:$R$305,17,0)=H$3,0.02,0)))</f>
        <v/>
      </c>
      <c r="I245" s="193" t="str">
        <f>IF($B245="","",IF(I$4="NÃO",0,IF(VLOOKUP($B245,FROTA!$B$5:$R$305,17,0)=I$3,0.02,0)))</f>
        <v/>
      </c>
      <c r="J245" s="193" t="str">
        <f>IF($B245="","",IF(J$4="NÃO",0,IF(VLOOKUP($B245,FROTA!$B$5:$R$305,17,0)=J$3,0.02,0)))</f>
        <v/>
      </c>
      <c r="K245" s="193" t="str">
        <f>IF($B245="","",IF(K$4="NÃO",0,IF(VLOOKUP($B245,FROTA!$B$5:$R$305,17,0)=K$3,0.02,0)))</f>
        <v/>
      </c>
      <c r="L245" s="193" t="str">
        <f>IF($B245="","",IF(L$4="NÃO",0,IF(VLOOKUP($B245,FROTA!$B$5:$R$305,17,0)=L$3,0.02,0)))</f>
        <v/>
      </c>
      <c r="M245" s="193" t="str">
        <f>IF($B245="","",IF(M$4="NÃO",0,IF(VLOOKUP($B245,FROTA!$B$5:$R$305,17,0)=M$3,0.02,0)))</f>
        <v/>
      </c>
      <c r="N245" s="193" t="str">
        <f>IF($B245="","",IF(M$4="NÃO",0,IF(VLOOKUP($B245,FROTA!$B$5:$R$305,17,0)=N$3,0.02,0)))</f>
        <v/>
      </c>
      <c r="O245" s="311" t="str">
        <f>IF($B245="","",IF(O$4="NÃO",0,IF(VLOOKUP($B245,FROTA!$B$5:$R$305,10,0)=O$3,0.01,0)))</f>
        <v/>
      </c>
      <c r="P245" s="307" t="str">
        <f>IF($B245="","",IF(P$4="NÃO",0,IF(VLOOKUP($B245,FROTA!$B$5:$R$305,10,0)=P$3,0.01,0)))</f>
        <v/>
      </c>
      <c r="Q245" s="307" t="str">
        <f>IF($B245="","",IF(Q$4="NÃO",0,IF(VLOOKUP($B245,FROTA!$B$5:$R$305,10,0)=Q$3,0.01,0)))</f>
        <v/>
      </c>
      <c r="R245" s="307" t="str">
        <f>IF($B245="","",IF(R$4="NÃO",0,IF(VLOOKUP($B245,FROTA!$B$5:$R$305,10,0)=R$3,0.01,0)))</f>
        <v/>
      </c>
      <c r="S245" s="307" t="str">
        <f>IF($B245="","",IF(S$4="NÃO",0,IF(VLOOKUP($B245,FROTA!$B$5:$R$305,10,0)=S$3,0.01,0)))</f>
        <v/>
      </c>
      <c r="T245" s="307" t="str">
        <f>IF($B245="","",IF(T$4="NÃO",0,IF(VLOOKUP($B245,FROTA!$B$5:$R$305,10,0)=T$3,0.01,0)))</f>
        <v/>
      </c>
      <c r="U245" s="307" t="str">
        <f>IF($B245="","",IF(U$4="NÃO",0,IF(VLOOKUP($B245,FROTA!$B$5:$R$305,10,0)=U$3,0.01,0)))</f>
        <v/>
      </c>
      <c r="V245" s="306" t="str">
        <f t="shared" si="30"/>
        <v/>
      </c>
      <c r="W245" s="238" t="str">
        <f t="shared" si="28"/>
        <v/>
      </c>
      <c r="X245" s="576" t="str">
        <f t="shared" si="31"/>
        <v/>
      </c>
      <c r="BA245" s="581">
        <v>45078</v>
      </c>
      <c r="BB245" s="582">
        <v>2023</v>
      </c>
    </row>
    <row r="246" spans="2:54" ht="15" customHeight="1" x14ac:dyDescent="0.2">
      <c r="B246" s="192" t="str">
        <f>IF(FROTA!B247="","",FROTA!B247)</f>
        <v/>
      </c>
      <c r="C246" s="192" t="str">
        <f>IF(B246="","",FROTA!Z247)</f>
        <v/>
      </c>
      <c r="D246" s="192" t="str">
        <f>IF(B246="","",VLOOKUP(B246,FROTA!$B$5:$C$310,2,0))</f>
        <v/>
      </c>
      <c r="E246" s="233" t="str">
        <f>IF(D246="","",VLOOKUP(D246,ESCALA!$B$3:$H$19,7,0))</f>
        <v/>
      </c>
      <c r="F246" s="219" t="s">
        <v>222</v>
      </c>
      <c r="G246" s="305" t="str">
        <f t="shared" si="29"/>
        <v/>
      </c>
      <c r="H246" s="314" t="str">
        <f>IF($B246="","",IF(H$4="NÃO",0,IF(VLOOKUP($B246,FROTA!$B$5:$R$305,17,0)=H$3,0.02,0)))</f>
        <v/>
      </c>
      <c r="I246" s="193" t="str">
        <f>IF($B246="","",IF(I$4="NÃO",0,IF(VLOOKUP($B246,FROTA!$B$5:$R$305,17,0)=I$3,0.02,0)))</f>
        <v/>
      </c>
      <c r="J246" s="193" t="str">
        <f>IF($B246="","",IF(J$4="NÃO",0,IF(VLOOKUP($B246,FROTA!$B$5:$R$305,17,0)=J$3,0.02,0)))</f>
        <v/>
      </c>
      <c r="K246" s="193" t="str">
        <f>IF($B246="","",IF(K$4="NÃO",0,IF(VLOOKUP($B246,FROTA!$B$5:$R$305,17,0)=K$3,0.02,0)))</f>
        <v/>
      </c>
      <c r="L246" s="193" t="str">
        <f>IF($B246="","",IF(L$4="NÃO",0,IF(VLOOKUP($B246,FROTA!$B$5:$R$305,17,0)=L$3,0.02,0)))</f>
        <v/>
      </c>
      <c r="M246" s="193" t="str">
        <f>IF($B246="","",IF(M$4="NÃO",0,IF(VLOOKUP($B246,FROTA!$B$5:$R$305,17,0)=M$3,0.02,0)))</f>
        <v/>
      </c>
      <c r="N246" s="193" t="str">
        <f>IF($B246="","",IF(M$4="NÃO",0,IF(VLOOKUP($B246,FROTA!$B$5:$R$305,17,0)=N$3,0.02,0)))</f>
        <v/>
      </c>
      <c r="O246" s="311" t="str">
        <f>IF($B246="","",IF(O$4="NÃO",0,IF(VLOOKUP($B246,FROTA!$B$5:$R$305,10,0)=O$3,0.01,0)))</f>
        <v/>
      </c>
      <c r="P246" s="307" t="str">
        <f>IF($B246="","",IF(P$4="NÃO",0,IF(VLOOKUP($B246,FROTA!$B$5:$R$305,10,0)=P$3,0.01,0)))</f>
        <v/>
      </c>
      <c r="Q246" s="307" t="str">
        <f>IF($B246="","",IF(Q$4="NÃO",0,IF(VLOOKUP($B246,FROTA!$B$5:$R$305,10,0)=Q$3,0.01,0)))</f>
        <v/>
      </c>
      <c r="R246" s="307" t="str">
        <f>IF($B246="","",IF(R$4="NÃO",0,IF(VLOOKUP($B246,FROTA!$B$5:$R$305,10,0)=R$3,0.01,0)))</f>
        <v/>
      </c>
      <c r="S246" s="307" t="str">
        <f>IF($B246="","",IF(S$4="NÃO",0,IF(VLOOKUP($B246,FROTA!$B$5:$R$305,10,0)=S$3,0.01,0)))</f>
        <v/>
      </c>
      <c r="T246" s="307" t="str">
        <f>IF($B246="","",IF(T$4="NÃO",0,IF(VLOOKUP($B246,FROTA!$B$5:$R$305,10,0)=T$3,0.01,0)))</f>
        <v/>
      </c>
      <c r="U246" s="307" t="str">
        <f>IF($B246="","",IF(U$4="NÃO",0,IF(VLOOKUP($B246,FROTA!$B$5:$R$305,10,0)=U$3,0.01,0)))</f>
        <v/>
      </c>
      <c r="V246" s="306" t="str">
        <f t="shared" si="30"/>
        <v/>
      </c>
      <c r="W246" s="238" t="str">
        <f t="shared" si="28"/>
        <v/>
      </c>
      <c r="X246" s="576" t="str">
        <f t="shared" si="31"/>
        <v/>
      </c>
      <c r="BA246" s="581">
        <v>45079</v>
      </c>
      <c r="BB246" s="582">
        <v>2023</v>
      </c>
    </row>
    <row r="247" spans="2:54" ht="15" customHeight="1" x14ac:dyDescent="0.2">
      <c r="B247" s="192" t="str">
        <f>IF(FROTA!B248="","",FROTA!B248)</f>
        <v/>
      </c>
      <c r="C247" s="192" t="str">
        <f>IF(B247="","",FROTA!Z248)</f>
        <v/>
      </c>
      <c r="D247" s="192" t="str">
        <f>IF(B247="","",VLOOKUP(B247,FROTA!$B$5:$C$310,2,0))</f>
        <v/>
      </c>
      <c r="E247" s="233" t="str">
        <f>IF(D247="","",VLOOKUP(D247,ESCALA!$B$3:$H$19,7,0))</f>
        <v/>
      </c>
      <c r="F247" s="219" t="s">
        <v>222</v>
      </c>
      <c r="G247" s="305" t="str">
        <f t="shared" si="29"/>
        <v/>
      </c>
      <c r="H247" s="314" t="str">
        <f>IF($B247="","",IF(H$4="NÃO",0,IF(VLOOKUP($B247,FROTA!$B$5:$R$305,17,0)=H$3,0.02,0)))</f>
        <v/>
      </c>
      <c r="I247" s="193" t="str">
        <f>IF($B247="","",IF(I$4="NÃO",0,IF(VLOOKUP($B247,FROTA!$B$5:$R$305,17,0)=I$3,0.02,0)))</f>
        <v/>
      </c>
      <c r="J247" s="193" t="str">
        <f>IF($B247="","",IF(J$4="NÃO",0,IF(VLOOKUP($B247,FROTA!$B$5:$R$305,17,0)=J$3,0.02,0)))</f>
        <v/>
      </c>
      <c r="K247" s="193" t="str">
        <f>IF($B247="","",IF(K$4="NÃO",0,IF(VLOOKUP($B247,FROTA!$B$5:$R$305,17,0)=K$3,0.02,0)))</f>
        <v/>
      </c>
      <c r="L247" s="193" t="str">
        <f>IF($B247="","",IF(L$4="NÃO",0,IF(VLOOKUP($B247,FROTA!$B$5:$R$305,17,0)=L$3,0.02,0)))</f>
        <v/>
      </c>
      <c r="M247" s="193" t="str">
        <f>IF($B247="","",IF(M$4="NÃO",0,IF(VLOOKUP($B247,FROTA!$B$5:$R$305,17,0)=M$3,0.02,0)))</f>
        <v/>
      </c>
      <c r="N247" s="193" t="str">
        <f>IF($B247="","",IF(M$4="NÃO",0,IF(VLOOKUP($B247,FROTA!$B$5:$R$305,17,0)=N$3,0.02,0)))</f>
        <v/>
      </c>
      <c r="O247" s="311" t="str">
        <f>IF($B247="","",IF(O$4="NÃO",0,IF(VLOOKUP($B247,FROTA!$B$5:$R$305,10,0)=O$3,0.01,0)))</f>
        <v/>
      </c>
      <c r="P247" s="307" t="str">
        <f>IF($B247="","",IF(P$4="NÃO",0,IF(VLOOKUP($B247,FROTA!$B$5:$R$305,10,0)=P$3,0.01,0)))</f>
        <v/>
      </c>
      <c r="Q247" s="307" t="str">
        <f>IF($B247="","",IF(Q$4="NÃO",0,IF(VLOOKUP($B247,FROTA!$B$5:$R$305,10,0)=Q$3,0.01,0)))</f>
        <v/>
      </c>
      <c r="R247" s="307" t="str">
        <f>IF($B247="","",IF(R$4="NÃO",0,IF(VLOOKUP($B247,FROTA!$B$5:$R$305,10,0)=R$3,0.01,0)))</f>
        <v/>
      </c>
      <c r="S247" s="307" t="str">
        <f>IF($B247="","",IF(S$4="NÃO",0,IF(VLOOKUP($B247,FROTA!$B$5:$R$305,10,0)=S$3,0.01,0)))</f>
        <v/>
      </c>
      <c r="T247" s="307" t="str">
        <f>IF($B247="","",IF(T$4="NÃO",0,IF(VLOOKUP($B247,FROTA!$B$5:$R$305,10,0)=T$3,0.01,0)))</f>
        <v/>
      </c>
      <c r="U247" s="307" t="str">
        <f>IF($B247="","",IF(U$4="NÃO",0,IF(VLOOKUP($B247,FROTA!$B$5:$R$305,10,0)=U$3,0.01,0)))</f>
        <v/>
      </c>
      <c r="V247" s="306" t="str">
        <f t="shared" si="30"/>
        <v/>
      </c>
      <c r="W247" s="238" t="str">
        <f t="shared" si="28"/>
        <v/>
      </c>
      <c r="X247" s="576" t="str">
        <f t="shared" si="31"/>
        <v/>
      </c>
      <c r="BA247" s="581">
        <v>45080</v>
      </c>
      <c r="BB247" s="582">
        <v>2023</v>
      </c>
    </row>
    <row r="248" spans="2:54" ht="15" customHeight="1" x14ac:dyDescent="0.2">
      <c r="B248" s="192" t="str">
        <f>IF(FROTA!B249="","",FROTA!B249)</f>
        <v/>
      </c>
      <c r="C248" s="192" t="str">
        <f>IF(B248="","",FROTA!Z249)</f>
        <v/>
      </c>
      <c r="D248" s="192" t="str">
        <f>IF(B248="","",VLOOKUP(B248,FROTA!$B$5:$C$310,2,0))</f>
        <v/>
      </c>
      <c r="E248" s="233" t="str">
        <f>IF(D248="","",VLOOKUP(D248,ESCALA!$B$3:$H$19,7,0))</f>
        <v/>
      </c>
      <c r="F248" s="219" t="s">
        <v>222</v>
      </c>
      <c r="G248" s="305" t="str">
        <f t="shared" si="29"/>
        <v/>
      </c>
      <c r="H248" s="314" t="str">
        <f>IF($B248="","",IF(H$4="NÃO",0,IF(VLOOKUP($B248,FROTA!$B$5:$R$305,17,0)=H$3,0.02,0)))</f>
        <v/>
      </c>
      <c r="I248" s="193" t="str">
        <f>IF($B248="","",IF(I$4="NÃO",0,IF(VLOOKUP($B248,FROTA!$B$5:$R$305,17,0)=I$3,0.02,0)))</f>
        <v/>
      </c>
      <c r="J248" s="193" t="str">
        <f>IF($B248="","",IF(J$4="NÃO",0,IF(VLOOKUP($B248,FROTA!$B$5:$R$305,17,0)=J$3,0.02,0)))</f>
        <v/>
      </c>
      <c r="K248" s="193" t="str">
        <f>IF($B248="","",IF(K$4="NÃO",0,IF(VLOOKUP($B248,FROTA!$B$5:$R$305,17,0)=K$3,0.02,0)))</f>
        <v/>
      </c>
      <c r="L248" s="193" t="str">
        <f>IF($B248="","",IF(L$4="NÃO",0,IF(VLOOKUP($B248,FROTA!$B$5:$R$305,17,0)=L$3,0.02,0)))</f>
        <v/>
      </c>
      <c r="M248" s="193" t="str">
        <f>IF($B248="","",IF(M$4="NÃO",0,IF(VLOOKUP($B248,FROTA!$B$5:$R$305,17,0)=M$3,0.02,0)))</f>
        <v/>
      </c>
      <c r="N248" s="193" t="str">
        <f>IF($B248="","",IF(M$4="NÃO",0,IF(VLOOKUP($B248,FROTA!$B$5:$R$305,17,0)=N$3,0.02,0)))</f>
        <v/>
      </c>
      <c r="O248" s="311" t="str">
        <f>IF($B248="","",IF(O$4="NÃO",0,IF(VLOOKUP($B248,FROTA!$B$5:$R$305,10,0)=O$3,0.01,0)))</f>
        <v/>
      </c>
      <c r="P248" s="307" t="str">
        <f>IF($B248="","",IF(P$4="NÃO",0,IF(VLOOKUP($B248,FROTA!$B$5:$R$305,10,0)=P$3,0.01,0)))</f>
        <v/>
      </c>
      <c r="Q248" s="307" t="str">
        <f>IF($B248="","",IF(Q$4="NÃO",0,IF(VLOOKUP($B248,FROTA!$B$5:$R$305,10,0)=Q$3,0.01,0)))</f>
        <v/>
      </c>
      <c r="R248" s="307" t="str">
        <f>IF($B248="","",IF(R$4="NÃO",0,IF(VLOOKUP($B248,FROTA!$B$5:$R$305,10,0)=R$3,0.01,0)))</f>
        <v/>
      </c>
      <c r="S248" s="307" t="str">
        <f>IF($B248="","",IF(S$4="NÃO",0,IF(VLOOKUP($B248,FROTA!$B$5:$R$305,10,0)=S$3,0.01,0)))</f>
        <v/>
      </c>
      <c r="T248" s="307" t="str">
        <f>IF($B248="","",IF(T$4="NÃO",0,IF(VLOOKUP($B248,FROTA!$B$5:$R$305,10,0)=T$3,0.01,0)))</f>
        <v/>
      </c>
      <c r="U248" s="307" t="str">
        <f>IF($B248="","",IF(U$4="NÃO",0,IF(VLOOKUP($B248,FROTA!$B$5:$R$305,10,0)=U$3,0.01,0)))</f>
        <v/>
      </c>
      <c r="V248" s="306" t="str">
        <f t="shared" si="30"/>
        <v/>
      </c>
      <c r="W248" s="238" t="str">
        <f t="shared" si="28"/>
        <v/>
      </c>
      <c r="X248" s="576" t="str">
        <f t="shared" si="31"/>
        <v/>
      </c>
      <c r="BA248" s="581">
        <v>45081</v>
      </c>
      <c r="BB248" s="582">
        <v>2023</v>
      </c>
    </row>
    <row r="249" spans="2:54" ht="15" customHeight="1" x14ac:dyDescent="0.2">
      <c r="B249" s="192" t="str">
        <f>IF(FROTA!B250="","",FROTA!B250)</f>
        <v/>
      </c>
      <c r="C249" s="192" t="str">
        <f>IF(B249="","",FROTA!Z250)</f>
        <v/>
      </c>
      <c r="D249" s="192" t="str">
        <f>IF(B249="","",VLOOKUP(B249,FROTA!$B$5:$C$310,2,0))</f>
        <v/>
      </c>
      <c r="E249" s="233" t="str">
        <f>IF(D249="","",VLOOKUP(D249,ESCALA!$B$3:$H$19,7,0))</f>
        <v/>
      </c>
      <c r="F249" s="219" t="s">
        <v>222</v>
      </c>
      <c r="G249" s="305" t="str">
        <f t="shared" si="29"/>
        <v/>
      </c>
      <c r="H249" s="314" t="str">
        <f>IF($B249="","",IF(H$4="NÃO",0,IF(VLOOKUP($B249,FROTA!$B$5:$R$305,17,0)=H$3,0.02,0)))</f>
        <v/>
      </c>
      <c r="I249" s="193" t="str">
        <f>IF($B249="","",IF(I$4="NÃO",0,IF(VLOOKUP($B249,FROTA!$B$5:$R$305,17,0)=I$3,0.02,0)))</f>
        <v/>
      </c>
      <c r="J249" s="193" t="str">
        <f>IF($B249="","",IF(J$4="NÃO",0,IF(VLOOKUP($B249,FROTA!$B$5:$R$305,17,0)=J$3,0.02,0)))</f>
        <v/>
      </c>
      <c r="K249" s="193" t="str">
        <f>IF($B249="","",IF(K$4="NÃO",0,IF(VLOOKUP($B249,FROTA!$B$5:$R$305,17,0)=K$3,0.02,0)))</f>
        <v/>
      </c>
      <c r="L249" s="193" t="str">
        <f>IF($B249="","",IF(L$4="NÃO",0,IF(VLOOKUP($B249,FROTA!$B$5:$R$305,17,0)=L$3,0.02,0)))</f>
        <v/>
      </c>
      <c r="M249" s="193" t="str">
        <f>IF($B249="","",IF(M$4="NÃO",0,IF(VLOOKUP($B249,FROTA!$B$5:$R$305,17,0)=M$3,0.02,0)))</f>
        <v/>
      </c>
      <c r="N249" s="193" t="str">
        <f>IF($B249="","",IF(M$4="NÃO",0,IF(VLOOKUP($B249,FROTA!$B$5:$R$305,17,0)=N$3,0.02,0)))</f>
        <v/>
      </c>
      <c r="O249" s="311" t="str">
        <f>IF($B249="","",IF(O$4="NÃO",0,IF(VLOOKUP($B249,FROTA!$B$5:$R$305,10,0)=O$3,0.01,0)))</f>
        <v/>
      </c>
      <c r="P249" s="307" t="str">
        <f>IF($B249="","",IF(P$4="NÃO",0,IF(VLOOKUP($B249,FROTA!$B$5:$R$305,10,0)=P$3,0.01,0)))</f>
        <v/>
      </c>
      <c r="Q249" s="307" t="str">
        <f>IF($B249="","",IF(Q$4="NÃO",0,IF(VLOOKUP($B249,FROTA!$B$5:$R$305,10,0)=Q$3,0.01,0)))</f>
        <v/>
      </c>
      <c r="R249" s="307" t="str">
        <f>IF($B249="","",IF(R$4="NÃO",0,IF(VLOOKUP($B249,FROTA!$B$5:$R$305,10,0)=R$3,0.01,0)))</f>
        <v/>
      </c>
      <c r="S249" s="307" t="str">
        <f>IF($B249="","",IF(S$4="NÃO",0,IF(VLOOKUP($B249,FROTA!$B$5:$R$305,10,0)=S$3,0.01,0)))</f>
        <v/>
      </c>
      <c r="T249" s="307" t="str">
        <f>IF($B249="","",IF(T$4="NÃO",0,IF(VLOOKUP($B249,FROTA!$B$5:$R$305,10,0)=T$3,0.01,0)))</f>
        <v/>
      </c>
      <c r="U249" s="307" t="str">
        <f>IF($B249="","",IF(U$4="NÃO",0,IF(VLOOKUP($B249,FROTA!$B$5:$R$305,10,0)=U$3,0.01,0)))</f>
        <v/>
      </c>
      <c r="V249" s="306" t="str">
        <f t="shared" si="30"/>
        <v/>
      </c>
      <c r="W249" s="238" t="str">
        <f t="shared" si="28"/>
        <v/>
      </c>
      <c r="X249" s="576" t="str">
        <f t="shared" si="31"/>
        <v/>
      </c>
      <c r="BA249" s="581">
        <v>45082</v>
      </c>
      <c r="BB249" s="582">
        <v>2023</v>
      </c>
    </row>
    <row r="250" spans="2:54" ht="15" customHeight="1" x14ac:dyDescent="0.2">
      <c r="B250" s="192" t="str">
        <f>IF(FROTA!B251="","",FROTA!B251)</f>
        <v/>
      </c>
      <c r="C250" s="192" t="str">
        <f>IF(B250="","",FROTA!Z251)</f>
        <v/>
      </c>
      <c r="D250" s="192" t="str">
        <f>IF(B250="","",VLOOKUP(B250,FROTA!$B$5:$C$310,2,0))</f>
        <v/>
      </c>
      <c r="E250" s="233" t="str">
        <f>IF(D250="","",VLOOKUP(D250,ESCALA!$B$3:$H$19,7,0))</f>
        <v/>
      </c>
      <c r="F250" s="219" t="s">
        <v>222</v>
      </c>
      <c r="G250" s="305" t="str">
        <f t="shared" si="29"/>
        <v/>
      </c>
      <c r="H250" s="314" t="str">
        <f>IF($B250="","",IF(H$4="NÃO",0,IF(VLOOKUP($B250,FROTA!$B$5:$R$305,17,0)=H$3,0.02,0)))</f>
        <v/>
      </c>
      <c r="I250" s="193" t="str">
        <f>IF($B250="","",IF(I$4="NÃO",0,IF(VLOOKUP($B250,FROTA!$B$5:$R$305,17,0)=I$3,0.02,0)))</f>
        <v/>
      </c>
      <c r="J250" s="193" t="str">
        <f>IF($B250="","",IF(J$4="NÃO",0,IF(VLOOKUP($B250,FROTA!$B$5:$R$305,17,0)=J$3,0.02,0)))</f>
        <v/>
      </c>
      <c r="K250" s="193" t="str">
        <f>IF($B250="","",IF(K$4="NÃO",0,IF(VLOOKUP($B250,FROTA!$B$5:$R$305,17,0)=K$3,0.02,0)))</f>
        <v/>
      </c>
      <c r="L250" s="193" t="str">
        <f>IF($B250="","",IF(L$4="NÃO",0,IF(VLOOKUP($B250,FROTA!$B$5:$R$305,17,0)=L$3,0.02,0)))</f>
        <v/>
      </c>
      <c r="M250" s="193" t="str">
        <f>IF($B250="","",IF(M$4="NÃO",0,IF(VLOOKUP($B250,FROTA!$B$5:$R$305,17,0)=M$3,0.02,0)))</f>
        <v/>
      </c>
      <c r="N250" s="193" t="str">
        <f>IF($B250="","",IF(M$4="NÃO",0,IF(VLOOKUP($B250,FROTA!$B$5:$R$305,17,0)=N$3,0.02,0)))</f>
        <v/>
      </c>
      <c r="O250" s="311" t="str">
        <f>IF($B250="","",IF(O$4="NÃO",0,IF(VLOOKUP($B250,FROTA!$B$5:$R$305,10,0)=O$3,0.01,0)))</f>
        <v/>
      </c>
      <c r="P250" s="307" t="str">
        <f>IF($B250="","",IF(P$4="NÃO",0,IF(VLOOKUP($B250,FROTA!$B$5:$R$305,10,0)=P$3,0.01,0)))</f>
        <v/>
      </c>
      <c r="Q250" s="307" t="str">
        <f>IF($B250="","",IF(Q$4="NÃO",0,IF(VLOOKUP($B250,FROTA!$B$5:$R$305,10,0)=Q$3,0.01,0)))</f>
        <v/>
      </c>
      <c r="R250" s="307" t="str">
        <f>IF($B250="","",IF(R$4="NÃO",0,IF(VLOOKUP($B250,FROTA!$B$5:$R$305,10,0)=R$3,0.01,0)))</f>
        <v/>
      </c>
      <c r="S250" s="307" t="str">
        <f>IF($B250="","",IF(S$4="NÃO",0,IF(VLOOKUP($B250,FROTA!$B$5:$R$305,10,0)=S$3,0.01,0)))</f>
        <v/>
      </c>
      <c r="T250" s="307" t="str">
        <f>IF($B250="","",IF(T$4="NÃO",0,IF(VLOOKUP($B250,FROTA!$B$5:$R$305,10,0)=T$3,0.01,0)))</f>
        <v/>
      </c>
      <c r="U250" s="307" t="str">
        <f>IF($B250="","",IF(U$4="NÃO",0,IF(VLOOKUP($B250,FROTA!$B$5:$R$305,10,0)=U$3,0.01,0)))</f>
        <v/>
      </c>
      <c r="V250" s="306" t="str">
        <f t="shared" si="30"/>
        <v/>
      </c>
      <c r="W250" s="238" t="str">
        <f t="shared" si="28"/>
        <v/>
      </c>
      <c r="X250" s="576" t="str">
        <f t="shared" si="31"/>
        <v/>
      </c>
      <c r="BA250" s="581">
        <v>45083</v>
      </c>
      <c r="BB250" s="582">
        <v>2023</v>
      </c>
    </row>
    <row r="251" spans="2:54" ht="15" customHeight="1" x14ac:dyDescent="0.2">
      <c r="B251" s="192" t="str">
        <f>IF(FROTA!B252="","",FROTA!B252)</f>
        <v/>
      </c>
      <c r="C251" s="192" t="str">
        <f>IF(B251="","",FROTA!Z252)</f>
        <v/>
      </c>
      <c r="D251" s="192" t="str">
        <f>IF(B251="","",VLOOKUP(B251,FROTA!$B$5:$C$310,2,0))</f>
        <v/>
      </c>
      <c r="E251" s="233" t="str">
        <f>IF(D251="","",VLOOKUP(D251,ESCALA!$B$3:$H$19,7,0))</f>
        <v/>
      </c>
      <c r="F251" s="219" t="s">
        <v>222</v>
      </c>
      <c r="G251" s="305" t="str">
        <f t="shared" si="29"/>
        <v/>
      </c>
      <c r="H251" s="314" t="str">
        <f>IF($B251="","",IF(H$4="NÃO",0,IF(VLOOKUP($B251,FROTA!$B$5:$R$305,17,0)=H$3,0.02,0)))</f>
        <v/>
      </c>
      <c r="I251" s="193" t="str">
        <f>IF($B251="","",IF(I$4="NÃO",0,IF(VLOOKUP($B251,FROTA!$B$5:$R$305,17,0)=I$3,0.02,0)))</f>
        <v/>
      </c>
      <c r="J251" s="193" t="str">
        <f>IF($B251="","",IF(J$4="NÃO",0,IF(VLOOKUP($B251,FROTA!$B$5:$R$305,17,0)=J$3,0.02,0)))</f>
        <v/>
      </c>
      <c r="K251" s="193" t="str">
        <f>IF($B251="","",IF(K$4="NÃO",0,IF(VLOOKUP($B251,FROTA!$B$5:$R$305,17,0)=K$3,0.02,0)))</f>
        <v/>
      </c>
      <c r="L251" s="193" t="str">
        <f>IF($B251="","",IF(L$4="NÃO",0,IF(VLOOKUP($B251,FROTA!$B$5:$R$305,17,0)=L$3,0.02,0)))</f>
        <v/>
      </c>
      <c r="M251" s="193" t="str">
        <f>IF($B251="","",IF(M$4="NÃO",0,IF(VLOOKUP($B251,FROTA!$B$5:$R$305,17,0)=M$3,0.02,0)))</f>
        <v/>
      </c>
      <c r="N251" s="193" t="str">
        <f>IF($B251="","",IF(M$4="NÃO",0,IF(VLOOKUP($B251,FROTA!$B$5:$R$305,17,0)=N$3,0.02,0)))</f>
        <v/>
      </c>
      <c r="O251" s="311" t="str">
        <f>IF($B251="","",IF(O$4="NÃO",0,IF(VLOOKUP($B251,FROTA!$B$5:$R$305,10,0)=O$3,0.01,0)))</f>
        <v/>
      </c>
      <c r="P251" s="307" t="str">
        <f>IF($B251="","",IF(P$4="NÃO",0,IF(VLOOKUP($B251,FROTA!$B$5:$R$305,10,0)=P$3,0.01,0)))</f>
        <v/>
      </c>
      <c r="Q251" s="307" t="str">
        <f>IF($B251="","",IF(Q$4="NÃO",0,IF(VLOOKUP($B251,FROTA!$B$5:$R$305,10,0)=Q$3,0.01,0)))</f>
        <v/>
      </c>
      <c r="R251" s="307" t="str">
        <f>IF($B251="","",IF(R$4="NÃO",0,IF(VLOOKUP($B251,FROTA!$B$5:$R$305,10,0)=R$3,0.01,0)))</f>
        <v/>
      </c>
      <c r="S251" s="307" t="str">
        <f>IF($B251="","",IF(S$4="NÃO",0,IF(VLOOKUP($B251,FROTA!$B$5:$R$305,10,0)=S$3,0.01,0)))</f>
        <v/>
      </c>
      <c r="T251" s="307" t="str">
        <f>IF($B251="","",IF(T$4="NÃO",0,IF(VLOOKUP($B251,FROTA!$B$5:$R$305,10,0)=T$3,0.01,0)))</f>
        <v/>
      </c>
      <c r="U251" s="307" t="str">
        <f>IF($B251="","",IF(U$4="NÃO",0,IF(VLOOKUP($B251,FROTA!$B$5:$R$305,10,0)=U$3,0.01,0)))</f>
        <v/>
      </c>
      <c r="V251" s="306" t="str">
        <f t="shared" si="30"/>
        <v/>
      </c>
      <c r="W251" s="238" t="str">
        <f t="shared" si="28"/>
        <v/>
      </c>
      <c r="X251" s="576" t="str">
        <f t="shared" si="31"/>
        <v/>
      </c>
      <c r="BA251" s="581">
        <v>45084</v>
      </c>
      <c r="BB251" s="582">
        <v>2023</v>
      </c>
    </row>
    <row r="252" spans="2:54" ht="15" customHeight="1" x14ac:dyDescent="0.2">
      <c r="B252" s="192" t="str">
        <f>IF(FROTA!B253="","",FROTA!B253)</f>
        <v/>
      </c>
      <c r="C252" s="192" t="str">
        <f>IF(B252="","",FROTA!Z253)</f>
        <v/>
      </c>
      <c r="D252" s="192" t="str">
        <f>IF(B252="","",VLOOKUP(B252,FROTA!$B$5:$C$310,2,0))</f>
        <v/>
      </c>
      <c r="E252" s="233" t="str">
        <f>IF(D252="","",VLOOKUP(D252,ESCALA!$B$3:$H$19,7,0))</f>
        <v/>
      </c>
      <c r="F252" s="219" t="s">
        <v>222</v>
      </c>
      <c r="G252" s="305" t="str">
        <f t="shared" si="29"/>
        <v/>
      </c>
      <c r="H252" s="314" t="str">
        <f>IF($B252="","",IF(H$4="NÃO",0,IF(VLOOKUP($B252,FROTA!$B$5:$R$305,17,0)=H$3,0.02,0)))</f>
        <v/>
      </c>
      <c r="I252" s="193" t="str">
        <f>IF($B252="","",IF(I$4="NÃO",0,IF(VLOOKUP($B252,FROTA!$B$5:$R$305,17,0)=I$3,0.02,0)))</f>
        <v/>
      </c>
      <c r="J252" s="193" t="str">
        <f>IF($B252="","",IF(J$4="NÃO",0,IF(VLOOKUP($B252,FROTA!$B$5:$R$305,17,0)=J$3,0.02,0)))</f>
        <v/>
      </c>
      <c r="K252" s="193" t="str">
        <f>IF($B252="","",IF(K$4="NÃO",0,IF(VLOOKUP($B252,FROTA!$B$5:$R$305,17,0)=K$3,0.02,0)))</f>
        <v/>
      </c>
      <c r="L252" s="193" t="str">
        <f>IF($B252="","",IF(L$4="NÃO",0,IF(VLOOKUP($B252,FROTA!$B$5:$R$305,17,0)=L$3,0.02,0)))</f>
        <v/>
      </c>
      <c r="M252" s="193" t="str">
        <f>IF($B252="","",IF(M$4="NÃO",0,IF(VLOOKUP($B252,FROTA!$B$5:$R$305,17,0)=M$3,0.02,0)))</f>
        <v/>
      </c>
      <c r="N252" s="193" t="str">
        <f>IF($B252="","",IF(M$4="NÃO",0,IF(VLOOKUP($B252,FROTA!$B$5:$R$305,17,0)=N$3,0.02,0)))</f>
        <v/>
      </c>
      <c r="O252" s="311" t="str">
        <f>IF($B252="","",IF(O$4="NÃO",0,IF(VLOOKUP($B252,FROTA!$B$5:$R$305,10,0)=O$3,0.01,0)))</f>
        <v/>
      </c>
      <c r="P252" s="307" t="str">
        <f>IF($B252="","",IF(P$4="NÃO",0,IF(VLOOKUP($B252,FROTA!$B$5:$R$305,10,0)=P$3,0.01,0)))</f>
        <v/>
      </c>
      <c r="Q252" s="307" t="str">
        <f>IF($B252="","",IF(Q$4="NÃO",0,IF(VLOOKUP($B252,FROTA!$B$5:$R$305,10,0)=Q$3,0.01,0)))</f>
        <v/>
      </c>
      <c r="R252" s="307" t="str">
        <f>IF($B252="","",IF(R$4="NÃO",0,IF(VLOOKUP($B252,FROTA!$B$5:$R$305,10,0)=R$3,0.01,0)))</f>
        <v/>
      </c>
      <c r="S252" s="307" t="str">
        <f>IF($B252="","",IF(S$4="NÃO",0,IF(VLOOKUP($B252,FROTA!$B$5:$R$305,10,0)=S$3,0.01,0)))</f>
        <v/>
      </c>
      <c r="T252" s="307" t="str">
        <f>IF($B252="","",IF(T$4="NÃO",0,IF(VLOOKUP($B252,FROTA!$B$5:$R$305,10,0)=T$3,0.01,0)))</f>
        <v/>
      </c>
      <c r="U252" s="307" t="str">
        <f>IF($B252="","",IF(U$4="NÃO",0,IF(VLOOKUP($B252,FROTA!$B$5:$R$305,10,0)=U$3,0.01,0)))</f>
        <v/>
      </c>
      <c r="V252" s="306" t="str">
        <f t="shared" si="30"/>
        <v/>
      </c>
      <c r="W252" s="238" t="str">
        <f t="shared" si="28"/>
        <v/>
      </c>
      <c r="X252" s="576" t="str">
        <f t="shared" si="31"/>
        <v/>
      </c>
      <c r="BA252" s="581">
        <v>45085</v>
      </c>
      <c r="BB252" s="582">
        <v>2023</v>
      </c>
    </row>
    <row r="253" spans="2:54" ht="15" customHeight="1" x14ac:dyDescent="0.2">
      <c r="B253" s="192" t="str">
        <f>IF(FROTA!B254="","",FROTA!B254)</f>
        <v/>
      </c>
      <c r="C253" s="192" t="str">
        <f>IF(B253="","",FROTA!Z254)</f>
        <v/>
      </c>
      <c r="D253" s="192" t="str">
        <f>IF(B253="","",VLOOKUP(B253,FROTA!$B$5:$C$310,2,0))</f>
        <v/>
      </c>
      <c r="E253" s="233" t="str">
        <f>IF(D253="","",VLOOKUP(D253,ESCALA!$B$3:$H$19,7,0))</f>
        <v/>
      </c>
      <c r="F253" s="219" t="s">
        <v>222</v>
      </c>
      <c r="G253" s="305" t="str">
        <f t="shared" si="29"/>
        <v/>
      </c>
      <c r="H253" s="314" t="str">
        <f>IF($B253="","",IF(H$4="NÃO",0,IF(VLOOKUP($B253,FROTA!$B$5:$R$305,17,0)=H$3,0.02,0)))</f>
        <v/>
      </c>
      <c r="I253" s="193" t="str">
        <f>IF($B253="","",IF(I$4="NÃO",0,IF(VLOOKUP($B253,FROTA!$B$5:$R$305,17,0)=I$3,0.02,0)))</f>
        <v/>
      </c>
      <c r="J253" s="193" t="str">
        <f>IF($B253="","",IF(J$4="NÃO",0,IF(VLOOKUP($B253,FROTA!$B$5:$R$305,17,0)=J$3,0.02,0)))</f>
        <v/>
      </c>
      <c r="K253" s="193" t="str">
        <f>IF($B253="","",IF(K$4="NÃO",0,IF(VLOOKUP($B253,FROTA!$B$5:$R$305,17,0)=K$3,0.02,0)))</f>
        <v/>
      </c>
      <c r="L253" s="193" t="str">
        <f>IF($B253="","",IF(L$4="NÃO",0,IF(VLOOKUP($B253,FROTA!$B$5:$R$305,17,0)=L$3,0.02,0)))</f>
        <v/>
      </c>
      <c r="M253" s="193" t="str">
        <f>IF($B253="","",IF(M$4="NÃO",0,IF(VLOOKUP($B253,FROTA!$B$5:$R$305,17,0)=M$3,0.02,0)))</f>
        <v/>
      </c>
      <c r="N253" s="193" t="str">
        <f>IF($B253="","",IF(M$4="NÃO",0,IF(VLOOKUP($B253,FROTA!$B$5:$R$305,17,0)=N$3,0.02,0)))</f>
        <v/>
      </c>
      <c r="O253" s="311" t="str">
        <f>IF($B253="","",IF(O$4="NÃO",0,IF(VLOOKUP($B253,FROTA!$B$5:$R$305,10,0)=O$3,0.01,0)))</f>
        <v/>
      </c>
      <c r="P253" s="307" t="str">
        <f>IF($B253="","",IF(P$4="NÃO",0,IF(VLOOKUP($B253,FROTA!$B$5:$R$305,10,0)=P$3,0.01,0)))</f>
        <v/>
      </c>
      <c r="Q253" s="307" t="str">
        <f>IF($B253="","",IF(Q$4="NÃO",0,IF(VLOOKUP($B253,FROTA!$B$5:$R$305,10,0)=Q$3,0.01,0)))</f>
        <v/>
      </c>
      <c r="R253" s="307" t="str">
        <f>IF($B253="","",IF(R$4="NÃO",0,IF(VLOOKUP($B253,FROTA!$B$5:$R$305,10,0)=R$3,0.01,0)))</f>
        <v/>
      </c>
      <c r="S253" s="307" t="str">
        <f>IF($B253="","",IF(S$4="NÃO",0,IF(VLOOKUP($B253,FROTA!$B$5:$R$305,10,0)=S$3,0.01,0)))</f>
        <v/>
      </c>
      <c r="T253" s="307" t="str">
        <f>IF($B253="","",IF(T$4="NÃO",0,IF(VLOOKUP($B253,FROTA!$B$5:$R$305,10,0)=T$3,0.01,0)))</f>
        <v/>
      </c>
      <c r="U253" s="307" t="str">
        <f>IF($B253="","",IF(U$4="NÃO",0,IF(VLOOKUP($B253,FROTA!$B$5:$R$305,10,0)=U$3,0.01,0)))</f>
        <v/>
      </c>
      <c r="V253" s="306" t="str">
        <f t="shared" si="30"/>
        <v/>
      </c>
      <c r="W253" s="238" t="str">
        <f t="shared" si="28"/>
        <v/>
      </c>
      <c r="X253" s="576" t="str">
        <f t="shared" si="31"/>
        <v/>
      </c>
      <c r="BA253" s="581">
        <v>45086</v>
      </c>
      <c r="BB253" s="582">
        <v>2023</v>
      </c>
    </row>
    <row r="254" spans="2:54" ht="15" customHeight="1" x14ac:dyDescent="0.2">
      <c r="B254" s="192" t="str">
        <f>IF(FROTA!B255="","",FROTA!B255)</f>
        <v/>
      </c>
      <c r="C254" s="192" t="str">
        <f>IF(B254="","",FROTA!Z255)</f>
        <v/>
      </c>
      <c r="D254" s="192" t="str">
        <f>IF(B254="","",VLOOKUP(B254,FROTA!$B$5:$C$310,2,0))</f>
        <v/>
      </c>
      <c r="E254" s="233" t="str">
        <f>IF(D254="","",VLOOKUP(D254,ESCALA!$B$3:$H$19,7,0))</f>
        <v/>
      </c>
      <c r="F254" s="219" t="s">
        <v>222</v>
      </c>
      <c r="G254" s="305" t="str">
        <f t="shared" si="29"/>
        <v/>
      </c>
      <c r="H254" s="314" t="str">
        <f>IF($B254="","",IF(H$4="NÃO",0,IF(VLOOKUP($B254,FROTA!$B$5:$R$305,17,0)=H$3,0.02,0)))</f>
        <v/>
      </c>
      <c r="I254" s="193" t="str">
        <f>IF($B254="","",IF(I$4="NÃO",0,IF(VLOOKUP($B254,FROTA!$B$5:$R$305,17,0)=I$3,0.02,0)))</f>
        <v/>
      </c>
      <c r="J254" s="193" t="str">
        <f>IF($B254="","",IF(J$4="NÃO",0,IF(VLOOKUP($B254,FROTA!$B$5:$R$305,17,0)=J$3,0.02,0)))</f>
        <v/>
      </c>
      <c r="K254" s="193" t="str">
        <f>IF($B254="","",IF(K$4="NÃO",0,IF(VLOOKUP($B254,FROTA!$B$5:$R$305,17,0)=K$3,0.02,0)))</f>
        <v/>
      </c>
      <c r="L254" s="193" t="str">
        <f>IF($B254="","",IF(L$4="NÃO",0,IF(VLOOKUP($B254,FROTA!$B$5:$R$305,17,0)=L$3,0.02,0)))</f>
        <v/>
      </c>
      <c r="M254" s="193" t="str">
        <f>IF($B254="","",IF(M$4="NÃO",0,IF(VLOOKUP($B254,FROTA!$B$5:$R$305,17,0)=M$3,0.02,0)))</f>
        <v/>
      </c>
      <c r="N254" s="193" t="str">
        <f>IF($B254="","",IF(M$4="NÃO",0,IF(VLOOKUP($B254,FROTA!$B$5:$R$305,17,0)=N$3,0.02,0)))</f>
        <v/>
      </c>
      <c r="O254" s="311" t="str">
        <f>IF($B254="","",IF(O$4="NÃO",0,IF(VLOOKUP($B254,FROTA!$B$5:$R$305,10,0)=O$3,0.01,0)))</f>
        <v/>
      </c>
      <c r="P254" s="307" t="str">
        <f>IF($B254="","",IF(P$4="NÃO",0,IF(VLOOKUP($B254,FROTA!$B$5:$R$305,10,0)=P$3,0.01,0)))</f>
        <v/>
      </c>
      <c r="Q254" s="307" t="str">
        <f>IF($B254="","",IF(Q$4="NÃO",0,IF(VLOOKUP($B254,FROTA!$B$5:$R$305,10,0)=Q$3,0.01,0)))</f>
        <v/>
      </c>
      <c r="R254" s="307" t="str">
        <f>IF($B254="","",IF(R$4="NÃO",0,IF(VLOOKUP($B254,FROTA!$B$5:$R$305,10,0)=R$3,0.01,0)))</f>
        <v/>
      </c>
      <c r="S254" s="307" t="str">
        <f>IF($B254="","",IF(S$4="NÃO",0,IF(VLOOKUP($B254,FROTA!$B$5:$R$305,10,0)=S$3,0.01,0)))</f>
        <v/>
      </c>
      <c r="T254" s="307" t="str">
        <f>IF($B254="","",IF(T$4="NÃO",0,IF(VLOOKUP($B254,FROTA!$B$5:$R$305,10,0)=T$3,0.01,0)))</f>
        <v/>
      </c>
      <c r="U254" s="307" t="str">
        <f>IF($B254="","",IF(U$4="NÃO",0,IF(VLOOKUP($B254,FROTA!$B$5:$R$305,10,0)=U$3,0.01,0)))</f>
        <v/>
      </c>
      <c r="V254" s="306" t="str">
        <f t="shared" si="30"/>
        <v/>
      </c>
      <c r="W254" s="238" t="str">
        <f t="shared" si="28"/>
        <v/>
      </c>
      <c r="X254" s="576" t="str">
        <f t="shared" si="31"/>
        <v/>
      </c>
      <c r="BA254" s="581">
        <v>45087</v>
      </c>
      <c r="BB254" s="582">
        <v>2023</v>
      </c>
    </row>
    <row r="255" spans="2:54" ht="15" customHeight="1" x14ac:dyDescent="0.2">
      <c r="B255" s="192" t="str">
        <f>IF(FROTA!B256="","",FROTA!B256)</f>
        <v/>
      </c>
      <c r="C255" s="192" t="str">
        <f>IF(B255="","",FROTA!Z256)</f>
        <v/>
      </c>
      <c r="D255" s="192" t="str">
        <f>IF(B255="","",VLOOKUP(B255,FROTA!$B$5:$C$310,2,0))</f>
        <v/>
      </c>
      <c r="E255" s="233" t="str">
        <f>IF(D255="","",VLOOKUP(D255,ESCALA!$B$3:$H$19,7,0))</f>
        <v/>
      </c>
      <c r="F255" s="219" t="s">
        <v>222</v>
      </c>
      <c r="G255" s="305" t="str">
        <f t="shared" si="29"/>
        <v/>
      </c>
      <c r="H255" s="314" t="str">
        <f>IF($B255="","",IF(H$4="NÃO",0,IF(VLOOKUP($B255,FROTA!$B$5:$R$305,17,0)=H$3,0.02,0)))</f>
        <v/>
      </c>
      <c r="I255" s="193" t="str">
        <f>IF($B255="","",IF(I$4="NÃO",0,IF(VLOOKUP($B255,FROTA!$B$5:$R$305,17,0)=I$3,0.02,0)))</f>
        <v/>
      </c>
      <c r="J255" s="193" t="str">
        <f>IF($B255="","",IF(J$4="NÃO",0,IF(VLOOKUP($B255,FROTA!$B$5:$R$305,17,0)=J$3,0.02,0)))</f>
        <v/>
      </c>
      <c r="K255" s="193" t="str">
        <f>IF($B255="","",IF(K$4="NÃO",0,IF(VLOOKUP($B255,FROTA!$B$5:$R$305,17,0)=K$3,0.02,0)))</f>
        <v/>
      </c>
      <c r="L255" s="193" t="str">
        <f>IF($B255="","",IF(L$4="NÃO",0,IF(VLOOKUP($B255,FROTA!$B$5:$R$305,17,0)=L$3,0.02,0)))</f>
        <v/>
      </c>
      <c r="M255" s="193" t="str">
        <f>IF($B255="","",IF(M$4="NÃO",0,IF(VLOOKUP($B255,FROTA!$B$5:$R$305,17,0)=M$3,0.02,0)))</f>
        <v/>
      </c>
      <c r="N255" s="193" t="str">
        <f>IF($B255="","",IF(M$4="NÃO",0,IF(VLOOKUP($B255,FROTA!$B$5:$R$305,17,0)=N$3,0.02,0)))</f>
        <v/>
      </c>
      <c r="O255" s="311" t="str">
        <f>IF($B255="","",IF(O$4="NÃO",0,IF(VLOOKUP($B255,FROTA!$B$5:$R$305,10,0)=O$3,0.01,0)))</f>
        <v/>
      </c>
      <c r="P255" s="307" t="str">
        <f>IF($B255="","",IF(P$4="NÃO",0,IF(VLOOKUP($B255,FROTA!$B$5:$R$305,10,0)=P$3,0.01,0)))</f>
        <v/>
      </c>
      <c r="Q255" s="307" t="str">
        <f>IF($B255="","",IF(Q$4="NÃO",0,IF(VLOOKUP($B255,FROTA!$B$5:$R$305,10,0)=Q$3,0.01,0)))</f>
        <v/>
      </c>
      <c r="R255" s="307" t="str">
        <f>IF($B255="","",IF(R$4="NÃO",0,IF(VLOOKUP($B255,FROTA!$B$5:$R$305,10,0)=R$3,0.01,0)))</f>
        <v/>
      </c>
      <c r="S255" s="307" t="str">
        <f>IF($B255="","",IF(S$4="NÃO",0,IF(VLOOKUP($B255,FROTA!$B$5:$R$305,10,0)=S$3,0.01,0)))</f>
        <v/>
      </c>
      <c r="T255" s="307" t="str">
        <f>IF($B255="","",IF(T$4="NÃO",0,IF(VLOOKUP($B255,FROTA!$B$5:$R$305,10,0)=T$3,0.01,0)))</f>
        <v/>
      </c>
      <c r="U255" s="307" t="str">
        <f>IF($B255="","",IF(U$4="NÃO",0,IF(VLOOKUP($B255,FROTA!$B$5:$R$305,10,0)=U$3,0.01,0)))</f>
        <v/>
      </c>
      <c r="V255" s="306" t="str">
        <f t="shared" si="30"/>
        <v/>
      </c>
      <c r="W255" s="238" t="str">
        <f t="shared" si="28"/>
        <v/>
      </c>
      <c r="X255" s="576" t="str">
        <f t="shared" si="31"/>
        <v/>
      </c>
      <c r="BA255" s="581">
        <v>45088</v>
      </c>
      <c r="BB255" s="582">
        <v>2023</v>
      </c>
    </row>
    <row r="256" spans="2:54" ht="15" customHeight="1" x14ac:dyDescent="0.2">
      <c r="B256" s="192" t="str">
        <f>IF(FROTA!B257="","",FROTA!B257)</f>
        <v/>
      </c>
      <c r="C256" s="192" t="str">
        <f>IF(B256="","",FROTA!Z257)</f>
        <v/>
      </c>
      <c r="D256" s="192" t="str">
        <f>IF(B256="","",VLOOKUP(B256,FROTA!$B$5:$C$310,2,0))</f>
        <v/>
      </c>
      <c r="E256" s="233" t="str">
        <f>IF(D256="","",VLOOKUP(D256,ESCALA!$B$3:$H$19,7,0))</f>
        <v/>
      </c>
      <c r="F256" s="219" t="s">
        <v>222</v>
      </c>
      <c r="G256" s="305" t="str">
        <f t="shared" si="29"/>
        <v/>
      </c>
      <c r="H256" s="314" t="str">
        <f>IF($B256="","",IF(H$4="NÃO",0,IF(VLOOKUP($B256,FROTA!$B$5:$R$305,17,0)=H$3,0.02,0)))</f>
        <v/>
      </c>
      <c r="I256" s="193" t="str">
        <f>IF($B256="","",IF(I$4="NÃO",0,IF(VLOOKUP($B256,FROTA!$B$5:$R$305,17,0)=I$3,0.02,0)))</f>
        <v/>
      </c>
      <c r="J256" s="193" t="str">
        <f>IF($B256="","",IF(J$4="NÃO",0,IF(VLOOKUP($B256,FROTA!$B$5:$R$305,17,0)=J$3,0.02,0)))</f>
        <v/>
      </c>
      <c r="K256" s="193" t="str">
        <f>IF($B256="","",IF(K$4="NÃO",0,IF(VLOOKUP($B256,FROTA!$B$5:$R$305,17,0)=K$3,0.02,0)))</f>
        <v/>
      </c>
      <c r="L256" s="193" t="str">
        <f>IF($B256="","",IF(L$4="NÃO",0,IF(VLOOKUP($B256,FROTA!$B$5:$R$305,17,0)=L$3,0.02,0)))</f>
        <v/>
      </c>
      <c r="M256" s="193" t="str">
        <f>IF($B256="","",IF(M$4="NÃO",0,IF(VLOOKUP($B256,FROTA!$B$5:$R$305,17,0)=M$3,0.02,0)))</f>
        <v/>
      </c>
      <c r="N256" s="193" t="str">
        <f>IF($B256="","",IF(M$4="NÃO",0,IF(VLOOKUP($B256,FROTA!$B$5:$R$305,17,0)=N$3,0.02,0)))</f>
        <v/>
      </c>
      <c r="O256" s="311" t="str">
        <f>IF($B256="","",IF(O$4="NÃO",0,IF(VLOOKUP($B256,FROTA!$B$5:$R$305,10,0)=O$3,0.01,0)))</f>
        <v/>
      </c>
      <c r="P256" s="307" t="str">
        <f>IF($B256="","",IF(P$4="NÃO",0,IF(VLOOKUP($B256,FROTA!$B$5:$R$305,10,0)=P$3,0.01,0)))</f>
        <v/>
      </c>
      <c r="Q256" s="307" t="str">
        <f>IF($B256="","",IF(Q$4="NÃO",0,IF(VLOOKUP($B256,FROTA!$B$5:$R$305,10,0)=Q$3,0.01,0)))</f>
        <v/>
      </c>
      <c r="R256" s="307" t="str">
        <f>IF($B256="","",IF(R$4="NÃO",0,IF(VLOOKUP($B256,FROTA!$B$5:$R$305,10,0)=R$3,0.01,0)))</f>
        <v/>
      </c>
      <c r="S256" s="307" t="str">
        <f>IF($B256="","",IF(S$4="NÃO",0,IF(VLOOKUP($B256,FROTA!$B$5:$R$305,10,0)=S$3,0.01,0)))</f>
        <v/>
      </c>
      <c r="T256" s="307" t="str">
        <f>IF($B256="","",IF(T$4="NÃO",0,IF(VLOOKUP($B256,FROTA!$B$5:$R$305,10,0)=T$3,0.01,0)))</f>
        <v/>
      </c>
      <c r="U256" s="307" t="str">
        <f>IF($B256="","",IF(U$4="NÃO",0,IF(VLOOKUP($B256,FROTA!$B$5:$R$305,10,0)=U$3,0.01,0)))</f>
        <v/>
      </c>
      <c r="V256" s="306" t="str">
        <f t="shared" si="30"/>
        <v/>
      </c>
      <c r="W256" s="238" t="str">
        <f t="shared" si="28"/>
        <v/>
      </c>
      <c r="X256" s="576" t="str">
        <f t="shared" si="31"/>
        <v/>
      </c>
      <c r="BA256" s="581">
        <v>45089</v>
      </c>
      <c r="BB256" s="582">
        <v>2023</v>
      </c>
    </row>
    <row r="257" spans="2:54" ht="15" customHeight="1" x14ac:dyDescent="0.2">
      <c r="B257" s="192" t="str">
        <f>IF(FROTA!B258="","",FROTA!B258)</f>
        <v/>
      </c>
      <c r="C257" s="192" t="str">
        <f>IF(B257="","",FROTA!Z258)</f>
        <v/>
      </c>
      <c r="D257" s="192" t="str">
        <f>IF(B257="","",VLOOKUP(B257,FROTA!$B$5:$C$310,2,0))</f>
        <v/>
      </c>
      <c r="E257" s="233" t="str">
        <f>IF(D257="","",VLOOKUP(D257,ESCALA!$B$3:$H$19,7,0))</f>
        <v/>
      </c>
      <c r="F257" s="219" t="s">
        <v>222</v>
      </c>
      <c r="G257" s="305" t="str">
        <f t="shared" si="29"/>
        <v/>
      </c>
      <c r="H257" s="314" t="str">
        <f>IF($B257="","",IF(H$4="NÃO",0,IF(VLOOKUP($B257,FROTA!$B$5:$R$305,17,0)=H$3,0.02,0)))</f>
        <v/>
      </c>
      <c r="I257" s="193" t="str">
        <f>IF($B257="","",IF(I$4="NÃO",0,IF(VLOOKUP($B257,FROTA!$B$5:$R$305,17,0)=I$3,0.02,0)))</f>
        <v/>
      </c>
      <c r="J257" s="193" t="str">
        <f>IF($B257="","",IF(J$4="NÃO",0,IF(VLOOKUP($B257,FROTA!$B$5:$R$305,17,0)=J$3,0.02,0)))</f>
        <v/>
      </c>
      <c r="K257" s="193" t="str">
        <f>IF($B257="","",IF(K$4="NÃO",0,IF(VLOOKUP($B257,FROTA!$B$5:$R$305,17,0)=K$3,0.02,0)))</f>
        <v/>
      </c>
      <c r="L257" s="193" t="str">
        <f>IF($B257="","",IF(L$4="NÃO",0,IF(VLOOKUP($B257,FROTA!$B$5:$R$305,17,0)=L$3,0.02,0)))</f>
        <v/>
      </c>
      <c r="M257" s="193" t="str">
        <f>IF($B257="","",IF(M$4="NÃO",0,IF(VLOOKUP($B257,FROTA!$B$5:$R$305,17,0)=M$3,0.02,0)))</f>
        <v/>
      </c>
      <c r="N257" s="193" t="str">
        <f>IF($B257="","",IF(M$4="NÃO",0,IF(VLOOKUP($B257,FROTA!$B$5:$R$305,17,0)=N$3,0.02,0)))</f>
        <v/>
      </c>
      <c r="O257" s="311" t="str">
        <f>IF($B257="","",IF(O$4="NÃO",0,IF(VLOOKUP($B257,FROTA!$B$5:$R$305,10,0)=O$3,0.01,0)))</f>
        <v/>
      </c>
      <c r="P257" s="307" t="str">
        <f>IF($B257="","",IF(P$4="NÃO",0,IF(VLOOKUP($B257,FROTA!$B$5:$R$305,10,0)=P$3,0.01,0)))</f>
        <v/>
      </c>
      <c r="Q257" s="307" t="str">
        <f>IF($B257="","",IF(Q$4="NÃO",0,IF(VLOOKUP($B257,FROTA!$B$5:$R$305,10,0)=Q$3,0.01,0)))</f>
        <v/>
      </c>
      <c r="R257" s="307" t="str">
        <f>IF($B257="","",IF(R$4="NÃO",0,IF(VLOOKUP($B257,FROTA!$B$5:$R$305,10,0)=R$3,0.01,0)))</f>
        <v/>
      </c>
      <c r="S257" s="307" t="str">
        <f>IF($B257="","",IF(S$4="NÃO",0,IF(VLOOKUP($B257,FROTA!$B$5:$R$305,10,0)=S$3,0.01,0)))</f>
        <v/>
      </c>
      <c r="T257" s="307" t="str">
        <f>IF($B257="","",IF(T$4="NÃO",0,IF(VLOOKUP($B257,FROTA!$B$5:$R$305,10,0)=T$3,0.01,0)))</f>
        <v/>
      </c>
      <c r="U257" s="307" t="str">
        <f>IF($B257="","",IF(U$4="NÃO",0,IF(VLOOKUP($B257,FROTA!$B$5:$R$305,10,0)=U$3,0.01,0)))</f>
        <v/>
      </c>
      <c r="V257" s="306" t="str">
        <f t="shared" si="30"/>
        <v/>
      </c>
      <c r="W257" s="238" t="str">
        <f t="shared" si="28"/>
        <v/>
      </c>
      <c r="X257" s="576" t="str">
        <f t="shared" si="31"/>
        <v/>
      </c>
      <c r="BA257" s="581">
        <v>45090</v>
      </c>
      <c r="BB257" s="582">
        <v>2023</v>
      </c>
    </row>
    <row r="258" spans="2:54" ht="15" customHeight="1" x14ac:dyDescent="0.2">
      <c r="B258" s="192" t="str">
        <f>IF(FROTA!B259="","",FROTA!B259)</f>
        <v/>
      </c>
      <c r="C258" s="192" t="str">
        <f>IF(B258="","",FROTA!Z259)</f>
        <v/>
      </c>
      <c r="D258" s="192" t="str">
        <f>IF(B258="","",VLOOKUP(B258,FROTA!$B$5:$C$310,2,0))</f>
        <v/>
      </c>
      <c r="E258" s="233" t="str">
        <f>IF(D258="","",VLOOKUP(D258,ESCALA!$B$3:$H$19,7,0))</f>
        <v/>
      </c>
      <c r="F258" s="219" t="s">
        <v>222</v>
      </c>
      <c r="G258" s="305" t="str">
        <f t="shared" si="29"/>
        <v/>
      </c>
      <c r="H258" s="314" t="str">
        <f>IF($B258="","",IF(H$4="NÃO",0,IF(VLOOKUP($B258,FROTA!$B$5:$R$305,17,0)=H$3,0.02,0)))</f>
        <v/>
      </c>
      <c r="I258" s="193" t="str">
        <f>IF($B258="","",IF(I$4="NÃO",0,IF(VLOOKUP($B258,FROTA!$B$5:$R$305,17,0)=I$3,0.02,0)))</f>
        <v/>
      </c>
      <c r="J258" s="193" t="str">
        <f>IF($B258="","",IF(J$4="NÃO",0,IF(VLOOKUP($B258,FROTA!$B$5:$R$305,17,0)=J$3,0.02,0)))</f>
        <v/>
      </c>
      <c r="K258" s="193" t="str">
        <f>IF($B258="","",IF(K$4="NÃO",0,IF(VLOOKUP($B258,FROTA!$B$5:$R$305,17,0)=K$3,0.02,0)))</f>
        <v/>
      </c>
      <c r="L258" s="193" t="str">
        <f>IF($B258="","",IF(L$4="NÃO",0,IF(VLOOKUP($B258,FROTA!$B$5:$R$305,17,0)=L$3,0.02,0)))</f>
        <v/>
      </c>
      <c r="M258" s="193" t="str">
        <f>IF($B258="","",IF(M$4="NÃO",0,IF(VLOOKUP($B258,FROTA!$B$5:$R$305,17,0)=M$3,0.02,0)))</f>
        <v/>
      </c>
      <c r="N258" s="193" t="str">
        <f>IF($B258="","",IF(M$4="NÃO",0,IF(VLOOKUP($B258,FROTA!$B$5:$R$305,17,0)=N$3,0.02,0)))</f>
        <v/>
      </c>
      <c r="O258" s="311" t="str">
        <f>IF($B258="","",IF(O$4="NÃO",0,IF(VLOOKUP($B258,FROTA!$B$5:$R$305,10,0)=O$3,0.01,0)))</f>
        <v/>
      </c>
      <c r="P258" s="307" t="str">
        <f>IF($B258="","",IF(P$4="NÃO",0,IF(VLOOKUP($B258,FROTA!$B$5:$R$305,10,0)=P$3,0.01,0)))</f>
        <v/>
      </c>
      <c r="Q258" s="307" t="str">
        <f>IF($B258="","",IF(Q$4="NÃO",0,IF(VLOOKUP($B258,FROTA!$B$5:$R$305,10,0)=Q$3,0.01,0)))</f>
        <v/>
      </c>
      <c r="R258" s="307" t="str">
        <f>IF($B258="","",IF(R$4="NÃO",0,IF(VLOOKUP($B258,FROTA!$B$5:$R$305,10,0)=R$3,0.01,0)))</f>
        <v/>
      </c>
      <c r="S258" s="307" t="str">
        <f>IF($B258="","",IF(S$4="NÃO",0,IF(VLOOKUP($B258,FROTA!$B$5:$R$305,10,0)=S$3,0.01,0)))</f>
        <v/>
      </c>
      <c r="T258" s="307" t="str">
        <f>IF($B258="","",IF(T$4="NÃO",0,IF(VLOOKUP($B258,FROTA!$B$5:$R$305,10,0)=T$3,0.01,0)))</f>
        <v/>
      </c>
      <c r="U258" s="307" t="str">
        <f>IF($B258="","",IF(U$4="NÃO",0,IF(VLOOKUP($B258,FROTA!$B$5:$R$305,10,0)=U$3,0.01,0)))</f>
        <v/>
      </c>
      <c r="V258" s="306" t="str">
        <f t="shared" si="30"/>
        <v/>
      </c>
      <c r="W258" s="238" t="str">
        <f t="shared" si="28"/>
        <v/>
      </c>
      <c r="X258" s="576" t="str">
        <f t="shared" si="31"/>
        <v/>
      </c>
      <c r="BA258" s="581">
        <v>45091</v>
      </c>
      <c r="BB258" s="582">
        <v>2023</v>
      </c>
    </row>
    <row r="259" spans="2:54" ht="15" customHeight="1" x14ac:dyDescent="0.2">
      <c r="B259" s="192" t="str">
        <f>IF(FROTA!B260="","",FROTA!B260)</f>
        <v/>
      </c>
      <c r="C259" s="192" t="str">
        <f>IF(B259="","",FROTA!Z260)</f>
        <v/>
      </c>
      <c r="D259" s="192" t="str">
        <f>IF(B259="","",VLOOKUP(B259,FROTA!$B$5:$C$310,2,0))</f>
        <v/>
      </c>
      <c r="E259" s="233" t="str">
        <f>IF(D259="","",VLOOKUP(D259,ESCALA!$B$3:$H$19,7,0))</f>
        <v/>
      </c>
      <c r="F259" s="219" t="s">
        <v>222</v>
      </c>
      <c r="G259" s="305" t="str">
        <f t="shared" si="29"/>
        <v/>
      </c>
      <c r="H259" s="314" t="str">
        <f>IF($B259="","",IF(H$4="NÃO",0,IF(VLOOKUP($B259,FROTA!$B$5:$R$305,17,0)=H$3,0.02,0)))</f>
        <v/>
      </c>
      <c r="I259" s="193" t="str">
        <f>IF($B259="","",IF(I$4="NÃO",0,IF(VLOOKUP($B259,FROTA!$B$5:$R$305,17,0)=I$3,0.02,0)))</f>
        <v/>
      </c>
      <c r="J259" s="193" t="str">
        <f>IF($B259="","",IF(J$4="NÃO",0,IF(VLOOKUP($B259,FROTA!$B$5:$R$305,17,0)=J$3,0.02,0)))</f>
        <v/>
      </c>
      <c r="K259" s="193" t="str">
        <f>IF($B259="","",IF(K$4="NÃO",0,IF(VLOOKUP($B259,FROTA!$B$5:$R$305,17,0)=K$3,0.02,0)))</f>
        <v/>
      </c>
      <c r="L259" s="193" t="str">
        <f>IF($B259="","",IF(L$4="NÃO",0,IF(VLOOKUP($B259,FROTA!$B$5:$R$305,17,0)=L$3,0.02,0)))</f>
        <v/>
      </c>
      <c r="M259" s="193" t="str">
        <f>IF($B259="","",IF(M$4="NÃO",0,IF(VLOOKUP($B259,FROTA!$B$5:$R$305,17,0)=M$3,0.02,0)))</f>
        <v/>
      </c>
      <c r="N259" s="193" t="str">
        <f>IF($B259="","",IF(M$4="NÃO",0,IF(VLOOKUP($B259,FROTA!$B$5:$R$305,17,0)=N$3,0.02,0)))</f>
        <v/>
      </c>
      <c r="O259" s="311" t="str">
        <f>IF($B259="","",IF(O$4="NÃO",0,IF(VLOOKUP($B259,FROTA!$B$5:$R$305,10,0)=O$3,0.01,0)))</f>
        <v/>
      </c>
      <c r="P259" s="307" t="str">
        <f>IF($B259="","",IF(P$4="NÃO",0,IF(VLOOKUP($B259,FROTA!$B$5:$R$305,10,0)=P$3,0.01,0)))</f>
        <v/>
      </c>
      <c r="Q259" s="307" t="str">
        <f>IF($B259="","",IF(Q$4="NÃO",0,IF(VLOOKUP($B259,FROTA!$B$5:$R$305,10,0)=Q$3,0.01,0)))</f>
        <v/>
      </c>
      <c r="R259" s="307" t="str">
        <f>IF($B259="","",IF(R$4="NÃO",0,IF(VLOOKUP($B259,FROTA!$B$5:$R$305,10,0)=R$3,0.01,0)))</f>
        <v/>
      </c>
      <c r="S259" s="307" t="str">
        <f>IF($B259="","",IF(S$4="NÃO",0,IF(VLOOKUP($B259,FROTA!$B$5:$R$305,10,0)=S$3,0.01,0)))</f>
        <v/>
      </c>
      <c r="T259" s="307" t="str">
        <f>IF($B259="","",IF(T$4="NÃO",0,IF(VLOOKUP($B259,FROTA!$B$5:$R$305,10,0)=T$3,0.01,0)))</f>
        <v/>
      </c>
      <c r="U259" s="307" t="str">
        <f>IF($B259="","",IF(U$4="NÃO",0,IF(VLOOKUP($B259,FROTA!$B$5:$R$305,10,0)=U$3,0.01,0)))</f>
        <v/>
      </c>
      <c r="V259" s="306" t="str">
        <f t="shared" si="30"/>
        <v/>
      </c>
      <c r="W259" s="238" t="str">
        <f t="shared" si="28"/>
        <v/>
      </c>
      <c r="X259" s="576" t="str">
        <f t="shared" si="31"/>
        <v/>
      </c>
      <c r="BA259" s="581">
        <v>45092</v>
      </c>
      <c r="BB259" s="582">
        <v>2023</v>
      </c>
    </row>
    <row r="260" spans="2:54" ht="15" customHeight="1" x14ac:dyDescent="0.2">
      <c r="B260" s="192" t="str">
        <f>IF(FROTA!B261="","",FROTA!B261)</f>
        <v/>
      </c>
      <c r="C260" s="192" t="str">
        <f>IF(B260="","",FROTA!Z261)</f>
        <v/>
      </c>
      <c r="D260" s="192" t="str">
        <f>IF(B260="","",VLOOKUP(B260,FROTA!$B$5:$C$310,2,0))</f>
        <v/>
      </c>
      <c r="E260" s="233" t="str">
        <f>IF(D260="","",VLOOKUP(D260,ESCALA!$B$3:$H$19,7,0))</f>
        <v/>
      </c>
      <c r="F260" s="219" t="s">
        <v>222</v>
      </c>
      <c r="G260" s="305" t="str">
        <f t="shared" si="29"/>
        <v/>
      </c>
      <c r="H260" s="314" t="str">
        <f>IF($B260="","",IF(H$4="NÃO",0,IF(VLOOKUP($B260,FROTA!$B$5:$R$305,17,0)=H$3,0.02,0)))</f>
        <v/>
      </c>
      <c r="I260" s="193" t="str">
        <f>IF($B260="","",IF(I$4="NÃO",0,IF(VLOOKUP($B260,FROTA!$B$5:$R$305,17,0)=I$3,0.02,0)))</f>
        <v/>
      </c>
      <c r="J260" s="193" t="str">
        <f>IF($B260="","",IF(J$4="NÃO",0,IF(VLOOKUP($B260,FROTA!$B$5:$R$305,17,0)=J$3,0.02,0)))</f>
        <v/>
      </c>
      <c r="K260" s="193" t="str">
        <f>IF($B260="","",IF(K$4="NÃO",0,IF(VLOOKUP($B260,FROTA!$B$5:$R$305,17,0)=K$3,0.02,0)))</f>
        <v/>
      </c>
      <c r="L260" s="193" t="str">
        <f>IF($B260="","",IF(L$4="NÃO",0,IF(VLOOKUP($B260,FROTA!$B$5:$R$305,17,0)=L$3,0.02,0)))</f>
        <v/>
      </c>
      <c r="M260" s="193" t="str">
        <f>IF($B260="","",IF(M$4="NÃO",0,IF(VLOOKUP($B260,FROTA!$B$5:$R$305,17,0)=M$3,0.02,0)))</f>
        <v/>
      </c>
      <c r="N260" s="193" t="str">
        <f>IF($B260="","",IF(M$4="NÃO",0,IF(VLOOKUP($B260,FROTA!$B$5:$R$305,17,0)=N$3,0.02,0)))</f>
        <v/>
      </c>
      <c r="O260" s="311" t="str">
        <f>IF($B260="","",IF(O$4="NÃO",0,IF(VLOOKUP($B260,FROTA!$B$5:$R$305,10,0)=O$3,0.01,0)))</f>
        <v/>
      </c>
      <c r="P260" s="307" t="str">
        <f>IF($B260="","",IF(P$4="NÃO",0,IF(VLOOKUP($B260,FROTA!$B$5:$R$305,10,0)=P$3,0.01,0)))</f>
        <v/>
      </c>
      <c r="Q260" s="307" t="str">
        <f>IF($B260="","",IF(Q$4="NÃO",0,IF(VLOOKUP($B260,FROTA!$B$5:$R$305,10,0)=Q$3,0.01,0)))</f>
        <v/>
      </c>
      <c r="R260" s="307" t="str">
        <f>IF($B260="","",IF(R$4="NÃO",0,IF(VLOOKUP($B260,FROTA!$B$5:$R$305,10,0)=R$3,0.01,0)))</f>
        <v/>
      </c>
      <c r="S260" s="307" t="str">
        <f>IF($B260="","",IF(S$4="NÃO",0,IF(VLOOKUP($B260,FROTA!$B$5:$R$305,10,0)=S$3,0.01,0)))</f>
        <v/>
      </c>
      <c r="T260" s="307" t="str">
        <f>IF($B260="","",IF(T$4="NÃO",0,IF(VLOOKUP($B260,FROTA!$B$5:$R$305,10,0)=T$3,0.01,0)))</f>
        <v/>
      </c>
      <c r="U260" s="307" t="str">
        <f>IF($B260="","",IF(U$4="NÃO",0,IF(VLOOKUP($B260,FROTA!$B$5:$R$305,10,0)=U$3,0.01,0)))</f>
        <v/>
      </c>
      <c r="V260" s="306" t="str">
        <f t="shared" si="30"/>
        <v/>
      </c>
      <c r="W260" s="238" t="str">
        <f t="shared" si="28"/>
        <v/>
      </c>
      <c r="X260" s="576" t="str">
        <f t="shared" si="31"/>
        <v/>
      </c>
      <c r="BA260" s="581">
        <v>45093</v>
      </c>
      <c r="BB260" s="582">
        <v>2023</v>
      </c>
    </row>
    <row r="261" spans="2:54" ht="15" customHeight="1" x14ac:dyDescent="0.2">
      <c r="B261" s="192" t="str">
        <f>IF(FROTA!B262="","",FROTA!B262)</f>
        <v/>
      </c>
      <c r="C261" s="192" t="str">
        <f>IF(B261="","",FROTA!Z262)</f>
        <v/>
      </c>
      <c r="D261" s="192" t="str">
        <f>IF(B261="","",VLOOKUP(B261,FROTA!$B$5:$C$310,2,0))</f>
        <v/>
      </c>
      <c r="E261" s="233" t="str">
        <f>IF(D261="","",VLOOKUP(D261,ESCALA!$B$3:$H$19,7,0))</f>
        <v/>
      </c>
      <c r="F261" s="219" t="s">
        <v>222</v>
      </c>
      <c r="G261" s="305" t="str">
        <f t="shared" si="29"/>
        <v/>
      </c>
      <c r="H261" s="314" t="str">
        <f>IF($B261="","",IF(H$4="NÃO",0,IF(VLOOKUP($B261,FROTA!$B$5:$R$305,17,0)=H$3,0.02,0)))</f>
        <v/>
      </c>
      <c r="I261" s="193" t="str">
        <f>IF($B261="","",IF(I$4="NÃO",0,IF(VLOOKUP($B261,FROTA!$B$5:$R$305,17,0)=I$3,0.02,0)))</f>
        <v/>
      </c>
      <c r="J261" s="193" t="str">
        <f>IF($B261="","",IF(J$4="NÃO",0,IF(VLOOKUP($B261,FROTA!$B$5:$R$305,17,0)=J$3,0.02,0)))</f>
        <v/>
      </c>
      <c r="K261" s="193" t="str">
        <f>IF($B261="","",IF(K$4="NÃO",0,IF(VLOOKUP($B261,FROTA!$B$5:$R$305,17,0)=K$3,0.02,0)))</f>
        <v/>
      </c>
      <c r="L261" s="193" t="str">
        <f>IF($B261="","",IF(L$4="NÃO",0,IF(VLOOKUP($B261,FROTA!$B$5:$R$305,17,0)=L$3,0.02,0)))</f>
        <v/>
      </c>
      <c r="M261" s="193" t="str">
        <f>IF($B261="","",IF(M$4="NÃO",0,IF(VLOOKUP($B261,FROTA!$B$5:$R$305,17,0)=M$3,0.02,0)))</f>
        <v/>
      </c>
      <c r="N261" s="193" t="str">
        <f>IF($B261="","",IF(M$4="NÃO",0,IF(VLOOKUP($B261,FROTA!$B$5:$R$305,17,0)=N$3,0.02,0)))</f>
        <v/>
      </c>
      <c r="O261" s="311" t="str">
        <f>IF($B261="","",IF(O$4="NÃO",0,IF(VLOOKUP($B261,FROTA!$B$5:$R$305,10,0)=O$3,0.01,0)))</f>
        <v/>
      </c>
      <c r="P261" s="307" t="str">
        <f>IF($B261="","",IF(P$4="NÃO",0,IF(VLOOKUP($B261,FROTA!$B$5:$R$305,10,0)=P$3,0.01,0)))</f>
        <v/>
      </c>
      <c r="Q261" s="307" t="str">
        <f>IF($B261="","",IF(Q$4="NÃO",0,IF(VLOOKUP($B261,FROTA!$B$5:$R$305,10,0)=Q$3,0.01,0)))</f>
        <v/>
      </c>
      <c r="R261" s="307" t="str">
        <f>IF($B261="","",IF(R$4="NÃO",0,IF(VLOOKUP($B261,FROTA!$B$5:$R$305,10,0)=R$3,0.01,0)))</f>
        <v/>
      </c>
      <c r="S261" s="307" t="str">
        <f>IF($B261="","",IF(S$4="NÃO",0,IF(VLOOKUP($B261,FROTA!$B$5:$R$305,10,0)=S$3,0.01,0)))</f>
        <v/>
      </c>
      <c r="T261" s="307" t="str">
        <f>IF($B261="","",IF(T$4="NÃO",0,IF(VLOOKUP($B261,FROTA!$B$5:$R$305,10,0)=T$3,0.01,0)))</f>
        <v/>
      </c>
      <c r="U261" s="307" t="str">
        <f>IF($B261="","",IF(U$4="NÃO",0,IF(VLOOKUP($B261,FROTA!$B$5:$R$305,10,0)=U$3,0.01,0)))</f>
        <v/>
      </c>
      <c r="V261" s="306" t="str">
        <f t="shared" si="30"/>
        <v/>
      </c>
      <c r="W261" s="238" t="str">
        <f t="shared" ref="W261:W304" si="32">IF($E261="","",IF($E261="",0,IF($E261=0,AVERAGE(F261,0.8),IF($E261=1,AVERAGE(F261,VLOOKUP($C261,$Y$1:$Z$30,2,0)),IF($E261=2,AVERAGE(F261,VLOOKUP($C261,$AB$1:$AC$30,2,0)),IF($E261=3,AVERAGE(F261,VLOOKUP($C261,$AE$1:$AF$30,2,0)),""))))))</f>
        <v/>
      </c>
      <c r="X261" s="576" t="str">
        <f t="shared" si="31"/>
        <v/>
      </c>
      <c r="BA261" s="581">
        <v>45094</v>
      </c>
      <c r="BB261" s="582">
        <v>2023</v>
      </c>
    </row>
    <row r="262" spans="2:54" ht="15" customHeight="1" x14ac:dyDescent="0.2">
      <c r="B262" s="192" t="str">
        <f>IF(FROTA!B263="","",FROTA!B263)</f>
        <v/>
      </c>
      <c r="C262" s="192" t="str">
        <f>IF(B262="","",FROTA!Z263)</f>
        <v/>
      </c>
      <c r="D262" s="192" t="str">
        <f>IF(B262="","",VLOOKUP(B262,FROTA!$B$5:$C$310,2,0))</f>
        <v/>
      </c>
      <c r="E262" s="233" t="str">
        <f>IF(D262="","",VLOOKUP(D262,ESCALA!$B$3:$H$19,7,0))</f>
        <v/>
      </c>
      <c r="F262" s="219" t="s">
        <v>222</v>
      </c>
      <c r="G262" s="305" t="str">
        <f t="shared" ref="G262:G304" si="33">IF(W262="",IF(X262="","",X262),W262)</f>
        <v/>
      </c>
      <c r="H262" s="314" t="str">
        <f>IF($B262="","",IF(H$4="NÃO",0,IF(VLOOKUP($B262,FROTA!$B$5:$R$305,17,0)=H$3,0.02,0)))</f>
        <v/>
      </c>
      <c r="I262" s="193" t="str">
        <f>IF($B262="","",IF(I$4="NÃO",0,IF(VLOOKUP($B262,FROTA!$B$5:$R$305,17,0)=I$3,0.02,0)))</f>
        <v/>
      </c>
      <c r="J262" s="193" t="str">
        <f>IF($B262="","",IF(J$4="NÃO",0,IF(VLOOKUP($B262,FROTA!$B$5:$R$305,17,0)=J$3,0.02,0)))</f>
        <v/>
      </c>
      <c r="K262" s="193" t="str">
        <f>IF($B262="","",IF(K$4="NÃO",0,IF(VLOOKUP($B262,FROTA!$B$5:$R$305,17,0)=K$3,0.02,0)))</f>
        <v/>
      </c>
      <c r="L262" s="193" t="str">
        <f>IF($B262="","",IF(L$4="NÃO",0,IF(VLOOKUP($B262,FROTA!$B$5:$R$305,17,0)=L$3,0.02,0)))</f>
        <v/>
      </c>
      <c r="M262" s="193" t="str">
        <f>IF($B262="","",IF(M$4="NÃO",0,IF(VLOOKUP($B262,FROTA!$B$5:$R$305,17,0)=M$3,0.02,0)))</f>
        <v/>
      </c>
      <c r="N262" s="193" t="str">
        <f>IF($B262="","",IF(M$4="NÃO",0,IF(VLOOKUP($B262,FROTA!$B$5:$R$305,17,0)=N$3,0.02,0)))</f>
        <v/>
      </c>
      <c r="O262" s="311" t="str">
        <f>IF($B262="","",IF(O$4="NÃO",0,IF(VLOOKUP($B262,FROTA!$B$5:$R$305,10,0)=O$3,0.01,0)))</f>
        <v/>
      </c>
      <c r="P262" s="307" t="str">
        <f>IF($B262="","",IF(P$4="NÃO",0,IF(VLOOKUP($B262,FROTA!$B$5:$R$305,10,0)=P$3,0.01,0)))</f>
        <v/>
      </c>
      <c r="Q262" s="307" t="str">
        <f>IF($B262="","",IF(Q$4="NÃO",0,IF(VLOOKUP($B262,FROTA!$B$5:$R$305,10,0)=Q$3,0.01,0)))</f>
        <v/>
      </c>
      <c r="R262" s="307" t="str">
        <f>IF($B262="","",IF(R$4="NÃO",0,IF(VLOOKUP($B262,FROTA!$B$5:$R$305,10,0)=R$3,0.01,0)))</f>
        <v/>
      </c>
      <c r="S262" s="307" t="str">
        <f>IF($B262="","",IF(S$4="NÃO",0,IF(VLOOKUP($B262,FROTA!$B$5:$R$305,10,0)=S$3,0.01,0)))</f>
        <v/>
      </c>
      <c r="T262" s="307" t="str">
        <f>IF($B262="","",IF(T$4="NÃO",0,IF(VLOOKUP($B262,FROTA!$B$5:$R$305,10,0)=T$3,0.01,0)))</f>
        <v/>
      </c>
      <c r="U262" s="307" t="str">
        <f>IF($B262="","",IF(U$4="NÃO",0,IF(VLOOKUP($B262,FROTA!$B$5:$R$305,10,0)=U$3,0.01,0)))</f>
        <v/>
      </c>
      <c r="V262" s="306" t="str">
        <f t="shared" ref="V262:V304" si="34">IF(B262="","",IF(G262="","",IF(G262-SUM(H262:U262)&lt;0,0,G262-SUM(H262:U262))))</f>
        <v/>
      </c>
      <c r="W262" s="238" t="str">
        <f t="shared" si="32"/>
        <v/>
      </c>
      <c r="X262" s="576" t="str">
        <f t="shared" ref="X262:X304" si="35">IF(E262="","",IF(E262=4,AVERAGE(F262,VLOOKUP(C262,$AH$1:$AI$30,2,0)),IF(E262=5,AVERAGE(F262,VLOOKUP(C262,$AK$1:$AL$30,2,0)),IF(E262=6,AVERAGE(F262,VLOOKUP(C262,$AN$1:$AO$30,2,0)),IF(E262&gt;=7,AVERAGE(F262,VLOOKUP(C262,$AQ$1:$AR$30,2,0)),"")))))</f>
        <v/>
      </c>
      <c r="BA262" s="581">
        <v>45095</v>
      </c>
      <c r="BB262" s="582">
        <v>2023</v>
      </c>
    </row>
    <row r="263" spans="2:54" ht="15" customHeight="1" x14ac:dyDescent="0.2">
      <c r="B263" s="192" t="str">
        <f>IF(FROTA!B264="","",FROTA!B264)</f>
        <v/>
      </c>
      <c r="C263" s="192" t="str">
        <f>IF(B263="","",FROTA!Z264)</f>
        <v/>
      </c>
      <c r="D263" s="192" t="str">
        <f>IF(B263="","",VLOOKUP(B263,FROTA!$B$5:$C$310,2,0))</f>
        <v/>
      </c>
      <c r="E263" s="233" t="str">
        <f>IF(D263="","",VLOOKUP(D263,ESCALA!$B$3:$H$19,7,0))</f>
        <v/>
      </c>
      <c r="F263" s="219" t="s">
        <v>222</v>
      </c>
      <c r="G263" s="305" t="str">
        <f t="shared" si="33"/>
        <v/>
      </c>
      <c r="H263" s="314" t="str">
        <f>IF($B263="","",IF(H$4="NÃO",0,IF(VLOOKUP($B263,FROTA!$B$5:$R$305,17,0)=H$3,0.02,0)))</f>
        <v/>
      </c>
      <c r="I263" s="193" t="str">
        <f>IF($B263="","",IF(I$4="NÃO",0,IF(VLOOKUP($B263,FROTA!$B$5:$R$305,17,0)=I$3,0.02,0)))</f>
        <v/>
      </c>
      <c r="J263" s="193" t="str">
        <f>IF($B263="","",IF(J$4="NÃO",0,IF(VLOOKUP($B263,FROTA!$B$5:$R$305,17,0)=J$3,0.02,0)))</f>
        <v/>
      </c>
      <c r="K263" s="193" t="str">
        <f>IF($B263="","",IF(K$4="NÃO",0,IF(VLOOKUP($B263,FROTA!$B$5:$R$305,17,0)=K$3,0.02,0)))</f>
        <v/>
      </c>
      <c r="L263" s="193" t="str">
        <f>IF($B263="","",IF(L$4="NÃO",0,IF(VLOOKUP($B263,FROTA!$B$5:$R$305,17,0)=L$3,0.02,0)))</f>
        <v/>
      </c>
      <c r="M263" s="193" t="str">
        <f>IF($B263="","",IF(M$4="NÃO",0,IF(VLOOKUP($B263,FROTA!$B$5:$R$305,17,0)=M$3,0.02,0)))</f>
        <v/>
      </c>
      <c r="N263" s="193" t="str">
        <f>IF($B263="","",IF(M$4="NÃO",0,IF(VLOOKUP($B263,FROTA!$B$5:$R$305,17,0)=N$3,0.02,0)))</f>
        <v/>
      </c>
      <c r="O263" s="311" t="str">
        <f>IF($B263="","",IF(O$4="NÃO",0,IF(VLOOKUP($B263,FROTA!$B$5:$R$305,10,0)=O$3,0.01,0)))</f>
        <v/>
      </c>
      <c r="P263" s="307" t="str">
        <f>IF($B263="","",IF(P$4="NÃO",0,IF(VLOOKUP($B263,FROTA!$B$5:$R$305,10,0)=P$3,0.01,0)))</f>
        <v/>
      </c>
      <c r="Q263" s="307" t="str">
        <f>IF($B263="","",IF(Q$4="NÃO",0,IF(VLOOKUP($B263,FROTA!$B$5:$R$305,10,0)=Q$3,0.01,0)))</f>
        <v/>
      </c>
      <c r="R263" s="307" t="str">
        <f>IF($B263="","",IF(R$4="NÃO",0,IF(VLOOKUP($B263,FROTA!$B$5:$R$305,10,0)=R$3,0.01,0)))</f>
        <v/>
      </c>
      <c r="S263" s="307" t="str">
        <f>IF($B263="","",IF(S$4="NÃO",0,IF(VLOOKUP($B263,FROTA!$B$5:$R$305,10,0)=S$3,0.01,0)))</f>
        <v/>
      </c>
      <c r="T263" s="307" t="str">
        <f>IF($B263="","",IF(T$4="NÃO",0,IF(VLOOKUP($B263,FROTA!$B$5:$R$305,10,0)=T$3,0.01,0)))</f>
        <v/>
      </c>
      <c r="U263" s="307" t="str">
        <f>IF($B263="","",IF(U$4="NÃO",0,IF(VLOOKUP($B263,FROTA!$B$5:$R$305,10,0)=U$3,0.01,0)))</f>
        <v/>
      </c>
      <c r="V263" s="306" t="str">
        <f t="shared" si="34"/>
        <v/>
      </c>
      <c r="W263" s="238" t="str">
        <f t="shared" si="32"/>
        <v/>
      </c>
      <c r="X263" s="576" t="str">
        <f t="shared" si="35"/>
        <v/>
      </c>
      <c r="BA263" s="581">
        <v>45096</v>
      </c>
      <c r="BB263" s="582">
        <v>2023</v>
      </c>
    </row>
    <row r="264" spans="2:54" ht="15" customHeight="1" x14ac:dyDescent="0.2">
      <c r="B264" s="192" t="str">
        <f>IF(FROTA!B265="","",FROTA!B265)</f>
        <v/>
      </c>
      <c r="C264" s="192" t="str">
        <f>IF(B264="","",FROTA!Z265)</f>
        <v/>
      </c>
      <c r="D264" s="192" t="str">
        <f>IF(B264="","",VLOOKUP(B264,FROTA!$B$5:$C$310,2,0))</f>
        <v/>
      </c>
      <c r="E264" s="233" t="str">
        <f>IF(D264="","",VLOOKUP(D264,ESCALA!$B$3:$H$19,7,0))</f>
        <v/>
      </c>
      <c r="F264" s="219" t="s">
        <v>222</v>
      </c>
      <c r="G264" s="305" t="str">
        <f t="shared" si="33"/>
        <v/>
      </c>
      <c r="H264" s="314" t="str">
        <f>IF($B264="","",IF(H$4="NÃO",0,IF(VLOOKUP($B264,FROTA!$B$5:$R$305,17,0)=H$3,0.02,0)))</f>
        <v/>
      </c>
      <c r="I264" s="193" t="str">
        <f>IF($B264="","",IF(I$4="NÃO",0,IF(VLOOKUP($B264,FROTA!$B$5:$R$305,17,0)=I$3,0.02,0)))</f>
        <v/>
      </c>
      <c r="J264" s="193" t="str">
        <f>IF($B264="","",IF(J$4="NÃO",0,IF(VLOOKUP($B264,FROTA!$B$5:$R$305,17,0)=J$3,0.02,0)))</f>
        <v/>
      </c>
      <c r="K264" s="193" t="str">
        <f>IF($B264="","",IF(K$4="NÃO",0,IF(VLOOKUP($B264,FROTA!$B$5:$R$305,17,0)=K$3,0.02,0)))</f>
        <v/>
      </c>
      <c r="L264" s="193" t="str">
        <f>IF($B264="","",IF(L$4="NÃO",0,IF(VLOOKUP($B264,FROTA!$B$5:$R$305,17,0)=L$3,0.02,0)))</f>
        <v/>
      </c>
      <c r="M264" s="193" t="str">
        <f>IF($B264="","",IF(M$4="NÃO",0,IF(VLOOKUP($B264,FROTA!$B$5:$R$305,17,0)=M$3,0.02,0)))</f>
        <v/>
      </c>
      <c r="N264" s="193" t="str">
        <f>IF($B264="","",IF(M$4="NÃO",0,IF(VLOOKUP($B264,FROTA!$B$5:$R$305,17,0)=N$3,0.02,0)))</f>
        <v/>
      </c>
      <c r="O264" s="311" t="str">
        <f>IF($B264="","",IF(O$4="NÃO",0,IF(VLOOKUP($B264,FROTA!$B$5:$R$305,10,0)=O$3,0.01,0)))</f>
        <v/>
      </c>
      <c r="P264" s="307" t="str">
        <f>IF($B264="","",IF(P$4="NÃO",0,IF(VLOOKUP($B264,FROTA!$B$5:$R$305,10,0)=P$3,0.01,0)))</f>
        <v/>
      </c>
      <c r="Q264" s="307" t="str">
        <f>IF($B264="","",IF(Q$4="NÃO",0,IF(VLOOKUP($B264,FROTA!$B$5:$R$305,10,0)=Q$3,0.01,0)))</f>
        <v/>
      </c>
      <c r="R264" s="307" t="str">
        <f>IF($B264="","",IF(R$4="NÃO",0,IF(VLOOKUP($B264,FROTA!$B$5:$R$305,10,0)=R$3,0.01,0)))</f>
        <v/>
      </c>
      <c r="S264" s="307" t="str">
        <f>IF($B264="","",IF(S$4="NÃO",0,IF(VLOOKUP($B264,FROTA!$B$5:$R$305,10,0)=S$3,0.01,0)))</f>
        <v/>
      </c>
      <c r="T264" s="307" t="str">
        <f>IF($B264="","",IF(T$4="NÃO",0,IF(VLOOKUP($B264,FROTA!$B$5:$R$305,10,0)=T$3,0.01,0)))</f>
        <v/>
      </c>
      <c r="U264" s="307" t="str">
        <f>IF($B264="","",IF(U$4="NÃO",0,IF(VLOOKUP($B264,FROTA!$B$5:$R$305,10,0)=U$3,0.01,0)))</f>
        <v/>
      </c>
      <c r="V264" s="306" t="str">
        <f t="shared" si="34"/>
        <v/>
      </c>
      <c r="W264" s="238" t="str">
        <f t="shared" si="32"/>
        <v/>
      </c>
      <c r="X264" s="576" t="str">
        <f t="shared" si="35"/>
        <v/>
      </c>
      <c r="BA264" s="581">
        <v>45097</v>
      </c>
      <c r="BB264" s="582">
        <v>2023</v>
      </c>
    </row>
    <row r="265" spans="2:54" ht="15" customHeight="1" x14ac:dyDescent="0.2">
      <c r="B265" s="192" t="str">
        <f>IF(FROTA!B266="","",FROTA!B266)</f>
        <v/>
      </c>
      <c r="C265" s="192" t="str">
        <f>IF(B265="","",FROTA!Z266)</f>
        <v/>
      </c>
      <c r="D265" s="192" t="str">
        <f>IF(B265="","",VLOOKUP(B265,FROTA!$B$5:$C$310,2,0))</f>
        <v/>
      </c>
      <c r="E265" s="233" t="str">
        <f>IF(D265="","",VLOOKUP(D265,ESCALA!$B$3:$H$19,7,0))</f>
        <v/>
      </c>
      <c r="F265" s="219" t="s">
        <v>222</v>
      </c>
      <c r="G265" s="305" t="str">
        <f t="shared" si="33"/>
        <v/>
      </c>
      <c r="H265" s="314" t="str">
        <f>IF($B265="","",IF(H$4="NÃO",0,IF(VLOOKUP($B265,FROTA!$B$5:$R$305,17,0)=H$3,0.02,0)))</f>
        <v/>
      </c>
      <c r="I265" s="193" t="str">
        <f>IF($B265="","",IF(I$4="NÃO",0,IF(VLOOKUP($B265,FROTA!$B$5:$R$305,17,0)=I$3,0.02,0)))</f>
        <v/>
      </c>
      <c r="J265" s="193" t="str">
        <f>IF($B265="","",IF(J$4="NÃO",0,IF(VLOOKUP($B265,FROTA!$B$5:$R$305,17,0)=J$3,0.02,0)))</f>
        <v/>
      </c>
      <c r="K265" s="193" t="str">
        <f>IF($B265="","",IF(K$4="NÃO",0,IF(VLOOKUP($B265,FROTA!$B$5:$R$305,17,0)=K$3,0.02,0)))</f>
        <v/>
      </c>
      <c r="L265" s="193" t="str">
        <f>IF($B265="","",IF(L$4="NÃO",0,IF(VLOOKUP($B265,FROTA!$B$5:$R$305,17,0)=L$3,0.02,0)))</f>
        <v/>
      </c>
      <c r="M265" s="193" t="str">
        <f>IF($B265="","",IF(M$4="NÃO",0,IF(VLOOKUP($B265,FROTA!$B$5:$R$305,17,0)=M$3,0.02,0)))</f>
        <v/>
      </c>
      <c r="N265" s="193" t="str">
        <f>IF($B265="","",IF(M$4="NÃO",0,IF(VLOOKUP($B265,FROTA!$B$5:$R$305,17,0)=N$3,0.02,0)))</f>
        <v/>
      </c>
      <c r="O265" s="311" t="str">
        <f>IF($B265="","",IF(O$4="NÃO",0,IF(VLOOKUP($B265,FROTA!$B$5:$R$305,10,0)=O$3,0.01,0)))</f>
        <v/>
      </c>
      <c r="P265" s="307" t="str">
        <f>IF($B265="","",IF(P$4="NÃO",0,IF(VLOOKUP($B265,FROTA!$B$5:$R$305,10,0)=P$3,0.01,0)))</f>
        <v/>
      </c>
      <c r="Q265" s="307" t="str">
        <f>IF($B265="","",IF(Q$4="NÃO",0,IF(VLOOKUP($B265,FROTA!$B$5:$R$305,10,0)=Q$3,0.01,0)))</f>
        <v/>
      </c>
      <c r="R265" s="307" t="str">
        <f>IF($B265="","",IF(R$4="NÃO",0,IF(VLOOKUP($B265,FROTA!$B$5:$R$305,10,0)=R$3,0.01,0)))</f>
        <v/>
      </c>
      <c r="S265" s="307" t="str">
        <f>IF($B265="","",IF(S$4="NÃO",0,IF(VLOOKUP($B265,FROTA!$B$5:$R$305,10,0)=S$3,0.01,0)))</f>
        <v/>
      </c>
      <c r="T265" s="307" t="str">
        <f>IF($B265="","",IF(T$4="NÃO",0,IF(VLOOKUP($B265,FROTA!$B$5:$R$305,10,0)=T$3,0.01,0)))</f>
        <v/>
      </c>
      <c r="U265" s="307" t="str">
        <f>IF($B265="","",IF(U$4="NÃO",0,IF(VLOOKUP($B265,FROTA!$B$5:$R$305,10,0)=U$3,0.01,0)))</f>
        <v/>
      </c>
      <c r="V265" s="306" t="str">
        <f t="shared" si="34"/>
        <v/>
      </c>
      <c r="W265" s="238" t="str">
        <f t="shared" si="32"/>
        <v/>
      </c>
      <c r="X265" s="576" t="str">
        <f t="shared" si="35"/>
        <v/>
      </c>
      <c r="BA265" s="581">
        <v>45098</v>
      </c>
      <c r="BB265" s="582">
        <v>2023</v>
      </c>
    </row>
    <row r="266" spans="2:54" ht="15" customHeight="1" x14ac:dyDescent="0.2">
      <c r="B266" s="192" t="str">
        <f>IF(FROTA!B267="","",FROTA!B267)</f>
        <v/>
      </c>
      <c r="C266" s="192" t="str">
        <f>IF(B266="","",FROTA!Z267)</f>
        <v/>
      </c>
      <c r="D266" s="192" t="str">
        <f>IF(B266="","",VLOOKUP(B266,FROTA!$B$5:$C$310,2,0))</f>
        <v/>
      </c>
      <c r="E266" s="233" t="str">
        <f>IF(D266="","",VLOOKUP(D266,ESCALA!$B$3:$H$19,7,0))</f>
        <v/>
      </c>
      <c r="F266" s="219" t="s">
        <v>222</v>
      </c>
      <c r="G266" s="305" t="str">
        <f t="shared" si="33"/>
        <v/>
      </c>
      <c r="H266" s="314" t="str">
        <f>IF($B266="","",IF(H$4="NÃO",0,IF(VLOOKUP($B266,FROTA!$B$5:$R$305,17,0)=H$3,0.02,0)))</f>
        <v/>
      </c>
      <c r="I266" s="193" t="str">
        <f>IF($B266="","",IF(I$4="NÃO",0,IF(VLOOKUP($B266,FROTA!$B$5:$R$305,17,0)=I$3,0.02,0)))</f>
        <v/>
      </c>
      <c r="J266" s="193" t="str">
        <f>IF($B266="","",IF(J$4="NÃO",0,IF(VLOOKUP($B266,FROTA!$B$5:$R$305,17,0)=J$3,0.02,0)))</f>
        <v/>
      </c>
      <c r="K266" s="193" t="str">
        <f>IF($B266="","",IF(K$4="NÃO",0,IF(VLOOKUP($B266,FROTA!$B$5:$R$305,17,0)=K$3,0.02,0)))</f>
        <v/>
      </c>
      <c r="L266" s="193" t="str">
        <f>IF($B266="","",IF(L$4="NÃO",0,IF(VLOOKUP($B266,FROTA!$B$5:$R$305,17,0)=L$3,0.02,0)))</f>
        <v/>
      </c>
      <c r="M266" s="193" t="str">
        <f>IF($B266="","",IF(M$4="NÃO",0,IF(VLOOKUP($B266,FROTA!$B$5:$R$305,17,0)=M$3,0.02,0)))</f>
        <v/>
      </c>
      <c r="N266" s="193" t="str">
        <f>IF($B266="","",IF(M$4="NÃO",0,IF(VLOOKUP($B266,FROTA!$B$5:$R$305,17,0)=N$3,0.02,0)))</f>
        <v/>
      </c>
      <c r="O266" s="311" t="str">
        <f>IF($B266="","",IF(O$4="NÃO",0,IF(VLOOKUP($B266,FROTA!$B$5:$R$305,10,0)=O$3,0.01,0)))</f>
        <v/>
      </c>
      <c r="P266" s="307" t="str">
        <f>IF($B266="","",IF(P$4="NÃO",0,IF(VLOOKUP($B266,FROTA!$B$5:$R$305,10,0)=P$3,0.01,0)))</f>
        <v/>
      </c>
      <c r="Q266" s="307" t="str">
        <f>IF($B266="","",IF(Q$4="NÃO",0,IF(VLOOKUP($B266,FROTA!$B$5:$R$305,10,0)=Q$3,0.01,0)))</f>
        <v/>
      </c>
      <c r="R266" s="307" t="str">
        <f>IF($B266="","",IF(R$4="NÃO",0,IF(VLOOKUP($B266,FROTA!$B$5:$R$305,10,0)=R$3,0.01,0)))</f>
        <v/>
      </c>
      <c r="S266" s="307" t="str">
        <f>IF($B266="","",IF(S$4="NÃO",0,IF(VLOOKUP($B266,FROTA!$B$5:$R$305,10,0)=S$3,0.01,0)))</f>
        <v/>
      </c>
      <c r="T266" s="307" t="str">
        <f>IF($B266="","",IF(T$4="NÃO",0,IF(VLOOKUP($B266,FROTA!$B$5:$R$305,10,0)=T$3,0.01,0)))</f>
        <v/>
      </c>
      <c r="U266" s="307" t="str">
        <f>IF($B266="","",IF(U$4="NÃO",0,IF(VLOOKUP($B266,FROTA!$B$5:$R$305,10,0)=U$3,0.01,0)))</f>
        <v/>
      </c>
      <c r="V266" s="306" t="str">
        <f t="shared" si="34"/>
        <v/>
      </c>
      <c r="W266" s="238" t="str">
        <f t="shared" si="32"/>
        <v/>
      </c>
      <c r="X266" s="576" t="str">
        <f t="shared" si="35"/>
        <v/>
      </c>
      <c r="BA266" s="581">
        <v>45099</v>
      </c>
      <c r="BB266" s="582">
        <v>2023</v>
      </c>
    </row>
    <row r="267" spans="2:54" ht="15" customHeight="1" x14ac:dyDescent="0.2">
      <c r="B267" s="192" t="str">
        <f>IF(FROTA!B268="","",FROTA!B268)</f>
        <v/>
      </c>
      <c r="C267" s="192" t="str">
        <f>IF(B267="","",FROTA!Z268)</f>
        <v/>
      </c>
      <c r="D267" s="192" t="str">
        <f>IF(B267="","",VLOOKUP(B267,FROTA!$B$5:$C$310,2,0))</f>
        <v/>
      </c>
      <c r="E267" s="233" t="str">
        <f>IF(D267="","",VLOOKUP(D267,ESCALA!$B$3:$H$19,7,0))</f>
        <v/>
      </c>
      <c r="F267" s="219" t="s">
        <v>222</v>
      </c>
      <c r="G267" s="305" t="str">
        <f t="shared" si="33"/>
        <v/>
      </c>
      <c r="H267" s="314" t="str">
        <f>IF($B267="","",IF(H$4="NÃO",0,IF(VLOOKUP($B267,FROTA!$B$5:$R$305,17,0)=H$3,0.02,0)))</f>
        <v/>
      </c>
      <c r="I267" s="193" t="str">
        <f>IF($B267="","",IF(I$4="NÃO",0,IF(VLOOKUP($B267,FROTA!$B$5:$R$305,17,0)=I$3,0.02,0)))</f>
        <v/>
      </c>
      <c r="J267" s="193" t="str">
        <f>IF($B267="","",IF(J$4="NÃO",0,IF(VLOOKUP($B267,FROTA!$B$5:$R$305,17,0)=J$3,0.02,0)))</f>
        <v/>
      </c>
      <c r="K267" s="193" t="str">
        <f>IF($B267="","",IF(K$4="NÃO",0,IF(VLOOKUP($B267,FROTA!$B$5:$R$305,17,0)=K$3,0.02,0)))</f>
        <v/>
      </c>
      <c r="L267" s="193" t="str">
        <f>IF($B267="","",IF(L$4="NÃO",0,IF(VLOOKUP($B267,FROTA!$B$5:$R$305,17,0)=L$3,0.02,0)))</f>
        <v/>
      </c>
      <c r="M267" s="193" t="str">
        <f>IF($B267="","",IF(M$4="NÃO",0,IF(VLOOKUP($B267,FROTA!$B$5:$R$305,17,0)=M$3,0.02,0)))</f>
        <v/>
      </c>
      <c r="N267" s="193" t="str">
        <f>IF($B267="","",IF(M$4="NÃO",0,IF(VLOOKUP($B267,FROTA!$B$5:$R$305,17,0)=N$3,0.02,0)))</f>
        <v/>
      </c>
      <c r="O267" s="311" t="str">
        <f>IF($B267="","",IF(O$4="NÃO",0,IF(VLOOKUP($B267,FROTA!$B$5:$R$305,10,0)=O$3,0.01,0)))</f>
        <v/>
      </c>
      <c r="P267" s="307" t="str">
        <f>IF($B267="","",IF(P$4="NÃO",0,IF(VLOOKUP($B267,FROTA!$B$5:$R$305,10,0)=P$3,0.01,0)))</f>
        <v/>
      </c>
      <c r="Q267" s="307" t="str">
        <f>IF($B267="","",IF(Q$4="NÃO",0,IF(VLOOKUP($B267,FROTA!$B$5:$R$305,10,0)=Q$3,0.01,0)))</f>
        <v/>
      </c>
      <c r="R267" s="307" t="str">
        <f>IF($B267="","",IF(R$4="NÃO",0,IF(VLOOKUP($B267,FROTA!$B$5:$R$305,10,0)=R$3,0.01,0)))</f>
        <v/>
      </c>
      <c r="S267" s="307" t="str">
        <f>IF($B267="","",IF(S$4="NÃO",0,IF(VLOOKUP($B267,FROTA!$B$5:$R$305,10,0)=S$3,0.01,0)))</f>
        <v/>
      </c>
      <c r="T267" s="307" t="str">
        <f>IF($B267="","",IF(T$4="NÃO",0,IF(VLOOKUP($B267,FROTA!$B$5:$R$305,10,0)=T$3,0.01,0)))</f>
        <v/>
      </c>
      <c r="U267" s="307" t="str">
        <f>IF($B267="","",IF(U$4="NÃO",0,IF(VLOOKUP($B267,FROTA!$B$5:$R$305,10,0)=U$3,0.01,0)))</f>
        <v/>
      </c>
      <c r="V267" s="306" t="str">
        <f t="shared" si="34"/>
        <v/>
      </c>
      <c r="W267" s="238" t="str">
        <f t="shared" si="32"/>
        <v/>
      </c>
      <c r="X267" s="576" t="str">
        <f t="shared" si="35"/>
        <v/>
      </c>
      <c r="BA267" s="581">
        <v>45100</v>
      </c>
      <c r="BB267" s="582">
        <v>2023</v>
      </c>
    </row>
    <row r="268" spans="2:54" ht="15" customHeight="1" x14ac:dyDescent="0.2">
      <c r="B268" s="192" t="str">
        <f>IF(FROTA!B269="","",FROTA!B269)</f>
        <v/>
      </c>
      <c r="C268" s="192" t="str">
        <f>IF(B268="","",FROTA!Z269)</f>
        <v/>
      </c>
      <c r="D268" s="192" t="str">
        <f>IF(B268="","",VLOOKUP(B268,FROTA!$B$5:$C$310,2,0))</f>
        <v/>
      </c>
      <c r="E268" s="233" t="str">
        <f>IF(D268="","",VLOOKUP(D268,ESCALA!$B$3:$H$19,7,0))</f>
        <v/>
      </c>
      <c r="F268" s="219" t="s">
        <v>222</v>
      </c>
      <c r="G268" s="305" t="str">
        <f t="shared" si="33"/>
        <v/>
      </c>
      <c r="H268" s="314" t="str">
        <f>IF($B268="","",IF(H$4="NÃO",0,IF(VLOOKUP($B268,FROTA!$B$5:$R$305,17,0)=H$3,0.02,0)))</f>
        <v/>
      </c>
      <c r="I268" s="193" t="str">
        <f>IF($B268="","",IF(I$4="NÃO",0,IF(VLOOKUP($B268,FROTA!$B$5:$R$305,17,0)=I$3,0.02,0)))</f>
        <v/>
      </c>
      <c r="J268" s="193" t="str">
        <f>IF($B268="","",IF(J$4="NÃO",0,IF(VLOOKUP($B268,FROTA!$B$5:$R$305,17,0)=J$3,0.02,0)))</f>
        <v/>
      </c>
      <c r="K268" s="193" t="str">
        <f>IF($B268="","",IF(K$4="NÃO",0,IF(VLOOKUP($B268,FROTA!$B$5:$R$305,17,0)=K$3,0.02,0)))</f>
        <v/>
      </c>
      <c r="L268" s="193" t="str">
        <f>IF($B268="","",IF(L$4="NÃO",0,IF(VLOOKUP($B268,FROTA!$B$5:$R$305,17,0)=L$3,0.02,0)))</f>
        <v/>
      </c>
      <c r="M268" s="193" t="str">
        <f>IF($B268="","",IF(M$4="NÃO",0,IF(VLOOKUP($B268,FROTA!$B$5:$R$305,17,0)=M$3,0.02,0)))</f>
        <v/>
      </c>
      <c r="N268" s="193" t="str">
        <f>IF($B268="","",IF(M$4="NÃO",0,IF(VLOOKUP($B268,FROTA!$B$5:$R$305,17,0)=N$3,0.02,0)))</f>
        <v/>
      </c>
      <c r="O268" s="311" t="str">
        <f>IF($B268="","",IF(O$4="NÃO",0,IF(VLOOKUP($B268,FROTA!$B$5:$R$305,10,0)=O$3,0.01,0)))</f>
        <v/>
      </c>
      <c r="P268" s="307" t="str">
        <f>IF($B268="","",IF(P$4="NÃO",0,IF(VLOOKUP($B268,FROTA!$B$5:$R$305,10,0)=P$3,0.01,0)))</f>
        <v/>
      </c>
      <c r="Q268" s="307" t="str">
        <f>IF($B268="","",IF(Q$4="NÃO",0,IF(VLOOKUP($B268,FROTA!$B$5:$R$305,10,0)=Q$3,0.01,0)))</f>
        <v/>
      </c>
      <c r="R268" s="307" t="str">
        <f>IF($B268="","",IF(R$4="NÃO",0,IF(VLOOKUP($B268,FROTA!$B$5:$R$305,10,0)=R$3,0.01,0)))</f>
        <v/>
      </c>
      <c r="S268" s="307" t="str">
        <f>IF($B268="","",IF(S$4="NÃO",0,IF(VLOOKUP($B268,FROTA!$B$5:$R$305,10,0)=S$3,0.01,0)))</f>
        <v/>
      </c>
      <c r="T268" s="307" t="str">
        <f>IF($B268="","",IF(T$4="NÃO",0,IF(VLOOKUP($B268,FROTA!$B$5:$R$305,10,0)=T$3,0.01,0)))</f>
        <v/>
      </c>
      <c r="U268" s="307" t="str">
        <f>IF($B268="","",IF(U$4="NÃO",0,IF(VLOOKUP($B268,FROTA!$B$5:$R$305,10,0)=U$3,0.01,0)))</f>
        <v/>
      </c>
      <c r="V268" s="306" t="str">
        <f t="shared" si="34"/>
        <v/>
      </c>
      <c r="W268" s="238" t="str">
        <f t="shared" si="32"/>
        <v/>
      </c>
      <c r="X268" s="576" t="str">
        <f t="shared" si="35"/>
        <v/>
      </c>
      <c r="BA268" s="581">
        <v>45101</v>
      </c>
      <c r="BB268" s="582">
        <v>2023</v>
      </c>
    </row>
    <row r="269" spans="2:54" ht="15" customHeight="1" x14ac:dyDescent="0.2">
      <c r="B269" s="192" t="str">
        <f>IF(FROTA!B270="","",FROTA!B270)</f>
        <v/>
      </c>
      <c r="C269" s="192" t="str">
        <f>IF(B269="","",FROTA!Z270)</f>
        <v/>
      </c>
      <c r="D269" s="192" t="str">
        <f>IF(B269="","",VLOOKUP(B269,FROTA!$B$5:$C$310,2,0))</f>
        <v/>
      </c>
      <c r="E269" s="233" t="str">
        <f>IF(D269="","",VLOOKUP(D269,ESCALA!$B$3:$H$19,7,0))</f>
        <v/>
      </c>
      <c r="F269" s="219" t="s">
        <v>222</v>
      </c>
      <c r="G269" s="305" t="str">
        <f t="shared" si="33"/>
        <v/>
      </c>
      <c r="H269" s="314" t="str">
        <f>IF($B269="","",IF(H$4="NÃO",0,IF(VLOOKUP($B269,FROTA!$B$5:$R$305,17,0)=H$3,0.02,0)))</f>
        <v/>
      </c>
      <c r="I269" s="193" t="str">
        <f>IF($B269="","",IF(I$4="NÃO",0,IF(VLOOKUP($B269,FROTA!$B$5:$R$305,17,0)=I$3,0.02,0)))</f>
        <v/>
      </c>
      <c r="J269" s="193" t="str">
        <f>IF($B269="","",IF(J$4="NÃO",0,IF(VLOOKUP($B269,FROTA!$B$5:$R$305,17,0)=J$3,0.02,0)))</f>
        <v/>
      </c>
      <c r="K269" s="193" t="str">
        <f>IF($B269="","",IF(K$4="NÃO",0,IF(VLOOKUP($B269,FROTA!$B$5:$R$305,17,0)=K$3,0.02,0)))</f>
        <v/>
      </c>
      <c r="L269" s="193" t="str">
        <f>IF($B269="","",IF(L$4="NÃO",0,IF(VLOOKUP($B269,FROTA!$B$5:$R$305,17,0)=L$3,0.02,0)))</f>
        <v/>
      </c>
      <c r="M269" s="193" t="str">
        <f>IF($B269="","",IF(M$4="NÃO",0,IF(VLOOKUP($B269,FROTA!$B$5:$R$305,17,0)=M$3,0.02,0)))</f>
        <v/>
      </c>
      <c r="N269" s="193" t="str">
        <f>IF($B269="","",IF(M$4="NÃO",0,IF(VLOOKUP($B269,FROTA!$B$5:$R$305,17,0)=N$3,0.02,0)))</f>
        <v/>
      </c>
      <c r="O269" s="311" t="str">
        <f>IF($B269="","",IF(O$4="NÃO",0,IF(VLOOKUP($B269,FROTA!$B$5:$R$305,10,0)=O$3,0.01,0)))</f>
        <v/>
      </c>
      <c r="P269" s="307" t="str">
        <f>IF($B269="","",IF(P$4="NÃO",0,IF(VLOOKUP($B269,FROTA!$B$5:$R$305,10,0)=P$3,0.01,0)))</f>
        <v/>
      </c>
      <c r="Q269" s="307" t="str">
        <f>IF($B269="","",IF(Q$4="NÃO",0,IF(VLOOKUP($B269,FROTA!$B$5:$R$305,10,0)=Q$3,0.01,0)))</f>
        <v/>
      </c>
      <c r="R269" s="307" t="str">
        <f>IF($B269="","",IF(R$4="NÃO",0,IF(VLOOKUP($B269,FROTA!$B$5:$R$305,10,0)=R$3,0.01,0)))</f>
        <v/>
      </c>
      <c r="S269" s="307" t="str">
        <f>IF($B269="","",IF(S$4="NÃO",0,IF(VLOOKUP($B269,FROTA!$B$5:$R$305,10,0)=S$3,0.01,0)))</f>
        <v/>
      </c>
      <c r="T269" s="307" t="str">
        <f>IF($B269="","",IF(T$4="NÃO",0,IF(VLOOKUP($B269,FROTA!$B$5:$R$305,10,0)=T$3,0.01,0)))</f>
        <v/>
      </c>
      <c r="U269" s="307" t="str">
        <f>IF($B269="","",IF(U$4="NÃO",0,IF(VLOOKUP($B269,FROTA!$B$5:$R$305,10,0)=U$3,0.01,0)))</f>
        <v/>
      </c>
      <c r="V269" s="306" t="str">
        <f t="shared" si="34"/>
        <v/>
      </c>
      <c r="W269" s="238" t="str">
        <f t="shared" si="32"/>
        <v/>
      </c>
      <c r="X269" s="576" t="str">
        <f t="shared" si="35"/>
        <v/>
      </c>
      <c r="BA269" s="581">
        <v>45102</v>
      </c>
      <c r="BB269" s="582">
        <v>2023</v>
      </c>
    </row>
    <row r="270" spans="2:54" ht="15" customHeight="1" x14ac:dyDescent="0.2">
      <c r="B270" s="192" t="str">
        <f>IF(FROTA!B271="","",FROTA!B271)</f>
        <v/>
      </c>
      <c r="C270" s="192" t="str">
        <f>IF(B270="","",FROTA!Z271)</f>
        <v/>
      </c>
      <c r="D270" s="192" t="str">
        <f>IF(B270="","",VLOOKUP(B270,FROTA!$B$5:$C$310,2,0))</f>
        <v/>
      </c>
      <c r="E270" s="233" t="str">
        <f>IF(D270="","",VLOOKUP(D270,ESCALA!$B$3:$H$19,7,0))</f>
        <v/>
      </c>
      <c r="F270" s="219" t="s">
        <v>222</v>
      </c>
      <c r="G270" s="305" t="str">
        <f t="shared" si="33"/>
        <v/>
      </c>
      <c r="H270" s="314" t="str">
        <f>IF($B270="","",IF(H$4="NÃO",0,IF(VLOOKUP($B270,FROTA!$B$5:$R$305,17,0)=H$3,0.02,0)))</f>
        <v/>
      </c>
      <c r="I270" s="193" t="str">
        <f>IF($B270="","",IF(I$4="NÃO",0,IF(VLOOKUP($B270,FROTA!$B$5:$R$305,17,0)=I$3,0.02,0)))</f>
        <v/>
      </c>
      <c r="J270" s="193" t="str">
        <f>IF($B270="","",IF(J$4="NÃO",0,IF(VLOOKUP($B270,FROTA!$B$5:$R$305,17,0)=J$3,0.02,0)))</f>
        <v/>
      </c>
      <c r="K270" s="193" t="str">
        <f>IF($B270="","",IF(K$4="NÃO",0,IF(VLOOKUP($B270,FROTA!$B$5:$R$305,17,0)=K$3,0.02,0)))</f>
        <v/>
      </c>
      <c r="L270" s="193" t="str">
        <f>IF($B270="","",IF(L$4="NÃO",0,IF(VLOOKUP($B270,FROTA!$B$5:$R$305,17,0)=L$3,0.02,0)))</f>
        <v/>
      </c>
      <c r="M270" s="193" t="str">
        <f>IF($B270="","",IF(M$4="NÃO",0,IF(VLOOKUP($B270,FROTA!$B$5:$R$305,17,0)=M$3,0.02,0)))</f>
        <v/>
      </c>
      <c r="N270" s="193" t="str">
        <f>IF($B270="","",IF(M$4="NÃO",0,IF(VLOOKUP($B270,FROTA!$B$5:$R$305,17,0)=N$3,0.02,0)))</f>
        <v/>
      </c>
      <c r="O270" s="311" t="str">
        <f>IF($B270="","",IF(O$4="NÃO",0,IF(VLOOKUP($B270,FROTA!$B$5:$R$305,10,0)=O$3,0.01,0)))</f>
        <v/>
      </c>
      <c r="P270" s="307" t="str">
        <f>IF($B270="","",IF(P$4="NÃO",0,IF(VLOOKUP($B270,FROTA!$B$5:$R$305,10,0)=P$3,0.01,0)))</f>
        <v/>
      </c>
      <c r="Q270" s="307" t="str">
        <f>IF($B270="","",IF(Q$4="NÃO",0,IF(VLOOKUP($B270,FROTA!$B$5:$R$305,10,0)=Q$3,0.01,0)))</f>
        <v/>
      </c>
      <c r="R270" s="307" t="str">
        <f>IF($B270="","",IF(R$4="NÃO",0,IF(VLOOKUP($B270,FROTA!$B$5:$R$305,10,0)=R$3,0.01,0)))</f>
        <v/>
      </c>
      <c r="S270" s="307" t="str">
        <f>IF($B270="","",IF(S$4="NÃO",0,IF(VLOOKUP($B270,FROTA!$B$5:$R$305,10,0)=S$3,0.01,0)))</f>
        <v/>
      </c>
      <c r="T270" s="307" t="str">
        <f>IF($B270="","",IF(T$4="NÃO",0,IF(VLOOKUP($B270,FROTA!$B$5:$R$305,10,0)=T$3,0.01,0)))</f>
        <v/>
      </c>
      <c r="U270" s="307" t="str">
        <f>IF($B270="","",IF(U$4="NÃO",0,IF(VLOOKUP($B270,FROTA!$B$5:$R$305,10,0)=U$3,0.01,0)))</f>
        <v/>
      </c>
      <c r="V270" s="306" t="str">
        <f t="shared" si="34"/>
        <v/>
      </c>
      <c r="W270" s="238" t="str">
        <f t="shared" si="32"/>
        <v/>
      </c>
      <c r="X270" s="576" t="str">
        <f t="shared" si="35"/>
        <v/>
      </c>
      <c r="BA270" s="581">
        <v>45103</v>
      </c>
      <c r="BB270" s="582">
        <v>2023</v>
      </c>
    </row>
    <row r="271" spans="2:54" ht="15" customHeight="1" x14ac:dyDescent="0.2">
      <c r="B271" s="192" t="str">
        <f>IF(FROTA!B272="","",FROTA!B272)</f>
        <v/>
      </c>
      <c r="C271" s="192" t="str">
        <f>IF(B271="","",FROTA!Z272)</f>
        <v/>
      </c>
      <c r="D271" s="192" t="str">
        <f>IF(B271="","",VLOOKUP(B271,FROTA!$B$5:$C$310,2,0))</f>
        <v/>
      </c>
      <c r="E271" s="233" t="str">
        <f>IF(D271="","",VLOOKUP(D271,ESCALA!$B$3:$H$19,7,0))</f>
        <v/>
      </c>
      <c r="F271" s="219" t="s">
        <v>222</v>
      </c>
      <c r="G271" s="305" t="str">
        <f t="shared" si="33"/>
        <v/>
      </c>
      <c r="H271" s="314" t="str">
        <f>IF($B271="","",IF(H$4="NÃO",0,IF(VLOOKUP($B271,FROTA!$B$5:$R$305,17,0)=H$3,0.02,0)))</f>
        <v/>
      </c>
      <c r="I271" s="193" t="str">
        <f>IF($B271="","",IF(I$4="NÃO",0,IF(VLOOKUP($B271,FROTA!$B$5:$R$305,17,0)=I$3,0.02,0)))</f>
        <v/>
      </c>
      <c r="J271" s="193" t="str">
        <f>IF($B271="","",IF(J$4="NÃO",0,IF(VLOOKUP($B271,FROTA!$B$5:$R$305,17,0)=J$3,0.02,0)))</f>
        <v/>
      </c>
      <c r="K271" s="193" t="str">
        <f>IF($B271="","",IF(K$4="NÃO",0,IF(VLOOKUP($B271,FROTA!$B$5:$R$305,17,0)=K$3,0.02,0)))</f>
        <v/>
      </c>
      <c r="L271" s="193" t="str">
        <f>IF($B271="","",IF(L$4="NÃO",0,IF(VLOOKUP($B271,FROTA!$B$5:$R$305,17,0)=L$3,0.02,0)))</f>
        <v/>
      </c>
      <c r="M271" s="193" t="str">
        <f>IF($B271="","",IF(M$4="NÃO",0,IF(VLOOKUP($B271,FROTA!$B$5:$R$305,17,0)=M$3,0.02,0)))</f>
        <v/>
      </c>
      <c r="N271" s="193" t="str">
        <f>IF($B271="","",IF(M$4="NÃO",0,IF(VLOOKUP($B271,FROTA!$B$5:$R$305,17,0)=N$3,0.02,0)))</f>
        <v/>
      </c>
      <c r="O271" s="311" t="str">
        <f>IF($B271="","",IF(O$4="NÃO",0,IF(VLOOKUP($B271,FROTA!$B$5:$R$305,10,0)=O$3,0.01,0)))</f>
        <v/>
      </c>
      <c r="P271" s="307" t="str">
        <f>IF($B271="","",IF(P$4="NÃO",0,IF(VLOOKUP($B271,FROTA!$B$5:$R$305,10,0)=P$3,0.01,0)))</f>
        <v/>
      </c>
      <c r="Q271" s="307" t="str">
        <f>IF($B271="","",IF(Q$4="NÃO",0,IF(VLOOKUP($B271,FROTA!$B$5:$R$305,10,0)=Q$3,0.01,0)))</f>
        <v/>
      </c>
      <c r="R271" s="307" t="str">
        <f>IF($B271="","",IF(R$4="NÃO",0,IF(VLOOKUP($B271,FROTA!$B$5:$R$305,10,0)=R$3,0.01,0)))</f>
        <v/>
      </c>
      <c r="S271" s="307" t="str">
        <f>IF($B271="","",IF(S$4="NÃO",0,IF(VLOOKUP($B271,FROTA!$B$5:$R$305,10,0)=S$3,0.01,0)))</f>
        <v/>
      </c>
      <c r="T271" s="307" t="str">
        <f>IF($B271="","",IF(T$4="NÃO",0,IF(VLOOKUP($B271,FROTA!$B$5:$R$305,10,0)=T$3,0.01,0)))</f>
        <v/>
      </c>
      <c r="U271" s="307" t="str">
        <f>IF($B271="","",IF(U$4="NÃO",0,IF(VLOOKUP($B271,FROTA!$B$5:$R$305,10,0)=U$3,0.01,0)))</f>
        <v/>
      </c>
      <c r="V271" s="306" t="str">
        <f t="shared" si="34"/>
        <v/>
      </c>
      <c r="W271" s="238" t="str">
        <f t="shared" si="32"/>
        <v/>
      </c>
      <c r="X271" s="576" t="str">
        <f t="shared" si="35"/>
        <v/>
      </c>
      <c r="BA271" s="581">
        <v>45104</v>
      </c>
      <c r="BB271" s="582">
        <v>2023</v>
      </c>
    </row>
    <row r="272" spans="2:54" ht="15" customHeight="1" x14ac:dyDescent="0.2">
      <c r="B272" s="192" t="str">
        <f>IF(FROTA!B273="","",FROTA!B273)</f>
        <v/>
      </c>
      <c r="C272" s="192" t="str">
        <f>IF(B272="","",FROTA!Z273)</f>
        <v/>
      </c>
      <c r="D272" s="192" t="str">
        <f>IF(B272="","",VLOOKUP(B272,FROTA!$B$5:$C$310,2,0))</f>
        <v/>
      </c>
      <c r="E272" s="233" t="str">
        <f>IF(D272="","",VLOOKUP(D272,ESCALA!$B$3:$H$19,7,0))</f>
        <v/>
      </c>
      <c r="F272" s="219" t="s">
        <v>222</v>
      </c>
      <c r="G272" s="305" t="str">
        <f t="shared" si="33"/>
        <v/>
      </c>
      <c r="H272" s="314" t="str">
        <f>IF($B272="","",IF(H$4="NÃO",0,IF(VLOOKUP($B272,FROTA!$B$5:$R$305,17,0)=H$3,0.02,0)))</f>
        <v/>
      </c>
      <c r="I272" s="193" t="str">
        <f>IF($B272="","",IF(I$4="NÃO",0,IF(VLOOKUP($B272,FROTA!$B$5:$R$305,17,0)=I$3,0.02,0)))</f>
        <v/>
      </c>
      <c r="J272" s="193" t="str">
        <f>IF($B272="","",IF(J$4="NÃO",0,IF(VLOOKUP($B272,FROTA!$B$5:$R$305,17,0)=J$3,0.02,0)))</f>
        <v/>
      </c>
      <c r="K272" s="193" t="str">
        <f>IF($B272="","",IF(K$4="NÃO",0,IF(VLOOKUP($B272,FROTA!$B$5:$R$305,17,0)=K$3,0.02,0)))</f>
        <v/>
      </c>
      <c r="L272" s="193" t="str">
        <f>IF($B272="","",IF(L$4="NÃO",0,IF(VLOOKUP($B272,FROTA!$B$5:$R$305,17,0)=L$3,0.02,0)))</f>
        <v/>
      </c>
      <c r="M272" s="193" t="str">
        <f>IF($B272="","",IF(M$4="NÃO",0,IF(VLOOKUP($B272,FROTA!$B$5:$R$305,17,0)=M$3,0.02,0)))</f>
        <v/>
      </c>
      <c r="N272" s="193" t="str">
        <f>IF($B272="","",IF(M$4="NÃO",0,IF(VLOOKUP($B272,FROTA!$B$5:$R$305,17,0)=N$3,0.02,0)))</f>
        <v/>
      </c>
      <c r="O272" s="311" t="str">
        <f>IF($B272="","",IF(O$4="NÃO",0,IF(VLOOKUP($B272,FROTA!$B$5:$R$305,10,0)=O$3,0.01,0)))</f>
        <v/>
      </c>
      <c r="P272" s="307" t="str">
        <f>IF($B272="","",IF(P$4="NÃO",0,IF(VLOOKUP($B272,FROTA!$B$5:$R$305,10,0)=P$3,0.01,0)))</f>
        <v/>
      </c>
      <c r="Q272" s="307" t="str">
        <f>IF($B272="","",IF(Q$4="NÃO",0,IF(VLOOKUP($B272,FROTA!$B$5:$R$305,10,0)=Q$3,0.01,0)))</f>
        <v/>
      </c>
      <c r="R272" s="307" t="str">
        <f>IF($B272="","",IF(R$4="NÃO",0,IF(VLOOKUP($B272,FROTA!$B$5:$R$305,10,0)=R$3,0.01,0)))</f>
        <v/>
      </c>
      <c r="S272" s="307" t="str">
        <f>IF($B272="","",IF(S$4="NÃO",0,IF(VLOOKUP($B272,FROTA!$B$5:$R$305,10,0)=S$3,0.01,0)))</f>
        <v/>
      </c>
      <c r="T272" s="307" t="str">
        <f>IF($B272="","",IF(T$4="NÃO",0,IF(VLOOKUP($B272,FROTA!$B$5:$R$305,10,0)=T$3,0.01,0)))</f>
        <v/>
      </c>
      <c r="U272" s="307" t="str">
        <f>IF($B272="","",IF(U$4="NÃO",0,IF(VLOOKUP($B272,FROTA!$B$5:$R$305,10,0)=U$3,0.01,0)))</f>
        <v/>
      </c>
      <c r="V272" s="306" t="str">
        <f t="shared" si="34"/>
        <v/>
      </c>
      <c r="W272" s="238" t="str">
        <f t="shared" si="32"/>
        <v/>
      </c>
      <c r="X272" s="576" t="str">
        <f t="shared" si="35"/>
        <v/>
      </c>
      <c r="BA272" s="581">
        <v>45105</v>
      </c>
      <c r="BB272" s="582">
        <v>2023</v>
      </c>
    </row>
    <row r="273" spans="2:54" ht="15" customHeight="1" x14ac:dyDescent="0.2">
      <c r="B273" s="192" t="str">
        <f>IF(FROTA!B274="","",FROTA!B274)</f>
        <v/>
      </c>
      <c r="C273" s="192" t="str">
        <f>IF(B273="","",FROTA!Z274)</f>
        <v/>
      </c>
      <c r="D273" s="192" t="str">
        <f>IF(B273="","",VLOOKUP(B273,FROTA!$B$5:$C$310,2,0))</f>
        <v/>
      </c>
      <c r="E273" s="233" t="str">
        <f>IF(D273="","",VLOOKUP(D273,ESCALA!$B$3:$H$19,7,0))</f>
        <v/>
      </c>
      <c r="F273" s="219" t="s">
        <v>222</v>
      </c>
      <c r="G273" s="305" t="str">
        <f t="shared" si="33"/>
        <v/>
      </c>
      <c r="H273" s="314" t="str">
        <f>IF($B273="","",IF(H$4="NÃO",0,IF(VLOOKUP($B273,FROTA!$B$5:$R$305,17,0)=H$3,0.02,0)))</f>
        <v/>
      </c>
      <c r="I273" s="193" t="str">
        <f>IF($B273="","",IF(I$4="NÃO",0,IF(VLOOKUP($B273,FROTA!$B$5:$R$305,17,0)=I$3,0.02,0)))</f>
        <v/>
      </c>
      <c r="J273" s="193" t="str">
        <f>IF($B273="","",IF(J$4="NÃO",0,IF(VLOOKUP($B273,FROTA!$B$5:$R$305,17,0)=J$3,0.02,0)))</f>
        <v/>
      </c>
      <c r="K273" s="193" t="str">
        <f>IF($B273="","",IF(K$4="NÃO",0,IF(VLOOKUP($B273,FROTA!$B$5:$R$305,17,0)=K$3,0.02,0)))</f>
        <v/>
      </c>
      <c r="L273" s="193" t="str">
        <f>IF($B273="","",IF(L$4="NÃO",0,IF(VLOOKUP($B273,FROTA!$B$5:$R$305,17,0)=L$3,0.02,0)))</f>
        <v/>
      </c>
      <c r="M273" s="193" t="str">
        <f>IF($B273="","",IF(M$4="NÃO",0,IF(VLOOKUP($B273,FROTA!$B$5:$R$305,17,0)=M$3,0.02,0)))</f>
        <v/>
      </c>
      <c r="N273" s="193" t="str">
        <f>IF($B273="","",IF(M$4="NÃO",0,IF(VLOOKUP($B273,FROTA!$B$5:$R$305,17,0)=N$3,0.02,0)))</f>
        <v/>
      </c>
      <c r="O273" s="311" t="str">
        <f>IF($B273="","",IF(O$4="NÃO",0,IF(VLOOKUP($B273,FROTA!$B$5:$R$305,10,0)=O$3,0.01,0)))</f>
        <v/>
      </c>
      <c r="P273" s="307" t="str">
        <f>IF($B273="","",IF(P$4="NÃO",0,IF(VLOOKUP($B273,FROTA!$B$5:$R$305,10,0)=P$3,0.01,0)))</f>
        <v/>
      </c>
      <c r="Q273" s="307" t="str">
        <f>IF($B273="","",IF(Q$4="NÃO",0,IF(VLOOKUP($B273,FROTA!$B$5:$R$305,10,0)=Q$3,0.01,0)))</f>
        <v/>
      </c>
      <c r="R273" s="307" t="str">
        <f>IF($B273="","",IF(R$4="NÃO",0,IF(VLOOKUP($B273,FROTA!$B$5:$R$305,10,0)=R$3,0.01,0)))</f>
        <v/>
      </c>
      <c r="S273" s="307" t="str">
        <f>IF($B273="","",IF(S$4="NÃO",0,IF(VLOOKUP($B273,FROTA!$B$5:$R$305,10,0)=S$3,0.01,0)))</f>
        <v/>
      </c>
      <c r="T273" s="307" t="str">
        <f>IF($B273="","",IF(T$4="NÃO",0,IF(VLOOKUP($B273,FROTA!$B$5:$R$305,10,0)=T$3,0.01,0)))</f>
        <v/>
      </c>
      <c r="U273" s="307" t="str">
        <f>IF($B273="","",IF(U$4="NÃO",0,IF(VLOOKUP($B273,FROTA!$B$5:$R$305,10,0)=U$3,0.01,0)))</f>
        <v/>
      </c>
      <c r="V273" s="306" t="str">
        <f t="shared" si="34"/>
        <v/>
      </c>
      <c r="W273" s="238" t="str">
        <f t="shared" si="32"/>
        <v/>
      </c>
      <c r="X273" s="576" t="str">
        <f t="shared" si="35"/>
        <v/>
      </c>
      <c r="BA273" s="581">
        <v>45106</v>
      </c>
      <c r="BB273" s="582">
        <v>2023</v>
      </c>
    </row>
    <row r="274" spans="2:54" ht="15" customHeight="1" x14ac:dyDescent="0.2">
      <c r="B274" s="192" t="str">
        <f>IF(FROTA!B275="","",FROTA!B275)</f>
        <v/>
      </c>
      <c r="C274" s="192" t="str">
        <f>IF(B274="","",FROTA!Z275)</f>
        <v/>
      </c>
      <c r="D274" s="192" t="str">
        <f>IF(B274="","",VLOOKUP(B274,FROTA!$B$5:$C$310,2,0))</f>
        <v/>
      </c>
      <c r="E274" s="233" t="str">
        <f>IF(D274="","",VLOOKUP(D274,ESCALA!$B$3:$H$19,7,0))</f>
        <v/>
      </c>
      <c r="F274" s="219" t="s">
        <v>222</v>
      </c>
      <c r="G274" s="305" t="str">
        <f t="shared" si="33"/>
        <v/>
      </c>
      <c r="H274" s="314" t="str">
        <f>IF($B274="","",IF(H$4="NÃO",0,IF(VLOOKUP($B274,FROTA!$B$5:$R$305,17,0)=H$3,0.02,0)))</f>
        <v/>
      </c>
      <c r="I274" s="193" t="str">
        <f>IF($B274="","",IF(I$4="NÃO",0,IF(VLOOKUP($B274,FROTA!$B$5:$R$305,17,0)=I$3,0.02,0)))</f>
        <v/>
      </c>
      <c r="J274" s="193" t="str">
        <f>IF($B274="","",IF(J$4="NÃO",0,IF(VLOOKUP($B274,FROTA!$B$5:$R$305,17,0)=J$3,0.02,0)))</f>
        <v/>
      </c>
      <c r="K274" s="193" t="str">
        <f>IF($B274="","",IF(K$4="NÃO",0,IF(VLOOKUP($B274,FROTA!$B$5:$R$305,17,0)=K$3,0.02,0)))</f>
        <v/>
      </c>
      <c r="L274" s="193" t="str">
        <f>IF($B274="","",IF(L$4="NÃO",0,IF(VLOOKUP($B274,FROTA!$B$5:$R$305,17,0)=L$3,0.02,0)))</f>
        <v/>
      </c>
      <c r="M274" s="193" t="str">
        <f>IF($B274="","",IF(M$4="NÃO",0,IF(VLOOKUP($B274,FROTA!$B$5:$R$305,17,0)=M$3,0.02,0)))</f>
        <v/>
      </c>
      <c r="N274" s="193" t="str">
        <f>IF($B274="","",IF(M$4="NÃO",0,IF(VLOOKUP($B274,FROTA!$B$5:$R$305,17,0)=N$3,0.02,0)))</f>
        <v/>
      </c>
      <c r="O274" s="311" t="str">
        <f>IF($B274="","",IF(O$4="NÃO",0,IF(VLOOKUP($B274,FROTA!$B$5:$R$305,10,0)=O$3,0.01,0)))</f>
        <v/>
      </c>
      <c r="P274" s="307" t="str">
        <f>IF($B274="","",IF(P$4="NÃO",0,IF(VLOOKUP($B274,FROTA!$B$5:$R$305,10,0)=P$3,0.01,0)))</f>
        <v/>
      </c>
      <c r="Q274" s="307" t="str">
        <f>IF($B274="","",IF(Q$4="NÃO",0,IF(VLOOKUP($B274,FROTA!$B$5:$R$305,10,0)=Q$3,0.01,0)))</f>
        <v/>
      </c>
      <c r="R274" s="307" t="str">
        <f>IF($B274="","",IF(R$4="NÃO",0,IF(VLOOKUP($B274,FROTA!$B$5:$R$305,10,0)=R$3,0.01,0)))</f>
        <v/>
      </c>
      <c r="S274" s="307" t="str">
        <f>IF($B274="","",IF(S$4="NÃO",0,IF(VLOOKUP($B274,FROTA!$B$5:$R$305,10,0)=S$3,0.01,0)))</f>
        <v/>
      </c>
      <c r="T274" s="307" t="str">
        <f>IF($B274="","",IF(T$4="NÃO",0,IF(VLOOKUP($B274,FROTA!$B$5:$R$305,10,0)=T$3,0.01,0)))</f>
        <v/>
      </c>
      <c r="U274" s="307" t="str">
        <f>IF($B274="","",IF(U$4="NÃO",0,IF(VLOOKUP($B274,FROTA!$B$5:$R$305,10,0)=U$3,0.01,0)))</f>
        <v/>
      </c>
      <c r="V274" s="306" t="str">
        <f t="shared" si="34"/>
        <v/>
      </c>
      <c r="W274" s="238" t="str">
        <f t="shared" si="32"/>
        <v/>
      </c>
      <c r="X274" s="576" t="str">
        <f t="shared" si="35"/>
        <v/>
      </c>
      <c r="BA274" s="581">
        <v>45107</v>
      </c>
      <c r="BB274" s="582">
        <v>2023</v>
      </c>
    </row>
    <row r="275" spans="2:54" ht="15" customHeight="1" x14ac:dyDescent="0.2">
      <c r="B275" s="192" t="str">
        <f>IF(FROTA!B276="","",FROTA!B276)</f>
        <v/>
      </c>
      <c r="C275" s="192" t="str">
        <f>IF(B275="","",FROTA!Z276)</f>
        <v/>
      </c>
      <c r="D275" s="192" t="str">
        <f>IF(B275="","",VLOOKUP(B275,FROTA!$B$5:$C$310,2,0))</f>
        <v/>
      </c>
      <c r="E275" s="233" t="str">
        <f>IF(D275="","",VLOOKUP(D275,ESCALA!$B$3:$H$19,7,0))</f>
        <v/>
      </c>
      <c r="F275" s="219" t="s">
        <v>222</v>
      </c>
      <c r="G275" s="305" t="str">
        <f t="shared" si="33"/>
        <v/>
      </c>
      <c r="H275" s="314" t="str">
        <f>IF($B275="","",IF(H$4="NÃO",0,IF(VLOOKUP($B275,FROTA!$B$5:$R$305,17,0)=H$3,0.02,0)))</f>
        <v/>
      </c>
      <c r="I275" s="193" t="str">
        <f>IF($B275="","",IF(I$4="NÃO",0,IF(VLOOKUP($B275,FROTA!$B$5:$R$305,17,0)=I$3,0.02,0)))</f>
        <v/>
      </c>
      <c r="J275" s="193" t="str">
        <f>IF($B275="","",IF(J$4="NÃO",0,IF(VLOOKUP($B275,FROTA!$B$5:$R$305,17,0)=J$3,0.02,0)))</f>
        <v/>
      </c>
      <c r="K275" s="193" t="str">
        <f>IF($B275="","",IF(K$4="NÃO",0,IF(VLOOKUP($B275,FROTA!$B$5:$R$305,17,0)=K$3,0.02,0)))</f>
        <v/>
      </c>
      <c r="L275" s="193" t="str">
        <f>IF($B275="","",IF(L$4="NÃO",0,IF(VLOOKUP($B275,FROTA!$B$5:$R$305,17,0)=L$3,0.02,0)))</f>
        <v/>
      </c>
      <c r="M275" s="193" t="str">
        <f>IF($B275="","",IF(M$4="NÃO",0,IF(VLOOKUP($B275,FROTA!$B$5:$R$305,17,0)=M$3,0.02,0)))</f>
        <v/>
      </c>
      <c r="N275" s="193" t="str">
        <f>IF($B275="","",IF(M$4="NÃO",0,IF(VLOOKUP($B275,FROTA!$B$5:$R$305,17,0)=N$3,0.02,0)))</f>
        <v/>
      </c>
      <c r="O275" s="311" t="str">
        <f>IF($B275="","",IF(O$4="NÃO",0,IF(VLOOKUP($B275,FROTA!$B$5:$R$305,10,0)=O$3,0.01,0)))</f>
        <v/>
      </c>
      <c r="P275" s="307" t="str">
        <f>IF($B275="","",IF(P$4="NÃO",0,IF(VLOOKUP($B275,FROTA!$B$5:$R$305,10,0)=P$3,0.01,0)))</f>
        <v/>
      </c>
      <c r="Q275" s="307" t="str">
        <f>IF($B275="","",IF(Q$4="NÃO",0,IF(VLOOKUP($B275,FROTA!$B$5:$R$305,10,0)=Q$3,0.01,0)))</f>
        <v/>
      </c>
      <c r="R275" s="307" t="str">
        <f>IF($B275="","",IF(R$4="NÃO",0,IF(VLOOKUP($B275,FROTA!$B$5:$R$305,10,0)=R$3,0.01,0)))</f>
        <v/>
      </c>
      <c r="S275" s="307" t="str">
        <f>IF($B275="","",IF(S$4="NÃO",0,IF(VLOOKUP($B275,FROTA!$B$5:$R$305,10,0)=S$3,0.01,0)))</f>
        <v/>
      </c>
      <c r="T275" s="307" t="str">
        <f>IF($B275="","",IF(T$4="NÃO",0,IF(VLOOKUP($B275,FROTA!$B$5:$R$305,10,0)=T$3,0.01,0)))</f>
        <v/>
      </c>
      <c r="U275" s="307" t="str">
        <f>IF($B275="","",IF(U$4="NÃO",0,IF(VLOOKUP($B275,FROTA!$B$5:$R$305,10,0)=U$3,0.01,0)))</f>
        <v/>
      </c>
      <c r="V275" s="306" t="str">
        <f t="shared" si="34"/>
        <v/>
      </c>
      <c r="W275" s="238" t="str">
        <f t="shared" si="32"/>
        <v/>
      </c>
      <c r="X275" s="576" t="str">
        <f t="shared" si="35"/>
        <v/>
      </c>
      <c r="BA275" s="581">
        <v>45108</v>
      </c>
      <c r="BB275" s="582">
        <v>2023</v>
      </c>
    </row>
    <row r="276" spans="2:54" ht="15" customHeight="1" x14ac:dyDescent="0.2">
      <c r="B276" s="192" t="str">
        <f>IF(FROTA!B277="","",FROTA!B277)</f>
        <v/>
      </c>
      <c r="C276" s="192" t="str">
        <f>IF(B276="","",FROTA!Z277)</f>
        <v/>
      </c>
      <c r="D276" s="192" t="str">
        <f>IF(B276="","",VLOOKUP(B276,FROTA!$B$5:$C$310,2,0))</f>
        <v/>
      </c>
      <c r="E276" s="233" t="str">
        <f>IF(D276="","",VLOOKUP(D276,ESCALA!$B$3:$H$19,7,0))</f>
        <v/>
      </c>
      <c r="F276" s="219" t="s">
        <v>222</v>
      </c>
      <c r="G276" s="305" t="str">
        <f t="shared" si="33"/>
        <v/>
      </c>
      <c r="H276" s="314" t="str">
        <f>IF($B276="","",IF(H$4="NÃO",0,IF(VLOOKUP($B276,FROTA!$B$5:$R$305,17,0)=H$3,0.02,0)))</f>
        <v/>
      </c>
      <c r="I276" s="193" t="str">
        <f>IF($B276="","",IF(I$4="NÃO",0,IF(VLOOKUP($B276,FROTA!$B$5:$R$305,17,0)=I$3,0.02,0)))</f>
        <v/>
      </c>
      <c r="J276" s="193" t="str">
        <f>IF($B276="","",IF(J$4="NÃO",0,IF(VLOOKUP($B276,FROTA!$B$5:$R$305,17,0)=J$3,0.02,0)))</f>
        <v/>
      </c>
      <c r="K276" s="193" t="str">
        <f>IF($B276="","",IF(K$4="NÃO",0,IF(VLOOKUP($B276,FROTA!$B$5:$R$305,17,0)=K$3,0.02,0)))</f>
        <v/>
      </c>
      <c r="L276" s="193" t="str">
        <f>IF($B276="","",IF(L$4="NÃO",0,IF(VLOOKUP($B276,FROTA!$B$5:$R$305,17,0)=L$3,0.02,0)))</f>
        <v/>
      </c>
      <c r="M276" s="193" t="str">
        <f>IF($B276="","",IF(M$4="NÃO",0,IF(VLOOKUP($B276,FROTA!$B$5:$R$305,17,0)=M$3,0.02,0)))</f>
        <v/>
      </c>
      <c r="N276" s="193" t="str">
        <f>IF($B276="","",IF(M$4="NÃO",0,IF(VLOOKUP($B276,FROTA!$B$5:$R$305,17,0)=N$3,0.02,0)))</f>
        <v/>
      </c>
      <c r="O276" s="311" t="str">
        <f>IF($B276="","",IF(O$4="NÃO",0,IF(VLOOKUP($B276,FROTA!$B$5:$R$305,10,0)=O$3,0.01,0)))</f>
        <v/>
      </c>
      <c r="P276" s="307" t="str">
        <f>IF($B276="","",IF(P$4="NÃO",0,IF(VLOOKUP($B276,FROTA!$B$5:$R$305,10,0)=P$3,0.01,0)))</f>
        <v/>
      </c>
      <c r="Q276" s="307" t="str">
        <f>IF($B276="","",IF(Q$4="NÃO",0,IF(VLOOKUP($B276,FROTA!$B$5:$R$305,10,0)=Q$3,0.01,0)))</f>
        <v/>
      </c>
      <c r="R276" s="307" t="str">
        <f>IF($B276="","",IF(R$4="NÃO",0,IF(VLOOKUP($B276,FROTA!$B$5:$R$305,10,0)=R$3,0.01,0)))</f>
        <v/>
      </c>
      <c r="S276" s="307" t="str">
        <f>IF($B276="","",IF(S$4="NÃO",0,IF(VLOOKUP($B276,FROTA!$B$5:$R$305,10,0)=S$3,0.01,0)))</f>
        <v/>
      </c>
      <c r="T276" s="307" t="str">
        <f>IF($B276="","",IF(T$4="NÃO",0,IF(VLOOKUP($B276,FROTA!$B$5:$R$305,10,0)=T$3,0.01,0)))</f>
        <v/>
      </c>
      <c r="U276" s="307" t="str">
        <f>IF($B276="","",IF(U$4="NÃO",0,IF(VLOOKUP($B276,FROTA!$B$5:$R$305,10,0)=U$3,0.01,0)))</f>
        <v/>
      </c>
      <c r="V276" s="306" t="str">
        <f t="shared" si="34"/>
        <v/>
      </c>
      <c r="W276" s="238" t="str">
        <f t="shared" si="32"/>
        <v/>
      </c>
      <c r="X276" s="576" t="str">
        <f t="shared" si="35"/>
        <v/>
      </c>
      <c r="BA276" s="581">
        <v>45109</v>
      </c>
      <c r="BB276" s="582">
        <v>2023</v>
      </c>
    </row>
    <row r="277" spans="2:54" ht="15" customHeight="1" x14ac:dyDescent="0.2">
      <c r="B277" s="192" t="str">
        <f>IF(FROTA!B278="","",FROTA!B278)</f>
        <v/>
      </c>
      <c r="C277" s="192" t="str">
        <f>IF(B277="","",FROTA!Z278)</f>
        <v/>
      </c>
      <c r="D277" s="192" t="str">
        <f>IF(B277="","",VLOOKUP(B277,FROTA!$B$5:$C$310,2,0))</f>
        <v/>
      </c>
      <c r="E277" s="233" t="str">
        <f>IF(D277="","",VLOOKUP(D277,ESCALA!$B$3:$H$19,7,0))</f>
        <v/>
      </c>
      <c r="F277" s="219" t="s">
        <v>222</v>
      </c>
      <c r="G277" s="305" t="str">
        <f t="shared" si="33"/>
        <v/>
      </c>
      <c r="H277" s="314" t="str">
        <f>IF($B277="","",IF(H$4="NÃO",0,IF(VLOOKUP($B277,FROTA!$B$5:$R$305,17,0)=H$3,0.02,0)))</f>
        <v/>
      </c>
      <c r="I277" s="193" t="str">
        <f>IF($B277="","",IF(I$4="NÃO",0,IF(VLOOKUP($B277,FROTA!$B$5:$R$305,17,0)=I$3,0.02,0)))</f>
        <v/>
      </c>
      <c r="J277" s="193" t="str">
        <f>IF($B277="","",IF(J$4="NÃO",0,IF(VLOOKUP($B277,FROTA!$B$5:$R$305,17,0)=J$3,0.02,0)))</f>
        <v/>
      </c>
      <c r="K277" s="193" t="str">
        <f>IF($B277="","",IF(K$4="NÃO",0,IF(VLOOKUP($B277,FROTA!$B$5:$R$305,17,0)=K$3,0.02,0)))</f>
        <v/>
      </c>
      <c r="L277" s="193" t="str">
        <f>IF($B277="","",IF(L$4="NÃO",0,IF(VLOOKUP($B277,FROTA!$B$5:$R$305,17,0)=L$3,0.02,0)))</f>
        <v/>
      </c>
      <c r="M277" s="193" t="str">
        <f>IF($B277="","",IF(M$4="NÃO",0,IF(VLOOKUP($B277,FROTA!$B$5:$R$305,17,0)=M$3,0.02,0)))</f>
        <v/>
      </c>
      <c r="N277" s="193" t="str">
        <f>IF($B277="","",IF(M$4="NÃO",0,IF(VLOOKUP($B277,FROTA!$B$5:$R$305,17,0)=N$3,0.02,0)))</f>
        <v/>
      </c>
      <c r="O277" s="311" t="str">
        <f>IF($B277="","",IF(O$4="NÃO",0,IF(VLOOKUP($B277,FROTA!$B$5:$R$305,10,0)=O$3,0.01,0)))</f>
        <v/>
      </c>
      <c r="P277" s="307" t="str">
        <f>IF($B277="","",IF(P$4="NÃO",0,IF(VLOOKUP($B277,FROTA!$B$5:$R$305,10,0)=P$3,0.01,0)))</f>
        <v/>
      </c>
      <c r="Q277" s="307" t="str">
        <f>IF($B277="","",IF(Q$4="NÃO",0,IF(VLOOKUP($B277,FROTA!$B$5:$R$305,10,0)=Q$3,0.01,0)))</f>
        <v/>
      </c>
      <c r="R277" s="307" t="str">
        <f>IF($B277="","",IF(R$4="NÃO",0,IF(VLOOKUP($B277,FROTA!$B$5:$R$305,10,0)=R$3,0.01,0)))</f>
        <v/>
      </c>
      <c r="S277" s="307" t="str">
        <f>IF($B277="","",IF(S$4="NÃO",0,IF(VLOOKUP($B277,FROTA!$B$5:$R$305,10,0)=S$3,0.01,0)))</f>
        <v/>
      </c>
      <c r="T277" s="307" t="str">
        <f>IF($B277="","",IF(T$4="NÃO",0,IF(VLOOKUP($B277,FROTA!$B$5:$R$305,10,0)=T$3,0.01,0)))</f>
        <v/>
      </c>
      <c r="U277" s="307" t="str">
        <f>IF($B277="","",IF(U$4="NÃO",0,IF(VLOOKUP($B277,FROTA!$B$5:$R$305,10,0)=U$3,0.01,0)))</f>
        <v/>
      </c>
      <c r="V277" s="306" t="str">
        <f t="shared" si="34"/>
        <v/>
      </c>
      <c r="W277" s="238" t="str">
        <f t="shared" si="32"/>
        <v/>
      </c>
      <c r="X277" s="576" t="str">
        <f t="shared" si="35"/>
        <v/>
      </c>
      <c r="BA277" s="581">
        <v>45110</v>
      </c>
      <c r="BB277" s="582">
        <v>2023</v>
      </c>
    </row>
    <row r="278" spans="2:54" ht="15" customHeight="1" x14ac:dyDescent="0.2">
      <c r="B278" s="192" t="str">
        <f>IF(FROTA!B279="","",FROTA!B279)</f>
        <v/>
      </c>
      <c r="C278" s="192" t="str">
        <f>IF(B278="","",FROTA!Z279)</f>
        <v/>
      </c>
      <c r="D278" s="192" t="str">
        <f>IF(B278="","",VLOOKUP(B278,FROTA!$B$5:$C$310,2,0))</f>
        <v/>
      </c>
      <c r="E278" s="233" t="str">
        <f>IF(D278="","",VLOOKUP(D278,ESCALA!$B$3:$H$19,7,0))</f>
        <v/>
      </c>
      <c r="F278" s="219" t="s">
        <v>222</v>
      </c>
      <c r="G278" s="305" t="str">
        <f t="shared" si="33"/>
        <v/>
      </c>
      <c r="H278" s="314" t="str">
        <f>IF($B278="","",IF(H$4="NÃO",0,IF(VLOOKUP($B278,FROTA!$B$5:$R$305,17,0)=H$3,0.02,0)))</f>
        <v/>
      </c>
      <c r="I278" s="193" t="str">
        <f>IF($B278="","",IF(I$4="NÃO",0,IF(VLOOKUP($B278,FROTA!$B$5:$R$305,17,0)=I$3,0.02,0)))</f>
        <v/>
      </c>
      <c r="J278" s="193" t="str">
        <f>IF($B278="","",IF(J$4="NÃO",0,IF(VLOOKUP($B278,FROTA!$B$5:$R$305,17,0)=J$3,0.02,0)))</f>
        <v/>
      </c>
      <c r="K278" s="193" t="str">
        <f>IF($B278="","",IF(K$4="NÃO",0,IF(VLOOKUP($B278,FROTA!$B$5:$R$305,17,0)=K$3,0.02,0)))</f>
        <v/>
      </c>
      <c r="L278" s="193" t="str">
        <f>IF($B278="","",IF(L$4="NÃO",0,IF(VLOOKUP($B278,FROTA!$B$5:$R$305,17,0)=L$3,0.02,0)))</f>
        <v/>
      </c>
      <c r="M278" s="193" t="str">
        <f>IF($B278="","",IF(M$4="NÃO",0,IF(VLOOKUP($B278,FROTA!$B$5:$R$305,17,0)=M$3,0.02,0)))</f>
        <v/>
      </c>
      <c r="N278" s="193" t="str">
        <f>IF($B278="","",IF(M$4="NÃO",0,IF(VLOOKUP($B278,FROTA!$B$5:$R$305,17,0)=N$3,0.02,0)))</f>
        <v/>
      </c>
      <c r="O278" s="311" t="str">
        <f>IF($B278="","",IF(O$4="NÃO",0,IF(VLOOKUP($B278,FROTA!$B$5:$R$305,10,0)=O$3,0.01,0)))</f>
        <v/>
      </c>
      <c r="P278" s="307" t="str">
        <f>IF($B278="","",IF(P$4="NÃO",0,IF(VLOOKUP($B278,FROTA!$B$5:$R$305,10,0)=P$3,0.01,0)))</f>
        <v/>
      </c>
      <c r="Q278" s="307" t="str">
        <f>IF($B278="","",IF(Q$4="NÃO",0,IF(VLOOKUP($B278,FROTA!$B$5:$R$305,10,0)=Q$3,0.01,0)))</f>
        <v/>
      </c>
      <c r="R278" s="307" t="str">
        <f>IF($B278="","",IF(R$4="NÃO",0,IF(VLOOKUP($B278,FROTA!$B$5:$R$305,10,0)=R$3,0.01,0)))</f>
        <v/>
      </c>
      <c r="S278" s="307" t="str">
        <f>IF($B278="","",IF(S$4="NÃO",0,IF(VLOOKUP($B278,FROTA!$B$5:$R$305,10,0)=S$3,0.01,0)))</f>
        <v/>
      </c>
      <c r="T278" s="307" t="str">
        <f>IF($B278="","",IF(T$4="NÃO",0,IF(VLOOKUP($B278,FROTA!$B$5:$R$305,10,0)=T$3,0.01,0)))</f>
        <v/>
      </c>
      <c r="U278" s="307" t="str">
        <f>IF($B278="","",IF(U$4="NÃO",0,IF(VLOOKUP($B278,FROTA!$B$5:$R$305,10,0)=U$3,0.01,0)))</f>
        <v/>
      </c>
      <c r="V278" s="306" t="str">
        <f t="shared" si="34"/>
        <v/>
      </c>
      <c r="W278" s="238" t="str">
        <f t="shared" si="32"/>
        <v/>
      </c>
      <c r="X278" s="576" t="str">
        <f t="shared" si="35"/>
        <v/>
      </c>
      <c r="BA278" s="581">
        <v>45111</v>
      </c>
      <c r="BB278" s="582">
        <v>2023</v>
      </c>
    </row>
    <row r="279" spans="2:54" ht="15" customHeight="1" x14ac:dyDescent="0.2">
      <c r="B279" s="192" t="str">
        <f>IF(FROTA!B280="","",FROTA!B280)</f>
        <v/>
      </c>
      <c r="C279" s="192" t="str">
        <f>IF(B279="","",FROTA!Z280)</f>
        <v/>
      </c>
      <c r="D279" s="192" t="str">
        <f>IF(B279="","",VLOOKUP(B279,FROTA!$B$5:$C$310,2,0))</f>
        <v/>
      </c>
      <c r="E279" s="233" t="str">
        <f>IF(D279="","",VLOOKUP(D279,ESCALA!$B$3:$H$19,7,0))</f>
        <v/>
      </c>
      <c r="F279" s="219" t="s">
        <v>222</v>
      </c>
      <c r="G279" s="305" t="str">
        <f t="shared" si="33"/>
        <v/>
      </c>
      <c r="H279" s="314" t="str">
        <f>IF($B279="","",IF(H$4="NÃO",0,IF(VLOOKUP($B279,FROTA!$B$5:$R$305,17,0)=H$3,0.02,0)))</f>
        <v/>
      </c>
      <c r="I279" s="193" t="str">
        <f>IF($B279="","",IF(I$4="NÃO",0,IF(VLOOKUP($B279,FROTA!$B$5:$R$305,17,0)=I$3,0.02,0)))</f>
        <v/>
      </c>
      <c r="J279" s="193" t="str">
        <f>IF($B279="","",IF(J$4="NÃO",0,IF(VLOOKUP($B279,FROTA!$B$5:$R$305,17,0)=J$3,0.02,0)))</f>
        <v/>
      </c>
      <c r="K279" s="193" t="str">
        <f>IF($B279="","",IF(K$4="NÃO",0,IF(VLOOKUP($B279,FROTA!$B$5:$R$305,17,0)=K$3,0.02,0)))</f>
        <v/>
      </c>
      <c r="L279" s="193" t="str">
        <f>IF($B279="","",IF(L$4="NÃO",0,IF(VLOOKUP($B279,FROTA!$B$5:$R$305,17,0)=L$3,0.02,0)))</f>
        <v/>
      </c>
      <c r="M279" s="193" t="str">
        <f>IF($B279="","",IF(M$4="NÃO",0,IF(VLOOKUP($B279,FROTA!$B$5:$R$305,17,0)=M$3,0.02,0)))</f>
        <v/>
      </c>
      <c r="N279" s="193" t="str">
        <f>IF($B279="","",IF(M$4="NÃO",0,IF(VLOOKUP($B279,FROTA!$B$5:$R$305,17,0)=N$3,0.02,0)))</f>
        <v/>
      </c>
      <c r="O279" s="311" t="str">
        <f>IF($B279="","",IF(O$4="NÃO",0,IF(VLOOKUP($B279,FROTA!$B$5:$R$305,10,0)=O$3,0.01,0)))</f>
        <v/>
      </c>
      <c r="P279" s="307" t="str">
        <f>IF($B279="","",IF(P$4="NÃO",0,IF(VLOOKUP($B279,FROTA!$B$5:$R$305,10,0)=P$3,0.01,0)))</f>
        <v/>
      </c>
      <c r="Q279" s="307" t="str">
        <f>IF($B279="","",IF(Q$4="NÃO",0,IF(VLOOKUP($B279,FROTA!$B$5:$R$305,10,0)=Q$3,0.01,0)))</f>
        <v/>
      </c>
      <c r="R279" s="307" t="str">
        <f>IF($B279="","",IF(R$4="NÃO",0,IF(VLOOKUP($B279,FROTA!$B$5:$R$305,10,0)=R$3,0.01,0)))</f>
        <v/>
      </c>
      <c r="S279" s="307" t="str">
        <f>IF($B279="","",IF(S$4="NÃO",0,IF(VLOOKUP($B279,FROTA!$B$5:$R$305,10,0)=S$3,0.01,0)))</f>
        <v/>
      </c>
      <c r="T279" s="307" t="str">
        <f>IF($B279="","",IF(T$4="NÃO",0,IF(VLOOKUP($B279,FROTA!$B$5:$R$305,10,0)=T$3,0.01,0)))</f>
        <v/>
      </c>
      <c r="U279" s="307" t="str">
        <f>IF($B279="","",IF(U$4="NÃO",0,IF(VLOOKUP($B279,FROTA!$B$5:$R$305,10,0)=U$3,0.01,0)))</f>
        <v/>
      </c>
      <c r="V279" s="306" t="str">
        <f t="shared" si="34"/>
        <v/>
      </c>
      <c r="W279" s="238" t="str">
        <f t="shared" si="32"/>
        <v/>
      </c>
      <c r="X279" s="576" t="str">
        <f t="shared" si="35"/>
        <v/>
      </c>
      <c r="BA279" s="581">
        <v>45112</v>
      </c>
      <c r="BB279" s="582">
        <v>2023</v>
      </c>
    </row>
    <row r="280" spans="2:54" ht="15" customHeight="1" x14ac:dyDescent="0.2">
      <c r="B280" s="192" t="str">
        <f>IF(FROTA!B281="","",FROTA!B281)</f>
        <v/>
      </c>
      <c r="C280" s="192" t="str">
        <f>IF(B280="","",FROTA!Z281)</f>
        <v/>
      </c>
      <c r="D280" s="192" t="str">
        <f>IF(B280="","",VLOOKUP(B280,FROTA!$B$5:$C$310,2,0))</f>
        <v/>
      </c>
      <c r="E280" s="233" t="str">
        <f>IF(D280="","",VLOOKUP(D280,ESCALA!$B$3:$H$19,7,0))</f>
        <v/>
      </c>
      <c r="F280" s="219" t="s">
        <v>222</v>
      </c>
      <c r="G280" s="305" t="str">
        <f t="shared" si="33"/>
        <v/>
      </c>
      <c r="H280" s="314" t="str">
        <f>IF($B280="","",IF(H$4="NÃO",0,IF(VLOOKUP($B280,FROTA!$B$5:$R$305,17,0)=H$3,0.02,0)))</f>
        <v/>
      </c>
      <c r="I280" s="193" t="str">
        <f>IF($B280="","",IF(I$4="NÃO",0,IF(VLOOKUP($B280,FROTA!$B$5:$R$305,17,0)=I$3,0.02,0)))</f>
        <v/>
      </c>
      <c r="J280" s="193" t="str">
        <f>IF($B280="","",IF(J$4="NÃO",0,IF(VLOOKUP($B280,FROTA!$B$5:$R$305,17,0)=J$3,0.02,0)))</f>
        <v/>
      </c>
      <c r="K280" s="193" t="str">
        <f>IF($B280="","",IF(K$4="NÃO",0,IF(VLOOKUP($B280,FROTA!$B$5:$R$305,17,0)=K$3,0.02,0)))</f>
        <v/>
      </c>
      <c r="L280" s="193" t="str">
        <f>IF($B280="","",IF(L$4="NÃO",0,IF(VLOOKUP($B280,FROTA!$B$5:$R$305,17,0)=L$3,0.02,0)))</f>
        <v/>
      </c>
      <c r="M280" s="193" t="str">
        <f>IF($B280="","",IF(M$4="NÃO",0,IF(VLOOKUP($B280,FROTA!$B$5:$R$305,17,0)=M$3,0.02,0)))</f>
        <v/>
      </c>
      <c r="N280" s="193" t="str">
        <f>IF($B280="","",IF(M$4="NÃO",0,IF(VLOOKUP($B280,FROTA!$B$5:$R$305,17,0)=N$3,0.02,0)))</f>
        <v/>
      </c>
      <c r="O280" s="311" t="str">
        <f>IF($B280="","",IF(O$4="NÃO",0,IF(VLOOKUP($B280,FROTA!$B$5:$R$305,10,0)=O$3,0.01,0)))</f>
        <v/>
      </c>
      <c r="P280" s="307" t="str">
        <f>IF($B280="","",IF(P$4="NÃO",0,IF(VLOOKUP($B280,FROTA!$B$5:$R$305,10,0)=P$3,0.01,0)))</f>
        <v/>
      </c>
      <c r="Q280" s="307" t="str">
        <f>IF($B280="","",IF(Q$4="NÃO",0,IF(VLOOKUP($B280,FROTA!$B$5:$R$305,10,0)=Q$3,0.01,0)))</f>
        <v/>
      </c>
      <c r="R280" s="307" t="str">
        <f>IF($B280="","",IF(R$4="NÃO",0,IF(VLOOKUP($B280,FROTA!$B$5:$R$305,10,0)=R$3,0.01,0)))</f>
        <v/>
      </c>
      <c r="S280" s="307" t="str">
        <f>IF($B280="","",IF(S$4="NÃO",0,IF(VLOOKUP($B280,FROTA!$B$5:$R$305,10,0)=S$3,0.01,0)))</f>
        <v/>
      </c>
      <c r="T280" s="307" t="str">
        <f>IF($B280="","",IF(T$4="NÃO",0,IF(VLOOKUP($B280,FROTA!$B$5:$R$305,10,0)=T$3,0.01,0)))</f>
        <v/>
      </c>
      <c r="U280" s="307" t="str">
        <f>IF($B280="","",IF(U$4="NÃO",0,IF(VLOOKUP($B280,FROTA!$B$5:$R$305,10,0)=U$3,0.01,0)))</f>
        <v/>
      </c>
      <c r="V280" s="306" t="str">
        <f t="shared" si="34"/>
        <v/>
      </c>
      <c r="W280" s="238" t="str">
        <f t="shared" si="32"/>
        <v/>
      </c>
      <c r="X280" s="576" t="str">
        <f t="shared" si="35"/>
        <v/>
      </c>
      <c r="BA280" s="581">
        <v>45113</v>
      </c>
      <c r="BB280" s="582">
        <v>2023</v>
      </c>
    </row>
    <row r="281" spans="2:54" ht="15" customHeight="1" x14ac:dyDescent="0.2">
      <c r="B281" s="192" t="str">
        <f>IF(FROTA!B282="","",FROTA!B282)</f>
        <v/>
      </c>
      <c r="C281" s="192" t="str">
        <f>IF(B281="","",FROTA!Z282)</f>
        <v/>
      </c>
      <c r="D281" s="192" t="str">
        <f>IF(B281="","",VLOOKUP(B281,FROTA!$B$5:$C$310,2,0))</f>
        <v/>
      </c>
      <c r="E281" s="233" t="str">
        <f>IF(D281="","",VLOOKUP(D281,ESCALA!$B$3:$H$19,7,0))</f>
        <v/>
      </c>
      <c r="F281" s="219" t="s">
        <v>222</v>
      </c>
      <c r="G281" s="305" t="str">
        <f t="shared" si="33"/>
        <v/>
      </c>
      <c r="H281" s="314" t="str">
        <f>IF($B281="","",IF(H$4="NÃO",0,IF(VLOOKUP($B281,FROTA!$B$5:$R$305,17,0)=H$3,0.02,0)))</f>
        <v/>
      </c>
      <c r="I281" s="193" t="str">
        <f>IF($B281="","",IF(I$4="NÃO",0,IF(VLOOKUP($B281,FROTA!$B$5:$R$305,17,0)=I$3,0.02,0)))</f>
        <v/>
      </c>
      <c r="J281" s="193" t="str">
        <f>IF($B281="","",IF(J$4="NÃO",0,IF(VLOOKUP($B281,FROTA!$B$5:$R$305,17,0)=J$3,0.02,0)))</f>
        <v/>
      </c>
      <c r="K281" s="193" t="str">
        <f>IF($B281="","",IF(K$4="NÃO",0,IF(VLOOKUP($B281,FROTA!$B$5:$R$305,17,0)=K$3,0.02,0)))</f>
        <v/>
      </c>
      <c r="L281" s="193" t="str">
        <f>IF($B281="","",IF(L$4="NÃO",0,IF(VLOOKUP($B281,FROTA!$B$5:$R$305,17,0)=L$3,0.02,0)))</f>
        <v/>
      </c>
      <c r="M281" s="193" t="str">
        <f>IF($B281="","",IF(M$4="NÃO",0,IF(VLOOKUP($B281,FROTA!$B$5:$R$305,17,0)=M$3,0.02,0)))</f>
        <v/>
      </c>
      <c r="N281" s="193" t="str">
        <f>IF($B281="","",IF(M$4="NÃO",0,IF(VLOOKUP($B281,FROTA!$B$5:$R$305,17,0)=N$3,0.02,0)))</f>
        <v/>
      </c>
      <c r="O281" s="311" t="str">
        <f>IF($B281="","",IF(O$4="NÃO",0,IF(VLOOKUP($B281,FROTA!$B$5:$R$305,10,0)=O$3,0.01,0)))</f>
        <v/>
      </c>
      <c r="P281" s="307" t="str">
        <f>IF($B281="","",IF(P$4="NÃO",0,IF(VLOOKUP($B281,FROTA!$B$5:$R$305,10,0)=P$3,0.01,0)))</f>
        <v/>
      </c>
      <c r="Q281" s="307" t="str">
        <f>IF($B281="","",IF(Q$4="NÃO",0,IF(VLOOKUP($B281,FROTA!$B$5:$R$305,10,0)=Q$3,0.01,0)))</f>
        <v/>
      </c>
      <c r="R281" s="307" t="str">
        <f>IF($B281="","",IF(R$4="NÃO",0,IF(VLOOKUP($B281,FROTA!$B$5:$R$305,10,0)=R$3,0.01,0)))</f>
        <v/>
      </c>
      <c r="S281" s="307" t="str">
        <f>IF($B281="","",IF(S$4="NÃO",0,IF(VLOOKUP($B281,FROTA!$B$5:$R$305,10,0)=S$3,0.01,0)))</f>
        <v/>
      </c>
      <c r="T281" s="307" t="str">
        <f>IF($B281="","",IF(T$4="NÃO",0,IF(VLOOKUP($B281,FROTA!$B$5:$R$305,10,0)=T$3,0.01,0)))</f>
        <v/>
      </c>
      <c r="U281" s="307" t="str">
        <f>IF($B281="","",IF(U$4="NÃO",0,IF(VLOOKUP($B281,FROTA!$B$5:$R$305,10,0)=U$3,0.01,0)))</f>
        <v/>
      </c>
      <c r="V281" s="306" t="str">
        <f t="shared" si="34"/>
        <v/>
      </c>
      <c r="W281" s="238" t="str">
        <f t="shared" si="32"/>
        <v/>
      </c>
      <c r="X281" s="576" t="str">
        <f t="shared" si="35"/>
        <v/>
      </c>
      <c r="BA281" s="581">
        <v>45114</v>
      </c>
      <c r="BB281" s="582">
        <v>2023</v>
      </c>
    </row>
    <row r="282" spans="2:54" ht="15" customHeight="1" x14ac:dyDescent="0.2">
      <c r="B282" s="192" t="str">
        <f>IF(FROTA!B283="","",FROTA!B283)</f>
        <v/>
      </c>
      <c r="C282" s="192" t="str">
        <f>IF(B282="","",FROTA!Z283)</f>
        <v/>
      </c>
      <c r="D282" s="192" t="str">
        <f>IF(B282="","",VLOOKUP(B282,FROTA!$B$5:$C$310,2,0))</f>
        <v/>
      </c>
      <c r="E282" s="233" t="str">
        <f>IF(D282="","",VLOOKUP(D282,ESCALA!$B$3:$H$19,7,0))</f>
        <v/>
      </c>
      <c r="F282" s="219" t="s">
        <v>222</v>
      </c>
      <c r="G282" s="305" t="str">
        <f t="shared" si="33"/>
        <v/>
      </c>
      <c r="H282" s="314" t="str">
        <f>IF($B282="","",IF(H$4="NÃO",0,IF(VLOOKUP($B282,FROTA!$B$5:$R$305,17,0)=H$3,0.02,0)))</f>
        <v/>
      </c>
      <c r="I282" s="193" t="str">
        <f>IF($B282="","",IF(I$4="NÃO",0,IF(VLOOKUP($B282,FROTA!$B$5:$R$305,17,0)=I$3,0.02,0)))</f>
        <v/>
      </c>
      <c r="J282" s="193" t="str">
        <f>IF($B282="","",IF(J$4="NÃO",0,IF(VLOOKUP($B282,FROTA!$B$5:$R$305,17,0)=J$3,0.02,0)))</f>
        <v/>
      </c>
      <c r="K282" s="193" t="str">
        <f>IF($B282="","",IF(K$4="NÃO",0,IF(VLOOKUP($B282,FROTA!$B$5:$R$305,17,0)=K$3,0.02,0)))</f>
        <v/>
      </c>
      <c r="L282" s="193" t="str">
        <f>IF($B282="","",IF(L$4="NÃO",0,IF(VLOOKUP($B282,FROTA!$B$5:$R$305,17,0)=L$3,0.02,0)))</f>
        <v/>
      </c>
      <c r="M282" s="193" t="str">
        <f>IF($B282="","",IF(M$4="NÃO",0,IF(VLOOKUP($B282,FROTA!$B$5:$R$305,17,0)=M$3,0.02,0)))</f>
        <v/>
      </c>
      <c r="N282" s="193" t="str">
        <f>IF($B282="","",IF(M$4="NÃO",0,IF(VLOOKUP($B282,FROTA!$B$5:$R$305,17,0)=N$3,0.02,0)))</f>
        <v/>
      </c>
      <c r="O282" s="311" t="str">
        <f>IF($B282="","",IF(O$4="NÃO",0,IF(VLOOKUP($B282,FROTA!$B$5:$R$305,10,0)=O$3,0.01,0)))</f>
        <v/>
      </c>
      <c r="P282" s="307" t="str">
        <f>IF($B282="","",IF(P$4="NÃO",0,IF(VLOOKUP($B282,FROTA!$B$5:$R$305,10,0)=P$3,0.01,0)))</f>
        <v/>
      </c>
      <c r="Q282" s="307" t="str">
        <f>IF($B282="","",IF(Q$4="NÃO",0,IF(VLOOKUP($B282,FROTA!$B$5:$R$305,10,0)=Q$3,0.01,0)))</f>
        <v/>
      </c>
      <c r="R282" s="307" t="str">
        <f>IF($B282="","",IF(R$4="NÃO",0,IF(VLOOKUP($B282,FROTA!$B$5:$R$305,10,0)=R$3,0.01,0)))</f>
        <v/>
      </c>
      <c r="S282" s="307" t="str">
        <f>IF($B282="","",IF(S$4="NÃO",0,IF(VLOOKUP($B282,FROTA!$B$5:$R$305,10,0)=S$3,0.01,0)))</f>
        <v/>
      </c>
      <c r="T282" s="307" t="str">
        <f>IF($B282="","",IF(T$4="NÃO",0,IF(VLOOKUP($B282,FROTA!$B$5:$R$305,10,0)=T$3,0.01,0)))</f>
        <v/>
      </c>
      <c r="U282" s="307" t="str">
        <f>IF($B282="","",IF(U$4="NÃO",0,IF(VLOOKUP($B282,FROTA!$B$5:$R$305,10,0)=U$3,0.01,0)))</f>
        <v/>
      </c>
      <c r="V282" s="306" t="str">
        <f t="shared" si="34"/>
        <v/>
      </c>
      <c r="W282" s="238" t="str">
        <f t="shared" si="32"/>
        <v/>
      </c>
      <c r="X282" s="576" t="str">
        <f t="shared" si="35"/>
        <v/>
      </c>
      <c r="BA282" s="581">
        <v>45115</v>
      </c>
      <c r="BB282" s="582">
        <v>2023</v>
      </c>
    </row>
    <row r="283" spans="2:54" ht="15" customHeight="1" x14ac:dyDescent="0.2">
      <c r="B283" s="192" t="str">
        <f>IF(FROTA!B284="","",FROTA!B284)</f>
        <v/>
      </c>
      <c r="C283" s="192" t="str">
        <f>IF(B283="","",FROTA!Z284)</f>
        <v/>
      </c>
      <c r="D283" s="192" t="str">
        <f>IF(B283="","",VLOOKUP(B283,FROTA!$B$5:$C$310,2,0))</f>
        <v/>
      </c>
      <c r="E283" s="233" t="str">
        <f>IF(D283="","",VLOOKUP(D283,ESCALA!$B$3:$H$19,7,0))</f>
        <v/>
      </c>
      <c r="F283" s="219" t="s">
        <v>222</v>
      </c>
      <c r="G283" s="305" t="str">
        <f t="shared" si="33"/>
        <v/>
      </c>
      <c r="H283" s="314" t="str">
        <f>IF($B283="","",IF(H$4="NÃO",0,IF(VLOOKUP($B283,FROTA!$B$5:$R$305,17,0)=H$3,0.02,0)))</f>
        <v/>
      </c>
      <c r="I283" s="193" t="str">
        <f>IF($B283="","",IF(I$4="NÃO",0,IF(VLOOKUP($B283,FROTA!$B$5:$R$305,17,0)=I$3,0.02,0)))</f>
        <v/>
      </c>
      <c r="J283" s="193" t="str">
        <f>IF($B283="","",IF(J$4="NÃO",0,IF(VLOOKUP($B283,FROTA!$B$5:$R$305,17,0)=J$3,0.02,0)))</f>
        <v/>
      </c>
      <c r="K283" s="193" t="str">
        <f>IF($B283="","",IF(K$4="NÃO",0,IF(VLOOKUP($B283,FROTA!$B$5:$R$305,17,0)=K$3,0.02,0)))</f>
        <v/>
      </c>
      <c r="L283" s="193" t="str">
        <f>IF($B283="","",IF(L$4="NÃO",0,IF(VLOOKUP($B283,FROTA!$B$5:$R$305,17,0)=L$3,0.02,0)))</f>
        <v/>
      </c>
      <c r="M283" s="193" t="str">
        <f>IF($B283="","",IF(M$4="NÃO",0,IF(VLOOKUP($B283,FROTA!$B$5:$R$305,17,0)=M$3,0.02,0)))</f>
        <v/>
      </c>
      <c r="N283" s="193" t="str">
        <f>IF($B283="","",IF(M$4="NÃO",0,IF(VLOOKUP($B283,FROTA!$B$5:$R$305,17,0)=N$3,0.02,0)))</f>
        <v/>
      </c>
      <c r="O283" s="311" t="str">
        <f>IF($B283="","",IF(O$4="NÃO",0,IF(VLOOKUP($B283,FROTA!$B$5:$R$305,10,0)=O$3,0.01,0)))</f>
        <v/>
      </c>
      <c r="P283" s="307" t="str">
        <f>IF($B283="","",IF(P$4="NÃO",0,IF(VLOOKUP($B283,FROTA!$B$5:$R$305,10,0)=P$3,0.01,0)))</f>
        <v/>
      </c>
      <c r="Q283" s="307" t="str">
        <f>IF($B283="","",IF(Q$4="NÃO",0,IF(VLOOKUP($B283,FROTA!$B$5:$R$305,10,0)=Q$3,0.01,0)))</f>
        <v/>
      </c>
      <c r="R283" s="307" t="str">
        <f>IF($B283="","",IF(R$4="NÃO",0,IF(VLOOKUP($B283,FROTA!$B$5:$R$305,10,0)=R$3,0.01,0)))</f>
        <v/>
      </c>
      <c r="S283" s="307" t="str">
        <f>IF($B283="","",IF(S$4="NÃO",0,IF(VLOOKUP($B283,FROTA!$B$5:$R$305,10,0)=S$3,0.01,0)))</f>
        <v/>
      </c>
      <c r="T283" s="307" t="str">
        <f>IF($B283="","",IF(T$4="NÃO",0,IF(VLOOKUP($B283,FROTA!$B$5:$R$305,10,0)=T$3,0.01,0)))</f>
        <v/>
      </c>
      <c r="U283" s="307" t="str">
        <f>IF($B283="","",IF(U$4="NÃO",0,IF(VLOOKUP($B283,FROTA!$B$5:$R$305,10,0)=U$3,0.01,0)))</f>
        <v/>
      </c>
      <c r="V283" s="306" t="str">
        <f t="shared" si="34"/>
        <v/>
      </c>
      <c r="W283" s="238" t="str">
        <f t="shared" si="32"/>
        <v/>
      </c>
      <c r="X283" s="576" t="str">
        <f t="shared" si="35"/>
        <v/>
      </c>
      <c r="BA283" s="581">
        <v>45116</v>
      </c>
      <c r="BB283" s="582">
        <v>2023</v>
      </c>
    </row>
    <row r="284" spans="2:54" ht="15" customHeight="1" x14ac:dyDescent="0.2">
      <c r="B284" s="192" t="str">
        <f>IF(FROTA!B285="","",FROTA!B285)</f>
        <v/>
      </c>
      <c r="C284" s="192" t="str">
        <f>IF(B284="","",FROTA!Z285)</f>
        <v/>
      </c>
      <c r="D284" s="192" t="str">
        <f>IF(B284="","",VLOOKUP(B284,FROTA!$B$5:$C$310,2,0))</f>
        <v/>
      </c>
      <c r="E284" s="233" t="str">
        <f>IF(D284="","",VLOOKUP(D284,ESCALA!$B$3:$H$19,7,0))</f>
        <v/>
      </c>
      <c r="F284" s="219" t="s">
        <v>222</v>
      </c>
      <c r="G284" s="305" t="str">
        <f t="shared" si="33"/>
        <v/>
      </c>
      <c r="H284" s="314" t="str">
        <f>IF($B284="","",IF(H$4="NÃO",0,IF(VLOOKUP($B284,FROTA!$B$5:$R$305,17,0)=H$3,0.02,0)))</f>
        <v/>
      </c>
      <c r="I284" s="193" t="str">
        <f>IF($B284="","",IF(I$4="NÃO",0,IF(VLOOKUP($B284,FROTA!$B$5:$R$305,17,0)=I$3,0.02,0)))</f>
        <v/>
      </c>
      <c r="J284" s="193" t="str">
        <f>IF($B284="","",IF(J$4="NÃO",0,IF(VLOOKUP($B284,FROTA!$B$5:$R$305,17,0)=J$3,0.02,0)))</f>
        <v/>
      </c>
      <c r="K284" s="193" t="str">
        <f>IF($B284="","",IF(K$4="NÃO",0,IF(VLOOKUP($B284,FROTA!$B$5:$R$305,17,0)=K$3,0.02,0)))</f>
        <v/>
      </c>
      <c r="L284" s="193" t="str">
        <f>IF($B284="","",IF(L$4="NÃO",0,IF(VLOOKUP($B284,FROTA!$B$5:$R$305,17,0)=L$3,0.02,0)))</f>
        <v/>
      </c>
      <c r="M284" s="193" t="str">
        <f>IF($B284="","",IF(M$4="NÃO",0,IF(VLOOKUP($B284,FROTA!$B$5:$R$305,17,0)=M$3,0.02,0)))</f>
        <v/>
      </c>
      <c r="N284" s="193" t="str">
        <f>IF($B284="","",IF(M$4="NÃO",0,IF(VLOOKUP($B284,FROTA!$B$5:$R$305,17,0)=N$3,0.02,0)))</f>
        <v/>
      </c>
      <c r="O284" s="311" t="str">
        <f>IF($B284="","",IF(O$4="NÃO",0,IF(VLOOKUP($B284,FROTA!$B$5:$R$305,10,0)=O$3,0.01,0)))</f>
        <v/>
      </c>
      <c r="P284" s="307" t="str">
        <f>IF($B284="","",IF(P$4="NÃO",0,IF(VLOOKUP($B284,FROTA!$B$5:$R$305,10,0)=P$3,0.01,0)))</f>
        <v/>
      </c>
      <c r="Q284" s="307" t="str">
        <f>IF($B284="","",IF(Q$4="NÃO",0,IF(VLOOKUP($B284,FROTA!$B$5:$R$305,10,0)=Q$3,0.01,0)))</f>
        <v/>
      </c>
      <c r="R284" s="307" t="str">
        <f>IF($B284="","",IF(R$4="NÃO",0,IF(VLOOKUP($B284,FROTA!$B$5:$R$305,10,0)=R$3,0.01,0)))</f>
        <v/>
      </c>
      <c r="S284" s="307" t="str">
        <f>IF($B284="","",IF(S$4="NÃO",0,IF(VLOOKUP($B284,FROTA!$B$5:$R$305,10,0)=S$3,0.01,0)))</f>
        <v/>
      </c>
      <c r="T284" s="307" t="str">
        <f>IF($B284="","",IF(T$4="NÃO",0,IF(VLOOKUP($B284,FROTA!$B$5:$R$305,10,0)=T$3,0.01,0)))</f>
        <v/>
      </c>
      <c r="U284" s="307" t="str">
        <f>IF($B284="","",IF(U$4="NÃO",0,IF(VLOOKUP($B284,FROTA!$B$5:$R$305,10,0)=U$3,0.01,0)))</f>
        <v/>
      </c>
      <c r="V284" s="306" t="str">
        <f t="shared" si="34"/>
        <v/>
      </c>
      <c r="W284" s="238" t="str">
        <f t="shared" si="32"/>
        <v/>
      </c>
      <c r="X284" s="576" t="str">
        <f t="shared" si="35"/>
        <v/>
      </c>
      <c r="BA284" s="581">
        <v>45117</v>
      </c>
      <c r="BB284" s="582">
        <v>2023</v>
      </c>
    </row>
    <row r="285" spans="2:54" ht="15" customHeight="1" x14ac:dyDescent="0.2">
      <c r="B285" s="192" t="str">
        <f>IF(FROTA!B286="","",FROTA!B286)</f>
        <v/>
      </c>
      <c r="C285" s="192" t="str">
        <f>IF(B285="","",FROTA!Z286)</f>
        <v/>
      </c>
      <c r="D285" s="192" t="str">
        <f>IF(B285="","",VLOOKUP(B285,FROTA!$B$5:$C$310,2,0))</f>
        <v/>
      </c>
      <c r="E285" s="233" t="str">
        <f>IF(D285="","",VLOOKUP(D285,ESCALA!$B$3:$H$19,7,0))</f>
        <v/>
      </c>
      <c r="F285" s="219" t="s">
        <v>222</v>
      </c>
      <c r="G285" s="305" t="str">
        <f t="shared" si="33"/>
        <v/>
      </c>
      <c r="H285" s="314" t="str">
        <f>IF($B285="","",IF(H$4="NÃO",0,IF(VLOOKUP($B285,FROTA!$B$5:$R$305,17,0)=H$3,0.02,0)))</f>
        <v/>
      </c>
      <c r="I285" s="193" t="str">
        <f>IF($B285="","",IF(I$4="NÃO",0,IF(VLOOKUP($B285,FROTA!$B$5:$R$305,17,0)=I$3,0.02,0)))</f>
        <v/>
      </c>
      <c r="J285" s="193" t="str">
        <f>IF($B285="","",IF(J$4="NÃO",0,IF(VLOOKUP($B285,FROTA!$B$5:$R$305,17,0)=J$3,0.02,0)))</f>
        <v/>
      </c>
      <c r="K285" s="193" t="str">
        <f>IF($B285="","",IF(K$4="NÃO",0,IF(VLOOKUP($B285,FROTA!$B$5:$R$305,17,0)=K$3,0.02,0)))</f>
        <v/>
      </c>
      <c r="L285" s="193" t="str">
        <f>IF($B285="","",IF(L$4="NÃO",0,IF(VLOOKUP($B285,FROTA!$B$5:$R$305,17,0)=L$3,0.02,0)))</f>
        <v/>
      </c>
      <c r="M285" s="193" t="str">
        <f>IF($B285="","",IF(M$4="NÃO",0,IF(VLOOKUP($B285,FROTA!$B$5:$R$305,17,0)=M$3,0.02,0)))</f>
        <v/>
      </c>
      <c r="N285" s="193" t="str">
        <f>IF($B285="","",IF(M$4="NÃO",0,IF(VLOOKUP($B285,FROTA!$B$5:$R$305,17,0)=N$3,0.02,0)))</f>
        <v/>
      </c>
      <c r="O285" s="311" t="str">
        <f>IF($B285="","",IF(O$4="NÃO",0,IF(VLOOKUP($B285,FROTA!$B$5:$R$305,10,0)=O$3,0.01,0)))</f>
        <v/>
      </c>
      <c r="P285" s="307" t="str">
        <f>IF($B285="","",IF(P$4="NÃO",0,IF(VLOOKUP($B285,FROTA!$B$5:$R$305,10,0)=P$3,0.01,0)))</f>
        <v/>
      </c>
      <c r="Q285" s="307" t="str">
        <f>IF($B285="","",IF(Q$4="NÃO",0,IF(VLOOKUP($B285,FROTA!$B$5:$R$305,10,0)=Q$3,0.01,0)))</f>
        <v/>
      </c>
      <c r="R285" s="307" t="str">
        <f>IF($B285="","",IF(R$4="NÃO",0,IF(VLOOKUP($B285,FROTA!$B$5:$R$305,10,0)=R$3,0.01,0)))</f>
        <v/>
      </c>
      <c r="S285" s="307" t="str">
        <f>IF($B285="","",IF(S$4="NÃO",0,IF(VLOOKUP($B285,FROTA!$B$5:$R$305,10,0)=S$3,0.01,0)))</f>
        <v/>
      </c>
      <c r="T285" s="307" t="str">
        <f>IF($B285="","",IF(T$4="NÃO",0,IF(VLOOKUP($B285,FROTA!$B$5:$R$305,10,0)=T$3,0.01,0)))</f>
        <v/>
      </c>
      <c r="U285" s="307" t="str">
        <f>IF($B285="","",IF(U$4="NÃO",0,IF(VLOOKUP($B285,FROTA!$B$5:$R$305,10,0)=U$3,0.01,0)))</f>
        <v/>
      </c>
      <c r="V285" s="306" t="str">
        <f t="shared" si="34"/>
        <v/>
      </c>
      <c r="W285" s="238" t="str">
        <f t="shared" si="32"/>
        <v/>
      </c>
      <c r="X285" s="576" t="str">
        <f t="shared" si="35"/>
        <v/>
      </c>
      <c r="BA285" s="581">
        <v>45118</v>
      </c>
      <c r="BB285" s="582">
        <v>2023</v>
      </c>
    </row>
    <row r="286" spans="2:54" ht="15" customHeight="1" x14ac:dyDescent="0.2">
      <c r="B286" s="192" t="str">
        <f>IF(FROTA!B287="","",FROTA!B287)</f>
        <v/>
      </c>
      <c r="C286" s="192" t="str">
        <f>IF(B286="","",FROTA!Z287)</f>
        <v/>
      </c>
      <c r="D286" s="192" t="str">
        <f>IF(B286="","",VLOOKUP(B286,FROTA!$B$5:$C$310,2,0))</f>
        <v/>
      </c>
      <c r="E286" s="233" t="str">
        <f>IF(D286="","",VLOOKUP(D286,ESCALA!$B$3:$H$19,7,0))</f>
        <v/>
      </c>
      <c r="F286" s="219" t="s">
        <v>222</v>
      </c>
      <c r="G286" s="305" t="str">
        <f t="shared" si="33"/>
        <v/>
      </c>
      <c r="H286" s="314" t="str">
        <f>IF($B286="","",IF(H$4="NÃO",0,IF(VLOOKUP($B286,FROTA!$B$5:$R$305,17,0)=H$3,0.02,0)))</f>
        <v/>
      </c>
      <c r="I286" s="193" t="str">
        <f>IF($B286="","",IF(I$4="NÃO",0,IF(VLOOKUP($B286,FROTA!$B$5:$R$305,17,0)=I$3,0.02,0)))</f>
        <v/>
      </c>
      <c r="J286" s="193" t="str">
        <f>IF($B286="","",IF(J$4="NÃO",0,IF(VLOOKUP($B286,FROTA!$B$5:$R$305,17,0)=J$3,0.02,0)))</f>
        <v/>
      </c>
      <c r="K286" s="193" t="str">
        <f>IF($B286="","",IF(K$4="NÃO",0,IF(VLOOKUP($B286,FROTA!$B$5:$R$305,17,0)=K$3,0.02,0)))</f>
        <v/>
      </c>
      <c r="L286" s="193" t="str">
        <f>IF($B286="","",IF(L$4="NÃO",0,IF(VLOOKUP($B286,FROTA!$B$5:$R$305,17,0)=L$3,0.02,0)))</f>
        <v/>
      </c>
      <c r="M286" s="193" t="str">
        <f>IF($B286="","",IF(M$4="NÃO",0,IF(VLOOKUP($B286,FROTA!$B$5:$R$305,17,0)=M$3,0.02,0)))</f>
        <v/>
      </c>
      <c r="N286" s="193" t="str">
        <f>IF($B286="","",IF(M$4="NÃO",0,IF(VLOOKUP($B286,FROTA!$B$5:$R$305,17,0)=N$3,0.02,0)))</f>
        <v/>
      </c>
      <c r="O286" s="311" t="str">
        <f>IF($B286="","",IF(O$4="NÃO",0,IF(VLOOKUP($B286,FROTA!$B$5:$R$305,10,0)=O$3,0.01,0)))</f>
        <v/>
      </c>
      <c r="P286" s="307" t="str">
        <f>IF($B286="","",IF(P$4="NÃO",0,IF(VLOOKUP($B286,FROTA!$B$5:$R$305,10,0)=P$3,0.01,0)))</f>
        <v/>
      </c>
      <c r="Q286" s="307" t="str">
        <f>IF($B286="","",IF(Q$4="NÃO",0,IF(VLOOKUP($B286,FROTA!$B$5:$R$305,10,0)=Q$3,0.01,0)))</f>
        <v/>
      </c>
      <c r="R286" s="307" t="str">
        <f>IF($B286="","",IF(R$4="NÃO",0,IF(VLOOKUP($B286,FROTA!$B$5:$R$305,10,0)=R$3,0.01,0)))</f>
        <v/>
      </c>
      <c r="S286" s="307" t="str">
        <f>IF($B286="","",IF(S$4="NÃO",0,IF(VLOOKUP($B286,FROTA!$B$5:$R$305,10,0)=S$3,0.01,0)))</f>
        <v/>
      </c>
      <c r="T286" s="307" t="str">
        <f>IF($B286="","",IF(T$4="NÃO",0,IF(VLOOKUP($B286,FROTA!$B$5:$R$305,10,0)=T$3,0.01,0)))</f>
        <v/>
      </c>
      <c r="U286" s="307" t="str">
        <f>IF($B286="","",IF(U$4="NÃO",0,IF(VLOOKUP($B286,FROTA!$B$5:$R$305,10,0)=U$3,0.01,0)))</f>
        <v/>
      </c>
      <c r="V286" s="306" t="str">
        <f t="shared" si="34"/>
        <v/>
      </c>
      <c r="W286" s="238" t="str">
        <f t="shared" si="32"/>
        <v/>
      </c>
      <c r="X286" s="576" t="str">
        <f t="shared" si="35"/>
        <v/>
      </c>
      <c r="BA286" s="581">
        <v>45119</v>
      </c>
      <c r="BB286" s="582">
        <v>2023</v>
      </c>
    </row>
    <row r="287" spans="2:54" ht="15" customHeight="1" x14ac:dyDescent="0.2">
      <c r="B287" s="192" t="str">
        <f>IF(FROTA!B288="","",FROTA!B288)</f>
        <v/>
      </c>
      <c r="C287" s="192" t="str">
        <f>IF(B287="","",FROTA!Z288)</f>
        <v/>
      </c>
      <c r="D287" s="192" t="str">
        <f>IF(B287="","",VLOOKUP(B287,FROTA!$B$5:$C$310,2,0))</f>
        <v/>
      </c>
      <c r="E287" s="233" t="str">
        <f>IF(D287="","",VLOOKUP(D287,ESCALA!$B$3:$H$19,7,0))</f>
        <v/>
      </c>
      <c r="F287" s="219" t="s">
        <v>222</v>
      </c>
      <c r="G287" s="305" t="str">
        <f t="shared" si="33"/>
        <v/>
      </c>
      <c r="H287" s="314" t="str">
        <f>IF($B287="","",IF(H$4="NÃO",0,IF(VLOOKUP($B287,FROTA!$B$5:$R$305,17,0)=H$3,0.02,0)))</f>
        <v/>
      </c>
      <c r="I287" s="193" t="str">
        <f>IF($B287="","",IF(I$4="NÃO",0,IF(VLOOKUP($B287,FROTA!$B$5:$R$305,17,0)=I$3,0.02,0)))</f>
        <v/>
      </c>
      <c r="J287" s="193" t="str">
        <f>IF($B287="","",IF(J$4="NÃO",0,IF(VLOOKUP($B287,FROTA!$B$5:$R$305,17,0)=J$3,0.02,0)))</f>
        <v/>
      </c>
      <c r="K287" s="193" t="str">
        <f>IF($B287="","",IF(K$4="NÃO",0,IF(VLOOKUP($B287,FROTA!$B$5:$R$305,17,0)=K$3,0.02,0)))</f>
        <v/>
      </c>
      <c r="L287" s="193" t="str">
        <f>IF($B287="","",IF(L$4="NÃO",0,IF(VLOOKUP($B287,FROTA!$B$5:$R$305,17,0)=L$3,0.02,0)))</f>
        <v/>
      </c>
      <c r="M287" s="193" t="str">
        <f>IF($B287="","",IF(M$4="NÃO",0,IF(VLOOKUP($B287,FROTA!$B$5:$R$305,17,0)=M$3,0.02,0)))</f>
        <v/>
      </c>
      <c r="N287" s="193" t="str">
        <f>IF($B287="","",IF(M$4="NÃO",0,IF(VLOOKUP($B287,FROTA!$B$5:$R$305,17,0)=N$3,0.02,0)))</f>
        <v/>
      </c>
      <c r="O287" s="311" t="str">
        <f>IF($B287="","",IF(O$4="NÃO",0,IF(VLOOKUP($B287,FROTA!$B$5:$R$305,10,0)=O$3,0.01,0)))</f>
        <v/>
      </c>
      <c r="P287" s="307" t="str">
        <f>IF($B287="","",IF(P$4="NÃO",0,IF(VLOOKUP($B287,FROTA!$B$5:$R$305,10,0)=P$3,0.01,0)))</f>
        <v/>
      </c>
      <c r="Q287" s="307" t="str">
        <f>IF($B287="","",IF(Q$4="NÃO",0,IF(VLOOKUP($B287,FROTA!$B$5:$R$305,10,0)=Q$3,0.01,0)))</f>
        <v/>
      </c>
      <c r="R287" s="307" t="str">
        <f>IF($B287="","",IF(R$4="NÃO",0,IF(VLOOKUP($B287,FROTA!$B$5:$R$305,10,0)=R$3,0.01,0)))</f>
        <v/>
      </c>
      <c r="S287" s="307" t="str">
        <f>IF($B287="","",IF(S$4="NÃO",0,IF(VLOOKUP($B287,FROTA!$B$5:$R$305,10,0)=S$3,0.01,0)))</f>
        <v/>
      </c>
      <c r="T287" s="307" t="str">
        <f>IF($B287="","",IF(T$4="NÃO",0,IF(VLOOKUP($B287,FROTA!$B$5:$R$305,10,0)=T$3,0.01,0)))</f>
        <v/>
      </c>
      <c r="U287" s="307" t="str">
        <f>IF($B287="","",IF(U$4="NÃO",0,IF(VLOOKUP($B287,FROTA!$B$5:$R$305,10,0)=U$3,0.01,0)))</f>
        <v/>
      </c>
      <c r="V287" s="306" t="str">
        <f t="shared" si="34"/>
        <v/>
      </c>
      <c r="W287" s="238" t="str">
        <f t="shared" si="32"/>
        <v/>
      </c>
      <c r="X287" s="576" t="str">
        <f t="shared" si="35"/>
        <v/>
      </c>
      <c r="BA287" s="581">
        <v>45120</v>
      </c>
      <c r="BB287" s="582">
        <v>2023</v>
      </c>
    </row>
    <row r="288" spans="2:54" ht="15" customHeight="1" x14ac:dyDescent="0.2">
      <c r="B288" s="192" t="str">
        <f>IF(FROTA!B289="","",FROTA!B289)</f>
        <v/>
      </c>
      <c r="C288" s="192" t="str">
        <f>IF(B288="","",FROTA!Z289)</f>
        <v/>
      </c>
      <c r="D288" s="192" t="str">
        <f>IF(B288="","",VLOOKUP(B288,FROTA!$B$5:$C$310,2,0))</f>
        <v/>
      </c>
      <c r="E288" s="233" t="str">
        <f>IF(D288="","",VLOOKUP(D288,ESCALA!$B$3:$H$19,7,0))</f>
        <v/>
      </c>
      <c r="F288" s="219" t="s">
        <v>222</v>
      </c>
      <c r="G288" s="305" t="str">
        <f t="shared" si="33"/>
        <v/>
      </c>
      <c r="H288" s="314" t="str">
        <f>IF($B288="","",IF(H$4="NÃO",0,IF(VLOOKUP($B288,FROTA!$B$5:$R$305,17,0)=H$3,0.02,0)))</f>
        <v/>
      </c>
      <c r="I288" s="193" t="str">
        <f>IF($B288="","",IF(I$4="NÃO",0,IF(VLOOKUP($B288,FROTA!$B$5:$R$305,17,0)=I$3,0.02,0)))</f>
        <v/>
      </c>
      <c r="J288" s="193" t="str">
        <f>IF($B288="","",IF(J$4="NÃO",0,IF(VLOOKUP($B288,FROTA!$B$5:$R$305,17,0)=J$3,0.02,0)))</f>
        <v/>
      </c>
      <c r="K288" s="193" t="str">
        <f>IF($B288="","",IF(K$4="NÃO",0,IF(VLOOKUP($B288,FROTA!$B$5:$R$305,17,0)=K$3,0.02,0)))</f>
        <v/>
      </c>
      <c r="L288" s="193" t="str">
        <f>IF($B288="","",IF(L$4="NÃO",0,IF(VLOOKUP($B288,FROTA!$B$5:$R$305,17,0)=L$3,0.02,0)))</f>
        <v/>
      </c>
      <c r="M288" s="193" t="str">
        <f>IF($B288="","",IF(M$4="NÃO",0,IF(VLOOKUP($B288,FROTA!$B$5:$R$305,17,0)=M$3,0.02,0)))</f>
        <v/>
      </c>
      <c r="N288" s="193" t="str">
        <f>IF($B288="","",IF(M$4="NÃO",0,IF(VLOOKUP($B288,FROTA!$B$5:$R$305,17,0)=N$3,0.02,0)))</f>
        <v/>
      </c>
      <c r="O288" s="311" t="str">
        <f>IF($B288="","",IF(O$4="NÃO",0,IF(VLOOKUP($B288,FROTA!$B$5:$R$305,10,0)=O$3,0.01,0)))</f>
        <v/>
      </c>
      <c r="P288" s="307" t="str">
        <f>IF($B288="","",IF(P$4="NÃO",0,IF(VLOOKUP($B288,FROTA!$B$5:$R$305,10,0)=P$3,0.01,0)))</f>
        <v/>
      </c>
      <c r="Q288" s="307" t="str">
        <f>IF($B288="","",IF(Q$4="NÃO",0,IF(VLOOKUP($B288,FROTA!$B$5:$R$305,10,0)=Q$3,0.01,0)))</f>
        <v/>
      </c>
      <c r="R288" s="307" t="str">
        <f>IF($B288="","",IF(R$4="NÃO",0,IF(VLOOKUP($B288,FROTA!$B$5:$R$305,10,0)=R$3,0.01,0)))</f>
        <v/>
      </c>
      <c r="S288" s="307" t="str">
        <f>IF($B288="","",IF(S$4="NÃO",0,IF(VLOOKUP($B288,FROTA!$B$5:$R$305,10,0)=S$3,0.01,0)))</f>
        <v/>
      </c>
      <c r="T288" s="307" t="str">
        <f>IF($B288="","",IF(T$4="NÃO",0,IF(VLOOKUP($B288,FROTA!$B$5:$R$305,10,0)=T$3,0.01,0)))</f>
        <v/>
      </c>
      <c r="U288" s="307" t="str">
        <f>IF($B288="","",IF(U$4="NÃO",0,IF(VLOOKUP($B288,FROTA!$B$5:$R$305,10,0)=U$3,0.01,0)))</f>
        <v/>
      </c>
      <c r="V288" s="306" t="str">
        <f t="shared" si="34"/>
        <v/>
      </c>
      <c r="W288" s="238" t="str">
        <f t="shared" si="32"/>
        <v/>
      </c>
      <c r="X288" s="576" t="str">
        <f t="shared" si="35"/>
        <v/>
      </c>
      <c r="BA288" s="581">
        <v>45121</v>
      </c>
      <c r="BB288" s="582">
        <v>2023</v>
      </c>
    </row>
    <row r="289" spans="2:54" ht="15" customHeight="1" x14ac:dyDescent="0.2">
      <c r="B289" s="192" t="str">
        <f>IF(FROTA!B290="","",FROTA!B290)</f>
        <v/>
      </c>
      <c r="C289" s="192" t="str">
        <f>IF(B289="","",FROTA!Z290)</f>
        <v/>
      </c>
      <c r="D289" s="192" t="str">
        <f>IF(B289="","",VLOOKUP(B289,FROTA!$B$5:$C$310,2,0))</f>
        <v/>
      </c>
      <c r="E289" s="233" t="str">
        <f>IF(D289="","",VLOOKUP(D289,ESCALA!$B$3:$H$19,7,0))</f>
        <v/>
      </c>
      <c r="F289" s="219" t="s">
        <v>222</v>
      </c>
      <c r="G289" s="305" t="str">
        <f t="shared" si="33"/>
        <v/>
      </c>
      <c r="H289" s="314" t="str">
        <f>IF($B289="","",IF(H$4="NÃO",0,IF(VLOOKUP($B289,FROTA!$B$5:$R$305,17,0)=H$3,0.02,0)))</f>
        <v/>
      </c>
      <c r="I289" s="193" t="str">
        <f>IF($B289="","",IF(I$4="NÃO",0,IF(VLOOKUP($B289,FROTA!$B$5:$R$305,17,0)=I$3,0.02,0)))</f>
        <v/>
      </c>
      <c r="J289" s="193" t="str">
        <f>IF($B289="","",IF(J$4="NÃO",0,IF(VLOOKUP($B289,FROTA!$B$5:$R$305,17,0)=J$3,0.02,0)))</f>
        <v/>
      </c>
      <c r="K289" s="193" t="str">
        <f>IF($B289="","",IF(K$4="NÃO",0,IF(VLOOKUP($B289,FROTA!$B$5:$R$305,17,0)=K$3,0.02,0)))</f>
        <v/>
      </c>
      <c r="L289" s="193" t="str">
        <f>IF($B289="","",IF(L$4="NÃO",0,IF(VLOOKUP($B289,FROTA!$B$5:$R$305,17,0)=L$3,0.02,0)))</f>
        <v/>
      </c>
      <c r="M289" s="193" t="str">
        <f>IF($B289="","",IF(M$4="NÃO",0,IF(VLOOKUP($B289,FROTA!$B$5:$R$305,17,0)=M$3,0.02,0)))</f>
        <v/>
      </c>
      <c r="N289" s="193" t="str">
        <f>IF($B289="","",IF(M$4="NÃO",0,IF(VLOOKUP($B289,FROTA!$B$5:$R$305,17,0)=N$3,0.02,0)))</f>
        <v/>
      </c>
      <c r="O289" s="311" t="str">
        <f>IF($B289="","",IF(O$4="NÃO",0,IF(VLOOKUP($B289,FROTA!$B$5:$R$305,10,0)=O$3,0.01,0)))</f>
        <v/>
      </c>
      <c r="P289" s="307" t="str">
        <f>IF($B289="","",IF(P$4="NÃO",0,IF(VLOOKUP($B289,FROTA!$B$5:$R$305,10,0)=P$3,0.01,0)))</f>
        <v/>
      </c>
      <c r="Q289" s="307" t="str">
        <f>IF($B289="","",IF(Q$4="NÃO",0,IF(VLOOKUP($B289,FROTA!$B$5:$R$305,10,0)=Q$3,0.01,0)))</f>
        <v/>
      </c>
      <c r="R289" s="307" t="str">
        <f>IF($B289="","",IF(R$4="NÃO",0,IF(VLOOKUP($B289,FROTA!$B$5:$R$305,10,0)=R$3,0.01,0)))</f>
        <v/>
      </c>
      <c r="S289" s="307" t="str">
        <f>IF($B289="","",IF(S$4="NÃO",0,IF(VLOOKUP($B289,FROTA!$B$5:$R$305,10,0)=S$3,0.01,0)))</f>
        <v/>
      </c>
      <c r="T289" s="307" t="str">
        <f>IF($B289="","",IF(T$4="NÃO",0,IF(VLOOKUP($B289,FROTA!$B$5:$R$305,10,0)=T$3,0.01,0)))</f>
        <v/>
      </c>
      <c r="U289" s="307" t="str">
        <f>IF($B289="","",IF(U$4="NÃO",0,IF(VLOOKUP($B289,FROTA!$B$5:$R$305,10,0)=U$3,0.01,0)))</f>
        <v/>
      </c>
      <c r="V289" s="306" t="str">
        <f t="shared" si="34"/>
        <v/>
      </c>
      <c r="W289" s="238" t="str">
        <f t="shared" si="32"/>
        <v/>
      </c>
      <c r="X289" s="576" t="str">
        <f t="shared" si="35"/>
        <v/>
      </c>
      <c r="BA289" s="581">
        <v>45122</v>
      </c>
      <c r="BB289" s="582">
        <v>2023</v>
      </c>
    </row>
    <row r="290" spans="2:54" ht="15" customHeight="1" x14ac:dyDescent="0.2">
      <c r="B290" s="192" t="str">
        <f>IF(FROTA!B291="","",FROTA!B291)</f>
        <v/>
      </c>
      <c r="C290" s="192" t="str">
        <f>IF(B290="","",FROTA!Z291)</f>
        <v/>
      </c>
      <c r="D290" s="192" t="str">
        <f>IF(B290="","",VLOOKUP(B290,FROTA!$B$5:$C$310,2,0))</f>
        <v/>
      </c>
      <c r="E290" s="233" t="str">
        <f>IF(D290="","",VLOOKUP(D290,ESCALA!$B$3:$H$19,7,0))</f>
        <v/>
      </c>
      <c r="F290" s="219" t="s">
        <v>222</v>
      </c>
      <c r="G290" s="305" t="str">
        <f t="shared" si="33"/>
        <v/>
      </c>
      <c r="H290" s="314" t="str">
        <f>IF($B290="","",IF(H$4="NÃO",0,IF(VLOOKUP($B290,FROTA!$B$5:$R$305,17,0)=H$3,0.02,0)))</f>
        <v/>
      </c>
      <c r="I290" s="193" t="str">
        <f>IF($B290="","",IF(I$4="NÃO",0,IF(VLOOKUP($B290,FROTA!$B$5:$R$305,17,0)=I$3,0.02,0)))</f>
        <v/>
      </c>
      <c r="J290" s="193" t="str">
        <f>IF($B290="","",IF(J$4="NÃO",0,IF(VLOOKUP($B290,FROTA!$B$5:$R$305,17,0)=J$3,0.02,0)))</f>
        <v/>
      </c>
      <c r="K290" s="193" t="str">
        <f>IF($B290="","",IF(K$4="NÃO",0,IF(VLOOKUP($B290,FROTA!$B$5:$R$305,17,0)=K$3,0.02,0)))</f>
        <v/>
      </c>
      <c r="L290" s="193" t="str">
        <f>IF($B290="","",IF(L$4="NÃO",0,IF(VLOOKUP($B290,FROTA!$B$5:$R$305,17,0)=L$3,0.02,0)))</f>
        <v/>
      </c>
      <c r="M290" s="193" t="str">
        <f>IF($B290="","",IF(M$4="NÃO",0,IF(VLOOKUP($B290,FROTA!$B$5:$R$305,17,0)=M$3,0.02,0)))</f>
        <v/>
      </c>
      <c r="N290" s="193" t="str">
        <f>IF($B290="","",IF(M$4="NÃO",0,IF(VLOOKUP($B290,FROTA!$B$5:$R$305,17,0)=N$3,0.02,0)))</f>
        <v/>
      </c>
      <c r="O290" s="311" t="str">
        <f>IF($B290="","",IF(O$4="NÃO",0,IF(VLOOKUP($B290,FROTA!$B$5:$R$305,10,0)=O$3,0.01,0)))</f>
        <v/>
      </c>
      <c r="P290" s="307" t="str">
        <f>IF($B290="","",IF(P$4="NÃO",0,IF(VLOOKUP($B290,FROTA!$B$5:$R$305,10,0)=P$3,0.01,0)))</f>
        <v/>
      </c>
      <c r="Q290" s="307" t="str">
        <f>IF($B290="","",IF(Q$4="NÃO",0,IF(VLOOKUP($B290,FROTA!$B$5:$R$305,10,0)=Q$3,0.01,0)))</f>
        <v/>
      </c>
      <c r="R290" s="307" t="str">
        <f>IF($B290="","",IF(R$4="NÃO",0,IF(VLOOKUP($B290,FROTA!$B$5:$R$305,10,0)=R$3,0.01,0)))</f>
        <v/>
      </c>
      <c r="S290" s="307" t="str">
        <f>IF($B290="","",IF(S$4="NÃO",0,IF(VLOOKUP($B290,FROTA!$B$5:$R$305,10,0)=S$3,0.01,0)))</f>
        <v/>
      </c>
      <c r="T290" s="307" t="str">
        <f>IF($B290="","",IF(T$4="NÃO",0,IF(VLOOKUP($B290,FROTA!$B$5:$R$305,10,0)=T$3,0.01,0)))</f>
        <v/>
      </c>
      <c r="U290" s="307" t="str">
        <f>IF($B290="","",IF(U$4="NÃO",0,IF(VLOOKUP($B290,FROTA!$B$5:$R$305,10,0)=U$3,0.01,0)))</f>
        <v/>
      </c>
      <c r="V290" s="306" t="str">
        <f t="shared" si="34"/>
        <v/>
      </c>
      <c r="W290" s="238" t="str">
        <f t="shared" si="32"/>
        <v/>
      </c>
      <c r="X290" s="576" t="str">
        <f t="shared" si="35"/>
        <v/>
      </c>
      <c r="BA290" s="581">
        <v>45123</v>
      </c>
      <c r="BB290" s="582">
        <v>2023</v>
      </c>
    </row>
    <row r="291" spans="2:54" ht="15" customHeight="1" x14ac:dyDescent="0.2">
      <c r="B291" s="192" t="str">
        <f>IF(FROTA!B292="","",FROTA!B292)</f>
        <v/>
      </c>
      <c r="C291" s="192" t="str">
        <f>IF(B291="","",FROTA!Z292)</f>
        <v/>
      </c>
      <c r="D291" s="192" t="str">
        <f>IF(B291="","",VLOOKUP(B291,FROTA!$B$5:$C$310,2,0))</f>
        <v/>
      </c>
      <c r="E291" s="233" t="str">
        <f>IF(D291="","",VLOOKUP(D291,ESCALA!$B$3:$H$19,7,0))</f>
        <v/>
      </c>
      <c r="F291" s="219" t="s">
        <v>222</v>
      </c>
      <c r="G291" s="305" t="str">
        <f t="shared" si="33"/>
        <v/>
      </c>
      <c r="H291" s="314" t="str">
        <f>IF($B291="","",IF(H$4="NÃO",0,IF(VLOOKUP($B291,FROTA!$B$5:$R$305,17,0)=H$3,0.02,0)))</f>
        <v/>
      </c>
      <c r="I291" s="193" t="str">
        <f>IF($B291="","",IF(I$4="NÃO",0,IF(VLOOKUP($B291,FROTA!$B$5:$R$305,17,0)=I$3,0.02,0)))</f>
        <v/>
      </c>
      <c r="J291" s="193" t="str">
        <f>IF($B291="","",IF(J$4="NÃO",0,IF(VLOOKUP($B291,FROTA!$B$5:$R$305,17,0)=J$3,0.02,0)))</f>
        <v/>
      </c>
      <c r="K291" s="193" t="str">
        <f>IF($B291="","",IF(K$4="NÃO",0,IF(VLOOKUP($B291,FROTA!$B$5:$R$305,17,0)=K$3,0.02,0)))</f>
        <v/>
      </c>
      <c r="L291" s="193" t="str">
        <f>IF($B291="","",IF(L$4="NÃO",0,IF(VLOOKUP($B291,FROTA!$B$5:$R$305,17,0)=L$3,0.02,0)))</f>
        <v/>
      </c>
      <c r="M291" s="193" t="str">
        <f>IF($B291="","",IF(M$4="NÃO",0,IF(VLOOKUP($B291,FROTA!$B$5:$R$305,17,0)=M$3,0.02,0)))</f>
        <v/>
      </c>
      <c r="N291" s="193" t="str">
        <f>IF($B291="","",IF(M$4="NÃO",0,IF(VLOOKUP($B291,FROTA!$B$5:$R$305,17,0)=N$3,0.02,0)))</f>
        <v/>
      </c>
      <c r="O291" s="311" t="str">
        <f>IF($B291="","",IF(O$4="NÃO",0,IF(VLOOKUP($B291,FROTA!$B$5:$R$305,10,0)=O$3,0.01,0)))</f>
        <v/>
      </c>
      <c r="P291" s="307" t="str">
        <f>IF($B291="","",IF(P$4="NÃO",0,IF(VLOOKUP($B291,FROTA!$B$5:$R$305,10,0)=P$3,0.01,0)))</f>
        <v/>
      </c>
      <c r="Q291" s="307" t="str">
        <f>IF($B291="","",IF(Q$4="NÃO",0,IF(VLOOKUP($B291,FROTA!$B$5:$R$305,10,0)=Q$3,0.01,0)))</f>
        <v/>
      </c>
      <c r="R291" s="307" t="str">
        <f>IF($B291="","",IF(R$4="NÃO",0,IF(VLOOKUP($B291,FROTA!$B$5:$R$305,10,0)=R$3,0.01,0)))</f>
        <v/>
      </c>
      <c r="S291" s="307" t="str">
        <f>IF($B291="","",IF(S$4="NÃO",0,IF(VLOOKUP($B291,FROTA!$B$5:$R$305,10,0)=S$3,0.01,0)))</f>
        <v/>
      </c>
      <c r="T291" s="307" t="str">
        <f>IF($B291="","",IF(T$4="NÃO",0,IF(VLOOKUP($B291,FROTA!$B$5:$R$305,10,0)=T$3,0.01,0)))</f>
        <v/>
      </c>
      <c r="U291" s="307" t="str">
        <f>IF($B291="","",IF(U$4="NÃO",0,IF(VLOOKUP($B291,FROTA!$B$5:$R$305,10,0)=U$3,0.01,0)))</f>
        <v/>
      </c>
      <c r="V291" s="306" t="str">
        <f t="shared" si="34"/>
        <v/>
      </c>
      <c r="W291" s="238" t="str">
        <f t="shared" si="32"/>
        <v/>
      </c>
      <c r="X291" s="576" t="str">
        <f t="shared" si="35"/>
        <v/>
      </c>
      <c r="BA291" s="581">
        <v>45124</v>
      </c>
      <c r="BB291" s="582">
        <v>2023</v>
      </c>
    </row>
    <row r="292" spans="2:54" ht="15" customHeight="1" x14ac:dyDescent="0.2">
      <c r="B292" s="192" t="str">
        <f>IF(FROTA!B293="","",FROTA!B293)</f>
        <v/>
      </c>
      <c r="C292" s="192" t="str">
        <f>IF(B292="","",FROTA!Z293)</f>
        <v/>
      </c>
      <c r="D292" s="192" t="str">
        <f>IF(B292="","",VLOOKUP(B292,FROTA!$B$5:$C$310,2,0))</f>
        <v/>
      </c>
      <c r="E292" s="233" t="str">
        <f>IF(D292="","",VLOOKUP(D292,ESCALA!$B$3:$H$19,7,0))</f>
        <v/>
      </c>
      <c r="F292" s="219" t="s">
        <v>222</v>
      </c>
      <c r="G292" s="305" t="str">
        <f t="shared" si="33"/>
        <v/>
      </c>
      <c r="H292" s="314" t="str">
        <f>IF($B292="","",IF(H$4="NÃO",0,IF(VLOOKUP($B292,FROTA!$B$5:$R$305,17,0)=H$3,0.02,0)))</f>
        <v/>
      </c>
      <c r="I292" s="193" t="str">
        <f>IF($B292="","",IF(I$4="NÃO",0,IF(VLOOKUP($B292,FROTA!$B$5:$R$305,17,0)=I$3,0.02,0)))</f>
        <v/>
      </c>
      <c r="J292" s="193" t="str">
        <f>IF($B292="","",IF(J$4="NÃO",0,IF(VLOOKUP($B292,FROTA!$B$5:$R$305,17,0)=J$3,0.02,0)))</f>
        <v/>
      </c>
      <c r="K292" s="193" t="str">
        <f>IF($B292="","",IF(K$4="NÃO",0,IF(VLOOKUP($B292,FROTA!$B$5:$R$305,17,0)=K$3,0.02,0)))</f>
        <v/>
      </c>
      <c r="L292" s="193" t="str">
        <f>IF($B292="","",IF(L$4="NÃO",0,IF(VLOOKUP($B292,FROTA!$B$5:$R$305,17,0)=L$3,0.02,0)))</f>
        <v/>
      </c>
      <c r="M292" s="193" t="str">
        <f>IF($B292="","",IF(M$4="NÃO",0,IF(VLOOKUP($B292,FROTA!$B$5:$R$305,17,0)=M$3,0.02,0)))</f>
        <v/>
      </c>
      <c r="N292" s="193" t="str">
        <f>IF($B292="","",IF(M$4="NÃO",0,IF(VLOOKUP($B292,FROTA!$B$5:$R$305,17,0)=N$3,0.02,0)))</f>
        <v/>
      </c>
      <c r="O292" s="311" t="str">
        <f>IF($B292="","",IF(O$4="NÃO",0,IF(VLOOKUP($B292,FROTA!$B$5:$R$305,10,0)=O$3,0.01,0)))</f>
        <v/>
      </c>
      <c r="P292" s="307" t="str">
        <f>IF($B292="","",IF(P$4="NÃO",0,IF(VLOOKUP($B292,FROTA!$B$5:$R$305,10,0)=P$3,0.01,0)))</f>
        <v/>
      </c>
      <c r="Q292" s="307" t="str">
        <f>IF($B292="","",IF(Q$4="NÃO",0,IF(VLOOKUP($B292,FROTA!$B$5:$R$305,10,0)=Q$3,0.01,0)))</f>
        <v/>
      </c>
      <c r="R292" s="307" t="str">
        <f>IF($B292="","",IF(R$4="NÃO",0,IF(VLOOKUP($B292,FROTA!$B$5:$R$305,10,0)=R$3,0.01,0)))</f>
        <v/>
      </c>
      <c r="S292" s="307" t="str">
        <f>IF($B292="","",IF(S$4="NÃO",0,IF(VLOOKUP($B292,FROTA!$B$5:$R$305,10,0)=S$3,0.01,0)))</f>
        <v/>
      </c>
      <c r="T292" s="307" t="str">
        <f>IF($B292="","",IF(T$4="NÃO",0,IF(VLOOKUP($B292,FROTA!$B$5:$R$305,10,0)=T$3,0.01,0)))</f>
        <v/>
      </c>
      <c r="U292" s="307" t="str">
        <f>IF($B292="","",IF(U$4="NÃO",0,IF(VLOOKUP($B292,FROTA!$B$5:$R$305,10,0)=U$3,0.01,0)))</f>
        <v/>
      </c>
      <c r="V292" s="306" t="str">
        <f t="shared" si="34"/>
        <v/>
      </c>
      <c r="W292" s="238" t="str">
        <f t="shared" si="32"/>
        <v/>
      </c>
      <c r="X292" s="576" t="str">
        <f t="shared" si="35"/>
        <v/>
      </c>
      <c r="BA292" s="581">
        <v>45125</v>
      </c>
      <c r="BB292" s="582">
        <v>2023</v>
      </c>
    </row>
    <row r="293" spans="2:54" ht="15" customHeight="1" x14ac:dyDescent="0.2">
      <c r="B293" s="192" t="str">
        <f>IF(FROTA!B294="","",FROTA!B294)</f>
        <v/>
      </c>
      <c r="C293" s="192" t="str">
        <f>IF(B293="","",FROTA!Z294)</f>
        <v/>
      </c>
      <c r="D293" s="192" t="str">
        <f>IF(B293="","",VLOOKUP(B293,FROTA!$B$5:$C$310,2,0))</f>
        <v/>
      </c>
      <c r="E293" s="233" t="str">
        <f>IF(D293="","",VLOOKUP(D293,ESCALA!$B$3:$H$19,7,0))</f>
        <v/>
      </c>
      <c r="F293" s="219" t="s">
        <v>222</v>
      </c>
      <c r="G293" s="305" t="str">
        <f t="shared" si="33"/>
        <v/>
      </c>
      <c r="H293" s="314" t="str">
        <f>IF($B293="","",IF(H$4="NÃO",0,IF(VLOOKUP($B293,FROTA!$B$5:$R$305,17,0)=H$3,0.02,0)))</f>
        <v/>
      </c>
      <c r="I293" s="193" t="str">
        <f>IF($B293="","",IF(I$4="NÃO",0,IF(VLOOKUP($B293,FROTA!$B$5:$R$305,17,0)=I$3,0.02,0)))</f>
        <v/>
      </c>
      <c r="J293" s="193" t="str">
        <f>IF($B293="","",IF(J$4="NÃO",0,IF(VLOOKUP($B293,FROTA!$B$5:$R$305,17,0)=J$3,0.02,0)))</f>
        <v/>
      </c>
      <c r="K293" s="193" t="str">
        <f>IF($B293="","",IF(K$4="NÃO",0,IF(VLOOKUP($B293,FROTA!$B$5:$R$305,17,0)=K$3,0.02,0)))</f>
        <v/>
      </c>
      <c r="L293" s="193" t="str">
        <f>IF($B293="","",IF(L$4="NÃO",0,IF(VLOOKUP($B293,FROTA!$B$5:$R$305,17,0)=L$3,0.02,0)))</f>
        <v/>
      </c>
      <c r="M293" s="193" t="str">
        <f>IF($B293="","",IF(M$4="NÃO",0,IF(VLOOKUP($B293,FROTA!$B$5:$R$305,17,0)=M$3,0.02,0)))</f>
        <v/>
      </c>
      <c r="N293" s="193" t="str">
        <f>IF($B293="","",IF(M$4="NÃO",0,IF(VLOOKUP($B293,FROTA!$B$5:$R$305,17,0)=N$3,0.02,0)))</f>
        <v/>
      </c>
      <c r="O293" s="311" t="str">
        <f>IF($B293="","",IF(O$4="NÃO",0,IF(VLOOKUP($B293,FROTA!$B$5:$R$305,10,0)=O$3,0.01,0)))</f>
        <v/>
      </c>
      <c r="P293" s="307" t="str">
        <f>IF($B293="","",IF(P$4="NÃO",0,IF(VLOOKUP($B293,FROTA!$B$5:$R$305,10,0)=P$3,0.01,0)))</f>
        <v/>
      </c>
      <c r="Q293" s="307" t="str">
        <f>IF($B293="","",IF(Q$4="NÃO",0,IF(VLOOKUP($B293,FROTA!$B$5:$R$305,10,0)=Q$3,0.01,0)))</f>
        <v/>
      </c>
      <c r="R293" s="307" t="str">
        <f>IF($B293="","",IF(R$4="NÃO",0,IF(VLOOKUP($B293,FROTA!$B$5:$R$305,10,0)=R$3,0.01,0)))</f>
        <v/>
      </c>
      <c r="S293" s="307" t="str">
        <f>IF($B293="","",IF(S$4="NÃO",0,IF(VLOOKUP($B293,FROTA!$B$5:$R$305,10,0)=S$3,0.01,0)))</f>
        <v/>
      </c>
      <c r="T293" s="307" t="str">
        <f>IF($B293="","",IF(T$4="NÃO",0,IF(VLOOKUP($B293,FROTA!$B$5:$R$305,10,0)=T$3,0.01,0)))</f>
        <v/>
      </c>
      <c r="U293" s="307" t="str">
        <f>IF($B293="","",IF(U$4="NÃO",0,IF(VLOOKUP($B293,FROTA!$B$5:$R$305,10,0)=U$3,0.01,0)))</f>
        <v/>
      </c>
      <c r="V293" s="306" t="str">
        <f t="shared" si="34"/>
        <v/>
      </c>
      <c r="W293" s="238" t="str">
        <f t="shared" si="32"/>
        <v/>
      </c>
      <c r="X293" s="576" t="str">
        <f t="shared" si="35"/>
        <v/>
      </c>
      <c r="BA293" s="581">
        <v>45126</v>
      </c>
      <c r="BB293" s="582">
        <v>2023</v>
      </c>
    </row>
    <row r="294" spans="2:54" ht="15" customHeight="1" x14ac:dyDescent="0.2">
      <c r="B294" s="192" t="str">
        <f>IF(FROTA!B295="","",FROTA!B295)</f>
        <v/>
      </c>
      <c r="C294" s="192" t="str">
        <f>IF(B294="","",FROTA!Z295)</f>
        <v/>
      </c>
      <c r="D294" s="192" t="str">
        <f>IF(B294="","",VLOOKUP(B294,FROTA!$B$5:$C$310,2,0))</f>
        <v/>
      </c>
      <c r="E294" s="233" t="str">
        <f>IF(D294="","",VLOOKUP(D294,ESCALA!$B$3:$H$19,7,0))</f>
        <v/>
      </c>
      <c r="F294" s="219" t="s">
        <v>222</v>
      </c>
      <c r="G294" s="305" t="str">
        <f t="shared" si="33"/>
        <v/>
      </c>
      <c r="H294" s="314" t="str">
        <f>IF($B294="","",IF(H$4="NÃO",0,IF(VLOOKUP($B294,FROTA!$B$5:$R$305,17,0)=H$3,0.02,0)))</f>
        <v/>
      </c>
      <c r="I294" s="193" t="str">
        <f>IF($B294="","",IF(I$4="NÃO",0,IF(VLOOKUP($B294,FROTA!$B$5:$R$305,17,0)=I$3,0.02,0)))</f>
        <v/>
      </c>
      <c r="J294" s="193" t="str">
        <f>IF($B294="","",IF(J$4="NÃO",0,IF(VLOOKUP($B294,FROTA!$B$5:$R$305,17,0)=J$3,0.02,0)))</f>
        <v/>
      </c>
      <c r="K294" s="193" t="str">
        <f>IF($B294="","",IF(K$4="NÃO",0,IF(VLOOKUP($B294,FROTA!$B$5:$R$305,17,0)=K$3,0.02,0)))</f>
        <v/>
      </c>
      <c r="L294" s="193" t="str">
        <f>IF($B294="","",IF(L$4="NÃO",0,IF(VLOOKUP($B294,FROTA!$B$5:$R$305,17,0)=L$3,0.02,0)))</f>
        <v/>
      </c>
      <c r="M294" s="193" t="str">
        <f>IF($B294="","",IF(M$4="NÃO",0,IF(VLOOKUP($B294,FROTA!$B$5:$R$305,17,0)=M$3,0.02,0)))</f>
        <v/>
      </c>
      <c r="N294" s="193" t="str">
        <f>IF($B294="","",IF(M$4="NÃO",0,IF(VLOOKUP($B294,FROTA!$B$5:$R$305,17,0)=N$3,0.02,0)))</f>
        <v/>
      </c>
      <c r="O294" s="311" t="str">
        <f>IF($B294="","",IF(O$4="NÃO",0,IF(VLOOKUP($B294,FROTA!$B$5:$R$305,10,0)=O$3,0.01,0)))</f>
        <v/>
      </c>
      <c r="P294" s="307" t="str">
        <f>IF($B294="","",IF(P$4="NÃO",0,IF(VLOOKUP($B294,FROTA!$B$5:$R$305,10,0)=P$3,0.01,0)))</f>
        <v/>
      </c>
      <c r="Q294" s="307" t="str">
        <f>IF($B294="","",IF(Q$4="NÃO",0,IF(VLOOKUP($B294,FROTA!$B$5:$R$305,10,0)=Q$3,0.01,0)))</f>
        <v/>
      </c>
      <c r="R294" s="307" t="str">
        <f>IF($B294="","",IF(R$4="NÃO",0,IF(VLOOKUP($B294,FROTA!$B$5:$R$305,10,0)=R$3,0.01,0)))</f>
        <v/>
      </c>
      <c r="S294" s="307" t="str">
        <f>IF($B294="","",IF(S$4="NÃO",0,IF(VLOOKUP($B294,FROTA!$B$5:$R$305,10,0)=S$3,0.01,0)))</f>
        <v/>
      </c>
      <c r="T294" s="307" t="str">
        <f>IF($B294="","",IF(T$4="NÃO",0,IF(VLOOKUP($B294,FROTA!$B$5:$R$305,10,0)=T$3,0.01,0)))</f>
        <v/>
      </c>
      <c r="U294" s="307" t="str">
        <f>IF($B294="","",IF(U$4="NÃO",0,IF(VLOOKUP($B294,FROTA!$B$5:$R$305,10,0)=U$3,0.01,0)))</f>
        <v/>
      </c>
      <c r="V294" s="306" t="str">
        <f t="shared" si="34"/>
        <v/>
      </c>
      <c r="W294" s="238" t="str">
        <f t="shared" si="32"/>
        <v/>
      </c>
      <c r="X294" s="576" t="str">
        <f t="shared" si="35"/>
        <v/>
      </c>
      <c r="BA294" s="581">
        <v>45127</v>
      </c>
      <c r="BB294" s="582">
        <v>2023</v>
      </c>
    </row>
    <row r="295" spans="2:54" ht="15" customHeight="1" x14ac:dyDescent="0.2">
      <c r="B295" s="192" t="str">
        <f>IF(FROTA!B296="","",FROTA!B296)</f>
        <v/>
      </c>
      <c r="C295" s="192" t="str">
        <f>IF(B295="","",FROTA!Z296)</f>
        <v/>
      </c>
      <c r="D295" s="192" t="str">
        <f>IF(B295="","",VLOOKUP(B295,FROTA!$B$5:$C$310,2,0))</f>
        <v/>
      </c>
      <c r="E295" s="233" t="str">
        <f>IF(D295="","",VLOOKUP(D295,ESCALA!$B$3:$H$19,7,0))</f>
        <v/>
      </c>
      <c r="F295" s="219" t="s">
        <v>222</v>
      </c>
      <c r="G295" s="305" t="str">
        <f t="shared" si="33"/>
        <v/>
      </c>
      <c r="H295" s="314" t="str">
        <f>IF($B295="","",IF(H$4="NÃO",0,IF(VLOOKUP($B295,FROTA!$B$5:$R$305,17,0)=H$3,0.02,0)))</f>
        <v/>
      </c>
      <c r="I295" s="193" t="str">
        <f>IF($B295="","",IF(I$4="NÃO",0,IF(VLOOKUP($B295,FROTA!$B$5:$R$305,17,0)=I$3,0.02,0)))</f>
        <v/>
      </c>
      <c r="J295" s="193" t="str">
        <f>IF($B295="","",IF(J$4="NÃO",0,IF(VLOOKUP($B295,FROTA!$B$5:$R$305,17,0)=J$3,0.02,0)))</f>
        <v/>
      </c>
      <c r="K295" s="193" t="str">
        <f>IF($B295="","",IF(K$4="NÃO",0,IF(VLOOKUP($B295,FROTA!$B$5:$R$305,17,0)=K$3,0.02,0)))</f>
        <v/>
      </c>
      <c r="L295" s="193" t="str">
        <f>IF($B295="","",IF(L$4="NÃO",0,IF(VLOOKUP($B295,FROTA!$B$5:$R$305,17,0)=L$3,0.02,0)))</f>
        <v/>
      </c>
      <c r="M295" s="193" t="str">
        <f>IF($B295="","",IF(M$4="NÃO",0,IF(VLOOKUP($B295,FROTA!$B$5:$R$305,17,0)=M$3,0.02,0)))</f>
        <v/>
      </c>
      <c r="N295" s="193" t="str">
        <f>IF($B295="","",IF(M$4="NÃO",0,IF(VLOOKUP($B295,FROTA!$B$5:$R$305,17,0)=N$3,0.02,0)))</f>
        <v/>
      </c>
      <c r="O295" s="311" t="str">
        <f>IF($B295="","",IF(O$4="NÃO",0,IF(VLOOKUP($B295,FROTA!$B$5:$R$305,10,0)=O$3,0.01,0)))</f>
        <v/>
      </c>
      <c r="P295" s="307" t="str">
        <f>IF($B295="","",IF(P$4="NÃO",0,IF(VLOOKUP($B295,FROTA!$B$5:$R$305,10,0)=P$3,0.01,0)))</f>
        <v/>
      </c>
      <c r="Q295" s="307" t="str">
        <f>IF($B295="","",IF(Q$4="NÃO",0,IF(VLOOKUP($B295,FROTA!$B$5:$R$305,10,0)=Q$3,0.01,0)))</f>
        <v/>
      </c>
      <c r="R295" s="307" t="str">
        <f>IF($B295="","",IF(R$4="NÃO",0,IF(VLOOKUP($B295,FROTA!$B$5:$R$305,10,0)=R$3,0.01,0)))</f>
        <v/>
      </c>
      <c r="S295" s="307" t="str">
        <f>IF($B295="","",IF(S$4="NÃO",0,IF(VLOOKUP($B295,FROTA!$B$5:$R$305,10,0)=S$3,0.01,0)))</f>
        <v/>
      </c>
      <c r="T295" s="307" t="str">
        <f>IF($B295="","",IF(T$4="NÃO",0,IF(VLOOKUP($B295,FROTA!$B$5:$R$305,10,0)=T$3,0.01,0)))</f>
        <v/>
      </c>
      <c r="U295" s="307" t="str">
        <f>IF($B295="","",IF(U$4="NÃO",0,IF(VLOOKUP($B295,FROTA!$B$5:$R$305,10,0)=U$3,0.01,0)))</f>
        <v/>
      </c>
      <c r="V295" s="306" t="str">
        <f t="shared" si="34"/>
        <v/>
      </c>
      <c r="W295" s="238" t="str">
        <f t="shared" si="32"/>
        <v/>
      </c>
      <c r="X295" s="576" t="str">
        <f t="shared" si="35"/>
        <v/>
      </c>
      <c r="BA295" s="581">
        <v>45128</v>
      </c>
      <c r="BB295" s="582">
        <v>2023</v>
      </c>
    </row>
    <row r="296" spans="2:54" ht="15" customHeight="1" x14ac:dyDescent="0.2">
      <c r="B296" s="192" t="str">
        <f>IF(FROTA!B297="","",FROTA!B297)</f>
        <v/>
      </c>
      <c r="C296" s="192" t="str">
        <f>IF(B296="","",FROTA!Z297)</f>
        <v/>
      </c>
      <c r="D296" s="192" t="str">
        <f>IF(B296="","",VLOOKUP(B296,FROTA!$B$5:$C$310,2,0))</f>
        <v/>
      </c>
      <c r="E296" s="233" t="str">
        <f>IF(D296="","",VLOOKUP(D296,ESCALA!$B$3:$H$19,7,0))</f>
        <v/>
      </c>
      <c r="F296" s="219" t="s">
        <v>222</v>
      </c>
      <c r="G296" s="305" t="str">
        <f t="shared" si="33"/>
        <v/>
      </c>
      <c r="H296" s="314" t="str">
        <f>IF($B296="","",IF(H$4="NÃO",0,IF(VLOOKUP($B296,FROTA!$B$5:$R$305,17,0)=H$3,0.02,0)))</f>
        <v/>
      </c>
      <c r="I296" s="193" t="str">
        <f>IF($B296="","",IF(I$4="NÃO",0,IF(VLOOKUP($B296,FROTA!$B$5:$R$305,17,0)=I$3,0.02,0)))</f>
        <v/>
      </c>
      <c r="J296" s="193" t="str">
        <f>IF($B296="","",IF(J$4="NÃO",0,IF(VLOOKUP($B296,FROTA!$B$5:$R$305,17,0)=J$3,0.02,0)))</f>
        <v/>
      </c>
      <c r="K296" s="193" t="str">
        <f>IF($B296="","",IF(K$4="NÃO",0,IF(VLOOKUP($B296,FROTA!$B$5:$R$305,17,0)=K$3,0.02,0)))</f>
        <v/>
      </c>
      <c r="L296" s="193" t="str">
        <f>IF($B296="","",IF(L$4="NÃO",0,IF(VLOOKUP($B296,FROTA!$B$5:$R$305,17,0)=L$3,0.02,0)))</f>
        <v/>
      </c>
      <c r="M296" s="193" t="str">
        <f>IF($B296="","",IF(M$4="NÃO",0,IF(VLOOKUP($B296,FROTA!$B$5:$R$305,17,0)=M$3,0.02,0)))</f>
        <v/>
      </c>
      <c r="N296" s="193" t="str">
        <f>IF($B296="","",IF(M$4="NÃO",0,IF(VLOOKUP($B296,FROTA!$B$5:$R$305,17,0)=N$3,0.02,0)))</f>
        <v/>
      </c>
      <c r="O296" s="311" t="str">
        <f>IF($B296="","",IF(O$4="NÃO",0,IF(VLOOKUP($B296,FROTA!$B$5:$R$305,10,0)=O$3,0.01,0)))</f>
        <v/>
      </c>
      <c r="P296" s="307" t="str">
        <f>IF($B296="","",IF(P$4="NÃO",0,IF(VLOOKUP($B296,FROTA!$B$5:$R$305,10,0)=P$3,0.01,0)))</f>
        <v/>
      </c>
      <c r="Q296" s="307" t="str">
        <f>IF($B296="","",IF(Q$4="NÃO",0,IF(VLOOKUP($B296,FROTA!$B$5:$R$305,10,0)=Q$3,0.01,0)))</f>
        <v/>
      </c>
      <c r="R296" s="307" t="str">
        <f>IF($B296="","",IF(R$4="NÃO",0,IF(VLOOKUP($B296,FROTA!$B$5:$R$305,10,0)=R$3,0.01,0)))</f>
        <v/>
      </c>
      <c r="S296" s="307" t="str">
        <f>IF($B296="","",IF(S$4="NÃO",0,IF(VLOOKUP($B296,FROTA!$B$5:$R$305,10,0)=S$3,0.01,0)))</f>
        <v/>
      </c>
      <c r="T296" s="307" t="str">
        <f>IF($B296="","",IF(T$4="NÃO",0,IF(VLOOKUP($B296,FROTA!$B$5:$R$305,10,0)=T$3,0.01,0)))</f>
        <v/>
      </c>
      <c r="U296" s="307" t="str">
        <f>IF($B296="","",IF(U$4="NÃO",0,IF(VLOOKUP($B296,FROTA!$B$5:$R$305,10,0)=U$3,0.01,0)))</f>
        <v/>
      </c>
      <c r="V296" s="306" t="str">
        <f t="shared" si="34"/>
        <v/>
      </c>
      <c r="W296" s="238" t="str">
        <f t="shared" si="32"/>
        <v/>
      </c>
      <c r="X296" s="576" t="str">
        <f t="shared" si="35"/>
        <v/>
      </c>
      <c r="BA296" s="581">
        <v>45129</v>
      </c>
      <c r="BB296" s="582">
        <v>2023</v>
      </c>
    </row>
    <row r="297" spans="2:54" ht="15" customHeight="1" x14ac:dyDescent="0.2">
      <c r="B297" s="192" t="str">
        <f>IF(FROTA!B298="","",FROTA!B298)</f>
        <v/>
      </c>
      <c r="C297" s="192" t="str">
        <f>IF(B297="","",FROTA!Z298)</f>
        <v/>
      </c>
      <c r="D297" s="192" t="str">
        <f>IF(B297="","",VLOOKUP(B297,FROTA!$B$5:$C$310,2,0))</f>
        <v/>
      </c>
      <c r="E297" s="233" t="str">
        <f>IF(D297="","",VLOOKUP(D297,ESCALA!$B$3:$H$19,7,0))</f>
        <v/>
      </c>
      <c r="F297" s="219" t="s">
        <v>222</v>
      </c>
      <c r="G297" s="305" t="str">
        <f t="shared" si="33"/>
        <v/>
      </c>
      <c r="H297" s="314" t="str">
        <f>IF($B297="","",IF(H$4="NÃO",0,IF(VLOOKUP($B297,FROTA!$B$5:$R$305,17,0)=H$3,0.02,0)))</f>
        <v/>
      </c>
      <c r="I297" s="193" t="str">
        <f>IF($B297="","",IF(I$4="NÃO",0,IF(VLOOKUP($B297,FROTA!$B$5:$R$305,17,0)=I$3,0.02,0)))</f>
        <v/>
      </c>
      <c r="J297" s="193" t="str">
        <f>IF($B297="","",IF(J$4="NÃO",0,IF(VLOOKUP($B297,FROTA!$B$5:$R$305,17,0)=J$3,0.02,0)))</f>
        <v/>
      </c>
      <c r="K297" s="193" t="str">
        <f>IF($B297="","",IF(K$4="NÃO",0,IF(VLOOKUP($B297,FROTA!$B$5:$R$305,17,0)=K$3,0.02,0)))</f>
        <v/>
      </c>
      <c r="L297" s="193" t="str">
        <f>IF($B297="","",IF(L$4="NÃO",0,IF(VLOOKUP($B297,FROTA!$B$5:$R$305,17,0)=L$3,0.02,0)))</f>
        <v/>
      </c>
      <c r="M297" s="193" t="str">
        <f>IF($B297="","",IF(M$4="NÃO",0,IF(VLOOKUP($B297,FROTA!$B$5:$R$305,17,0)=M$3,0.02,0)))</f>
        <v/>
      </c>
      <c r="N297" s="193" t="str">
        <f>IF($B297="","",IF(M$4="NÃO",0,IF(VLOOKUP($B297,FROTA!$B$5:$R$305,17,0)=N$3,0.02,0)))</f>
        <v/>
      </c>
      <c r="O297" s="311" t="str">
        <f>IF($B297="","",IF(O$4="NÃO",0,IF(VLOOKUP($B297,FROTA!$B$5:$R$305,10,0)=O$3,0.01,0)))</f>
        <v/>
      </c>
      <c r="P297" s="307" t="str">
        <f>IF($B297="","",IF(P$4="NÃO",0,IF(VLOOKUP($B297,FROTA!$B$5:$R$305,10,0)=P$3,0.01,0)))</f>
        <v/>
      </c>
      <c r="Q297" s="307" t="str">
        <f>IF($B297="","",IF(Q$4="NÃO",0,IF(VLOOKUP($B297,FROTA!$B$5:$R$305,10,0)=Q$3,0.01,0)))</f>
        <v/>
      </c>
      <c r="R297" s="307" t="str">
        <f>IF($B297="","",IF(R$4="NÃO",0,IF(VLOOKUP($B297,FROTA!$B$5:$R$305,10,0)=R$3,0.01,0)))</f>
        <v/>
      </c>
      <c r="S297" s="307" t="str">
        <f>IF($B297="","",IF(S$4="NÃO",0,IF(VLOOKUP($B297,FROTA!$B$5:$R$305,10,0)=S$3,0.01,0)))</f>
        <v/>
      </c>
      <c r="T297" s="307" t="str">
        <f>IF($B297="","",IF(T$4="NÃO",0,IF(VLOOKUP($B297,FROTA!$B$5:$R$305,10,0)=T$3,0.01,0)))</f>
        <v/>
      </c>
      <c r="U297" s="307" t="str">
        <f>IF($B297="","",IF(U$4="NÃO",0,IF(VLOOKUP($B297,FROTA!$B$5:$R$305,10,0)=U$3,0.01,0)))</f>
        <v/>
      </c>
      <c r="V297" s="306" t="str">
        <f t="shared" si="34"/>
        <v/>
      </c>
      <c r="W297" s="238" t="str">
        <f t="shared" si="32"/>
        <v/>
      </c>
      <c r="X297" s="576" t="str">
        <f t="shared" si="35"/>
        <v/>
      </c>
      <c r="BA297" s="581">
        <v>45130</v>
      </c>
      <c r="BB297" s="582">
        <v>2023</v>
      </c>
    </row>
    <row r="298" spans="2:54" ht="15" customHeight="1" x14ac:dyDescent="0.2">
      <c r="B298" s="192" t="str">
        <f>IF(FROTA!B299="","",FROTA!B299)</f>
        <v/>
      </c>
      <c r="C298" s="192" t="str">
        <f>IF(B298="","",FROTA!Z299)</f>
        <v/>
      </c>
      <c r="D298" s="192" t="str">
        <f>IF(B298="","",VLOOKUP(B298,FROTA!$B$5:$C$310,2,0))</f>
        <v/>
      </c>
      <c r="E298" s="233" t="str">
        <f>IF(D298="","",VLOOKUP(D298,ESCALA!$B$3:$H$19,7,0))</f>
        <v/>
      </c>
      <c r="F298" s="219" t="s">
        <v>222</v>
      </c>
      <c r="G298" s="305" t="str">
        <f t="shared" si="33"/>
        <v/>
      </c>
      <c r="H298" s="314" t="str">
        <f>IF($B298="","",IF(H$4="NÃO",0,IF(VLOOKUP($B298,FROTA!$B$5:$R$305,17,0)=H$3,0.02,0)))</f>
        <v/>
      </c>
      <c r="I298" s="193" t="str">
        <f>IF($B298="","",IF(I$4="NÃO",0,IF(VLOOKUP($B298,FROTA!$B$5:$R$305,17,0)=I$3,0.02,0)))</f>
        <v/>
      </c>
      <c r="J298" s="193" t="str">
        <f>IF($B298="","",IF(J$4="NÃO",0,IF(VLOOKUP($B298,FROTA!$B$5:$R$305,17,0)=J$3,0.02,0)))</f>
        <v/>
      </c>
      <c r="K298" s="193" t="str">
        <f>IF($B298="","",IF(K$4="NÃO",0,IF(VLOOKUP($B298,FROTA!$B$5:$R$305,17,0)=K$3,0.02,0)))</f>
        <v/>
      </c>
      <c r="L298" s="193" t="str">
        <f>IF($B298="","",IF(L$4="NÃO",0,IF(VLOOKUP($B298,FROTA!$B$5:$R$305,17,0)=L$3,0.02,0)))</f>
        <v/>
      </c>
      <c r="M298" s="193" t="str">
        <f>IF($B298="","",IF(M$4="NÃO",0,IF(VLOOKUP($B298,FROTA!$B$5:$R$305,17,0)=M$3,0.02,0)))</f>
        <v/>
      </c>
      <c r="N298" s="193" t="str">
        <f>IF($B298="","",IF(M$4="NÃO",0,IF(VLOOKUP($B298,FROTA!$B$5:$R$305,17,0)=N$3,0.02,0)))</f>
        <v/>
      </c>
      <c r="O298" s="311" t="str">
        <f>IF($B298="","",IF(O$4="NÃO",0,IF(VLOOKUP($B298,FROTA!$B$5:$R$305,10,0)=O$3,0.01,0)))</f>
        <v/>
      </c>
      <c r="P298" s="307" t="str">
        <f>IF($B298="","",IF(P$4="NÃO",0,IF(VLOOKUP($B298,FROTA!$B$5:$R$305,10,0)=P$3,0.01,0)))</f>
        <v/>
      </c>
      <c r="Q298" s="307" t="str">
        <f>IF($B298="","",IF(Q$4="NÃO",0,IF(VLOOKUP($B298,FROTA!$B$5:$R$305,10,0)=Q$3,0.01,0)))</f>
        <v/>
      </c>
      <c r="R298" s="307" t="str">
        <f>IF($B298="","",IF(R$4="NÃO",0,IF(VLOOKUP($B298,FROTA!$B$5:$R$305,10,0)=R$3,0.01,0)))</f>
        <v/>
      </c>
      <c r="S298" s="307" t="str">
        <f>IF($B298="","",IF(S$4="NÃO",0,IF(VLOOKUP($B298,FROTA!$B$5:$R$305,10,0)=S$3,0.01,0)))</f>
        <v/>
      </c>
      <c r="T298" s="307" t="str">
        <f>IF($B298="","",IF(T$4="NÃO",0,IF(VLOOKUP($B298,FROTA!$B$5:$R$305,10,0)=T$3,0.01,0)))</f>
        <v/>
      </c>
      <c r="U298" s="307" t="str">
        <f>IF($B298="","",IF(U$4="NÃO",0,IF(VLOOKUP($B298,FROTA!$B$5:$R$305,10,0)=U$3,0.01,0)))</f>
        <v/>
      </c>
      <c r="V298" s="306" t="str">
        <f t="shared" si="34"/>
        <v/>
      </c>
      <c r="W298" s="238" t="str">
        <f t="shared" si="32"/>
        <v/>
      </c>
      <c r="X298" s="576" t="str">
        <f t="shared" si="35"/>
        <v/>
      </c>
      <c r="BA298" s="581">
        <v>45131</v>
      </c>
      <c r="BB298" s="582">
        <v>2023</v>
      </c>
    </row>
    <row r="299" spans="2:54" ht="15" customHeight="1" x14ac:dyDescent="0.2">
      <c r="B299" s="192" t="str">
        <f>IF(FROTA!B300="","",FROTA!B300)</f>
        <v/>
      </c>
      <c r="C299" s="192" t="str">
        <f>IF(B299="","",FROTA!Z300)</f>
        <v/>
      </c>
      <c r="D299" s="192" t="str">
        <f>IF(B299="","",VLOOKUP(B299,FROTA!$B$5:$C$310,2,0))</f>
        <v/>
      </c>
      <c r="E299" s="233" t="str">
        <f>IF(D299="","",VLOOKUP(D299,ESCALA!$B$3:$H$19,7,0))</f>
        <v/>
      </c>
      <c r="F299" s="219" t="s">
        <v>222</v>
      </c>
      <c r="G299" s="305" t="str">
        <f t="shared" si="33"/>
        <v/>
      </c>
      <c r="H299" s="314" t="str">
        <f>IF($B299="","",IF(H$4="NÃO",0,IF(VLOOKUP($B299,FROTA!$B$5:$R$305,17,0)=H$3,0.02,0)))</f>
        <v/>
      </c>
      <c r="I299" s="193" t="str">
        <f>IF($B299="","",IF(I$4="NÃO",0,IF(VLOOKUP($B299,FROTA!$B$5:$R$305,17,0)=I$3,0.02,0)))</f>
        <v/>
      </c>
      <c r="J299" s="193" t="str">
        <f>IF($B299="","",IF(J$4="NÃO",0,IF(VLOOKUP($B299,FROTA!$B$5:$R$305,17,0)=J$3,0.02,0)))</f>
        <v/>
      </c>
      <c r="K299" s="193" t="str">
        <f>IF($B299="","",IF(K$4="NÃO",0,IF(VLOOKUP($B299,FROTA!$B$5:$R$305,17,0)=K$3,0.02,0)))</f>
        <v/>
      </c>
      <c r="L299" s="193" t="str">
        <f>IF($B299="","",IF(L$4="NÃO",0,IF(VLOOKUP($B299,FROTA!$B$5:$R$305,17,0)=L$3,0.02,0)))</f>
        <v/>
      </c>
      <c r="M299" s="193" t="str">
        <f>IF($B299="","",IF(M$4="NÃO",0,IF(VLOOKUP($B299,FROTA!$B$5:$R$305,17,0)=M$3,0.02,0)))</f>
        <v/>
      </c>
      <c r="N299" s="193" t="str">
        <f>IF($B299="","",IF(M$4="NÃO",0,IF(VLOOKUP($B299,FROTA!$B$5:$R$305,17,0)=N$3,0.02,0)))</f>
        <v/>
      </c>
      <c r="O299" s="311" t="str">
        <f>IF($B299="","",IF(O$4="NÃO",0,IF(VLOOKUP($B299,FROTA!$B$5:$R$305,10,0)=O$3,0.01,0)))</f>
        <v/>
      </c>
      <c r="P299" s="307" t="str">
        <f>IF($B299="","",IF(P$4="NÃO",0,IF(VLOOKUP($B299,FROTA!$B$5:$R$305,10,0)=P$3,0.01,0)))</f>
        <v/>
      </c>
      <c r="Q299" s="307" t="str">
        <f>IF($B299="","",IF(Q$4="NÃO",0,IF(VLOOKUP($B299,FROTA!$B$5:$R$305,10,0)=Q$3,0.01,0)))</f>
        <v/>
      </c>
      <c r="R299" s="307" t="str">
        <f>IF($B299="","",IF(R$4="NÃO",0,IF(VLOOKUP($B299,FROTA!$B$5:$R$305,10,0)=R$3,0.01,0)))</f>
        <v/>
      </c>
      <c r="S299" s="307" t="str">
        <f>IF($B299="","",IF(S$4="NÃO",0,IF(VLOOKUP($B299,FROTA!$B$5:$R$305,10,0)=S$3,0.01,0)))</f>
        <v/>
      </c>
      <c r="T299" s="307" t="str">
        <f>IF($B299="","",IF(T$4="NÃO",0,IF(VLOOKUP($B299,FROTA!$B$5:$R$305,10,0)=T$3,0.01,0)))</f>
        <v/>
      </c>
      <c r="U299" s="307" t="str">
        <f>IF($B299="","",IF(U$4="NÃO",0,IF(VLOOKUP($B299,FROTA!$B$5:$R$305,10,0)=U$3,0.01,0)))</f>
        <v/>
      </c>
      <c r="V299" s="306" t="str">
        <f t="shared" si="34"/>
        <v/>
      </c>
      <c r="W299" s="238" t="str">
        <f t="shared" si="32"/>
        <v/>
      </c>
      <c r="X299" s="576" t="str">
        <f t="shared" si="35"/>
        <v/>
      </c>
      <c r="BA299" s="581">
        <v>45132</v>
      </c>
      <c r="BB299" s="582">
        <v>2023</v>
      </c>
    </row>
    <row r="300" spans="2:54" ht="15" customHeight="1" x14ac:dyDescent="0.2">
      <c r="B300" s="192" t="str">
        <f>IF(FROTA!B301="","",FROTA!B301)</f>
        <v/>
      </c>
      <c r="C300" s="192" t="str">
        <f>IF(B300="","",FROTA!Z301)</f>
        <v/>
      </c>
      <c r="D300" s="192" t="str">
        <f>IF(B300="","",VLOOKUP(B300,FROTA!$B$5:$C$310,2,0))</f>
        <v/>
      </c>
      <c r="E300" s="233" t="str">
        <f>IF(D300="","",VLOOKUP(D300,ESCALA!$B$3:$H$19,7,0))</f>
        <v/>
      </c>
      <c r="F300" s="219" t="s">
        <v>222</v>
      </c>
      <c r="G300" s="305" t="str">
        <f t="shared" si="33"/>
        <v/>
      </c>
      <c r="H300" s="314" t="str">
        <f>IF($B300="","",IF(H$4="NÃO",0,IF(VLOOKUP($B300,FROTA!$B$5:$R$305,17,0)=H$3,0.02,0)))</f>
        <v/>
      </c>
      <c r="I300" s="193" t="str">
        <f>IF($B300="","",IF(I$4="NÃO",0,IF(VLOOKUP($B300,FROTA!$B$5:$R$305,17,0)=I$3,0.02,0)))</f>
        <v/>
      </c>
      <c r="J300" s="193" t="str">
        <f>IF($B300="","",IF(J$4="NÃO",0,IF(VLOOKUP($B300,FROTA!$B$5:$R$305,17,0)=J$3,0.02,0)))</f>
        <v/>
      </c>
      <c r="K300" s="193" t="str">
        <f>IF($B300="","",IF(K$4="NÃO",0,IF(VLOOKUP($B300,FROTA!$B$5:$R$305,17,0)=K$3,0.02,0)))</f>
        <v/>
      </c>
      <c r="L300" s="193" t="str">
        <f>IF($B300="","",IF(L$4="NÃO",0,IF(VLOOKUP($B300,FROTA!$B$5:$R$305,17,0)=L$3,0.02,0)))</f>
        <v/>
      </c>
      <c r="M300" s="193" t="str">
        <f>IF($B300="","",IF(M$4="NÃO",0,IF(VLOOKUP($B300,FROTA!$B$5:$R$305,17,0)=M$3,0.02,0)))</f>
        <v/>
      </c>
      <c r="N300" s="193" t="str">
        <f>IF($B300="","",IF(M$4="NÃO",0,IF(VLOOKUP($B300,FROTA!$B$5:$R$305,17,0)=N$3,0.02,0)))</f>
        <v/>
      </c>
      <c r="O300" s="311" t="str">
        <f>IF($B300="","",IF(O$4="NÃO",0,IF(VLOOKUP($B300,FROTA!$B$5:$R$305,10,0)=O$3,0.01,0)))</f>
        <v/>
      </c>
      <c r="P300" s="307" t="str">
        <f>IF($B300="","",IF(P$4="NÃO",0,IF(VLOOKUP($B300,FROTA!$B$5:$R$305,10,0)=P$3,0.01,0)))</f>
        <v/>
      </c>
      <c r="Q300" s="307" t="str">
        <f>IF($B300="","",IF(Q$4="NÃO",0,IF(VLOOKUP($B300,FROTA!$B$5:$R$305,10,0)=Q$3,0.01,0)))</f>
        <v/>
      </c>
      <c r="R300" s="307" t="str">
        <f>IF($B300="","",IF(R$4="NÃO",0,IF(VLOOKUP($B300,FROTA!$B$5:$R$305,10,0)=R$3,0.01,0)))</f>
        <v/>
      </c>
      <c r="S300" s="307" t="str">
        <f>IF($B300="","",IF(S$4="NÃO",0,IF(VLOOKUP($B300,FROTA!$B$5:$R$305,10,0)=S$3,0.01,0)))</f>
        <v/>
      </c>
      <c r="T300" s="307" t="str">
        <f>IF($B300="","",IF(T$4="NÃO",0,IF(VLOOKUP($B300,FROTA!$B$5:$R$305,10,0)=T$3,0.01,0)))</f>
        <v/>
      </c>
      <c r="U300" s="307" t="str">
        <f>IF($B300="","",IF(U$4="NÃO",0,IF(VLOOKUP($B300,FROTA!$B$5:$R$305,10,0)=U$3,0.01,0)))</f>
        <v/>
      </c>
      <c r="V300" s="306" t="str">
        <f t="shared" si="34"/>
        <v/>
      </c>
      <c r="W300" s="238" t="str">
        <f t="shared" si="32"/>
        <v/>
      </c>
      <c r="X300" s="576" t="str">
        <f t="shared" si="35"/>
        <v/>
      </c>
      <c r="BA300" s="581">
        <v>45133</v>
      </c>
      <c r="BB300" s="582">
        <v>2023</v>
      </c>
    </row>
    <row r="301" spans="2:54" ht="15" customHeight="1" x14ac:dyDescent="0.2">
      <c r="B301" s="192" t="str">
        <f>IF(FROTA!B302="","",FROTA!B302)</f>
        <v/>
      </c>
      <c r="C301" s="192" t="str">
        <f>IF(B301="","",FROTA!Z302)</f>
        <v/>
      </c>
      <c r="D301" s="192" t="str">
        <f>IF(B301="","",VLOOKUP(B301,FROTA!$B$5:$C$310,2,0))</f>
        <v/>
      </c>
      <c r="E301" s="233" t="str">
        <f>IF(D301="","",VLOOKUP(D301,ESCALA!$B$3:$H$19,7,0))</f>
        <v/>
      </c>
      <c r="F301" s="219" t="s">
        <v>222</v>
      </c>
      <c r="G301" s="305" t="str">
        <f t="shared" si="33"/>
        <v/>
      </c>
      <c r="H301" s="314" t="str">
        <f>IF($B301="","",IF(H$4="NÃO",0,IF(VLOOKUP($B301,FROTA!$B$5:$R$305,17,0)=H$3,0.02,0)))</f>
        <v/>
      </c>
      <c r="I301" s="193" t="str">
        <f>IF($B301="","",IF(I$4="NÃO",0,IF(VLOOKUP($B301,FROTA!$B$5:$R$305,17,0)=I$3,0.02,0)))</f>
        <v/>
      </c>
      <c r="J301" s="193" t="str">
        <f>IF($B301="","",IF(J$4="NÃO",0,IF(VLOOKUP($B301,FROTA!$B$5:$R$305,17,0)=J$3,0.02,0)))</f>
        <v/>
      </c>
      <c r="K301" s="193" t="str">
        <f>IF($B301="","",IF(K$4="NÃO",0,IF(VLOOKUP($B301,FROTA!$B$5:$R$305,17,0)=K$3,0.02,0)))</f>
        <v/>
      </c>
      <c r="L301" s="193" t="str">
        <f>IF($B301="","",IF(L$4="NÃO",0,IF(VLOOKUP($B301,FROTA!$B$5:$R$305,17,0)=L$3,0.02,0)))</f>
        <v/>
      </c>
      <c r="M301" s="193" t="str">
        <f>IF($B301="","",IF(M$4="NÃO",0,IF(VLOOKUP($B301,FROTA!$B$5:$R$305,17,0)=M$3,0.02,0)))</f>
        <v/>
      </c>
      <c r="N301" s="193" t="str">
        <f>IF($B301="","",IF(M$4="NÃO",0,IF(VLOOKUP($B301,FROTA!$B$5:$R$305,17,0)=N$3,0.02,0)))</f>
        <v/>
      </c>
      <c r="O301" s="311" t="str">
        <f>IF($B301="","",IF(O$4="NÃO",0,IF(VLOOKUP($B301,FROTA!$B$5:$R$305,10,0)=O$3,0.01,0)))</f>
        <v/>
      </c>
      <c r="P301" s="307" t="str">
        <f>IF($B301="","",IF(P$4="NÃO",0,IF(VLOOKUP($B301,FROTA!$B$5:$R$305,10,0)=P$3,0.01,0)))</f>
        <v/>
      </c>
      <c r="Q301" s="307" t="str">
        <f>IF($B301="","",IF(Q$4="NÃO",0,IF(VLOOKUP($B301,FROTA!$B$5:$R$305,10,0)=Q$3,0.01,0)))</f>
        <v/>
      </c>
      <c r="R301" s="307" t="str">
        <f>IF($B301="","",IF(R$4="NÃO",0,IF(VLOOKUP($B301,FROTA!$B$5:$R$305,10,0)=R$3,0.01,0)))</f>
        <v/>
      </c>
      <c r="S301" s="307" t="str">
        <f>IF($B301="","",IF(S$4="NÃO",0,IF(VLOOKUP($B301,FROTA!$B$5:$R$305,10,0)=S$3,0.01,0)))</f>
        <v/>
      </c>
      <c r="T301" s="307" t="str">
        <f>IF($B301="","",IF(T$4="NÃO",0,IF(VLOOKUP($B301,FROTA!$B$5:$R$305,10,0)=T$3,0.01,0)))</f>
        <v/>
      </c>
      <c r="U301" s="307" t="str">
        <f>IF($B301="","",IF(U$4="NÃO",0,IF(VLOOKUP($B301,FROTA!$B$5:$R$305,10,0)=U$3,0.01,0)))</f>
        <v/>
      </c>
      <c r="V301" s="306" t="str">
        <f t="shared" si="34"/>
        <v/>
      </c>
      <c r="W301" s="238" t="str">
        <f t="shared" si="32"/>
        <v/>
      </c>
      <c r="X301" s="576" t="str">
        <f t="shared" si="35"/>
        <v/>
      </c>
      <c r="BA301" s="581">
        <v>45134</v>
      </c>
      <c r="BB301" s="582">
        <v>2023</v>
      </c>
    </row>
    <row r="302" spans="2:54" ht="15" customHeight="1" x14ac:dyDescent="0.2">
      <c r="B302" s="192" t="str">
        <f>IF(FROTA!B303="","",FROTA!B303)</f>
        <v/>
      </c>
      <c r="C302" s="192" t="str">
        <f>IF(B302="","",FROTA!Z303)</f>
        <v/>
      </c>
      <c r="D302" s="192" t="str">
        <f>IF(B302="","",VLOOKUP(B302,FROTA!$B$5:$C$310,2,0))</f>
        <v/>
      </c>
      <c r="E302" s="233" t="str">
        <f>IF(D302="","",VLOOKUP(D302,ESCALA!$B$3:$H$19,7,0))</f>
        <v/>
      </c>
      <c r="F302" s="219" t="s">
        <v>222</v>
      </c>
      <c r="G302" s="305" t="str">
        <f t="shared" si="33"/>
        <v/>
      </c>
      <c r="H302" s="314" t="str">
        <f>IF($B302="","",IF(H$4="NÃO",0,IF(VLOOKUP($B302,FROTA!$B$5:$R$305,17,0)=H$3,0.02,0)))</f>
        <v/>
      </c>
      <c r="I302" s="193" t="str">
        <f>IF($B302="","",IF(I$4="NÃO",0,IF(VLOOKUP($B302,FROTA!$B$5:$R$305,17,0)=I$3,0.02,0)))</f>
        <v/>
      </c>
      <c r="J302" s="193" t="str">
        <f>IF($B302="","",IF(J$4="NÃO",0,IF(VLOOKUP($B302,FROTA!$B$5:$R$305,17,0)=J$3,0.02,0)))</f>
        <v/>
      </c>
      <c r="K302" s="193" t="str">
        <f>IF($B302="","",IF(K$4="NÃO",0,IF(VLOOKUP($B302,FROTA!$B$5:$R$305,17,0)=K$3,0.02,0)))</f>
        <v/>
      </c>
      <c r="L302" s="193" t="str">
        <f>IF($B302="","",IF(L$4="NÃO",0,IF(VLOOKUP($B302,FROTA!$B$5:$R$305,17,0)=L$3,0.02,0)))</f>
        <v/>
      </c>
      <c r="M302" s="193" t="str">
        <f>IF($B302="","",IF(M$4="NÃO",0,IF(VLOOKUP($B302,FROTA!$B$5:$R$305,17,0)=M$3,0.02,0)))</f>
        <v/>
      </c>
      <c r="N302" s="193" t="str">
        <f>IF($B302="","",IF(M$4="NÃO",0,IF(VLOOKUP($B302,FROTA!$B$5:$R$305,17,0)=N$3,0.02,0)))</f>
        <v/>
      </c>
      <c r="O302" s="311" t="str">
        <f>IF($B302="","",IF(O$4="NÃO",0,IF(VLOOKUP($B302,FROTA!$B$5:$R$305,10,0)=O$3,0.01,0)))</f>
        <v/>
      </c>
      <c r="P302" s="307" t="str">
        <f>IF($B302="","",IF(P$4="NÃO",0,IF(VLOOKUP($B302,FROTA!$B$5:$R$305,10,0)=P$3,0.01,0)))</f>
        <v/>
      </c>
      <c r="Q302" s="307" t="str">
        <f>IF($B302="","",IF(Q$4="NÃO",0,IF(VLOOKUP($B302,FROTA!$B$5:$R$305,10,0)=Q$3,0.01,0)))</f>
        <v/>
      </c>
      <c r="R302" s="307" t="str">
        <f>IF($B302="","",IF(R$4="NÃO",0,IF(VLOOKUP($B302,FROTA!$B$5:$R$305,10,0)=R$3,0.01,0)))</f>
        <v/>
      </c>
      <c r="S302" s="307" t="str">
        <f>IF($B302="","",IF(S$4="NÃO",0,IF(VLOOKUP($B302,FROTA!$B$5:$R$305,10,0)=S$3,0.01,0)))</f>
        <v/>
      </c>
      <c r="T302" s="307" t="str">
        <f>IF($B302="","",IF(T$4="NÃO",0,IF(VLOOKUP($B302,FROTA!$B$5:$R$305,10,0)=T$3,0.01,0)))</f>
        <v/>
      </c>
      <c r="U302" s="307" t="str">
        <f>IF($B302="","",IF(U$4="NÃO",0,IF(VLOOKUP($B302,FROTA!$B$5:$R$305,10,0)=U$3,0.01,0)))</f>
        <v/>
      </c>
      <c r="V302" s="306" t="str">
        <f t="shared" si="34"/>
        <v/>
      </c>
      <c r="W302" s="238" t="str">
        <f t="shared" si="32"/>
        <v/>
      </c>
      <c r="X302" s="576" t="str">
        <f t="shared" si="35"/>
        <v/>
      </c>
      <c r="BA302" s="581">
        <v>45135</v>
      </c>
      <c r="BB302" s="582">
        <v>2023</v>
      </c>
    </row>
    <row r="303" spans="2:54" ht="15" customHeight="1" x14ac:dyDescent="0.2">
      <c r="B303" s="192" t="str">
        <f>IF(FROTA!B304="","",FROTA!B304)</f>
        <v/>
      </c>
      <c r="C303" s="192" t="str">
        <f>IF(B303="","",FROTA!Z304)</f>
        <v/>
      </c>
      <c r="D303" s="192" t="str">
        <f>IF(B303="","",VLOOKUP(B303,FROTA!$B$5:$C$310,2,0))</f>
        <v/>
      </c>
      <c r="E303" s="233" t="str">
        <f>IF(D303="","",VLOOKUP(D303,ESCALA!$B$3:$H$19,7,0))</f>
        <v/>
      </c>
      <c r="F303" s="219" t="s">
        <v>222</v>
      </c>
      <c r="G303" s="305" t="str">
        <f t="shared" si="33"/>
        <v/>
      </c>
      <c r="H303" s="314" t="str">
        <f>IF($B303="","",IF(H$4="NÃO",0,IF(VLOOKUP($B303,FROTA!$B$5:$R$305,17,0)=H$3,0.02,0)))</f>
        <v/>
      </c>
      <c r="I303" s="193" t="str">
        <f>IF($B303="","",IF(I$4="NÃO",0,IF(VLOOKUP($B303,FROTA!$B$5:$R$305,17,0)=I$3,0.02,0)))</f>
        <v/>
      </c>
      <c r="J303" s="193" t="str">
        <f>IF($B303="","",IF(J$4="NÃO",0,IF(VLOOKUP($B303,FROTA!$B$5:$R$305,17,0)=J$3,0.02,0)))</f>
        <v/>
      </c>
      <c r="K303" s="193" t="str">
        <f>IF($B303="","",IF(K$4="NÃO",0,IF(VLOOKUP($B303,FROTA!$B$5:$R$305,17,0)=K$3,0.02,0)))</f>
        <v/>
      </c>
      <c r="L303" s="193" t="str">
        <f>IF($B303="","",IF(L$4="NÃO",0,IF(VLOOKUP($B303,FROTA!$B$5:$R$305,17,0)=L$3,0.02,0)))</f>
        <v/>
      </c>
      <c r="M303" s="193" t="str">
        <f>IF($B303="","",IF(M$4="NÃO",0,IF(VLOOKUP($B303,FROTA!$B$5:$R$305,17,0)=M$3,0.02,0)))</f>
        <v/>
      </c>
      <c r="N303" s="193" t="str">
        <f>IF($B303="","",IF(M$4="NÃO",0,IF(VLOOKUP($B303,FROTA!$B$5:$R$305,17,0)=N$3,0.02,0)))</f>
        <v/>
      </c>
      <c r="O303" s="311" t="str">
        <f>IF($B303="","",IF(O$4="NÃO",0,IF(VLOOKUP($B303,FROTA!$B$5:$R$305,10,0)=O$3,0.01,0)))</f>
        <v/>
      </c>
      <c r="P303" s="307" t="str">
        <f>IF($B303="","",IF(P$4="NÃO",0,IF(VLOOKUP($B303,FROTA!$B$5:$R$305,10,0)=P$3,0.01,0)))</f>
        <v/>
      </c>
      <c r="Q303" s="307" t="str">
        <f>IF($B303="","",IF(Q$4="NÃO",0,IF(VLOOKUP($B303,FROTA!$B$5:$R$305,10,0)=Q$3,0.01,0)))</f>
        <v/>
      </c>
      <c r="R303" s="307" t="str">
        <f>IF($B303="","",IF(R$4="NÃO",0,IF(VLOOKUP($B303,FROTA!$B$5:$R$305,10,0)=R$3,0.01,0)))</f>
        <v/>
      </c>
      <c r="S303" s="307" t="str">
        <f>IF($B303="","",IF(S$4="NÃO",0,IF(VLOOKUP($B303,FROTA!$B$5:$R$305,10,0)=S$3,0.01,0)))</f>
        <v/>
      </c>
      <c r="T303" s="307" t="str">
        <f>IF($B303="","",IF(T$4="NÃO",0,IF(VLOOKUP($B303,FROTA!$B$5:$R$305,10,0)=T$3,0.01,0)))</f>
        <v/>
      </c>
      <c r="U303" s="307" t="str">
        <f>IF($B303="","",IF(U$4="NÃO",0,IF(VLOOKUP($B303,FROTA!$B$5:$R$305,10,0)=U$3,0.01,0)))</f>
        <v/>
      </c>
      <c r="V303" s="306" t="str">
        <f t="shared" si="34"/>
        <v/>
      </c>
      <c r="W303" s="238" t="str">
        <f t="shared" si="32"/>
        <v/>
      </c>
      <c r="X303" s="576" t="str">
        <f t="shared" si="35"/>
        <v/>
      </c>
      <c r="BA303" s="581">
        <v>45136</v>
      </c>
      <c r="BB303" s="582">
        <v>2023</v>
      </c>
    </row>
    <row r="304" spans="2:54" ht="15" customHeight="1" x14ac:dyDescent="0.2">
      <c r="B304" s="192" t="str">
        <f>IF(FROTA!B305="","",FROTA!B305)</f>
        <v/>
      </c>
      <c r="C304" s="192" t="str">
        <f>IF(B304="","",FROTA!Z305)</f>
        <v/>
      </c>
      <c r="D304" s="192" t="str">
        <f>IF(B304="","",VLOOKUP(B304,FROTA!$B$5:$C$310,2,0))</f>
        <v/>
      </c>
      <c r="E304" s="233" t="str">
        <f>IF(D304="","",VLOOKUP(D304,ESCALA!$B$3:$H$19,7,0))</f>
        <v/>
      </c>
      <c r="F304" s="219" t="s">
        <v>222</v>
      </c>
      <c r="G304" s="305" t="str">
        <f t="shared" si="33"/>
        <v/>
      </c>
      <c r="H304" s="314" t="str">
        <f>IF($B304="","",IF(H$4="NÃO",0,IF(VLOOKUP($B304,FROTA!$B$5:$R$305,17,0)=H$3,0.02,0)))</f>
        <v/>
      </c>
      <c r="I304" s="193" t="str">
        <f>IF($B304="","",IF(I$4="NÃO",0,IF(VLOOKUP($B304,FROTA!$B$5:$R$305,17,0)=I$3,0.02,0)))</f>
        <v/>
      </c>
      <c r="J304" s="193" t="str">
        <f>IF($B304="","",IF(J$4="NÃO",0,IF(VLOOKUP($B304,FROTA!$B$5:$R$305,17,0)=J$3,0.02,0)))</f>
        <v/>
      </c>
      <c r="K304" s="193" t="str">
        <f>IF($B304="","",IF(K$4="NÃO",0,IF(VLOOKUP($B304,FROTA!$B$5:$R$305,17,0)=K$3,0.02,0)))</f>
        <v/>
      </c>
      <c r="L304" s="193" t="str">
        <f>IF($B304="","",IF(L$4="NÃO",0,IF(VLOOKUP($B304,FROTA!$B$5:$R$305,17,0)=L$3,0.02,0)))</f>
        <v/>
      </c>
      <c r="M304" s="193" t="str">
        <f>IF($B304="","",IF(M$4="NÃO",0,IF(VLOOKUP($B304,FROTA!$B$5:$R$305,17,0)=M$3,0.02,0)))</f>
        <v/>
      </c>
      <c r="N304" s="193" t="str">
        <f>IF($B304="","",IF(M$4="NÃO",0,IF(VLOOKUP($B304,FROTA!$B$5:$R$305,17,0)=N$3,0.02,0)))</f>
        <v/>
      </c>
      <c r="O304" s="311" t="str">
        <f>IF($B304="","",IF(O$4="NÃO",0,IF(VLOOKUP($B304,FROTA!$B$5:$R$305,10,0)=O$3,0.01,0)))</f>
        <v/>
      </c>
      <c r="P304" s="307" t="str">
        <f>IF($B304="","",IF(P$4="NÃO",0,IF(VLOOKUP($B304,FROTA!$B$5:$R$305,10,0)=P$3,0.01,0)))</f>
        <v/>
      </c>
      <c r="Q304" s="307" t="str">
        <f>IF($B304="","",IF(Q$4="NÃO",0,IF(VLOOKUP($B304,FROTA!$B$5:$R$305,10,0)=Q$3,0.01,0)))</f>
        <v/>
      </c>
      <c r="R304" s="307" t="str">
        <f>IF($B304="","",IF(R$4="NÃO",0,IF(VLOOKUP($B304,FROTA!$B$5:$R$305,10,0)=R$3,0.01,0)))</f>
        <v/>
      </c>
      <c r="S304" s="307" t="str">
        <f>IF($B304="","",IF(S$4="NÃO",0,IF(VLOOKUP($B304,FROTA!$B$5:$R$305,10,0)=S$3,0.01,0)))</f>
        <v/>
      </c>
      <c r="T304" s="307" t="str">
        <f>IF($B304="","",IF(T$4="NÃO",0,IF(VLOOKUP($B304,FROTA!$B$5:$R$305,10,0)=T$3,0.01,0)))</f>
        <v/>
      </c>
      <c r="U304" s="307" t="str">
        <f>IF($B304="","",IF(U$4="NÃO",0,IF(VLOOKUP($B304,FROTA!$B$5:$R$305,10,0)=U$3,0.01,0)))</f>
        <v/>
      </c>
      <c r="V304" s="306" t="str">
        <f t="shared" si="34"/>
        <v/>
      </c>
      <c r="W304" s="238" t="str">
        <f t="shared" si="32"/>
        <v/>
      </c>
      <c r="X304" s="576" t="str">
        <f t="shared" si="35"/>
        <v/>
      </c>
      <c r="BA304" s="581">
        <v>45137</v>
      </c>
      <c r="BB304" s="582">
        <v>2023</v>
      </c>
    </row>
    <row r="305" spans="53:54" x14ac:dyDescent="0.2">
      <c r="BA305" s="581">
        <v>45138</v>
      </c>
      <c r="BB305" s="582">
        <v>2023</v>
      </c>
    </row>
    <row r="306" spans="53:54" x14ac:dyDescent="0.2">
      <c r="BA306" s="581">
        <v>45139</v>
      </c>
      <c r="BB306" s="582">
        <v>2023</v>
      </c>
    </row>
    <row r="307" spans="53:54" x14ac:dyDescent="0.2">
      <c r="BA307" s="581">
        <v>45140</v>
      </c>
      <c r="BB307" s="582">
        <v>2023</v>
      </c>
    </row>
    <row r="308" spans="53:54" x14ac:dyDescent="0.2">
      <c r="BA308" s="581">
        <v>45141</v>
      </c>
      <c r="BB308" s="582">
        <v>2023</v>
      </c>
    </row>
    <row r="309" spans="53:54" x14ac:dyDescent="0.2">
      <c r="BA309" s="581">
        <v>45142</v>
      </c>
      <c r="BB309" s="582">
        <v>2023</v>
      </c>
    </row>
    <row r="310" spans="53:54" x14ac:dyDescent="0.2">
      <c r="BA310" s="581">
        <v>45143</v>
      </c>
      <c r="BB310" s="582">
        <v>2023</v>
      </c>
    </row>
    <row r="311" spans="53:54" x14ac:dyDescent="0.2">
      <c r="BA311" s="581">
        <v>45144</v>
      </c>
      <c r="BB311" s="582">
        <v>2023</v>
      </c>
    </row>
    <row r="312" spans="53:54" x14ac:dyDescent="0.2">
      <c r="BA312" s="581">
        <v>45145</v>
      </c>
      <c r="BB312" s="582">
        <v>2023</v>
      </c>
    </row>
    <row r="313" spans="53:54" x14ac:dyDescent="0.2">
      <c r="BA313" s="581">
        <v>45146</v>
      </c>
      <c r="BB313" s="582">
        <v>2023</v>
      </c>
    </row>
    <row r="314" spans="53:54" x14ac:dyDescent="0.2">
      <c r="BA314" s="581">
        <v>45147</v>
      </c>
      <c r="BB314" s="582">
        <v>2023</v>
      </c>
    </row>
    <row r="315" spans="53:54" x14ac:dyDescent="0.2">
      <c r="BA315" s="581">
        <v>45148</v>
      </c>
      <c r="BB315" s="582">
        <v>2023</v>
      </c>
    </row>
    <row r="316" spans="53:54" x14ac:dyDescent="0.2">
      <c r="BA316" s="581">
        <v>45149</v>
      </c>
      <c r="BB316" s="582">
        <v>2023</v>
      </c>
    </row>
    <row r="317" spans="53:54" x14ac:dyDescent="0.2">
      <c r="BA317" s="581">
        <v>45150</v>
      </c>
      <c r="BB317" s="582">
        <v>2023</v>
      </c>
    </row>
    <row r="318" spans="53:54" x14ac:dyDescent="0.2">
      <c r="BA318" s="581">
        <v>45151</v>
      </c>
      <c r="BB318" s="582">
        <v>2023</v>
      </c>
    </row>
    <row r="319" spans="53:54" x14ac:dyDescent="0.2">
      <c r="BA319" s="581">
        <v>45152</v>
      </c>
      <c r="BB319" s="582">
        <v>2023</v>
      </c>
    </row>
    <row r="320" spans="53:54" x14ac:dyDescent="0.2">
      <c r="BA320" s="581">
        <v>45153</v>
      </c>
      <c r="BB320" s="582">
        <v>2023</v>
      </c>
    </row>
    <row r="321" spans="53:54" x14ac:dyDescent="0.2">
      <c r="BA321" s="581">
        <v>45154</v>
      </c>
      <c r="BB321" s="582">
        <v>2023</v>
      </c>
    </row>
    <row r="322" spans="53:54" x14ac:dyDescent="0.2">
      <c r="BA322" s="581">
        <v>45155</v>
      </c>
      <c r="BB322" s="582">
        <v>2023</v>
      </c>
    </row>
    <row r="323" spans="53:54" x14ac:dyDescent="0.2">
      <c r="BA323" s="581">
        <v>45156</v>
      </c>
      <c r="BB323" s="582">
        <v>2023</v>
      </c>
    </row>
    <row r="324" spans="53:54" x14ac:dyDescent="0.2">
      <c r="BA324" s="581">
        <v>45157</v>
      </c>
      <c r="BB324" s="582">
        <v>2023</v>
      </c>
    </row>
    <row r="325" spans="53:54" x14ac:dyDescent="0.2">
      <c r="BA325" s="581">
        <v>45158</v>
      </c>
      <c r="BB325" s="582">
        <v>2023</v>
      </c>
    </row>
    <row r="326" spans="53:54" x14ac:dyDescent="0.2">
      <c r="BA326" s="581">
        <v>45159</v>
      </c>
      <c r="BB326" s="582">
        <v>2023</v>
      </c>
    </row>
    <row r="327" spans="53:54" x14ac:dyDescent="0.2">
      <c r="BA327" s="581">
        <v>45160</v>
      </c>
      <c r="BB327" s="582">
        <v>2023</v>
      </c>
    </row>
    <row r="328" spans="53:54" x14ac:dyDescent="0.2">
      <c r="BA328" s="581">
        <v>45161</v>
      </c>
      <c r="BB328" s="582">
        <v>2023</v>
      </c>
    </row>
    <row r="329" spans="53:54" x14ac:dyDescent="0.2">
      <c r="BA329" s="581">
        <v>45162</v>
      </c>
      <c r="BB329" s="582">
        <v>2023</v>
      </c>
    </row>
    <row r="330" spans="53:54" x14ac:dyDescent="0.2">
      <c r="BA330" s="581">
        <v>45163</v>
      </c>
      <c r="BB330" s="582">
        <v>2023</v>
      </c>
    </row>
    <row r="331" spans="53:54" x14ac:dyDescent="0.2">
      <c r="BA331" s="581">
        <v>45164</v>
      </c>
      <c r="BB331" s="582">
        <v>2023</v>
      </c>
    </row>
    <row r="332" spans="53:54" x14ac:dyDescent="0.2">
      <c r="BA332" s="581">
        <v>45165</v>
      </c>
      <c r="BB332" s="582">
        <v>2023</v>
      </c>
    </row>
    <row r="333" spans="53:54" x14ac:dyDescent="0.2">
      <c r="BA333" s="581">
        <v>45166</v>
      </c>
      <c r="BB333" s="582">
        <v>2023</v>
      </c>
    </row>
    <row r="334" spans="53:54" x14ac:dyDescent="0.2">
      <c r="BA334" s="581">
        <v>45167</v>
      </c>
      <c r="BB334" s="582">
        <v>2023</v>
      </c>
    </row>
    <row r="335" spans="53:54" x14ac:dyDescent="0.2">
      <c r="BA335" s="581">
        <v>45168</v>
      </c>
      <c r="BB335" s="582">
        <v>2023</v>
      </c>
    </row>
    <row r="336" spans="53:54" x14ac:dyDescent="0.2">
      <c r="BA336" s="581">
        <v>45169</v>
      </c>
      <c r="BB336" s="582">
        <v>2023</v>
      </c>
    </row>
    <row r="337" spans="53:54" x14ac:dyDescent="0.2">
      <c r="BA337" s="581">
        <v>45170</v>
      </c>
      <c r="BB337" s="582">
        <v>2023</v>
      </c>
    </row>
    <row r="338" spans="53:54" x14ac:dyDescent="0.2">
      <c r="BA338" s="581">
        <v>45171</v>
      </c>
      <c r="BB338" s="582">
        <v>2023</v>
      </c>
    </row>
    <row r="339" spans="53:54" x14ac:dyDescent="0.2">
      <c r="BA339" s="581">
        <v>45172</v>
      </c>
      <c r="BB339" s="582">
        <v>2023</v>
      </c>
    </row>
    <row r="340" spans="53:54" x14ac:dyDescent="0.2">
      <c r="BA340" s="581">
        <v>45173</v>
      </c>
      <c r="BB340" s="582">
        <v>2023</v>
      </c>
    </row>
    <row r="341" spans="53:54" x14ac:dyDescent="0.2">
      <c r="BA341" s="581">
        <v>45174</v>
      </c>
      <c r="BB341" s="582">
        <v>2023</v>
      </c>
    </row>
    <row r="342" spans="53:54" x14ac:dyDescent="0.2">
      <c r="BA342" s="581">
        <v>45175</v>
      </c>
      <c r="BB342" s="582">
        <v>2023</v>
      </c>
    </row>
    <row r="343" spans="53:54" x14ac:dyDescent="0.2">
      <c r="BA343" s="581">
        <v>45176</v>
      </c>
      <c r="BB343" s="582">
        <v>2023</v>
      </c>
    </row>
    <row r="344" spans="53:54" x14ac:dyDescent="0.2">
      <c r="BA344" s="581">
        <v>45177</v>
      </c>
      <c r="BB344" s="582">
        <v>2023</v>
      </c>
    </row>
    <row r="345" spans="53:54" x14ac:dyDescent="0.2">
      <c r="BA345" s="581">
        <v>45178</v>
      </c>
      <c r="BB345" s="582">
        <v>2023</v>
      </c>
    </row>
    <row r="346" spans="53:54" x14ac:dyDescent="0.2">
      <c r="BA346" s="581">
        <v>45179</v>
      </c>
      <c r="BB346" s="582">
        <v>2023</v>
      </c>
    </row>
    <row r="347" spans="53:54" x14ac:dyDescent="0.2">
      <c r="BA347" s="581">
        <v>45180</v>
      </c>
      <c r="BB347" s="582">
        <v>2023</v>
      </c>
    </row>
    <row r="348" spans="53:54" x14ac:dyDescent="0.2">
      <c r="BA348" s="581">
        <v>45181</v>
      </c>
      <c r="BB348" s="582">
        <v>2023</v>
      </c>
    </row>
    <row r="349" spans="53:54" x14ac:dyDescent="0.2">
      <c r="BA349" s="581">
        <v>45182</v>
      </c>
      <c r="BB349" s="582">
        <v>2023</v>
      </c>
    </row>
    <row r="350" spans="53:54" x14ac:dyDescent="0.2">
      <c r="BA350" s="581">
        <v>45183</v>
      </c>
      <c r="BB350" s="582">
        <v>2023</v>
      </c>
    </row>
    <row r="351" spans="53:54" x14ac:dyDescent="0.2">
      <c r="BA351" s="581">
        <v>45184</v>
      </c>
      <c r="BB351" s="582">
        <v>2023</v>
      </c>
    </row>
    <row r="352" spans="53:54" x14ac:dyDescent="0.2">
      <c r="BA352" s="581">
        <v>45185</v>
      </c>
      <c r="BB352" s="582">
        <v>2023</v>
      </c>
    </row>
    <row r="353" spans="53:54" x14ac:dyDescent="0.2">
      <c r="BA353" s="581">
        <v>45186</v>
      </c>
      <c r="BB353" s="582">
        <v>2023</v>
      </c>
    </row>
    <row r="354" spans="53:54" x14ac:dyDescent="0.2">
      <c r="BA354" s="581">
        <v>45187</v>
      </c>
      <c r="BB354" s="582">
        <v>2023</v>
      </c>
    </row>
    <row r="355" spans="53:54" x14ac:dyDescent="0.2">
      <c r="BA355" s="581">
        <v>45188</v>
      </c>
      <c r="BB355" s="582">
        <v>2023</v>
      </c>
    </row>
    <row r="356" spans="53:54" x14ac:dyDescent="0.2">
      <c r="BA356" s="581">
        <v>45189</v>
      </c>
      <c r="BB356" s="582">
        <v>2023</v>
      </c>
    </row>
    <row r="357" spans="53:54" x14ac:dyDescent="0.2">
      <c r="BA357" s="581">
        <v>45190</v>
      </c>
      <c r="BB357" s="582">
        <v>2023</v>
      </c>
    </row>
    <row r="358" spans="53:54" x14ac:dyDescent="0.2">
      <c r="BA358" s="581">
        <v>45191</v>
      </c>
      <c r="BB358" s="582">
        <v>2023</v>
      </c>
    </row>
    <row r="359" spans="53:54" x14ac:dyDescent="0.2">
      <c r="BA359" s="581">
        <v>45192</v>
      </c>
      <c r="BB359" s="582">
        <v>2023</v>
      </c>
    </row>
    <row r="360" spans="53:54" x14ac:dyDescent="0.2">
      <c r="BA360" s="581">
        <v>45193</v>
      </c>
      <c r="BB360" s="582">
        <v>2023</v>
      </c>
    </row>
    <row r="361" spans="53:54" x14ac:dyDescent="0.2">
      <c r="BA361" s="581">
        <v>45194</v>
      </c>
      <c r="BB361" s="582">
        <v>2023</v>
      </c>
    </row>
    <row r="362" spans="53:54" x14ac:dyDescent="0.2">
      <c r="BA362" s="581">
        <v>45195</v>
      </c>
      <c r="BB362" s="582">
        <v>2023</v>
      </c>
    </row>
    <row r="363" spans="53:54" x14ac:dyDescent="0.2">
      <c r="BA363" s="581">
        <v>45196</v>
      </c>
      <c r="BB363" s="582">
        <v>2023</v>
      </c>
    </row>
    <row r="364" spans="53:54" x14ac:dyDescent="0.2">
      <c r="BA364" s="581">
        <v>45197</v>
      </c>
      <c r="BB364" s="582">
        <v>2023</v>
      </c>
    </row>
    <row r="365" spans="53:54" x14ac:dyDescent="0.2">
      <c r="BA365" s="581">
        <v>45198</v>
      </c>
      <c r="BB365" s="582">
        <v>2023</v>
      </c>
    </row>
    <row r="366" spans="53:54" x14ac:dyDescent="0.2">
      <c r="BA366" s="581">
        <v>45199</v>
      </c>
      <c r="BB366" s="582">
        <v>2023</v>
      </c>
    </row>
    <row r="367" spans="53:54" x14ac:dyDescent="0.2">
      <c r="BA367" s="581">
        <v>45200</v>
      </c>
      <c r="BB367" s="582">
        <v>2024</v>
      </c>
    </row>
    <row r="368" spans="53:54" x14ac:dyDescent="0.2">
      <c r="BA368" s="581">
        <v>45201</v>
      </c>
      <c r="BB368" s="582">
        <v>2024</v>
      </c>
    </row>
    <row r="369" spans="53:54" x14ac:dyDescent="0.2">
      <c r="BA369" s="581">
        <v>45202</v>
      </c>
      <c r="BB369" s="582">
        <v>2024</v>
      </c>
    </row>
    <row r="370" spans="53:54" x14ac:dyDescent="0.2">
      <c r="BA370" s="581">
        <v>45203</v>
      </c>
      <c r="BB370" s="582">
        <v>2024</v>
      </c>
    </row>
    <row r="371" spans="53:54" x14ac:dyDescent="0.2">
      <c r="BA371" s="581">
        <v>45204</v>
      </c>
      <c r="BB371" s="582">
        <v>2024</v>
      </c>
    </row>
    <row r="372" spans="53:54" x14ac:dyDescent="0.2">
      <c r="BA372" s="581">
        <v>45205</v>
      </c>
      <c r="BB372" s="582">
        <v>2024</v>
      </c>
    </row>
    <row r="373" spans="53:54" x14ac:dyDescent="0.2">
      <c r="BA373" s="581">
        <v>45206</v>
      </c>
      <c r="BB373" s="582">
        <v>2024</v>
      </c>
    </row>
    <row r="374" spans="53:54" x14ac:dyDescent="0.2">
      <c r="BA374" s="581">
        <v>45207</v>
      </c>
      <c r="BB374" s="582">
        <v>2024</v>
      </c>
    </row>
    <row r="375" spans="53:54" x14ac:dyDescent="0.2">
      <c r="BA375" s="581">
        <v>45208</v>
      </c>
      <c r="BB375" s="582">
        <v>2024</v>
      </c>
    </row>
    <row r="376" spans="53:54" x14ac:dyDescent="0.2">
      <c r="BA376" s="581">
        <v>45209</v>
      </c>
      <c r="BB376" s="582">
        <v>2024</v>
      </c>
    </row>
    <row r="377" spans="53:54" x14ac:dyDescent="0.2">
      <c r="BA377" s="581">
        <v>45210</v>
      </c>
      <c r="BB377" s="582">
        <v>2024</v>
      </c>
    </row>
    <row r="378" spans="53:54" x14ac:dyDescent="0.2">
      <c r="BA378" s="581">
        <v>45211</v>
      </c>
      <c r="BB378" s="582">
        <v>2024</v>
      </c>
    </row>
    <row r="379" spans="53:54" x14ac:dyDescent="0.2">
      <c r="BA379" s="581">
        <v>45212</v>
      </c>
      <c r="BB379" s="582">
        <v>2024</v>
      </c>
    </row>
    <row r="380" spans="53:54" x14ac:dyDescent="0.2">
      <c r="BA380" s="581">
        <v>45213</v>
      </c>
      <c r="BB380" s="582">
        <v>2024</v>
      </c>
    </row>
    <row r="381" spans="53:54" x14ac:dyDescent="0.2">
      <c r="BA381" s="581">
        <v>45214</v>
      </c>
      <c r="BB381" s="582">
        <v>2024</v>
      </c>
    </row>
    <row r="382" spans="53:54" x14ac:dyDescent="0.2">
      <c r="BA382" s="581">
        <v>45215</v>
      </c>
      <c r="BB382" s="582">
        <v>2024</v>
      </c>
    </row>
    <row r="383" spans="53:54" x14ac:dyDescent="0.2">
      <c r="BA383" s="581">
        <v>45216</v>
      </c>
      <c r="BB383" s="582">
        <v>2024</v>
      </c>
    </row>
    <row r="384" spans="53:54" x14ac:dyDescent="0.2">
      <c r="BA384" s="581">
        <v>45217</v>
      </c>
      <c r="BB384" s="582">
        <v>2024</v>
      </c>
    </row>
    <row r="385" spans="53:54" x14ac:dyDescent="0.2">
      <c r="BA385" s="581">
        <v>45218</v>
      </c>
      <c r="BB385" s="582">
        <v>2024</v>
      </c>
    </row>
    <row r="386" spans="53:54" x14ac:dyDescent="0.2">
      <c r="BA386" s="581">
        <v>45219</v>
      </c>
      <c r="BB386" s="582">
        <v>2024</v>
      </c>
    </row>
    <row r="387" spans="53:54" x14ac:dyDescent="0.2">
      <c r="BA387" s="581">
        <v>45220</v>
      </c>
      <c r="BB387" s="582">
        <v>2024</v>
      </c>
    </row>
    <row r="388" spans="53:54" x14ac:dyDescent="0.2">
      <c r="BA388" s="581">
        <v>45221</v>
      </c>
      <c r="BB388" s="582">
        <v>2024</v>
      </c>
    </row>
    <row r="389" spans="53:54" x14ac:dyDescent="0.2">
      <c r="BA389" s="581">
        <v>45222</v>
      </c>
      <c r="BB389" s="582">
        <v>2024</v>
      </c>
    </row>
    <row r="390" spans="53:54" x14ac:dyDescent="0.2">
      <c r="BA390" s="581">
        <v>45223</v>
      </c>
      <c r="BB390" s="582">
        <v>2024</v>
      </c>
    </row>
    <row r="391" spans="53:54" x14ac:dyDescent="0.2">
      <c r="BA391" s="581">
        <v>45224</v>
      </c>
      <c r="BB391" s="582">
        <v>2024</v>
      </c>
    </row>
    <row r="392" spans="53:54" x14ac:dyDescent="0.2">
      <c r="BA392" s="581">
        <v>45225</v>
      </c>
      <c r="BB392" s="582">
        <v>2024</v>
      </c>
    </row>
    <row r="393" spans="53:54" x14ac:dyDescent="0.2">
      <c r="BA393" s="581">
        <v>45226</v>
      </c>
      <c r="BB393" s="582">
        <v>2024</v>
      </c>
    </row>
    <row r="394" spans="53:54" x14ac:dyDescent="0.2">
      <c r="BA394" s="581">
        <v>45227</v>
      </c>
      <c r="BB394" s="582">
        <v>2024</v>
      </c>
    </row>
    <row r="395" spans="53:54" x14ac:dyDescent="0.2">
      <c r="BA395" s="581">
        <v>45228</v>
      </c>
      <c r="BB395" s="582">
        <v>2024</v>
      </c>
    </row>
    <row r="396" spans="53:54" x14ac:dyDescent="0.2">
      <c r="BA396" s="581">
        <v>45229</v>
      </c>
      <c r="BB396" s="582">
        <v>2024</v>
      </c>
    </row>
    <row r="397" spans="53:54" x14ac:dyDescent="0.2">
      <c r="BA397" s="581">
        <v>45230</v>
      </c>
      <c r="BB397" s="582">
        <v>2024</v>
      </c>
    </row>
    <row r="398" spans="53:54" x14ac:dyDescent="0.2">
      <c r="BA398" s="581">
        <v>45231</v>
      </c>
      <c r="BB398" s="582">
        <v>2024</v>
      </c>
    </row>
    <row r="399" spans="53:54" x14ac:dyDescent="0.2">
      <c r="BA399" s="581">
        <v>45232</v>
      </c>
      <c r="BB399" s="582">
        <v>2024</v>
      </c>
    </row>
    <row r="400" spans="53:54" x14ac:dyDescent="0.2">
      <c r="BA400" s="581">
        <v>45233</v>
      </c>
      <c r="BB400" s="582">
        <v>2024</v>
      </c>
    </row>
    <row r="401" spans="53:54" x14ac:dyDescent="0.2">
      <c r="BA401" s="581">
        <v>45234</v>
      </c>
      <c r="BB401" s="582">
        <v>2024</v>
      </c>
    </row>
    <row r="402" spans="53:54" x14ac:dyDescent="0.2">
      <c r="BA402" s="581">
        <v>45235</v>
      </c>
      <c r="BB402" s="582">
        <v>2024</v>
      </c>
    </row>
    <row r="403" spans="53:54" x14ac:dyDescent="0.2">
      <c r="BA403" s="581">
        <v>45236</v>
      </c>
      <c r="BB403" s="582">
        <v>2024</v>
      </c>
    </row>
    <row r="404" spans="53:54" x14ac:dyDescent="0.2">
      <c r="BA404" s="581">
        <v>45237</v>
      </c>
      <c r="BB404" s="582">
        <v>2024</v>
      </c>
    </row>
    <row r="405" spans="53:54" x14ac:dyDescent="0.2">
      <c r="BA405" s="581">
        <v>45238</v>
      </c>
      <c r="BB405" s="582">
        <v>2024</v>
      </c>
    </row>
    <row r="406" spans="53:54" x14ac:dyDescent="0.2">
      <c r="BA406" s="581">
        <v>45239</v>
      </c>
      <c r="BB406" s="582">
        <v>2024</v>
      </c>
    </row>
    <row r="407" spans="53:54" x14ac:dyDescent="0.2">
      <c r="BA407" s="581">
        <v>45240</v>
      </c>
      <c r="BB407" s="582">
        <v>2024</v>
      </c>
    </row>
    <row r="408" spans="53:54" x14ac:dyDescent="0.2">
      <c r="BA408" s="581">
        <v>45241</v>
      </c>
      <c r="BB408" s="582">
        <v>2024</v>
      </c>
    </row>
    <row r="409" spans="53:54" x14ac:dyDescent="0.2">
      <c r="BA409" s="581">
        <v>45242</v>
      </c>
      <c r="BB409" s="582">
        <v>2024</v>
      </c>
    </row>
    <row r="410" spans="53:54" x14ac:dyDescent="0.2">
      <c r="BA410" s="581">
        <v>45243</v>
      </c>
      <c r="BB410" s="582">
        <v>2024</v>
      </c>
    </row>
    <row r="411" spans="53:54" x14ac:dyDescent="0.2">
      <c r="BA411" s="581">
        <v>45244</v>
      </c>
      <c r="BB411" s="582">
        <v>2024</v>
      </c>
    </row>
    <row r="412" spans="53:54" x14ac:dyDescent="0.2">
      <c r="BA412" s="581">
        <v>45245</v>
      </c>
      <c r="BB412" s="582">
        <v>2024</v>
      </c>
    </row>
    <row r="413" spans="53:54" x14ac:dyDescent="0.2">
      <c r="BA413" s="581">
        <v>45246</v>
      </c>
      <c r="BB413" s="582">
        <v>2024</v>
      </c>
    </row>
    <row r="414" spans="53:54" x14ac:dyDescent="0.2">
      <c r="BA414" s="581">
        <v>45247</v>
      </c>
      <c r="BB414" s="582">
        <v>2024</v>
      </c>
    </row>
    <row r="415" spans="53:54" x14ac:dyDescent="0.2">
      <c r="BA415" s="581">
        <v>45248</v>
      </c>
      <c r="BB415" s="582">
        <v>2024</v>
      </c>
    </row>
    <row r="416" spans="53:54" x14ac:dyDescent="0.2">
      <c r="BA416" s="581">
        <v>45249</v>
      </c>
      <c r="BB416" s="582">
        <v>2024</v>
      </c>
    </row>
    <row r="417" spans="53:54" x14ac:dyDescent="0.2">
      <c r="BA417" s="581">
        <v>45250</v>
      </c>
      <c r="BB417" s="582">
        <v>2024</v>
      </c>
    </row>
    <row r="418" spans="53:54" x14ac:dyDescent="0.2">
      <c r="BA418" s="581">
        <v>45251</v>
      </c>
      <c r="BB418" s="582">
        <v>2024</v>
      </c>
    </row>
    <row r="419" spans="53:54" x14ac:dyDescent="0.2">
      <c r="BA419" s="581">
        <v>45252</v>
      </c>
      <c r="BB419" s="582">
        <v>2024</v>
      </c>
    </row>
    <row r="420" spans="53:54" x14ac:dyDescent="0.2">
      <c r="BA420" s="581">
        <v>45253</v>
      </c>
      <c r="BB420" s="582">
        <v>2024</v>
      </c>
    </row>
    <row r="421" spans="53:54" x14ac:dyDescent="0.2">
      <c r="BA421" s="581">
        <v>45254</v>
      </c>
      <c r="BB421" s="582">
        <v>2024</v>
      </c>
    </row>
    <row r="422" spans="53:54" x14ac:dyDescent="0.2">
      <c r="BA422" s="581">
        <v>45255</v>
      </c>
      <c r="BB422" s="582">
        <v>2024</v>
      </c>
    </row>
    <row r="423" spans="53:54" x14ac:dyDescent="0.2">
      <c r="BA423" s="581">
        <v>45256</v>
      </c>
      <c r="BB423" s="582">
        <v>2024</v>
      </c>
    </row>
    <row r="424" spans="53:54" x14ac:dyDescent="0.2">
      <c r="BA424" s="581">
        <v>45257</v>
      </c>
      <c r="BB424" s="582">
        <v>2024</v>
      </c>
    </row>
    <row r="425" spans="53:54" x14ac:dyDescent="0.2">
      <c r="BA425" s="581">
        <v>45258</v>
      </c>
      <c r="BB425" s="582">
        <v>2024</v>
      </c>
    </row>
    <row r="426" spans="53:54" x14ac:dyDescent="0.2">
      <c r="BA426" s="581">
        <v>45259</v>
      </c>
      <c r="BB426" s="582">
        <v>2024</v>
      </c>
    </row>
    <row r="427" spans="53:54" x14ac:dyDescent="0.2">
      <c r="BA427" s="581">
        <v>45260</v>
      </c>
      <c r="BB427" s="582">
        <v>2024</v>
      </c>
    </row>
    <row r="428" spans="53:54" x14ac:dyDescent="0.2">
      <c r="BA428" s="581">
        <v>45261</v>
      </c>
      <c r="BB428" s="582">
        <v>2024</v>
      </c>
    </row>
    <row r="429" spans="53:54" x14ac:dyDescent="0.2">
      <c r="BA429" s="581">
        <v>45262</v>
      </c>
      <c r="BB429" s="582">
        <v>2024</v>
      </c>
    </row>
    <row r="430" spans="53:54" x14ac:dyDescent="0.2">
      <c r="BA430" s="581">
        <v>45263</v>
      </c>
      <c r="BB430" s="582">
        <v>2024</v>
      </c>
    </row>
    <row r="431" spans="53:54" x14ac:dyDescent="0.2">
      <c r="BA431" s="581">
        <v>45264</v>
      </c>
      <c r="BB431" s="582">
        <v>2024</v>
      </c>
    </row>
    <row r="432" spans="53:54" x14ac:dyDescent="0.2">
      <c r="BA432" s="581">
        <v>45265</v>
      </c>
      <c r="BB432" s="582">
        <v>2024</v>
      </c>
    </row>
    <row r="433" spans="53:54" x14ac:dyDescent="0.2">
      <c r="BA433" s="581">
        <v>45266</v>
      </c>
      <c r="BB433" s="582">
        <v>2024</v>
      </c>
    </row>
    <row r="434" spans="53:54" x14ac:dyDescent="0.2">
      <c r="BA434" s="581">
        <v>45267</v>
      </c>
      <c r="BB434" s="582">
        <v>2024</v>
      </c>
    </row>
    <row r="435" spans="53:54" x14ac:dyDescent="0.2">
      <c r="BA435" s="581">
        <v>45268</v>
      </c>
      <c r="BB435" s="582">
        <v>2024</v>
      </c>
    </row>
    <row r="436" spans="53:54" x14ac:dyDescent="0.2">
      <c r="BA436" s="581">
        <v>45269</v>
      </c>
      <c r="BB436" s="582">
        <v>2024</v>
      </c>
    </row>
    <row r="437" spans="53:54" x14ac:dyDescent="0.2">
      <c r="BA437" s="581">
        <v>45270</v>
      </c>
      <c r="BB437" s="582">
        <v>2024</v>
      </c>
    </row>
    <row r="438" spans="53:54" x14ac:dyDescent="0.2">
      <c r="BA438" s="581">
        <v>45271</v>
      </c>
      <c r="BB438" s="582">
        <v>2024</v>
      </c>
    </row>
    <row r="439" spans="53:54" x14ac:dyDescent="0.2">
      <c r="BA439" s="581">
        <v>45272</v>
      </c>
      <c r="BB439" s="582">
        <v>2024</v>
      </c>
    </row>
    <row r="440" spans="53:54" x14ac:dyDescent="0.2">
      <c r="BA440" s="581">
        <v>45273</v>
      </c>
      <c r="BB440" s="582">
        <v>2024</v>
      </c>
    </row>
    <row r="441" spans="53:54" x14ac:dyDescent="0.2">
      <c r="BA441" s="581">
        <v>45274</v>
      </c>
      <c r="BB441" s="582">
        <v>2024</v>
      </c>
    </row>
    <row r="442" spans="53:54" x14ac:dyDescent="0.2">
      <c r="BA442" s="581">
        <v>45275</v>
      </c>
      <c r="BB442" s="582">
        <v>2024</v>
      </c>
    </row>
    <row r="443" spans="53:54" x14ac:dyDescent="0.2">
      <c r="BA443" s="581">
        <v>45276</v>
      </c>
      <c r="BB443" s="582">
        <v>2024</v>
      </c>
    </row>
    <row r="444" spans="53:54" x14ac:dyDescent="0.2">
      <c r="BA444" s="581">
        <v>45277</v>
      </c>
      <c r="BB444" s="582">
        <v>2024</v>
      </c>
    </row>
    <row r="445" spans="53:54" x14ac:dyDescent="0.2">
      <c r="BA445" s="581">
        <v>45278</v>
      </c>
      <c r="BB445" s="582">
        <v>2024</v>
      </c>
    </row>
    <row r="446" spans="53:54" x14ac:dyDescent="0.2">
      <c r="BA446" s="581">
        <v>45279</v>
      </c>
      <c r="BB446" s="582">
        <v>2024</v>
      </c>
    </row>
    <row r="447" spans="53:54" x14ac:dyDescent="0.2">
      <c r="BA447" s="581">
        <v>45280</v>
      </c>
      <c r="BB447" s="582">
        <v>2024</v>
      </c>
    </row>
    <row r="448" spans="53:54" x14ac:dyDescent="0.2">
      <c r="BA448" s="581">
        <v>45281</v>
      </c>
      <c r="BB448" s="582">
        <v>2024</v>
      </c>
    </row>
    <row r="449" spans="53:54" x14ac:dyDescent="0.2">
      <c r="BA449" s="581">
        <v>45282</v>
      </c>
      <c r="BB449" s="582">
        <v>2024</v>
      </c>
    </row>
    <row r="450" spans="53:54" x14ac:dyDescent="0.2">
      <c r="BA450" s="581">
        <v>45283</v>
      </c>
      <c r="BB450" s="582">
        <v>2024</v>
      </c>
    </row>
    <row r="451" spans="53:54" x14ac:dyDescent="0.2">
      <c r="BA451" s="581">
        <v>45284</v>
      </c>
      <c r="BB451" s="582">
        <v>2024</v>
      </c>
    </row>
    <row r="452" spans="53:54" x14ac:dyDescent="0.2">
      <c r="BA452" s="581">
        <v>45285</v>
      </c>
      <c r="BB452" s="582">
        <v>2024</v>
      </c>
    </row>
    <row r="453" spans="53:54" x14ac:dyDescent="0.2">
      <c r="BA453" s="581">
        <v>45286</v>
      </c>
      <c r="BB453" s="582">
        <v>2024</v>
      </c>
    </row>
    <row r="454" spans="53:54" x14ac:dyDescent="0.2">
      <c r="BA454" s="581">
        <v>45287</v>
      </c>
      <c r="BB454" s="582">
        <v>2024</v>
      </c>
    </row>
    <row r="455" spans="53:54" x14ac:dyDescent="0.2">
      <c r="BA455" s="581">
        <v>45288</v>
      </c>
      <c r="BB455" s="582">
        <v>2024</v>
      </c>
    </row>
    <row r="456" spans="53:54" x14ac:dyDescent="0.2">
      <c r="BA456" s="581">
        <v>45289</v>
      </c>
      <c r="BB456" s="582">
        <v>2024</v>
      </c>
    </row>
    <row r="457" spans="53:54" x14ac:dyDescent="0.2">
      <c r="BA457" s="581">
        <v>45290</v>
      </c>
      <c r="BB457" s="582">
        <v>2024</v>
      </c>
    </row>
    <row r="458" spans="53:54" x14ac:dyDescent="0.2">
      <c r="BA458" s="581">
        <v>45291</v>
      </c>
      <c r="BB458" s="582">
        <v>2024</v>
      </c>
    </row>
    <row r="459" spans="53:54" x14ac:dyDescent="0.2">
      <c r="BA459" s="581">
        <v>45292</v>
      </c>
      <c r="BB459" s="582">
        <v>2024</v>
      </c>
    </row>
    <row r="460" spans="53:54" x14ac:dyDescent="0.2">
      <c r="BA460" s="581">
        <v>45293</v>
      </c>
      <c r="BB460" s="582">
        <v>2024</v>
      </c>
    </row>
    <row r="461" spans="53:54" x14ac:dyDescent="0.2">
      <c r="BA461" s="581">
        <v>45294</v>
      </c>
      <c r="BB461" s="582">
        <v>2024</v>
      </c>
    </row>
    <row r="462" spans="53:54" x14ac:dyDescent="0.2">
      <c r="BA462" s="581">
        <v>45295</v>
      </c>
      <c r="BB462" s="582">
        <v>2024</v>
      </c>
    </row>
    <row r="463" spans="53:54" x14ac:dyDescent="0.2">
      <c r="BA463" s="581">
        <v>45296</v>
      </c>
      <c r="BB463" s="582">
        <v>2024</v>
      </c>
    </row>
    <row r="464" spans="53:54" x14ac:dyDescent="0.2">
      <c r="BA464" s="581">
        <v>45297</v>
      </c>
      <c r="BB464" s="582">
        <v>2024</v>
      </c>
    </row>
    <row r="465" spans="53:54" x14ac:dyDescent="0.2">
      <c r="BA465" s="581">
        <v>45298</v>
      </c>
      <c r="BB465" s="582">
        <v>2024</v>
      </c>
    </row>
    <row r="466" spans="53:54" x14ac:dyDescent="0.2">
      <c r="BA466" s="581">
        <v>45299</v>
      </c>
      <c r="BB466" s="582">
        <v>2024</v>
      </c>
    </row>
    <row r="467" spans="53:54" x14ac:dyDescent="0.2">
      <c r="BA467" s="581">
        <v>45300</v>
      </c>
      <c r="BB467" s="582">
        <v>2024</v>
      </c>
    </row>
    <row r="468" spans="53:54" x14ac:dyDescent="0.2">
      <c r="BA468" s="581">
        <v>45301</v>
      </c>
      <c r="BB468" s="582">
        <v>2024</v>
      </c>
    </row>
    <row r="469" spans="53:54" x14ac:dyDescent="0.2">
      <c r="BA469" s="581">
        <v>45302</v>
      </c>
      <c r="BB469" s="582">
        <v>2024</v>
      </c>
    </row>
    <row r="470" spans="53:54" x14ac:dyDescent="0.2">
      <c r="BA470" s="581">
        <v>45303</v>
      </c>
      <c r="BB470" s="582">
        <v>2024</v>
      </c>
    </row>
    <row r="471" spans="53:54" x14ac:dyDescent="0.2">
      <c r="BA471" s="581">
        <v>45304</v>
      </c>
      <c r="BB471" s="582">
        <v>2024</v>
      </c>
    </row>
    <row r="472" spans="53:54" x14ac:dyDescent="0.2">
      <c r="BA472" s="581">
        <v>45305</v>
      </c>
      <c r="BB472" s="582">
        <v>2024</v>
      </c>
    </row>
    <row r="473" spans="53:54" x14ac:dyDescent="0.2">
      <c r="BA473" s="581">
        <v>45306</v>
      </c>
      <c r="BB473" s="582">
        <v>2024</v>
      </c>
    </row>
    <row r="474" spans="53:54" x14ac:dyDescent="0.2">
      <c r="BA474" s="581">
        <v>45307</v>
      </c>
      <c r="BB474" s="582">
        <v>2024</v>
      </c>
    </row>
    <row r="475" spans="53:54" x14ac:dyDescent="0.2">
      <c r="BA475" s="581">
        <v>45308</v>
      </c>
      <c r="BB475" s="582">
        <v>2024</v>
      </c>
    </row>
    <row r="476" spans="53:54" x14ac:dyDescent="0.2">
      <c r="BA476" s="581">
        <v>45309</v>
      </c>
      <c r="BB476" s="582">
        <v>2024</v>
      </c>
    </row>
    <row r="477" spans="53:54" x14ac:dyDescent="0.2">
      <c r="BA477" s="581">
        <v>45310</v>
      </c>
      <c r="BB477" s="582">
        <v>2024</v>
      </c>
    </row>
    <row r="478" spans="53:54" x14ac:dyDescent="0.2">
      <c r="BA478" s="581">
        <v>45311</v>
      </c>
      <c r="BB478" s="582">
        <v>2024</v>
      </c>
    </row>
    <row r="479" spans="53:54" x14ac:dyDescent="0.2">
      <c r="BA479" s="581">
        <v>45312</v>
      </c>
      <c r="BB479" s="582">
        <v>2024</v>
      </c>
    </row>
    <row r="480" spans="53:54" x14ac:dyDescent="0.2">
      <c r="BA480" s="581">
        <v>45313</v>
      </c>
      <c r="BB480" s="582">
        <v>2024</v>
      </c>
    </row>
    <row r="481" spans="53:54" x14ac:dyDescent="0.2">
      <c r="BA481" s="581">
        <v>45314</v>
      </c>
      <c r="BB481" s="582">
        <v>2024</v>
      </c>
    </row>
    <row r="482" spans="53:54" x14ac:dyDescent="0.2">
      <c r="BA482" s="581">
        <v>45315</v>
      </c>
      <c r="BB482" s="582">
        <v>2024</v>
      </c>
    </row>
    <row r="483" spans="53:54" x14ac:dyDescent="0.2">
      <c r="BA483" s="581">
        <v>45316</v>
      </c>
      <c r="BB483" s="582">
        <v>2024</v>
      </c>
    </row>
    <row r="484" spans="53:54" x14ac:dyDescent="0.2">
      <c r="BA484" s="581">
        <v>45317</v>
      </c>
      <c r="BB484" s="582">
        <v>2024</v>
      </c>
    </row>
    <row r="485" spans="53:54" x14ac:dyDescent="0.2">
      <c r="BA485" s="581">
        <v>45318</v>
      </c>
      <c r="BB485" s="582">
        <v>2024</v>
      </c>
    </row>
    <row r="486" spans="53:54" x14ac:dyDescent="0.2">
      <c r="BA486" s="581">
        <v>45319</v>
      </c>
      <c r="BB486" s="582">
        <v>2024</v>
      </c>
    </row>
    <row r="487" spans="53:54" x14ac:dyDescent="0.2">
      <c r="BA487" s="581">
        <v>45320</v>
      </c>
      <c r="BB487" s="582">
        <v>2024</v>
      </c>
    </row>
    <row r="488" spans="53:54" x14ac:dyDescent="0.2">
      <c r="BA488" s="581">
        <v>45321</v>
      </c>
      <c r="BB488" s="582">
        <v>2024</v>
      </c>
    </row>
    <row r="489" spans="53:54" x14ac:dyDescent="0.2">
      <c r="BA489" s="581">
        <v>45322</v>
      </c>
      <c r="BB489" s="582">
        <v>2024</v>
      </c>
    </row>
    <row r="490" spans="53:54" x14ac:dyDescent="0.2">
      <c r="BA490" s="581">
        <v>45323</v>
      </c>
      <c r="BB490" s="582">
        <v>2024</v>
      </c>
    </row>
    <row r="491" spans="53:54" x14ac:dyDescent="0.2">
      <c r="BA491" s="581">
        <v>45324</v>
      </c>
      <c r="BB491" s="582">
        <v>2024</v>
      </c>
    </row>
    <row r="492" spans="53:54" x14ac:dyDescent="0.2">
      <c r="BA492" s="581">
        <v>45325</v>
      </c>
      <c r="BB492" s="582">
        <v>2024</v>
      </c>
    </row>
    <row r="493" spans="53:54" x14ac:dyDescent="0.2">
      <c r="BA493" s="581">
        <v>45326</v>
      </c>
      <c r="BB493" s="582">
        <v>2024</v>
      </c>
    </row>
    <row r="494" spans="53:54" x14ac:dyDescent="0.2">
      <c r="BA494" s="581">
        <v>45327</v>
      </c>
      <c r="BB494" s="582">
        <v>2024</v>
      </c>
    </row>
    <row r="495" spans="53:54" x14ac:dyDescent="0.2">
      <c r="BA495" s="581">
        <v>45328</v>
      </c>
      <c r="BB495" s="582">
        <v>2024</v>
      </c>
    </row>
    <row r="496" spans="53:54" x14ac:dyDescent="0.2">
      <c r="BA496" s="581">
        <v>45329</v>
      </c>
      <c r="BB496" s="582">
        <v>2024</v>
      </c>
    </row>
    <row r="497" spans="53:54" x14ac:dyDescent="0.2">
      <c r="BA497" s="581">
        <v>45330</v>
      </c>
      <c r="BB497" s="582">
        <v>2024</v>
      </c>
    </row>
    <row r="498" spans="53:54" x14ac:dyDescent="0.2">
      <c r="BA498" s="581">
        <v>45331</v>
      </c>
      <c r="BB498" s="582">
        <v>2024</v>
      </c>
    </row>
    <row r="499" spans="53:54" x14ac:dyDescent="0.2">
      <c r="BA499" s="581">
        <v>45332</v>
      </c>
      <c r="BB499" s="582">
        <v>2024</v>
      </c>
    </row>
    <row r="500" spans="53:54" x14ac:dyDescent="0.2">
      <c r="BA500" s="581">
        <v>45333</v>
      </c>
      <c r="BB500" s="582">
        <v>2024</v>
      </c>
    </row>
    <row r="501" spans="53:54" x14ac:dyDescent="0.2">
      <c r="BA501" s="581">
        <v>45334</v>
      </c>
      <c r="BB501" s="582">
        <v>2024</v>
      </c>
    </row>
    <row r="502" spans="53:54" x14ac:dyDescent="0.2">
      <c r="BA502" s="581">
        <v>45335</v>
      </c>
      <c r="BB502" s="582">
        <v>2024</v>
      </c>
    </row>
    <row r="503" spans="53:54" x14ac:dyDescent="0.2">
      <c r="BA503" s="581">
        <v>45336</v>
      </c>
      <c r="BB503" s="582">
        <v>2024</v>
      </c>
    </row>
    <row r="504" spans="53:54" x14ac:dyDescent="0.2">
      <c r="BA504" s="581">
        <v>45337</v>
      </c>
      <c r="BB504" s="582">
        <v>2024</v>
      </c>
    </row>
    <row r="505" spans="53:54" x14ac:dyDescent="0.2">
      <c r="BA505" s="581">
        <v>45338</v>
      </c>
      <c r="BB505" s="582">
        <v>2024</v>
      </c>
    </row>
    <row r="506" spans="53:54" x14ac:dyDescent="0.2">
      <c r="BA506" s="581">
        <v>45339</v>
      </c>
      <c r="BB506" s="582">
        <v>2024</v>
      </c>
    </row>
    <row r="507" spans="53:54" x14ac:dyDescent="0.2">
      <c r="BA507" s="581">
        <v>45340</v>
      </c>
      <c r="BB507" s="582">
        <v>2024</v>
      </c>
    </row>
    <row r="508" spans="53:54" x14ac:dyDescent="0.2">
      <c r="BA508" s="581">
        <v>45341</v>
      </c>
      <c r="BB508" s="582">
        <v>2024</v>
      </c>
    </row>
    <row r="509" spans="53:54" x14ac:dyDescent="0.2">
      <c r="BA509" s="581">
        <v>45342</v>
      </c>
      <c r="BB509" s="582">
        <v>2024</v>
      </c>
    </row>
    <row r="510" spans="53:54" x14ac:dyDescent="0.2">
      <c r="BA510" s="581">
        <v>45343</v>
      </c>
      <c r="BB510" s="582">
        <v>2024</v>
      </c>
    </row>
    <row r="511" spans="53:54" x14ac:dyDescent="0.2">
      <c r="BA511" s="581">
        <v>45344</v>
      </c>
      <c r="BB511" s="582">
        <v>2024</v>
      </c>
    </row>
    <row r="512" spans="53:54" x14ac:dyDescent="0.2">
      <c r="BA512" s="581">
        <v>45345</v>
      </c>
      <c r="BB512" s="582">
        <v>2024</v>
      </c>
    </row>
    <row r="513" spans="53:54" x14ac:dyDescent="0.2">
      <c r="BA513" s="581">
        <v>45346</v>
      </c>
      <c r="BB513" s="582">
        <v>2024</v>
      </c>
    </row>
    <row r="514" spans="53:54" x14ac:dyDescent="0.2">
      <c r="BA514" s="581">
        <v>45347</v>
      </c>
      <c r="BB514" s="582">
        <v>2024</v>
      </c>
    </row>
    <row r="515" spans="53:54" x14ac:dyDescent="0.2">
      <c r="BA515" s="581">
        <v>45348</v>
      </c>
      <c r="BB515" s="582">
        <v>2024</v>
      </c>
    </row>
    <row r="516" spans="53:54" x14ac:dyDescent="0.2">
      <c r="BA516" s="581">
        <v>45349</v>
      </c>
      <c r="BB516" s="582">
        <v>2024</v>
      </c>
    </row>
    <row r="517" spans="53:54" x14ac:dyDescent="0.2">
      <c r="BA517" s="581">
        <v>45350</v>
      </c>
      <c r="BB517" s="582">
        <v>2024</v>
      </c>
    </row>
    <row r="518" spans="53:54" x14ac:dyDescent="0.2">
      <c r="BA518" s="581">
        <v>45351</v>
      </c>
      <c r="BB518" s="582">
        <v>2024</v>
      </c>
    </row>
    <row r="519" spans="53:54" x14ac:dyDescent="0.2">
      <c r="BA519" s="581">
        <v>45352</v>
      </c>
      <c r="BB519" s="582">
        <v>2024</v>
      </c>
    </row>
    <row r="520" spans="53:54" x14ac:dyDescent="0.2">
      <c r="BA520" s="581">
        <v>45353</v>
      </c>
      <c r="BB520" s="582">
        <v>2024</v>
      </c>
    </row>
    <row r="521" spans="53:54" x14ac:dyDescent="0.2">
      <c r="BA521" s="581">
        <v>45354</v>
      </c>
      <c r="BB521" s="582">
        <v>2024</v>
      </c>
    </row>
    <row r="522" spans="53:54" x14ac:dyDescent="0.2">
      <c r="BA522" s="581">
        <v>45355</v>
      </c>
      <c r="BB522" s="582">
        <v>2024</v>
      </c>
    </row>
    <row r="523" spans="53:54" x14ac:dyDescent="0.2">
      <c r="BA523" s="581">
        <v>45356</v>
      </c>
      <c r="BB523" s="582">
        <v>2024</v>
      </c>
    </row>
    <row r="524" spans="53:54" x14ac:dyDescent="0.2">
      <c r="BA524" s="581">
        <v>45357</v>
      </c>
      <c r="BB524" s="582">
        <v>2024</v>
      </c>
    </row>
    <row r="525" spans="53:54" x14ac:dyDescent="0.2">
      <c r="BA525" s="581">
        <v>45358</v>
      </c>
      <c r="BB525" s="582">
        <v>2024</v>
      </c>
    </row>
    <row r="526" spans="53:54" x14ac:dyDescent="0.2">
      <c r="BA526" s="581">
        <v>45359</v>
      </c>
      <c r="BB526" s="582">
        <v>2024</v>
      </c>
    </row>
    <row r="527" spans="53:54" x14ac:dyDescent="0.2">
      <c r="BA527" s="581">
        <v>45360</v>
      </c>
      <c r="BB527" s="582">
        <v>2024</v>
      </c>
    </row>
    <row r="528" spans="53:54" x14ac:dyDescent="0.2">
      <c r="BA528" s="581">
        <v>45361</v>
      </c>
      <c r="BB528" s="582">
        <v>2024</v>
      </c>
    </row>
    <row r="529" spans="53:54" x14ac:dyDescent="0.2">
      <c r="BA529" s="581">
        <v>45362</v>
      </c>
      <c r="BB529" s="582">
        <v>2024</v>
      </c>
    </row>
    <row r="530" spans="53:54" x14ac:dyDescent="0.2">
      <c r="BA530" s="581">
        <v>45363</v>
      </c>
      <c r="BB530" s="582">
        <v>2024</v>
      </c>
    </row>
    <row r="531" spans="53:54" x14ac:dyDescent="0.2">
      <c r="BA531" s="581">
        <v>45364</v>
      </c>
      <c r="BB531" s="582">
        <v>2024</v>
      </c>
    </row>
    <row r="532" spans="53:54" x14ac:dyDescent="0.2">
      <c r="BA532" s="581">
        <v>45365</v>
      </c>
      <c r="BB532" s="582">
        <v>2024</v>
      </c>
    </row>
    <row r="533" spans="53:54" x14ac:dyDescent="0.2">
      <c r="BA533" s="581">
        <v>45366</v>
      </c>
      <c r="BB533" s="582">
        <v>2024</v>
      </c>
    </row>
    <row r="534" spans="53:54" x14ac:dyDescent="0.2">
      <c r="BA534" s="581">
        <v>45367</v>
      </c>
      <c r="BB534" s="582">
        <v>2024</v>
      </c>
    </row>
    <row r="535" spans="53:54" x14ac:dyDescent="0.2">
      <c r="BA535" s="581">
        <v>45368</v>
      </c>
      <c r="BB535" s="582">
        <v>2024</v>
      </c>
    </row>
    <row r="536" spans="53:54" x14ac:dyDescent="0.2">
      <c r="BA536" s="581">
        <v>45369</v>
      </c>
      <c r="BB536" s="582">
        <v>2024</v>
      </c>
    </row>
    <row r="537" spans="53:54" x14ac:dyDescent="0.2">
      <c r="BA537" s="581">
        <v>45370</v>
      </c>
      <c r="BB537" s="582">
        <v>2024</v>
      </c>
    </row>
    <row r="538" spans="53:54" x14ac:dyDescent="0.2">
      <c r="BA538" s="581">
        <v>45371</v>
      </c>
      <c r="BB538" s="582">
        <v>2024</v>
      </c>
    </row>
    <row r="539" spans="53:54" x14ac:dyDescent="0.2">
      <c r="BA539" s="581">
        <v>45372</v>
      </c>
      <c r="BB539" s="582">
        <v>2024</v>
      </c>
    </row>
    <row r="540" spans="53:54" x14ac:dyDescent="0.2">
      <c r="BA540" s="581">
        <v>45373</v>
      </c>
      <c r="BB540" s="582">
        <v>2024</v>
      </c>
    </row>
    <row r="541" spans="53:54" x14ac:dyDescent="0.2">
      <c r="BA541" s="581">
        <v>45374</v>
      </c>
      <c r="BB541" s="582">
        <v>2024</v>
      </c>
    </row>
    <row r="542" spans="53:54" x14ac:dyDescent="0.2">
      <c r="BA542" s="581">
        <v>45375</v>
      </c>
      <c r="BB542" s="582">
        <v>2024</v>
      </c>
    </row>
    <row r="543" spans="53:54" x14ac:dyDescent="0.2">
      <c r="BA543" s="581">
        <v>45376</v>
      </c>
      <c r="BB543" s="582">
        <v>2024</v>
      </c>
    </row>
    <row r="544" spans="53:54" x14ac:dyDescent="0.2">
      <c r="BA544" s="581">
        <v>45377</v>
      </c>
      <c r="BB544" s="582">
        <v>2024</v>
      </c>
    </row>
    <row r="545" spans="53:54" x14ac:dyDescent="0.2">
      <c r="BA545" s="581">
        <v>45378</v>
      </c>
      <c r="BB545" s="582">
        <v>2024</v>
      </c>
    </row>
    <row r="546" spans="53:54" x14ac:dyDescent="0.2">
      <c r="BA546" s="581">
        <v>45379</v>
      </c>
      <c r="BB546" s="582">
        <v>2024</v>
      </c>
    </row>
    <row r="547" spans="53:54" x14ac:dyDescent="0.2">
      <c r="BA547" s="581">
        <v>45380</v>
      </c>
      <c r="BB547" s="582">
        <v>2024</v>
      </c>
    </row>
    <row r="548" spans="53:54" x14ac:dyDescent="0.2">
      <c r="BA548" s="581">
        <v>45381</v>
      </c>
      <c r="BB548" s="582">
        <v>2024</v>
      </c>
    </row>
    <row r="549" spans="53:54" x14ac:dyDescent="0.2">
      <c r="BA549" s="581">
        <v>45382</v>
      </c>
      <c r="BB549" s="582">
        <v>2024</v>
      </c>
    </row>
    <row r="550" spans="53:54" x14ac:dyDescent="0.2">
      <c r="BA550" s="581">
        <v>45383</v>
      </c>
      <c r="BB550" s="582">
        <v>2024</v>
      </c>
    </row>
    <row r="551" spans="53:54" x14ac:dyDescent="0.2">
      <c r="BA551" s="581">
        <v>45384</v>
      </c>
      <c r="BB551" s="582">
        <v>2024</v>
      </c>
    </row>
    <row r="552" spans="53:54" x14ac:dyDescent="0.2">
      <c r="BA552" s="581">
        <v>45385</v>
      </c>
      <c r="BB552" s="582">
        <v>2024</v>
      </c>
    </row>
    <row r="553" spans="53:54" x14ac:dyDescent="0.2">
      <c r="BA553" s="581">
        <v>45386</v>
      </c>
      <c r="BB553" s="582">
        <v>2024</v>
      </c>
    </row>
    <row r="554" spans="53:54" x14ac:dyDescent="0.2">
      <c r="BA554" s="581">
        <v>45387</v>
      </c>
      <c r="BB554" s="582">
        <v>2024</v>
      </c>
    </row>
    <row r="555" spans="53:54" x14ac:dyDescent="0.2">
      <c r="BA555" s="581">
        <v>45388</v>
      </c>
      <c r="BB555" s="582">
        <v>2024</v>
      </c>
    </row>
    <row r="556" spans="53:54" x14ac:dyDescent="0.2">
      <c r="BA556" s="581">
        <v>45389</v>
      </c>
      <c r="BB556" s="582">
        <v>2024</v>
      </c>
    </row>
    <row r="557" spans="53:54" x14ac:dyDescent="0.2">
      <c r="BA557" s="581">
        <v>45390</v>
      </c>
      <c r="BB557" s="582">
        <v>2024</v>
      </c>
    </row>
    <row r="558" spans="53:54" x14ac:dyDescent="0.2">
      <c r="BA558" s="581">
        <v>45391</v>
      </c>
      <c r="BB558" s="582">
        <v>2024</v>
      </c>
    </row>
    <row r="559" spans="53:54" x14ac:dyDescent="0.2">
      <c r="BA559" s="581">
        <v>45392</v>
      </c>
      <c r="BB559" s="582">
        <v>2024</v>
      </c>
    </row>
    <row r="560" spans="53:54" x14ac:dyDescent="0.2">
      <c r="BA560" s="581">
        <v>45393</v>
      </c>
      <c r="BB560" s="582">
        <v>2024</v>
      </c>
    </row>
    <row r="561" spans="53:54" x14ac:dyDescent="0.2">
      <c r="BA561" s="581">
        <v>45394</v>
      </c>
      <c r="BB561" s="582">
        <v>2024</v>
      </c>
    </row>
    <row r="562" spans="53:54" x14ac:dyDescent="0.2">
      <c r="BA562" s="581">
        <v>45395</v>
      </c>
      <c r="BB562" s="582">
        <v>2024</v>
      </c>
    </row>
    <row r="563" spans="53:54" x14ac:dyDescent="0.2">
      <c r="BA563" s="581">
        <v>45396</v>
      </c>
      <c r="BB563" s="582">
        <v>2024</v>
      </c>
    </row>
    <row r="564" spans="53:54" x14ac:dyDescent="0.2">
      <c r="BA564" s="581">
        <v>45397</v>
      </c>
      <c r="BB564" s="582">
        <v>2024</v>
      </c>
    </row>
    <row r="565" spans="53:54" x14ac:dyDescent="0.2">
      <c r="BA565" s="581">
        <v>45398</v>
      </c>
      <c r="BB565" s="582">
        <v>2024</v>
      </c>
    </row>
    <row r="566" spans="53:54" x14ac:dyDescent="0.2">
      <c r="BA566" s="581">
        <v>45399</v>
      </c>
      <c r="BB566" s="582">
        <v>2024</v>
      </c>
    </row>
    <row r="567" spans="53:54" x14ac:dyDescent="0.2">
      <c r="BA567" s="581">
        <v>45400</v>
      </c>
      <c r="BB567" s="582">
        <v>2024</v>
      </c>
    </row>
    <row r="568" spans="53:54" x14ac:dyDescent="0.2">
      <c r="BA568" s="581">
        <v>45401</v>
      </c>
      <c r="BB568" s="582">
        <v>2024</v>
      </c>
    </row>
    <row r="569" spans="53:54" x14ac:dyDescent="0.2">
      <c r="BA569" s="581">
        <v>45402</v>
      </c>
      <c r="BB569" s="582">
        <v>2024</v>
      </c>
    </row>
    <row r="570" spans="53:54" x14ac:dyDescent="0.2">
      <c r="BA570" s="581">
        <v>45403</v>
      </c>
      <c r="BB570" s="582">
        <v>2024</v>
      </c>
    </row>
    <row r="571" spans="53:54" x14ac:dyDescent="0.2">
      <c r="BA571" s="581">
        <v>45404</v>
      </c>
      <c r="BB571" s="582">
        <v>2024</v>
      </c>
    </row>
    <row r="572" spans="53:54" x14ac:dyDescent="0.2">
      <c r="BA572" s="581">
        <v>45405</v>
      </c>
      <c r="BB572" s="582">
        <v>2024</v>
      </c>
    </row>
    <row r="573" spans="53:54" x14ac:dyDescent="0.2">
      <c r="BA573" s="581">
        <v>45406</v>
      </c>
      <c r="BB573" s="582">
        <v>2024</v>
      </c>
    </row>
    <row r="574" spans="53:54" x14ac:dyDescent="0.2">
      <c r="BA574" s="581">
        <v>45407</v>
      </c>
      <c r="BB574" s="582">
        <v>2024</v>
      </c>
    </row>
    <row r="575" spans="53:54" x14ac:dyDescent="0.2">
      <c r="BA575" s="581">
        <v>45408</v>
      </c>
      <c r="BB575" s="582">
        <v>2024</v>
      </c>
    </row>
    <row r="576" spans="53:54" x14ac:dyDescent="0.2">
      <c r="BA576" s="581">
        <v>45409</v>
      </c>
      <c r="BB576" s="582">
        <v>2024</v>
      </c>
    </row>
    <row r="577" spans="53:54" x14ac:dyDescent="0.2">
      <c r="BA577" s="581">
        <v>45410</v>
      </c>
      <c r="BB577" s="582">
        <v>2024</v>
      </c>
    </row>
    <row r="578" spans="53:54" x14ac:dyDescent="0.2">
      <c r="BA578" s="581">
        <v>45411</v>
      </c>
      <c r="BB578" s="582">
        <v>2024</v>
      </c>
    </row>
    <row r="579" spans="53:54" x14ac:dyDescent="0.2">
      <c r="BA579" s="581">
        <v>45412</v>
      </c>
      <c r="BB579" s="582">
        <v>2024</v>
      </c>
    </row>
    <row r="580" spans="53:54" x14ac:dyDescent="0.2">
      <c r="BA580" s="581">
        <v>45413</v>
      </c>
      <c r="BB580" s="582">
        <v>2024</v>
      </c>
    </row>
    <row r="581" spans="53:54" x14ac:dyDescent="0.2">
      <c r="BA581" s="581">
        <v>45414</v>
      </c>
      <c r="BB581" s="582">
        <v>2024</v>
      </c>
    </row>
    <row r="582" spans="53:54" x14ac:dyDescent="0.2">
      <c r="BA582" s="581">
        <v>45415</v>
      </c>
      <c r="BB582" s="582">
        <v>2024</v>
      </c>
    </row>
    <row r="583" spans="53:54" x14ac:dyDescent="0.2">
      <c r="BA583" s="581">
        <v>45416</v>
      </c>
      <c r="BB583" s="582">
        <v>2024</v>
      </c>
    </row>
    <row r="584" spans="53:54" x14ac:dyDescent="0.2">
      <c r="BA584" s="581">
        <v>45417</v>
      </c>
      <c r="BB584" s="582">
        <v>2024</v>
      </c>
    </row>
    <row r="585" spans="53:54" x14ac:dyDescent="0.2">
      <c r="BA585" s="581">
        <v>45418</v>
      </c>
      <c r="BB585" s="582">
        <v>2024</v>
      </c>
    </row>
    <row r="586" spans="53:54" x14ac:dyDescent="0.2">
      <c r="BA586" s="581">
        <v>45419</v>
      </c>
      <c r="BB586" s="582">
        <v>2024</v>
      </c>
    </row>
    <row r="587" spans="53:54" x14ac:dyDescent="0.2">
      <c r="BA587" s="581">
        <v>45420</v>
      </c>
      <c r="BB587" s="582">
        <v>2024</v>
      </c>
    </row>
    <row r="588" spans="53:54" x14ac:dyDescent="0.2">
      <c r="BA588" s="581">
        <v>45421</v>
      </c>
      <c r="BB588" s="582">
        <v>2024</v>
      </c>
    </row>
    <row r="589" spans="53:54" x14ac:dyDescent="0.2">
      <c r="BA589" s="581">
        <v>45422</v>
      </c>
      <c r="BB589" s="582">
        <v>2024</v>
      </c>
    </row>
    <row r="590" spans="53:54" x14ac:dyDescent="0.2">
      <c r="BA590" s="581">
        <v>45423</v>
      </c>
      <c r="BB590" s="582">
        <v>2024</v>
      </c>
    </row>
    <row r="591" spans="53:54" x14ac:dyDescent="0.2">
      <c r="BA591" s="581">
        <v>45424</v>
      </c>
      <c r="BB591" s="582">
        <v>2024</v>
      </c>
    </row>
    <row r="592" spans="53:54" x14ac:dyDescent="0.2">
      <c r="BA592" s="581">
        <v>45425</v>
      </c>
      <c r="BB592" s="582">
        <v>2024</v>
      </c>
    </row>
    <row r="593" spans="53:54" x14ac:dyDescent="0.2">
      <c r="BA593" s="581">
        <v>45426</v>
      </c>
      <c r="BB593" s="582">
        <v>2024</v>
      </c>
    </row>
    <row r="594" spans="53:54" x14ac:dyDescent="0.2">
      <c r="BA594" s="581">
        <v>45427</v>
      </c>
      <c r="BB594" s="582">
        <v>2024</v>
      </c>
    </row>
    <row r="595" spans="53:54" x14ac:dyDescent="0.2">
      <c r="BA595" s="581">
        <v>45428</v>
      </c>
      <c r="BB595" s="582">
        <v>2024</v>
      </c>
    </row>
    <row r="596" spans="53:54" x14ac:dyDescent="0.2">
      <c r="BA596" s="581">
        <v>45429</v>
      </c>
      <c r="BB596" s="582">
        <v>2024</v>
      </c>
    </row>
    <row r="597" spans="53:54" x14ac:dyDescent="0.2">
      <c r="BA597" s="581">
        <v>45430</v>
      </c>
      <c r="BB597" s="582">
        <v>2024</v>
      </c>
    </row>
    <row r="598" spans="53:54" x14ac:dyDescent="0.2">
      <c r="BA598" s="581">
        <v>45431</v>
      </c>
      <c r="BB598" s="582">
        <v>2024</v>
      </c>
    </row>
    <row r="599" spans="53:54" x14ac:dyDescent="0.2">
      <c r="BA599" s="581">
        <v>45432</v>
      </c>
      <c r="BB599" s="582">
        <v>2024</v>
      </c>
    </row>
    <row r="600" spans="53:54" x14ac:dyDescent="0.2">
      <c r="BA600" s="581">
        <v>45433</v>
      </c>
      <c r="BB600" s="582">
        <v>2024</v>
      </c>
    </row>
    <row r="601" spans="53:54" x14ac:dyDescent="0.2">
      <c r="BA601" s="581">
        <v>45434</v>
      </c>
      <c r="BB601" s="582">
        <v>2024</v>
      </c>
    </row>
    <row r="602" spans="53:54" x14ac:dyDescent="0.2">
      <c r="BA602" s="581">
        <v>45435</v>
      </c>
      <c r="BB602" s="582">
        <v>2024</v>
      </c>
    </row>
    <row r="603" spans="53:54" x14ac:dyDescent="0.2">
      <c r="BA603" s="581">
        <v>45436</v>
      </c>
      <c r="BB603" s="582">
        <v>2024</v>
      </c>
    </row>
    <row r="604" spans="53:54" x14ac:dyDescent="0.2">
      <c r="BA604" s="581">
        <v>45437</v>
      </c>
      <c r="BB604" s="582">
        <v>2024</v>
      </c>
    </row>
    <row r="605" spans="53:54" x14ac:dyDescent="0.2">
      <c r="BA605" s="581">
        <v>45438</v>
      </c>
      <c r="BB605" s="582">
        <v>2024</v>
      </c>
    </row>
    <row r="606" spans="53:54" x14ac:dyDescent="0.2">
      <c r="BA606" s="581">
        <v>45439</v>
      </c>
      <c r="BB606" s="582">
        <v>2024</v>
      </c>
    </row>
    <row r="607" spans="53:54" x14ac:dyDescent="0.2">
      <c r="BA607" s="581">
        <v>45440</v>
      </c>
      <c r="BB607" s="582">
        <v>2024</v>
      </c>
    </row>
    <row r="608" spans="53:54" x14ac:dyDescent="0.2">
      <c r="BA608" s="581">
        <v>45441</v>
      </c>
      <c r="BB608" s="582">
        <v>2024</v>
      </c>
    </row>
    <row r="609" spans="53:54" x14ac:dyDescent="0.2">
      <c r="BA609" s="581">
        <v>45442</v>
      </c>
      <c r="BB609" s="582">
        <v>2024</v>
      </c>
    </row>
    <row r="610" spans="53:54" x14ac:dyDescent="0.2">
      <c r="BA610" s="581">
        <v>45443</v>
      </c>
      <c r="BB610" s="582">
        <v>2024</v>
      </c>
    </row>
    <row r="611" spans="53:54" x14ac:dyDescent="0.2">
      <c r="BA611" s="581">
        <v>45444</v>
      </c>
      <c r="BB611" s="582">
        <v>2024</v>
      </c>
    </row>
    <row r="612" spans="53:54" x14ac:dyDescent="0.2">
      <c r="BA612" s="581">
        <v>45445</v>
      </c>
      <c r="BB612" s="582">
        <v>2024</v>
      </c>
    </row>
    <row r="613" spans="53:54" x14ac:dyDescent="0.2">
      <c r="BA613" s="581">
        <v>45446</v>
      </c>
      <c r="BB613" s="582">
        <v>2024</v>
      </c>
    </row>
    <row r="614" spans="53:54" x14ac:dyDescent="0.2">
      <c r="BA614" s="581">
        <v>45447</v>
      </c>
      <c r="BB614" s="582">
        <v>2024</v>
      </c>
    </row>
    <row r="615" spans="53:54" x14ac:dyDescent="0.2">
      <c r="BA615" s="581">
        <v>45448</v>
      </c>
      <c r="BB615" s="582">
        <v>2024</v>
      </c>
    </row>
    <row r="616" spans="53:54" x14ac:dyDescent="0.2">
      <c r="BA616" s="581">
        <v>45449</v>
      </c>
      <c r="BB616" s="582">
        <v>2024</v>
      </c>
    </row>
    <row r="617" spans="53:54" x14ac:dyDescent="0.2">
      <c r="BA617" s="581">
        <v>45450</v>
      </c>
      <c r="BB617" s="582">
        <v>2024</v>
      </c>
    </row>
    <row r="618" spans="53:54" x14ac:dyDescent="0.2">
      <c r="BA618" s="581">
        <v>45451</v>
      </c>
      <c r="BB618" s="582">
        <v>2024</v>
      </c>
    </row>
    <row r="619" spans="53:54" x14ac:dyDescent="0.2">
      <c r="BA619" s="581">
        <v>45452</v>
      </c>
      <c r="BB619" s="582">
        <v>2024</v>
      </c>
    </row>
    <row r="620" spans="53:54" x14ac:dyDescent="0.2">
      <c r="BA620" s="581">
        <v>45453</v>
      </c>
      <c r="BB620" s="582">
        <v>2024</v>
      </c>
    </row>
    <row r="621" spans="53:54" x14ac:dyDescent="0.2">
      <c r="BA621" s="581">
        <v>45454</v>
      </c>
      <c r="BB621" s="582">
        <v>2024</v>
      </c>
    </row>
    <row r="622" spans="53:54" x14ac:dyDescent="0.2">
      <c r="BA622" s="581">
        <v>45455</v>
      </c>
      <c r="BB622" s="582">
        <v>2024</v>
      </c>
    </row>
    <row r="623" spans="53:54" x14ac:dyDescent="0.2">
      <c r="BA623" s="581">
        <v>45456</v>
      </c>
      <c r="BB623" s="582">
        <v>2024</v>
      </c>
    </row>
    <row r="624" spans="53:54" x14ac:dyDescent="0.2">
      <c r="BA624" s="581">
        <v>45457</v>
      </c>
      <c r="BB624" s="582">
        <v>2024</v>
      </c>
    </row>
    <row r="625" spans="53:54" x14ac:dyDescent="0.2">
      <c r="BA625" s="581">
        <v>45458</v>
      </c>
      <c r="BB625" s="582">
        <v>2024</v>
      </c>
    </row>
    <row r="626" spans="53:54" x14ac:dyDescent="0.2">
      <c r="BA626" s="581">
        <v>45459</v>
      </c>
      <c r="BB626" s="582">
        <v>2024</v>
      </c>
    </row>
    <row r="627" spans="53:54" x14ac:dyDescent="0.2">
      <c r="BA627" s="581">
        <v>45460</v>
      </c>
      <c r="BB627" s="582">
        <v>2024</v>
      </c>
    </row>
    <row r="628" spans="53:54" x14ac:dyDescent="0.2">
      <c r="BA628" s="581">
        <v>45461</v>
      </c>
      <c r="BB628" s="582">
        <v>2024</v>
      </c>
    </row>
    <row r="629" spans="53:54" x14ac:dyDescent="0.2">
      <c r="BA629" s="581">
        <v>45462</v>
      </c>
      <c r="BB629" s="582">
        <v>2024</v>
      </c>
    </row>
    <row r="630" spans="53:54" x14ac:dyDescent="0.2">
      <c r="BA630" s="581">
        <v>45463</v>
      </c>
      <c r="BB630" s="582">
        <v>2024</v>
      </c>
    </row>
    <row r="631" spans="53:54" x14ac:dyDescent="0.2">
      <c r="BA631" s="581">
        <v>45464</v>
      </c>
      <c r="BB631" s="582">
        <v>2024</v>
      </c>
    </row>
    <row r="632" spans="53:54" x14ac:dyDescent="0.2">
      <c r="BA632" s="581">
        <v>45465</v>
      </c>
      <c r="BB632" s="582">
        <v>2024</v>
      </c>
    </row>
    <row r="633" spans="53:54" x14ac:dyDescent="0.2">
      <c r="BA633" s="581">
        <v>45466</v>
      </c>
      <c r="BB633" s="582">
        <v>2024</v>
      </c>
    </row>
    <row r="634" spans="53:54" x14ac:dyDescent="0.2">
      <c r="BA634" s="581">
        <v>45467</v>
      </c>
      <c r="BB634" s="582">
        <v>2024</v>
      </c>
    </row>
    <row r="635" spans="53:54" x14ac:dyDescent="0.2">
      <c r="BA635" s="581">
        <v>45468</v>
      </c>
      <c r="BB635" s="582">
        <v>2024</v>
      </c>
    </row>
    <row r="636" spans="53:54" x14ac:dyDescent="0.2">
      <c r="BA636" s="581">
        <v>45469</v>
      </c>
      <c r="BB636" s="582">
        <v>2024</v>
      </c>
    </row>
    <row r="637" spans="53:54" x14ac:dyDescent="0.2">
      <c r="BA637" s="581">
        <v>45470</v>
      </c>
      <c r="BB637" s="582">
        <v>2024</v>
      </c>
    </row>
    <row r="638" spans="53:54" x14ac:dyDescent="0.2">
      <c r="BA638" s="581">
        <v>45471</v>
      </c>
      <c r="BB638" s="582">
        <v>2024</v>
      </c>
    </row>
    <row r="639" spans="53:54" x14ac:dyDescent="0.2">
      <c r="BA639" s="581">
        <v>45472</v>
      </c>
      <c r="BB639" s="582">
        <v>2024</v>
      </c>
    </row>
    <row r="640" spans="53:54" x14ac:dyDescent="0.2">
      <c r="BA640" s="581">
        <v>45473</v>
      </c>
      <c r="BB640" s="582">
        <v>2024</v>
      </c>
    </row>
    <row r="641" spans="53:54" x14ac:dyDescent="0.2">
      <c r="BA641" s="581">
        <v>45474</v>
      </c>
      <c r="BB641" s="582">
        <v>2024</v>
      </c>
    </row>
    <row r="642" spans="53:54" x14ac:dyDescent="0.2">
      <c r="BA642" s="581">
        <v>45475</v>
      </c>
      <c r="BB642" s="582">
        <v>2024</v>
      </c>
    </row>
    <row r="643" spans="53:54" x14ac:dyDescent="0.2">
      <c r="BA643" s="581">
        <v>45476</v>
      </c>
      <c r="BB643" s="582">
        <v>2024</v>
      </c>
    </row>
    <row r="644" spans="53:54" x14ac:dyDescent="0.2">
      <c r="BA644" s="581">
        <v>45477</v>
      </c>
      <c r="BB644" s="582">
        <v>2024</v>
      </c>
    </row>
    <row r="645" spans="53:54" x14ac:dyDescent="0.2">
      <c r="BA645" s="581">
        <v>45478</v>
      </c>
      <c r="BB645" s="582">
        <v>2024</v>
      </c>
    </row>
    <row r="646" spans="53:54" x14ac:dyDescent="0.2">
      <c r="BA646" s="581">
        <v>45479</v>
      </c>
      <c r="BB646" s="582">
        <v>2024</v>
      </c>
    </row>
    <row r="647" spans="53:54" x14ac:dyDescent="0.2">
      <c r="BA647" s="581">
        <v>45480</v>
      </c>
      <c r="BB647" s="582">
        <v>2024</v>
      </c>
    </row>
    <row r="648" spans="53:54" x14ac:dyDescent="0.2">
      <c r="BA648" s="581">
        <v>45481</v>
      </c>
      <c r="BB648" s="582">
        <v>2024</v>
      </c>
    </row>
    <row r="649" spans="53:54" x14ac:dyDescent="0.2">
      <c r="BA649" s="581">
        <v>45482</v>
      </c>
      <c r="BB649" s="582">
        <v>2024</v>
      </c>
    </row>
    <row r="650" spans="53:54" x14ac:dyDescent="0.2">
      <c r="BA650" s="581">
        <v>45483</v>
      </c>
      <c r="BB650" s="582">
        <v>2024</v>
      </c>
    </row>
    <row r="651" spans="53:54" x14ac:dyDescent="0.2">
      <c r="BA651" s="581">
        <v>45484</v>
      </c>
      <c r="BB651" s="582">
        <v>2024</v>
      </c>
    </row>
    <row r="652" spans="53:54" x14ac:dyDescent="0.2">
      <c r="BA652" s="581">
        <v>45485</v>
      </c>
      <c r="BB652" s="582">
        <v>2024</v>
      </c>
    </row>
    <row r="653" spans="53:54" x14ac:dyDescent="0.2">
      <c r="BA653" s="581">
        <v>45486</v>
      </c>
      <c r="BB653" s="582">
        <v>2024</v>
      </c>
    </row>
    <row r="654" spans="53:54" x14ac:dyDescent="0.2">
      <c r="BA654" s="581">
        <v>45487</v>
      </c>
      <c r="BB654" s="582">
        <v>2024</v>
      </c>
    </row>
    <row r="655" spans="53:54" x14ac:dyDescent="0.2">
      <c r="BA655" s="581">
        <v>45488</v>
      </c>
      <c r="BB655" s="582">
        <v>2024</v>
      </c>
    </row>
    <row r="656" spans="53:54" x14ac:dyDescent="0.2">
      <c r="BA656" s="581">
        <v>45489</v>
      </c>
      <c r="BB656" s="582">
        <v>2024</v>
      </c>
    </row>
    <row r="657" spans="53:54" x14ac:dyDescent="0.2">
      <c r="BA657" s="581">
        <v>45490</v>
      </c>
      <c r="BB657" s="582">
        <v>2024</v>
      </c>
    </row>
    <row r="658" spans="53:54" x14ac:dyDescent="0.2">
      <c r="BA658" s="581">
        <v>45491</v>
      </c>
      <c r="BB658" s="582">
        <v>2024</v>
      </c>
    </row>
    <row r="659" spans="53:54" x14ac:dyDescent="0.2">
      <c r="BA659" s="581">
        <v>45492</v>
      </c>
      <c r="BB659" s="582">
        <v>2024</v>
      </c>
    </row>
    <row r="660" spans="53:54" x14ac:dyDescent="0.2">
      <c r="BA660" s="581">
        <v>45493</v>
      </c>
      <c r="BB660" s="582">
        <v>2024</v>
      </c>
    </row>
    <row r="661" spans="53:54" x14ac:dyDescent="0.2">
      <c r="BA661" s="581">
        <v>45494</v>
      </c>
      <c r="BB661" s="582">
        <v>2024</v>
      </c>
    </row>
    <row r="662" spans="53:54" x14ac:dyDescent="0.2">
      <c r="BA662" s="581">
        <v>45495</v>
      </c>
      <c r="BB662" s="582">
        <v>2024</v>
      </c>
    </row>
    <row r="663" spans="53:54" x14ac:dyDescent="0.2">
      <c r="BA663" s="581">
        <v>45496</v>
      </c>
      <c r="BB663" s="582">
        <v>2024</v>
      </c>
    </row>
    <row r="664" spans="53:54" x14ac:dyDescent="0.2">
      <c r="BA664" s="581">
        <v>45497</v>
      </c>
      <c r="BB664" s="582">
        <v>2024</v>
      </c>
    </row>
    <row r="665" spans="53:54" x14ac:dyDescent="0.2">
      <c r="BA665" s="581">
        <v>45498</v>
      </c>
      <c r="BB665" s="582">
        <v>2024</v>
      </c>
    </row>
    <row r="666" spans="53:54" x14ac:dyDescent="0.2">
      <c r="BA666" s="581">
        <v>45499</v>
      </c>
      <c r="BB666" s="582">
        <v>2024</v>
      </c>
    </row>
    <row r="667" spans="53:54" x14ac:dyDescent="0.2">
      <c r="BA667" s="581">
        <v>45500</v>
      </c>
      <c r="BB667" s="582">
        <v>2024</v>
      </c>
    </row>
    <row r="668" spans="53:54" x14ac:dyDescent="0.2">
      <c r="BA668" s="581">
        <v>45501</v>
      </c>
      <c r="BB668" s="582">
        <v>2024</v>
      </c>
    </row>
    <row r="669" spans="53:54" x14ac:dyDescent="0.2">
      <c r="BA669" s="581">
        <v>45502</v>
      </c>
      <c r="BB669" s="582">
        <v>2024</v>
      </c>
    </row>
    <row r="670" spans="53:54" x14ac:dyDescent="0.2">
      <c r="BA670" s="581">
        <v>45503</v>
      </c>
      <c r="BB670" s="582">
        <v>2024</v>
      </c>
    </row>
    <row r="671" spans="53:54" x14ac:dyDescent="0.2">
      <c r="BA671" s="581">
        <v>45504</v>
      </c>
      <c r="BB671" s="582">
        <v>2024</v>
      </c>
    </row>
    <row r="672" spans="53:54" x14ac:dyDescent="0.2">
      <c r="BA672" s="581">
        <v>45505</v>
      </c>
      <c r="BB672" s="582">
        <v>2024</v>
      </c>
    </row>
    <row r="673" spans="53:54" x14ac:dyDescent="0.2">
      <c r="BA673" s="581">
        <v>45506</v>
      </c>
      <c r="BB673" s="582">
        <v>2024</v>
      </c>
    </row>
    <row r="674" spans="53:54" x14ac:dyDescent="0.2">
      <c r="BA674" s="581">
        <v>45507</v>
      </c>
      <c r="BB674" s="582">
        <v>2024</v>
      </c>
    </row>
    <row r="675" spans="53:54" x14ac:dyDescent="0.2">
      <c r="BA675" s="581">
        <v>45508</v>
      </c>
      <c r="BB675" s="582">
        <v>2024</v>
      </c>
    </row>
    <row r="676" spans="53:54" x14ac:dyDescent="0.2">
      <c r="BA676" s="581">
        <v>45509</v>
      </c>
      <c r="BB676" s="582">
        <v>2024</v>
      </c>
    </row>
    <row r="677" spans="53:54" x14ac:dyDescent="0.2">
      <c r="BA677" s="581">
        <v>45510</v>
      </c>
      <c r="BB677" s="582">
        <v>2024</v>
      </c>
    </row>
    <row r="678" spans="53:54" x14ac:dyDescent="0.2">
      <c r="BA678" s="581">
        <v>45511</v>
      </c>
      <c r="BB678" s="582">
        <v>2024</v>
      </c>
    </row>
    <row r="679" spans="53:54" x14ac:dyDescent="0.2">
      <c r="BA679" s="581">
        <v>45512</v>
      </c>
      <c r="BB679" s="582">
        <v>2024</v>
      </c>
    </row>
    <row r="680" spans="53:54" x14ac:dyDescent="0.2">
      <c r="BA680" s="581">
        <v>45513</v>
      </c>
      <c r="BB680" s="582">
        <v>2024</v>
      </c>
    </row>
    <row r="681" spans="53:54" x14ac:dyDescent="0.2">
      <c r="BA681" s="581">
        <v>45514</v>
      </c>
      <c r="BB681" s="582">
        <v>2024</v>
      </c>
    </row>
    <row r="682" spans="53:54" x14ac:dyDescent="0.2">
      <c r="BA682" s="581">
        <v>45515</v>
      </c>
      <c r="BB682" s="582">
        <v>2024</v>
      </c>
    </row>
    <row r="683" spans="53:54" x14ac:dyDescent="0.2">
      <c r="BA683" s="581">
        <v>45516</v>
      </c>
      <c r="BB683" s="582">
        <v>2024</v>
      </c>
    </row>
    <row r="684" spans="53:54" x14ac:dyDescent="0.2">
      <c r="BA684" s="581">
        <v>45517</v>
      </c>
      <c r="BB684" s="582">
        <v>2024</v>
      </c>
    </row>
    <row r="685" spans="53:54" x14ac:dyDescent="0.2">
      <c r="BA685" s="581">
        <v>45518</v>
      </c>
      <c r="BB685" s="582">
        <v>2024</v>
      </c>
    </row>
    <row r="686" spans="53:54" x14ac:dyDescent="0.2">
      <c r="BA686" s="581">
        <v>45519</v>
      </c>
      <c r="BB686" s="582">
        <v>2024</v>
      </c>
    </row>
    <row r="687" spans="53:54" x14ac:dyDescent="0.2">
      <c r="BA687" s="581">
        <v>45520</v>
      </c>
      <c r="BB687" s="582">
        <v>2024</v>
      </c>
    </row>
    <row r="688" spans="53:54" x14ac:dyDescent="0.2">
      <c r="BA688" s="581">
        <v>45521</v>
      </c>
      <c r="BB688" s="582">
        <v>2024</v>
      </c>
    </row>
    <row r="689" spans="53:54" x14ac:dyDescent="0.2">
      <c r="BA689" s="581">
        <v>45522</v>
      </c>
      <c r="BB689" s="582">
        <v>2024</v>
      </c>
    </row>
    <row r="690" spans="53:54" x14ac:dyDescent="0.2">
      <c r="BA690" s="581">
        <v>45523</v>
      </c>
      <c r="BB690" s="582">
        <v>2024</v>
      </c>
    </row>
    <row r="691" spans="53:54" x14ac:dyDescent="0.2">
      <c r="BA691" s="581">
        <v>45524</v>
      </c>
      <c r="BB691" s="582">
        <v>2024</v>
      </c>
    </row>
    <row r="692" spans="53:54" x14ac:dyDescent="0.2">
      <c r="BA692" s="581">
        <v>45525</v>
      </c>
      <c r="BB692" s="582">
        <v>2024</v>
      </c>
    </row>
    <row r="693" spans="53:54" x14ac:dyDescent="0.2">
      <c r="BA693" s="581">
        <v>45526</v>
      </c>
      <c r="BB693" s="582">
        <v>2024</v>
      </c>
    </row>
    <row r="694" spans="53:54" x14ac:dyDescent="0.2">
      <c r="BA694" s="581">
        <v>45527</v>
      </c>
      <c r="BB694" s="582">
        <v>2024</v>
      </c>
    </row>
    <row r="695" spans="53:54" x14ac:dyDescent="0.2">
      <c r="BA695" s="581">
        <v>45528</v>
      </c>
      <c r="BB695" s="582">
        <v>2024</v>
      </c>
    </row>
    <row r="696" spans="53:54" x14ac:dyDescent="0.2">
      <c r="BA696" s="581">
        <v>45529</v>
      </c>
      <c r="BB696" s="582">
        <v>2024</v>
      </c>
    </row>
    <row r="697" spans="53:54" x14ac:dyDescent="0.2">
      <c r="BA697" s="581">
        <v>45530</v>
      </c>
      <c r="BB697" s="582">
        <v>2024</v>
      </c>
    </row>
    <row r="698" spans="53:54" x14ac:dyDescent="0.2">
      <c r="BA698" s="581">
        <v>45531</v>
      </c>
      <c r="BB698" s="582">
        <v>2024</v>
      </c>
    </row>
    <row r="699" spans="53:54" x14ac:dyDescent="0.2">
      <c r="BA699" s="581">
        <v>45532</v>
      </c>
      <c r="BB699" s="582">
        <v>2024</v>
      </c>
    </row>
    <row r="700" spans="53:54" x14ac:dyDescent="0.2">
      <c r="BA700" s="581">
        <v>45533</v>
      </c>
      <c r="BB700" s="582">
        <v>2024</v>
      </c>
    </row>
    <row r="701" spans="53:54" x14ac:dyDescent="0.2">
      <c r="BA701" s="581">
        <v>45534</v>
      </c>
      <c r="BB701" s="582">
        <v>2024</v>
      </c>
    </row>
    <row r="702" spans="53:54" x14ac:dyDescent="0.2">
      <c r="BA702" s="581">
        <v>45535</v>
      </c>
      <c r="BB702" s="582">
        <v>2024</v>
      </c>
    </row>
    <row r="703" spans="53:54" x14ac:dyDescent="0.2">
      <c r="BA703" s="581">
        <v>45536</v>
      </c>
      <c r="BB703" s="582">
        <v>2024</v>
      </c>
    </row>
    <row r="704" spans="53:54" x14ac:dyDescent="0.2">
      <c r="BA704" s="581">
        <v>45537</v>
      </c>
      <c r="BB704" s="582">
        <v>2024</v>
      </c>
    </row>
    <row r="705" spans="53:54" x14ac:dyDescent="0.2">
      <c r="BA705" s="581">
        <v>45538</v>
      </c>
      <c r="BB705" s="582">
        <v>2024</v>
      </c>
    </row>
    <row r="706" spans="53:54" x14ac:dyDescent="0.2">
      <c r="BA706" s="581">
        <v>45539</v>
      </c>
      <c r="BB706" s="582">
        <v>2024</v>
      </c>
    </row>
    <row r="707" spans="53:54" x14ac:dyDescent="0.2">
      <c r="BA707" s="581">
        <v>45540</v>
      </c>
      <c r="BB707" s="582">
        <v>2024</v>
      </c>
    </row>
    <row r="708" spans="53:54" x14ac:dyDescent="0.2">
      <c r="BA708" s="581">
        <v>45541</v>
      </c>
      <c r="BB708" s="582">
        <v>2024</v>
      </c>
    </row>
    <row r="709" spans="53:54" x14ac:dyDescent="0.2">
      <c r="BA709" s="581">
        <v>45542</v>
      </c>
      <c r="BB709" s="582">
        <v>2024</v>
      </c>
    </row>
    <row r="710" spans="53:54" x14ac:dyDescent="0.2">
      <c r="BA710" s="581">
        <v>45543</v>
      </c>
      <c r="BB710" s="582">
        <v>2024</v>
      </c>
    </row>
    <row r="711" spans="53:54" x14ac:dyDescent="0.2">
      <c r="BA711" s="581">
        <v>45544</v>
      </c>
      <c r="BB711" s="582">
        <v>2024</v>
      </c>
    </row>
    <row r="712" spans="53:54" x14ac:dyDescent="0.2">
      <c r="BA712" s="581">
        <v>45545</v>
      </c>
      <c r="BB712" s="582">
        <v>2024</v>
      </c>
    </row>
    <row r="713" spans="53:54" x14ac:dyDescent="0.2">
      <c r="BA713" s="581">
        <v>45546</v>
      </c>
      <c r="BB713" s="582">
        <v>2024</v>
      </c>
    </row>
    <row r="714" spans="53:54" x14ac:dyDescent="0.2">
      <c r="BA714" s="581">
        <v>45547</v>
      </c>
      <c r="BB714" s="582">
        <v>2024</v>
      </c>
    </row>
    <row r="715" spans="53:54" x14ac:dyDescent="0.2">
      <c r="BA715" s="581">
        <v>45548</v>
      </c>
      <c r="BB715" s="582">
        <v>2024</v>
      </c>
    </row>
    <row r="716" spans="53:54" x14ac:dyDescent="0.2">
      <c r="BA716" s="581">
        <v>45549</v>
      </c>
      <c r="BB716" s="582">
        <v>2024</v>
      </c>
    </row>
    <row r="717" spans="53:54" x14ac:dyDescent="0.2">
      <c r="BA717" s="581">
        <v>45550</v>
      </c>
      <c r="BB717" s="582">
        <v>2024</v>
      </c>
    </row>
    <row r="718" spans="53:54" x14ac:dyDescent="0.2">
      <c r="BA718" s="581">
        <v>45551</v>
      </c>
      <c r="BB718" s="582">
        <v>2024</v>
      </c>
    </row>
    <row r="719" spans="53:54" x14ac:dyDescent="0.2">
      <c r="BA719" s="581">
        <v>45552</v>
      </c>
      <c r="BB719" s="582">
        <v>2024</v>
      </c>
    </row>
    <row r="720" spans="53:54" x14ac:dyDescent="0.2">
      <c r="BA720" s="581">
        <v>45553</v>
      </c>
      <c r="BB720" s="582">
        <v>2024</v>
      </c>
    </row>
    <row r="721" spans="53:54" x14ac:dyDescent="0.2">
      <c r="BA721" s="581">
        <v>45554</v>
      </c>
      <c r="BB721" s="582">
        <v>2024</v>
      </c>
    </row>
    <row r="722" spans="53:54" x14ac:dyDescent="0.2">
      <c r="BA722" s="581">
        <v>45555</v>
      </c>
      <c r="BB722" s="582">
        <v>2024</v>
      </c>
    </row>
    <row r="723" spans="53:54" x14ac:dyDescent="0.2">
      <c r="BA723" s="581">
        <v>45556</v>
      </c>
      <c r="BB723" s="582">
        <v>2024</v>
      </c>
    </row>
    <row r="724" spans="53:54" x14ac:dyDescent="0.2">
      <c r="BA724" s="581">
        <v>45557</v>
      </c>
      <c r="BB724" s="582">
        <v>2024</v>
      </c>
    </row>
    <row r="725" spans="53:54" x14ac:dyDescent="0.2">
      <c r="BA725" s="581">
        <v>45558</v>
      </c>
      <c r="BB725" s="582">
        <v>2024</v>
      </c>
    </row>
    <row r="726" spans="53:54" x14ac:dyDescent="0.2">
      <c r="BA726" s="581">
        <v>45559</v>
      </c>
      <c r="BB726" s="582">
        <v>2024</v>
      </c>
    </row>
    <row r="727" spans="53:54" x14ac:dyDescent="0.2">
      <c r="BA727" s="581">
        <v>45560</v>
      </c>
      <c r="BB727" s="582">
        <v>2024</v>
      </c>
    </row>
    <row r="728" spans="53:54" x14ac:dyDescent="0.2">
      <c r="BA728" s="581">
        <v>45561</v>
      </c>
      <c r="BB728" s="582">
        <v>2024</v>
      </c>
    </row>
    <row r="729" spans="53:54" x14ac:dyDescent="0.2">
      <c r="BA729" s="581">
        <v>45562</v>
      </c>
      <c r="BB729" s="582">
        <v>2024</v>
      </c>
    </row>
    <row r="730" spans="53:54" x14ac:dyDescent="0.2">
      <c r="BA730" s="581">
        <v>45563</v>
      </c>
      <c r="BB730" s="582">
        <v>2024</v>
      </c>
    </row>
    <row r="731" spans="53:54" x14ac:dyDescent="0.2">
      <c r="BA731" s="581">
        <v>45564</v>
      </c>
      <c r="BB731" s="582">
        <v>2024</v>
      </c>
    </row>
    <row r="732" spans="53:54" x14ac:dyDescent="0.2">
      <c r="BA732" s="581">
        <v>45565</v>
      </c>
      <c r="BB732" s="582">
        <v>2024</v>
      </c>
    </row>
    <row r="733" spans="53:54" x14ac:dyDescent="0.2">
      <c r="BA733" s="581">
        <v>45566</v>
      </c>
      <c r="BB733" s="582">
        <v>2025</v>
      </c>
    </row>
    <row r="734" spans="53:54" x14ac:dyDescent="0.2">
      <c r="BA734" s="581">
        <v>45567</v>
      </c>
      <c r="BB734" s="582">
        <v>2025</v>
      </c>
    </row>
    <row r="735" spans="53:54" x14ac:dyDescent="0.2">
      <c r="BA735" s="581">
        <v>45568</v>
      </c>
      <c r="BB735" s="582">
        <v>2025</v>
      </c>
    </row>
    <row r="736" spans="53:54" x14ac:dyDescent="0.2">
      <c r="BA736" s="581">
        <v>45569</v>
      </c>
      <c r="BB736" s="582">
        <v>2025</v>
      </c>
    </row>
    <row r="737" spans="53:54" x14ac:dyDescent="0.2">
      <c r="BA737" s="581">
        <v>45570</v>
      </c>
      <c r="BB737" s="582">
        <v>2025</v>
      </c>
    </row>
    <row r="738" spans="53:54" x14ac:dyDescent="0.2">
      <c r="BA738" s="581">
        <v>45571</v>
      </c>
      <c r="BB738" s="582">
        <v>2025</v>
      </c>
    </row>
    <row r="739" spans="53:54" x14ac:dyDescent="0.2">
      <c r="BA739" s="581">
        <v>45572</v>
      </c>
      <c r="BB739" s="582">
        <v>2025</v>
      </c>
    </row>
    <row r="740" spans="53:54" x14ac:dyDescent="0.2">
      <c r="BA740" s="581">
        <v>45573</v>
      </c>
      <c r="BB740" s="582">
        <v>2025</v>
      </c>
    </row>
    <row r="741" spans="53:54" x14ac:dyDescent="0.2">
      <c r="BA741" s="581">
        <v>45574</v>
      </c>
      <c r="BB741" s="582">
        <v>2025</v>
      </c>
    </row>
    <row r="742" spans="53:54" x14ac:dyDescent="0.2">
      <c r="BA742" s="581">
        <v>45575</v>
      </c>
      <c r="BB742" s="582">
        <v>2025</v>
      </c>
    </row>
    <row r="743" spans="53:54" x14ac:dyDescent="0.2">
      <c r="BA743" s="581">
        <v>45576</v>
      </c>
      <c r="BB743" s="582">
        <v>2025</v>
      </c>
    </row>
    <row r="744" spans="53:54" x14ac:dyDescent="0.2">
      <c r="BA744" s="581">
        <v>45577</v>
      </c>
      <c r="BB744" s="582">
        <v>2025</v>
      </c>
    </row>
    <row r="745" spans="53:54" x14ac:dyDescent="0.2">
      <c r="BA745" s="581">
        <v>45578</v>
      </c>
      <c r="BB745" s="582">
        <v>2025</v>
      </c>
    </row>
    <row r="746" spans="53:54" x14ac:dyDescent="0.2">
      <c r="BA746" s="581">
        <v>45579</v>
      </c>
      <c r="BB746" s="582">
        <v>2025</v>
      </c>
    </row>
    <row r="747" spans="53:54" x14ac:dyDescent="0.2">
      <c r="BA747" s="581">
        <v>45580</v>
      </c>
      <c r="BB747" s="582">
        <v>2025</v>
      </c>
    </row>
    <row r="748" spans="53:54" x14ac:dyDescent="0.2">
      <c r="BA748" s="581">
        <v>45581</v>
      </c>
      <c r="BB748" s="582">
        <v>2025</v>
      </c>
    </row>
    <row r="749" spans="53:54" x14ac:dyDescent="0.2">
      <c r="BA749" s="581">
        <v>45582</v>
      </c>
      <c r="BB749" s="582">
        <v>2025</v>
      </c>
    </row>
    <row r="750" spans="53:54" x14ac:dyDescent="0.2">
      <c r="BA750" s="581">
        <v>45583</v>
      </c>
      <c r="BB750" s="582">
        <v>2025</v>
      </c>
    </row>
    <row r="751" spans="53:54" x14ac:dyDescent="0.2">
      <c r="BA751" s="581">
        <v>45584</v>
      </c>
      <c r="BB751" s="582">
        <v>2025</v>
      </c>
    </row>
    <row r="752" spans="53:54" x14ac:dyDescent="0.2">
      <c r="BA752" s="581">
        <v>45585</v>
      </c>
      <c r="BB752" s="582">
        <v>2025</v>
      </c>
    </row>
    <row r="753" spans="53:54" x14ac:dyDescent="0.2">
      <c r="BA753" s="581">
        <v>45586</v>
      </c>
      <c r="BB753" s="582">
        <v>2025</v>
      </c>
    </row>
    <row r="754" spans="53:54" x14ac:dyDescent="0.2">
      <c r="BA754" s="581">
        <v>45587</v>
      </c>
      <c r="BB754" s="582">
        <v>2025</v>
      </c>
    </row>
    <row r="755" spans="53:54" x14ac:dyDescent="0.2">
      <c r="BA755" s="581">
        <v>45588</v>
      </c>
      <c r="BB755" s="582">
        <v>2025</v>
      </c>
    </row>
    <row r="756" spans="53:54" x14ac:dyDescent="0.2">
      <c r="BA756" s="581">
        <v>45589</v>
      </c>
      <c r="BB756" s="582">
        <v>2025</v>
      </c>
    </row>
    <row r="757" spans="53:54" x14ac:dyDescent="0.2">
      <c r="BA757" s="581">
        <v>45590</v>
      </c>
      <c r="BB757" s="582">
        <v>2025</v>
      </c>
    </row>
    <row r="758" spans="53:54" x14ac:dyDescent="0.2">
      <c r="BA758" s="581">
        <v>45591</v>
      </c>
      <c r="BB758" s="582">
        <v>2025</v>
      </c>
    </row>
    <row r="759" spans="53:54" x14ac:dyDescent="0.2">
      <c r="BA759" s="581">
        <v>45592</v>
      </c>
      <c r="BB759" s="582">
        <v>2025</v>
      </c>
    </row>
    <row r="760" spans="53:54" x14ac:dyDescent="0.2">
      <c r="BA760" s="581">
        <v>45593</v>
      </c>
      <c r="BB760" s="582">
        <v>2025</v>
      </c>
    </row>
    <row r="761" spans="53:54" x14ac:dyDescent="0.2">
      <c r="BA761" s="581">
        <v>45594</v>
      </c>
      <c r="BB761" s="582">
        <v>2025</v>
      </c>
    </row>
    <row r="762" spans="53:54" x14ac:dyDescent="0.2">
      <c r="BA762" s="581">
        <v>45595</v>
      </c>
      <c r="BB762" s="582">
        <v>2025</v>
      </c>
    </row>
    <row r="763" spans="53:54" x14ac:dyDescent="0.2">
      <c r="BA763" s="581">
        <v>45596</v>
      </c>
      <c r="BB763" s="582">
        <v>2025</v>
      </c>
    </row>
    <row r="764" spans="53:54" x14ac:dyDescent="0.2">
      <c r="BA764" s="581">
        <v>45597</v>
      </c>
      <c r="BB764" s="582">
        <v>2025</v>
      </c>
    </row>
    <row r="765" spans="53:54" x14ac:dyDescent="0.2">
      <c r="BA765" s="581">
        <v>45598</v>
      </c>
      <c r="BB765" s="582">
        <v>2025</v>
      </c>
    </row>
    <row r="766" spans="53:54" x14ac:dyDescent="0.2">
      <c r="BA766" s="581">
        <v>45599</v>
      </c>
      <c r="BB766" s="582">
        <v>2025</v>
      </c>
    </row>
    <row r="767" spans="53:54" x14ac:dyDescent="0.2">
      <c r="BA767" s="581">
        <v>45600</v>
      </c>
      <c r="BB767" s="582">
        <v>2025</v>
      </c>
    </row>
    <row r="768" spans="53:54" x14ac:dyDescent="0.2">
      <c r="BA768" s="581">
        <v>45601</v>
      </c>
      <c r="BB768" s="582">
        <v>2025</v>
      </c>
    </row>
    <row r="769" spans="53:54" x14ac:dyDescent="0.2">
      <c r="BA769" s="581">
        <v>45602</v>
      </c>
      <c r="BB769" s="582">
        <v>2025</v>
      </c>
    </row>
    <row r="770" spans="53:54" x14ac:dyDescent="0.2">
      <c r="BA770" s="581">
        <v>45603</v>
      </c>
      <c r="BB770" s="582">
        <v>2025</v>
      </c>
    </row>
    <row r="771" spans="53:54" x14ac:dyDescent="0.2">
      <c r="BA771" s="581">
        <v>45604</v>
      </c>
      <c r="BB771" s="582">
        <v>2025</v>
      </c>
    </row>
    <row r="772" spans="53:54" x14ac:dyDescent="0.2">
      <c r="BA772" s="581">
        <v>45605</v>
      </c>
      <c r="BB772" s="582">
        <v>2025</v>
      </c>
    </row>
    <row r="773" spans="53:54" x14ac:dyDescent="0.2">
      <c r="BA773" s="581">
        <v>45606</v>
      </c>
      <c r="BB773" s="582">
        <v>2025</v>
      </c>
    </row>
    <row r="774" spans="53:54" x14ac:dyDescent="0.2">
      <c r="BA774" s="581">
        <v>45607</v>
      </c>
      <c r="BB774" s="582">
        <v>2025</v>
      </c>
    </row>
    <row r="775" spans="53:54" x14ac:dyDescent="0.2">
      <c r="BA775" s="581">
        <v>45608</v>
      </c>
      <c r="BB775" s="582">
        <v>2025</v>
      </c>
    </row>
    <row r="776" spans="53:54" x14ac:dyDescent="0.2">
      <c r="BA776" s="581">
        <v>45609</v>
      </c>
      <c r="BB776" s="582">
        <v>2025</v>
      </c>
    </row>
    <row r="777" spans="53:54" x14ac:dyDescent="0.2">
      <c r="BA777" s="581">
        <v>45610</v>
      </c>
      <c r="BB777" s="582">
        <v>2025</v>
      </c>
    </row>
    <row r="778" spans="53:54" x14ac:dyDescent="0.2">
      <c r="BA778" s="581">
        <v>45611</v>
      </c>
      <c r="BB778" s="582">
        <v>2025</v>
      </c>
    </row>
    <row r="779" spans="53:54" x14ac:dyDescent="0.2">
      <c r="BA779" s="581">
        <v>45612</v>
      </c>
      <c r="BB779" s="582">
        <v>2025</v>
      </c>
    </row>
    <row r="780" spans="53:54" x14ac:dyDescent="0.2">
      <c r="BA780" s="581">
        <v>45613</v>
      </c>
      <c r="BB780" s="582">
        <v>2025</v>
      </c>
    </row>
    <row r="781" spans="53:54" x14ac:dyDescent="0.2">
      <c r="BA781" s="581">
        <v>45614</v>
      </c>
      <c r="BB781" s="582">
        <v>2025</v>
      </c>
    </row>
    <row r="782" spans="53:54" x14ac:dyDescent="0.2">
      <c r="BA782" s="581">
        <v>45615</v>
      </c>
      <c r="BB782" s="582">
        <v>2025</v>
      </c>
    </row>
    <row r="783" spans="53:54" x14ac:dyDescent="0.2">
      <c r="BA783" s="581">
        <v>45616</v>
      </c>
      <c r="BB783" s="582">
        <v>2025</v>
      </c>
    </row>
    <row r="784" spans="53:54" x14ac:dyDescent="0.2">
      <c r="BA784" s="581">
        <v>45617</v>
      </c>
      <c r="BB784" s="582">
        <v>2025</v>
      </c>
    </row>
    <row r="785" spans="53:54" x14ac:dyDescent="0.2">
      <c r="BA785" s="581">
        <v>45618</v>
      </c>
      <c r="BB785" s="582">
        <v>2025</v>
      </c>
    </row>
    <row r="786" spans="53:54" x14ac:dyDescent="0.2">
      <c r="BA786" s="581">
        <v>45619</v>
      </c>
      <c r="BB786" s="582">
        <v>2025</v>
      </c>
    </row>
    <row r="787" spans="53:54" x14ac:dyDescent="0.2">
      <c r="BA787" s="581">
        <v>45620</v>
      </c>
      <c r="BB787" s="582">
        <v>2025</v>
      </c>
    </row>
    <row r="788" spans="53:54" x14ac:dyDescent="0.2">
      <c r="BA788" s="581">
        <v>45621</v>
      </c>
      <c r="BB788" s="582">
        <v>2025</v>
      </c>
    </row>
    <row r="789" spans="53:54" x14ac:dyDescent="0.2">
      <c r="BA789" s="581">
        <v>45622</v>
      </c>
      <c r="BB789" s="582">
        <v>2025</v>
      </c>
    </row>
    <row r="790" spans="53:54" x14ac:dyDescent="0.2">
      <c r="BA790" s="581">
        <v>45623</v>
      </c>
      <c r="BB790" s="582">
        <v>2025</v>
      </c>
    </row>
    <row r="791" spans="53:54" x14ac:dyDescent="0.2">
      <c r="BA791" s="581">
        <v>45624</v>
      </c>
      <c r="BB791" s="582">
        <v>2025</v>
      </c>
    </row>
    <row r="792" spans="53:54" x14ac:dyDescent="0.2">
      <c r="BA792" s="581">
        <v>45625</v>
      </c>
      <c r="BB792" s="582">
        <v>2025</v>
      </c>
    </row>
    <row r="793" spans="53:54" x14ac:dyDescent="0.2">
      <c r="BA793" s="581">
        <v>45626</v>
      </c>
      <c r="BB793" s="582">
        <v>2025</v>
      </c>
    </row>
    <row r="794" spans="53:54" x14ac:dyDescent="0.2">
      <c r="BA794" s="581">
        <v>45627</v>
      </c>
      <c r="BB794" s="582">
        <v>2025</v>
      </c>
    </row>
    <row r="795" spans="53:54" x14ac:dyDescent="0.2">
      <c r="BA795" s="581">
        <v>45628</v>
      </c>
      <c r="BB795" s="582">
        <v>2025</v>
      </c>
    </row>
    <row r="796" spans="53:54" x14ac:dyDescent="0.2">
      <c r="BA796" s="581">
        <v>45629</v>
      </c>
      <c r="BB796" s="582">
        <v>2025</v>
      </c>
    </row>
    <row r="797" spans="53:54" x14ac:dyDescent="0.2">
      <c r="BA797" s="581">
        <v>45630</v>
      </c>
      <c r="BB797" s="582">
        <v>2025</v>
      </c>
    </row>
    <row r="798" spans="53:54" x14ac:dyDescent="0.2">
      <c r="BA798" s="581">
        <v>45631</v>
      </c>
      <c r="BB798" s="582">
        <v>2025</v>
      </c>
    </row>
    <row r="799" spans="53:54" x14ac:dyDescent="0.2">
      <c r="BA799" s="581">
        <v>45632</v>
      </c>
      <c r="BB799" s="582">
        <v>2025</v>
      </c>
    </row>
    <row r="800" spans="53:54" x14ac:dyDescent="0.2">
      <c r="BA800" s="581">
        <v>45633</v>
      </c>
      <c r="BB800" s="582">
        <v>2025</v>
      </c>
    </row>
    <row r="801" spans="53:54" x14ac:dyDescent="0.2">
      <c r="BA801" s="581">
        <v>45634</v>
      </c>
      <c r="BB801" s="582">
        <v>2025</v>
      </c>
    </row>
    <row r="802" spans="53:54" x14ac:dyDescent="0.2">
      <c r="BA802" s="581">
        <v>45635</v>
      </c>
      <c r="BB802" s="582">
        <v>2025</v>
      </c>
    </row>
    <row r="803" spans="53:54" x14ac:dyDescent="0.2">
      <c r="BA803" s="581">
        <v>45636</v>
      </c>
      <c r="BB803" s="582">
        <v>2025</v>
      </c>
    </row>
    <row r="804" spans="53:54" x14ac:dyDescent="0.2">
      <c r="BA804" s="581">
        <v>45637</v>
      </c>
      <c r="BB804" s="582">
        <v>2025</v>
      </c>
    </row>
    <row r="805" spans="53:54" x14ac:dyDescent="0.2">
      <c r="BA805" s="581">
        <v>45638</v>
      </c>
      <c r="BB805" s="582">
        <v>2025</v>
      </c>
    </row>
    <row r="806" spans="53:54" x14ac:dyDescent="0.2">
      <c r="BA806" s="581">
        <v>45639</v>
      </c>
      <c r="BB806" s="582">
        <v>2025</v>
      </c>
    </row>
    <row r="807" spans="53:54" x14ac:dyDescent="0.2">
      <c r="BA807" s="581">
        <v>45640</v>
      </c>
      <c r="BB807" s="582">
        <v>2025</v>
      </c>
    </row>
    <row r="808" spans="53:54" x14ac:dyDescent="0.2">
      <c r="BA808" s="581">
        <v>45641</v>
      </c>
      <c r="BB808" s="582">
        <v>2025</v>
      </c>
    </row>
    <row r="809" spans="53:54" x14ac:dyDescent="0.2">
      <c r="BA809" s="581">
        <v>45642</v>
      </c>
      <c r="BB809" s="582">
        <v>2025</v>
      </c>
    </row>
    <row r="810" spans="53:54" x14ac:dyDescent="0.2">
      <c r="BA810" s="581">
        <v>45643</v>
      </c>
      <c r="BB810" s="582">
        <v>2025</v>
      </c>
    </row>
    <row r="811" spans="53:54" x14ac:dyDescent="0.2">
      <c r="BA811" s="581">
        <v>45644</v>
      </c>
      <c r="BB811" s="582">
        <v>2025</v>
      </c>
    </row>
    <row r="812" spans="53:54" x14ac:dyDescent="0.2">
      <c r="BA812" s="581">
        <v>45645</v>
      </c>
      <c r="BB812" s="582">
        <v>2025</v>
      </c>
    </row>
    <row r="813" spans="53:54" x14ac:dyDescent="0.2">
      <c r="BA813" s="581">
        <v>45646</v>
      </c>
      <c r="BB813" s="582">
        <v>2025</v>
      </c>
    </row>
    <row r="814" spans="53:54" x14ac:dyDescent="0.2">
      <c r="BA814" s="581">
        <v>45647</v>
      </c>
      <c r="BB814" s="582">
        <v>2025</v>
      </c>
    </row>
    <row r="815" spans="53:54" x14ac:dyDescent="0.2">
      <c r="BA815" s="581">
        <v>45648</v>
      </c>
      <c r="BB815" s="582">
        <v>2025</v>
      </c>
    </row>
    <row r="816" spans="53:54" x14ac:dyDescent="0.2">
      <c r="BA816" s="581">
        <v>45649</v>
      </c>
      <c r="BB816" s="582">
        <v>2025</v>
      </c>
    </row>
    <row r="817" spans="53:54" x14ac:dyDescent="0.2">
      <c r="BA817" s="581">
        <v>45650</v>
      </c>
      <c r="BB817" s="582">
        <v>2025</v>
      </c>
    </row>
    <row r="818" spans="53:54" x14ac:dyDescent="0.2">
      <c r="BA818" s="581">
        <v>45651</v>
      </c>
      <c r="BB818" s="582">
        <v>2025</v>
      </c>
    </row>
    <row r="819" spans="53:54" x14ac:dyDescent="0.2">
      <c r="BA819" s="581">
        <v>45652</v>
      </c>
      <c r="BB819" s="582">
        <v>2025</v>
      </c>
    </row>
    <row r="820" spans="53:54" x14ac:dyDescent="0.2">
      <c r="BA820" s="581">
        <v>45653</v>
      </c>
      <c r="BB820" s="582">
        <v>2025</v>
      </c>
    </row>
    <row r="821" spans="53:54" x14ac:dyDescent="0.2">
      <c r="BA821" s="581">
        <v>45654</v>
      </c>
      <c r="BB821" s="582">
        <v>2025</v>
      </c>
    </row>
    <row r="822" spans="53:54" x14ac:dyDescent="0.2">
      <c r="BA822" s="581">
        <v>45655</v>
      </c>
      <c r="BB822" s="582">
        <v>2025</v>
      </c>
    </row>
    <row r="823" spans="53:54" x14ac:dyDescent="0.2">
      <c r="BA823" s="581">
        <v>45656</v>
      </c>
      <c r="BB823" s="582">
        <v>2025</v>
      </c>
    </row>
    <row r="824" spans="53:54" x14ac:dyDescent="0.2">
      <c r="BA824" s="581">
        <v>45657</v>
      </c>
      <c r="BB824" s="582">
        <v>2025</v>
      </c>
    </row>
    <row r="825" spans="53:54" x14ac:dyDescent="0.2">
      <c r="BA825" s="581">
        <v>45658</v>
      </c>
      <c r="BB825" s="582">
        <v>2025</v>
      </c>
    </row>
    <row r="826" spans="53:54" x14ac:dyDescent="0.2">
      <c r="BA826" s="581">
        <v>45659</v>
      </c>
      <c r="BB826" s="582">
        <v>2025</v>
      </c>
    </row>
    <row r="827" spans="53:54" x14ac:dyDescent="0.2">
      <c r="BA827" s="581">
        <v>45660</v>
      </c>
      <c r="BB827" s="582">
        <v>2025</v>
      </c>
    </row>
    <row r="828" spans="53:54" x14ac:dyDescent="0.2">
      <c r="BA828" s="581">
        <v>45661</v>
      </c>
      <c r="BB828" s="582">
        <v>2025</v>
      </c>
    </row>
    <row r="829" spans="53:54" x14ac:dyDescent="0.2">
      <c r="BA829" s="581">
        <v>45662</v>
      </c>
      <c r="BB829" s="582">
        <v>2025</v>
      </c>
    </row>
    <row r="830" spans="53:54" x14ac:dyDescent="0.2">
      <c r="BA830" s="581">
        <v>45663</v>
      </c>
      <c r="BB830" s="582">
        <v>2025</v>
      </c>
    </row>
    <row r="831" spans="53:54" x14ac:dyDescent="0.2">
      <c r="BA831" s="581">
        <v>45664</v>
      </c>
      <c r="BB831" s="582">
        <v>2025</v>
      </c>
    </row>
    <row r="832" spans="53:54" x14ac:dyDescent="0.2">
      <c r="BA832" s="581">
        <v>45665</v>
      </c>
      <c r="BB832" s="582">
        <v>2025</v>
      </c>
    </row>
    <row r="833" spans="53:54" x14ac:dyDescent="0.2">
      <c r="BA833" s="581">
        <v>45666</v>
      </c>
      <c r="BB833" s="582">
        <v>2025</v>
      </c>
    </row>
    <row r="834" spans="53:54" x14ac:dyDescent="0.2">
      <c r="BA834" s="581">
        <v>45667</v>
      </c>
      <c r="BB834" s="582">
        <v>2025</v>
      </c>
    </row>
    <row r="835" spans="53:54" x14ac:dyDescent="0.2">
      <c r="BA835" s="581">
        <v>45668</v>
      </c>
      <c r="BB835" s="582">
        <v>2025</v>
      </c>
    </row>
    <row r="836" spans="53:54" x14ac:dyDescent="0.2">
      <c r="BA836" s="581">
        <v>45669</v>
      </c>
      <c r="BB836" s="582">
        <v>2025</v>
      </c>
    </row>
    <row r="837" spans="53:54" x14ac:dyDescent="0.2">
      <c r="BA837" s="581">
        <v>45670</v>
      </c>
      <c r="BB837" s="582">
        <v>2025</v>
      </c>
    </row>
    <row r="838" spans="53:54" x14ac:dyDescent="0.2">
      <c r="BA838" s="581">
        <v>45671</v>
      </c>
      <c r="BB838" s="582">
        <v>2025</v>
      </c>
    </row>
    <row r="839" spans="53:54" x14ac:dyDescent="0.2">
      <c r="BA839" s="581">
        <v>45672</v>
      </c>
      <c r="BB839" s="582">
        <v>2025</v>
      </c>
    </row>
    <row r="840" spans="53:54" x14ac:dyDescent="0.2">
      <c r="BA840" s="581">
        <v>45673</v>
      </c>
      <c r="BB840" s="582">
        <v>2025</v>
      </c>
    </row>
    <row r="841" spans="53:54" x14ac:dyDescent="0.2">
      <c r="BA841" s="581">
        <v>45674</v>
      </c>
      <c r="BB841" s="582">
        <v>2025</v>
      </c>
    </row>
    <row r="842" spans="53:54" x14ac:dyDescent="0.2">
      <c r="BA842" s="581">
        <v>45675</v>
      </c>
      <c r="BB842" s="582">
        <v>2025</v>
      </c>
    </row>
    <row r="843" spans="53:54" x14ac:dyDescent="0.2">
      <c r="BA843" s="581">
        <v>45676</v>
      </c>
      <c r="BB843" s="582">
        <v>2025</v>
      </c>
    </row>
    <row r="844" spans="53:54" x14ac:dyDescent="0.2">
      <c r="BA844" s="581">
        <v>45677</v>
      </c>
      <c r="BB844" s="582">
        <v>2025</v>
      </c>
    </row>
    <row r="845" spans="53:54" x14ac:dyDescent="0.2">
      <c r="BA845" s="581">
        <v>45678</v>
      </c>
      <c r="BB845" s="582">
        <v>2025</v>
      </c>
    </row>
    <row r="846" spans="53:54" x14ac:dyDescent="0.2">
      <c r="BA846" s="581">
        <v>45679</v>
      </c>
      <c r="BB846" s="582">
        <v>2025</v>
      </c>
    </row>
    <row r="847" spans="53:54" x14ac:dyDescent="0.2">
      <c r="BA847" s="581">
        <v>45680</v>
      </c>
      <c r="BB847" s="582">
        <v>2025</v>
      </c>
    </row>
    <row r="848" spans="53:54" x14ac:dyDescent="0.2">
      <c r="BA848" s="581">
        <v>45681</v>
      </c>
      <c r="BB848" s="582">
        <v>2025</v>
      </c>
    </row>
    <row r="849" spans="53:54" x14ac:dyDescent="0.2">
      <c r="BA849" s="581">
        <v>45682</v>
      </c>
      <c r="BB849" s="582">
        <v>2025</v>
      </c>
    </row>
    <row r="850" spans="53:54" x14ac:dyDescent="0.2">
      <c r="BA850" s="581">
        <v>45683</v>
      </c>
      <c r="BB850" s="582">
        <v>2025</v>
      </c>
    </row>
    <row r="851" spans="53:54" x14ac:dyDescent="0.2">
      <c r="BA851" s="581">
        <v>45684</v>
      </c>
      <c r="BB851" s="582">
        <v>2025</v>
      </c>
    </row>
    <row r="852" spans="53:54" x14ac:dyDescent="0.2">
      <c r="BA852" s="581">
        <v>45685</v>
      </c>
      <c r="BB852" s="582">
        <v>2025</v>
      </c>
    </row>
    <row r="853" spans="53:54" x14ac:dyDescent="0.2">
      <c r="BA853" s="581">
        <v>45686</v>
      </c>
      <c r="BB853" s="582">
        <v>2025</v>
      </c>
    </row>
    <row r="854" spans="53:54" x14ac:dyDescent="0.2">
      <c r="BA854" s="581">
        <v>45687</v>
      </c>
      <c r="BB854" s="582">
        <v>2025</v>
      </c>
    </row>
    <row r="855" spans="53:54" x14ac:dyDescent="0.2">
      <c r="BA855" s="581">
        <v>45688</v>
      </c>
      <c r="BB855" s="582">
        <v>2025</v>
      </c>
    </row>
    <row r="856" spans="53:54" x14ac:dyDescent="0.2">
      <c r="BA856" s="581">
        <v>45689</v>
      </c>
      <c r="BB856" s="582">
        <v>2025</v>
      </c>
    </row>
    <row r="857" spans="53:54" x14ac:dyDescent="0.2">
      <c r="BA857" s="581">
        <v>45690</v>
      </c>
      <c r="BB857" s="582">
        <v>2025</v>
      </c>
    </row>
    <row r="858" spans="53:54" x14ac:dyDescent="0.2">
      <c r="BA858" s="581">
        <v>45691</v>
      </c>
      <c r="BB858" s="582">
        <v>2025</v>
      </c>
    </row>
    <row r="859" spans="53:54" x14ac:dyDescent="0.2">
      <c r="BA859" s="581">
        <v>45692</v>
      </c>
      <c r="BB859" s="582">
        <v>2025</v>
      </c>
    </row>
    <row r="860" spans="53:54" x14ac:dyDescent="0.2">
      <c r="BA860" s="581">
        <v>45693</v>
      </c>
      <c r="BB860" s="582">
        <v>2025</v>
      </c>
    </row>
    <row r="861" spans="53:54" x14ac:dyDescent="0.2">
      <c r="BA861" s="581">
        <v>45694</v>
      </c>
      <c r="BB861" s="582">
        <v>2025</v>
      </c>
    </row>
    <row r="862" spans="53:54" x14ac:dyDescent="0.2">
      <c r="BA862" s="581">
        <v>45695</v>
      </c>
      <c r="BB862" s="582">
        <v>2025</v>
      </c>
    </row>
    <row r="863" spans="53:54" x14ac:dyDescent="0.2">
      <c r="BA863" s="581">
        <v>45696</v>
      </c>
      <c r="BB863" s="582">
        <v>2025</v>
      </c>
    </row>
    <row r="864" spans="53:54" x14ac:dyDescent="0.2">
      <c r="BA864" s="581">
        <v>45697</v>
      </c>
      <c r="BB864" s="582">
        <v>2025</v>
      </c>
    </row>
    <row r="865" spans="53:54" x14ac:dyDescent="0.2">
      <c r="BA865" s="581">
        <v>45698</v>
      </c>
      <c r="BB865" s="582">
        <v>2025</v>
      </c>
    </row>
    <row r="866" spans="53:54" x14ac:dyDescent="0.2">
      <c r="BA866" s="581">
        <v>45699</v>
      </c>
      <c r="BB866" s="582">
        <v>2025</v>
      </c>
    </row>
    <row r="867" spans="53:54" x14ac:dyDescent="0.2">
      <c r="BA867" s="581">
        <v>45700</v>
      </c>
      <c r="BB867" s="582">
        <v>2025</v>
      </c>
    </row>
    <row r="868" spans="53:54" x14ac:dyDescent="0.2">
      <c r="BA868" s="581">
        <v>45701</v>
      </c>
      <c r="BB868" s="582">
        <v>2025</v>
      </c>
    </row>
    <row r="869" spans="53:54" x14ac:dyDescent="0.2">
      <c r="BA869" s="581">
        <v>45702</v>
      </c>
      <c r="BB869" s="582">
        <v>2025</v>
      </c>
    </row>
    <row r="870" spans="53:54" x14ac:dyDescent="0.2">
      <c r="BA870" s="581">
        <v>45703</v>
      </c>
      <c r="BB870" s="582">
        <v>2025</v>
      </c>
    </row>
    <row r="871" spans="53:54" x14ac:dyDescent="0.2">
      <c r="BA871" s="581">
        <v>45704</v>
      </c>
      <c r="BB871" s="582">
        <v>2025</v>
      </c>
    </row>
    <row r="872" spans="53:54" x14ac:dyDescent="0.2">
      <c r="BA872" s="581">
        <v>45705</v>
      </c>
      <c r="BB872" s="582">
        <v>2025</v>
      </c>
    </row>
    <row r="873" spans="53:54" x14ac:dyDescent="0.2">
      <c r="BA873" s="581">
        <v>45706</v>
      </c>
      <c r="BB873" s="582">
        <v>2025</v>
      </c>
    </row>
    <row r="874" spans="53:54" x14ac:dyDescent="0.2">
      <c r="BA874" s="581">
        <v>45707</v>
      </c>
      <c r="BB874" s="582">
        <v>2025</v>
      </c>
    </row>
    <row r="875" spans="53:54" x14ac:dyDescent="0.2">
      <c r="BA875" s="581">
        <v>45708</v>
      </c>
      <c r="BB875" s="582">
        <v>2025</v>
      </c>
    </row>
    <row r="876" spans="53:54" x14ac:dyDescent="0.2">
      <c r="BA876" s="581">
        <v>45709</v>
      </c>
      <c r="BB876" s="582">
        <v>2025</v>
      </c>
    </row>
    <row r="877" spans="53:54" x14ac:dyDescent="0.2">
      <c r="BA877" s="581">
        <v>45710</v>
      </c>
      <c r="BB877" s="582">
        <v>2025</v>
      </c>
    </row>
    <row r="878" spans="53:54" x14ac:dyDescent="0.2">
      <c r="BA878" s="581">
        <v>45711</v>
      </c>
      <c r="BB878" s="582">
        <v>2025</v>
      </c>
    </row>
    <row r="879" spans="53:54" x14ac:dyDescent="0.2">
      <c r="BA879" s="581">
        <v>45712</v>
      </c>
      <c r="BB879" s="582">
        <v>2025</v>
      </c>
    </row>
    <row r="880" spans="53:54" x14ac:dyDescent="0.2">
      <c r="BA880" s="581">
        <v>45713</v>
      </c>
      <c r="BB880" s="582">
        <v>2025</v>
      </c>
    </row>
    <row r="881" spans="53:54" x14ac:dyDescent="0.2">
      <c r="BA881" s="581">
        <v>45714</v>
      </c>
      <c r="BB881" s="582">
        <v>2025</v>
      </c>
    </row>
    <row r="882" spans="53:54" x14ac:dyDescent="0.2">
      <c r="BA882" s="581">
        <v>45715</v>
      </c>
      <c r="BB882" s="582">
        <v>2025</v>
      </c>
    </row>
    <row r="883" spans="53:54" x14ac:dyDescent="0.2">
      <c r="BA883" s="581">
        <v>45716</v>
      </c>
      <c r="BB883" s="582">
        <v>2025</v>
      </c>
    </row>
    <row r="884" spans="53:54" x14ac:dyDescent="0.2">
      <c r="BA884" s="581">
        <v>45717</v>
      </c>
      <c r="BB884" s="582">
        <v>2025</v>
      </c>
    </row>
    <row r="885" spans="53:54" x14ac:dyDescent="0.2">
      <c r="BA885" s="581">
        <v>45718</v>
      </c>
      <c r="BB885" s="582">
        <v>2025</v>
      </c>
    </row>
    <row r="886" spans="53:54" x14ac:dyDescent="0.2">
      <c r="BA886" s="581">
        <v>45719</v>
      </c>
      <c r="BB886" s="582">
        <v>2025</v>
      </c>
    </row>
    <row r="887" spans="53:54" x14ac:dyDescent="0.2">
      <c r="BA887" s="581">
        <v>45720</v>
      </c>
      <c r="BB887" s="582">
        <v>2025</v>
      </c>
    </row>
    <row r="888" spans="53:54" x14ac:dyDescent="0.2">
      <c r="BA888" s="581">
        <v>45721</v>
      </c>
      <c r="BB888" s="582">
        <v>2025</v>
      </c>
    </row>
    <row r="889" spans="53:54" x14ac:dyDescent="0.2">
      <c r="BA889" s="581">
        <v>45722</v>
      </c>
      <c r="BB889" s="582">
        <v>2025</v>
      </c>
    </row>
    <row r="890" spans="53:54" x14ac:dyDescent="0.2">
      <c r="BA890" s="581">
        <v>45723</v>
      </c>
      <c r="BB890" s="582">
        <v>2025</v>
      </c>
    </row>
    <row r="891" spans="53:54" x14ac:dyDescent="0.2">
      <c r="BA891" s="581">
        <v>45724</v>
      </c>
      <c r="BB891" s="582">
        <v>2025</v>
      </c>
    </row>
    <row r="892" spans="53:54" x14ac:dyDescent="0.2">
      <c r="BA892" s="581">
        <v>45725</v>
      </c>
      <c r="BB892" s="582">
        <v>2025</v>
      </c>
    </row>
    <row r="893" spans="53:54" x14ac:dyDescent="0.2">
      <c r="BA893" s="581">
        <v>45726</v>
      </c>
      <c r="BB893" s="582">
        <v>2025</v>
      </c>
    </row>
    <row r="894" spans="53:54" x14ac:dyDescent="0.2">
      <c r="BA894" s="581">
        <v>45727</v>
      </c>
      <c r="BB894" s="582">
        <v>2025</v>
      </c>
    </row>
    <row r="895" spans="53:54" x14ac:dyDescent="0.2">
      <c r="BA895" s="581">
        <v>45728</v>
      </c>
      <c r="BB895" s="582">
        <v>2025</v>
      </c>
    </row>
    <row r="896" spans="53:54" x14ac:dyDescent="0.2">
      <c r="BA896" s="581">
        <v>45729</v>
      </c>
      <c r="BB896" s="582">
        <v>2025</v>
      </c>
    </row>
    <row r="897" spans="53:54" x14ac:dyDescent="0.2">
      <c r="BA897" s="581">
        <v>45730</v>
      </c>
      <c r="BB897" s="582">
        <v>2025</v>
      </c>
    </row>
    <row r="898" spans="53:54" x14ac:dyDescent="0.2">
      <c r="BA898" s="581">
        <v>45731</v>
      </c>
      <c r="BB898" s="582">
        <v>2025</v>
      </c>
    </row>
    <row r="899" spans="53:54" x14ac:dyDescent="0.2">
      <c r="BA899" s="581">
        <v>45732</v>
      </c>
      <c r="BB899" s="582">
        <v>2025</v>
      </c>
    </row>
    <row r="900" spans="53:54" x14ac:dyDescent="0.2">
      <c r="BA900" s="581">
        <v>45733</v>
      </c>
      <c r="BB900" s="582">
        <v>2025</v>
      </c>
    </row>
    <row r="901" spans="53:54" x14ac:dyDescent="0.2">
      <c r="BA901" s="581">
        <v>45734</v>
      </c>
      <c r="BB901" s="582">
        <v>2025</v>
      </c>
    </row>
    <row r="902" spans="53:54" x14ac:dyDescent="0.2">
      <c r="BA902" s="581">
        <v>45735</v>
      </c>
      <c r="BB902" s="582">
        <v>2025</v>
      </c>
    </row>
    <row r="903" spans="53:54" x14ac:dyDescent="0.2">
      <c r="BA903" s="581">
        <v>45736</v>
      </c>
      <c r="BB903" s="582">
        <v>2025</v>
      </c>
    </row>
    <row r="904" spans="53:54" x14ac:dyDescent="0.2">
      <c r="BA904" s="581">
        <v>45737</v>
      </c>
      <c r="BB904" s="582">
        <v>2025</v>
      </c>
    </row>
    <row r="905" spans="53:54" x14ac:dyDescent="0.2">
      <c r="BA905" s="581">
        <v>45738</v>
      </c>
      <c r="BB905" s="582">
        <v>2025</v>
      </c>
    </row>
    <row r="906" spans="53:54" x14ac:dyDescent="0.2">
      <c r="BA906" s="581">
        <v>45739</v>
      </c>
      <c r="BB906" s="582">
        <v>2025</v>
      </c>
    </row>
    <row r="907" spans="53:54" x14ac:dyDescent="0.2">
      <c r="BA907" s="581">
        <v>45740</v>
      </c>
      <c r="BB907" s="582">
        <v>2025</v>
      </c>
    </row>
    <row r="908" spans="53:54" x14ac:dyDescent="0.2">
      <c r="BA908" s="581">
        <v>45741</v>
      </c>
      <c r="BB908" s="582">
        <v>2025</v>
      </c>
    </row>
    <row r="909" spans="53:54" x14ac:dyDescent="0.2">
      <c r="BA909" s="581">
        <v>45742</v>
      </c>
      <c r="BB909" s="582">
        <v>2025</v>
      </c>
    </row>
    <row r="910" spans="53:54" x14ac:dyDescent="0.2">
      <c r="BA910" s="581">
        <v>45743</v>
      </c>
      <c r="BB910" s="582">
        <v>2025</v>
      </c>
    </row>
    <row r="911" spans="53:54" x14ac:dyDescent="0.2">
      <c r="BA911" s="581">
        <v>45744</v>
      </c>
      <c r="BB911" s="582">
        <v>2025</v>
      </c>
    </row>
    <row r="912" spans="53:54" x14ac:dyDescent="0.2">
      <c r="BA912" s="581">
        <v>45745</v>
      </c>
      <c r="BB912" s="582">
        <v>2025</v>
      </c>
    </row>
    <row r="913" spans="53:54" x14ac:dyDescent="0.2">
      <c r="BA913" s="581">
        <v>45746</v>
      </c>
      <c r="BB913" s="582">
        <v>2025</v>
      </c>
    </row>
    <row r="914" spans="53:54" x14ac:dyDescent="0.2">
      <c r="BA914" s="581">
        <v>45747</v>
      </c>
      <c r="BB914" s="582">
        <v>2025</v>
      </c>
    </row>
    <row r="915" spans="53:54" x14ac:dyDescent="0.2">
      <c r="BA915" s="581">
        <v>45748</v>
      </c>
      <c r="BB915" s="582">
        <v>2025</v>
      </c>
    </row>
    <row r="916" spans="53:54" x14ac:dyDescent="0.2">
      <c r="BA916" s="581">
        <v>45749</v>
      </c>
      <c r="BB916" s="582">
        <v>2025</v>
      </c>
    </row>
    <row r="917" spans="53:54" x14ac:dyDescent="0.2">
      <c r="BA917" s="581">
        <v>45750</v>
      </c>
      <c r="BB917" s="582">
        <v>2025</v>
      </c>
    </row>
    <row r="918" spans="53:54" x14ac:dyDescent="0.2">
      <c r="BA918" s="581">
        <v>45751</v>
      </c>
      <c r="BB918" s="582">
        <v>2025</v>
      </c>
    </row>
    <row r="919" spans="53:54" x14ac:dyDescent="0.2">
      <c r="BA919" s="581">
        <v>45752</v>
      </c>
      <c r="BB919" s="582">
        <v>2025</v>
      </c>
    </row>
    <row r="920" spans="53:54" x14ac:dyDescent="0.2">
      <c r="BA920" s="581">
        <v>45753</v>
      </c>
      <c r="BB920" s="582">
        <v>2025</v>
      </c>
    </row>
    <row r="921" spans="53:54" x14ac:dyDescent="0.2">
      <c r="BA921" s="581">
        <v>45754</v>
      </c>
      <c r="BB921" s="582">
        <v>2025</v>
      </c>
    </row>
    <row r="922" spans="53:54" x14ac:dyDescent="0.2">
      <c r="BA922" s="581">
        <v>45755</v>
      </c>
      <c r="BB922" s="582">
        <v>2025</v>
      </c>
    </row>
    <row r="923" spans="53:54" x14ac:dyDescent="0.2">
      <c r="BA923" s="581">
        <v>45756</v>
      </c>
      <c r="BB923" s="582">
        <v>2025</v>
      </c>
    </row>
    <row r="924" spans="53:54" x14ac:dyDescent="0.2">
      <c r="BA924" s="581">
        <v>45757</v>
      </c>
      <c r="BB924" s="582">
        <v>2025</v>
      </c>
    </row>
    <row r="925" spans="53:54" x14ac:dyDescent="0.2">
      <c r="BA925" s="581">
        <v>45758</v>
      </c>
      <c r="BB925" s="582">
        <v>2025</v>
      </c>
    </row>
    <row r="926" spans="53:54" x14ac:dyDescent="0.2">
      <c r="BA926" s="581">
        <v>45759</v>
      </c>
      <c r="BB926" s="582">
        <v>2025</v>
      </c>
    </row>
    <row r="927" spans="53:54" x14ac:dyDescent="0.2">
      <c r="BA927" s="581">
        <v>45760</v>
      </c>
      <c r="BB927" s="582">
        <v>2025</v>
      </c>
    </row>
    <row r="928" spans="53:54" x14ac:dyDescent="0.2">
      <c r="BA928" s="581">
        <v>45761</v>
      </c>
      <c r="BB928" s="582">
        <v>2025</v>
      </c>
    </row>
    <row r="929" spans="53:54" x14ac:dyDescent="0.2">
      <c r="BA929" s="581">
        <v>45762</v>
      </c>
      <c r="BB929" s="582">
        <v>2025</v>
      </c>
    </row>
    <row r="930" spans="53:54" x14ac:dyDescent="0.2">
      <c r="BA930" s="581">
        <v>45763</v>
      </c>
      <c r="BB930" s="582">
        <v>2025</v>
      </c>
    </row>
    <row r="931" spans="53:54" x14ac:dyDescent="0.2">
      <c r="BA931" s="581">
        <v>45764</v>
      </c>
      <c r="BB931" s="582">
        <v>2025</v>
      </c>
    </row>
    <row r="932" spans="53:54" x14ac:dyDescent="0.2">
      <c r="BA932" s="581">
        <v>45765</v>
      </c>
      <c r="BB932" s="582">
        <v>2025</v>
      </c>
    </row>
    <row r="933" spans="53:54" x14ac:dyDescent="0.2">
      <c r="BA933" s="581">
        <v>45766</v>
      </c>
      <c r="BB933" s="582">
        <v>2025</v>
      </c>
    </row>
    <row r="934" spans="53:54" x14ac:dyDescent="0.2">
      <c r="BA934" s="581">
        <v>45767</v>
      </c>
      <c r="BB934" s="582">
        <v>2025</v>
      </c>
    </row>
    <row r="935" spans="53:54" x14ac:dyDescent="0.2">
      <c r="BA935" s="581">
        <v>45768</v>
      </c>
      <c r="BB935" s="582">
        <v>2025</v>
      </c>
    </row>
    <row r="936" spans="53:54" x14ac:dyDescent="0.2">
      <c r="BA936" s="581">
        <v>45769</v>
      </c>
      <c r="BB936" s="582">
        <v>2025</v>
      </c>
    </row>
    <row r="937" spans="53:54" x14ac:dyDescent="0.2">
      <c r="BA937" s="581">
        <v>45770</v>
      </c>
      <c r="BB937" s="582">
        <v>2025</v>
      </c>
    </row>
    <row r="938" spans="53:54" x14ac:dyDescent="0.2">
      <c r="BA938" s="581">
        <v>45771</v>
      </c>
      <c r="BB938" s="582">
        <v>2025</v>
      </c>
    </row>
    <row r="939" spans="53:54" x14ac:dyDescent="0.2">
      <c r="BA939" s="581">
        <v>45772</v>
      </c>
      <c r="BB939" s="582">
        <v>2025</v>
      </c>
    </row>
    <row r="940" spans="53:54" x14ac:dyDescent="0.2">
      <c r="BA940" s="581">
        <v>45773</v>
      </c>
      <c r="BB940" s="582">
        <v>2025</v>
      </c>
    </row>
    <row r="941" spans="53:54" x14ac:dyDescent="0.2">
      <c r="BA941" s="581">
        <v>45774</v>
      </c>
      <c r="BB941" s="582">
        <v>2025</v>
      </c>
    </row>
    <row r="942" spans="53:54" x14ac:dyDescent="0.2">
      <c r="BA942" s="581">
        <v>45775</v>
      </c>
      <c r="BB942" s="582">
        <v>2025</v>
      </c>
    </row>
    <row r="943" spans="53:54" x14ac:dyDescent="0.2">
      <c r="BA943" s="581">
        <v>45776</v>
      </c>
      <c r="BB943" s="582">
        <v>2025</v>
      </c>
    </row>
    <row r="944" spans="53:54" x14ac:dyDescent="0.2">
      <c r="BA944" s="581">
        <v>45777</v>
      </c>
      <c r="BB944" s="582">
        <v>2025</v>
      </c>
    </row>
    <row r="945" spans="53:54" x14ac:dyDescent="0.2">
      <c r="BA945" s="581">
        <v>45778</v>
      </c>
      <c r="BB945" s="582">
        <v>2025</v>
      </c>
    </row>
    <row r="946" spans="53:54" x14ac:dyDescent="0.2">
      <c r="BA946" s="581">
        <v>45779</v>
      </c>
      <c r="BB946" s="582">
        <v>2025</v>
      </c>
    </row>
    <row r="947" spans="53:54" x14ac:dyDescent="0.2">
      <c r="BA947" s="581">
        <v>45780</v>
      </c>
      <c r="BB947" s="582">
        <v>2025</v>
      </c>
    </row>
    <row r="948" spans="53:54" x14ac:dyDescent="0.2">
      <c r="BA948" s="581">
        <v>45781</v>
      </c>
      <c r="BB948" s="582">
        <v>2025</v>
      </c>
    </row>
    <row r="949" spans="53:54" x14ac:dyDescent="0.2">
      <c r="BA949" s="581">
        <v>45782</v>
      </c>
      <c r="BB949" s="582">
        <v>2025</v>
      </c>
    </row>
    <row r="950" spans="53:54" x14ac:dyDescent="0.2">
      <c r="BA950" s="581">
        <v>45783</v>
      </c>
      <c r="BB950" s="582">
        <v>2025</v>
      </c>
    </row>
    <row r="951" spans="53:54" x14ac:dyDescent="0.2">
      <c r="BA951" s="581">
        <v>45784</v>
      </c>
      <c r="BB951" s="582">
        <v>2025</v>
      </c>
    </row>
    <row r="952" spans="53:54" x14ac:dyDescent="0.2">
      <c r="BA952" s="581">
        <v>45785</v>
      </c>
      <c r="BB952" s="582">
        <v>2025</v>
      </c>
    </row>
    <row r="953" spans="53:54" x14ac:dyDescent="0.2">
      <c r="BA953" s="581">
        <v>45786</v>
      </c>
      <c r="BB953" s="582">
        <v>2025</v>
      </c>
    </row>
    <row r="954" spans="53:54" x14ac:dyDescent="0.2">
      <c r="BA954" s="581">
        <v>45787</v>
      </c>
      <c r="BB954" s="582">
        <v>2025</v>
      </c>
    </row>
    <row r="955" spans="53:54" x14ac:dyDescent="0.2">
      <c r="BA955" s="581">
        <v>45788</v>
      </c>
      <c r="BB955" s="582">
        <v>2025</v>
      </c>
    </row>
    <row r="956" spans="53:54" x14ac:dyDescent="0.2">
      <c r="BA956" s="581">
        <v>45789</v>
      </c>
      <c r="BB956" s="582">
        <v>2025</v>
      </c>
    </row>
    <row r="957" spans="53:54" x14ac:dyDescent="0.2">
      <c r="BA957" s="581">
        <v>45790</v>
      </c>
      <c r="BB957" s="582">
        <v>2025</v>
      </c>
    </row>
    <row r="958" spans="53:54" x14ac:dyDescent="0.2">
      <c r="BA958" s="581">
        <v>45791</v>
      </c>
      <c r="BB958" s="582">
        <v>2025</v>
      </c>
    </row>
    <row r="959" spans="53:54" x14ac:dyDescent="0.2">
      <c r="BA959" s="581">
        <v>45792</v>
      </c>
      <c r="BB959" s="582">
        <v>2025</v>
      </c>
    </row>
    <row r="960" spans="53:54" x14ac:dyDescent="0.2">
      <c r="BA960" s="581">
        <v>45793</v>
      </c>
      <c r="BB960" s="582">
        <v>2025</v>
      </c>
    </row>
    <row r="961" spans="53:54" x14ac:dyDescent="0.2">
      <c r="BA961" s="581">
        <v>45794</v>
      </c>
      <c r="BB961" s="582">
        <v>2025</v>
      </c>
    </row>
    <row r="962" spans="53:54" x14ac:dyDescent="0.2">
      <c r="BA962" s="581">
        <v>45795</v>
      </c>
      <c r="BB962" s="582">
        <v>2025</v>
      </c>
    </row>
    <row r="963" spans="53:54" x14ac:dyDescent="0.2">
      <c r="BA963" s="581">
        <v>45796</v>
      </c>
      <c r="BB963" s="582">
        <v>2025</v>
      </c>
    </row>
    <row r="964" spans="53:54" x14ac:dyDescent="0.2">
      <c r="BA964" s="581">
        <v>45797</v>
      </c>
      <c r="BB964" s="582">
        <v>2025</v>
      </c>
    </row>
    <row r="965" spans="53:54" x14ac:dyDescent="0.2">
      <c r="BA965" s="581">
        <v>45798</v>
      </c>
      <c r="BB965" s="582">
        <v>2025</v>
      </c>
    </row>
    <row r="966" spans="53:54" x14ac:dyDescent="0.2">
      <c r="BA966" s="581">
        <v>45799</v>
      </c>
      <c r="BB966" s="582">
        <v>2025</v>
      </c>
    </row>
    <row r="967" spans="53:54" x14ac:dyDescent="0.2">
      <c r="BA967" s="581">
        <v>45800</v>
      </c>
      <c r="BB967" s="582">
        <v>2025</v>
      </c>
    </row>
    <row r="968" spans="53:54" x14ac:dyDescent="0.2">
      <c r="BA968" s="581">
        <v>45801</v>
      </c>
      <c r="BB968" s="582">
        <v>2025</v>
      </c>
    </row>
    <row r="969" spans="53:54" x14ac:dyDescent="0.2">
      <c r="BA969" s="581">
        <v>45802</v>
      </c>
      <c r="BB969" s="582">
        <v>2025</v>
      </c>
    </row>
    <row r="970" spans="53:54" x14ac:dyDescent="0.2">
      <c r="BA970" s="581">
        <v>45803</v>
      </c>
      <c r="BB970" s="582">
        <v>2025</v>
      </c>
    </row>
    <row r="971" spans="53:54" x14ac:dyDescent="0.2">
      <c r="BA971" s="581">
        <v>45804</v>
      </c>
      <c r="BB971" s="582">
        <v>2025</v>
      </c>
    </row>
    <row r="972" spans="53:54" x14ac:dyDescent="0.2">
      <c r="BA972" s="581">
        <v>45805</v>
      </c>
      <c r="BB972" s="582">
        <v>2025</v>
      </c>
    </row>
    <row r="973" spans="53:54" x14ac:dyDescent="0.2">
      <c r="BA973" s="581">
        <v>45806</v>
      </c>
      <c r="BB973" s="582">
        <v>2025</v>
      </c>
    </row>
    <row r="974" spans="53:54" x14ac:dyDescent="0.2">
      <c r="BA974" s="581">
        <v>45807</v>
      </c>
      <c r="BB974" s="582">
        <v>2025</v>
      </c>
    </row>
    <row r="975" spans="53:54" x14ac:dyDescent="0.2">
      <c r="BA975" s="581">
        <v>45808</v>
      </c>
      <c r="BB975" s="582">
        <v>2025</v>
      </c>
    </row>
    <row r="976" spans="53:54" x14ac:dyDescent="0.2">
      <c r="BA976" s="581">
        <v>45809</v>
      </c>
      <c r="BB976" s="582">
        <v>2025</v>
      </c>
    </row>
    <row r="977" spans="53:54" x14ac:dyDescent="0.2">
      <c r="BA977" s="581">
        <v>45810</v>
      </c>
      <c r="BB977" s="582">
        <v>2025</v>
      </c>
    </row>
    <row r="978" spans="53:54" x14ac:dyDescent="0.2">
      <c r="BA978" s="581">
        <v>45811</v>
      </c>
      <c r="BB978" s="582">
        <v>2025</v>
      </c>
    </row>
    <row r="979" spans="53:54" x14ac:dyDescent="0.2">
      <c r="BA979" s="581">
        <v>45812</v>
      </c>
      <c r="BB979" s="582">
        <v>2025</v>
      </c>
    </row>
    <row r="980" spans="53:54" x14ac:dyDescent="0.2">
      <c r="BA980" s="581">
        <v>45813</v>
      </c>
      <c r="BB980" s="582">
        <v>2025</v>
      </c>
    </row>
    <row r="981" spans="53:54" x14ac:dyDescent="0.2">
      <c r="BA981" s="581">
        <v>45814</v>
      </c>
      <c r="BB981" s="582">
        <v>2025</v>
      </c>
    </row>
    <row r="982" spans="53:54" x14ac:dyDescent="0.2">
      <c r="BA982" s="581">
        <v>45815</v>
      </c>
      <c r="BB982" s="582">
        <v>2025</v>
      </c>
    </row>
    <row r="983" spans="53:54" x14ac:dyDescent="0.2">
      <c r="BA983" s="581">
        <v>45816</v>
      </c>
      <c r="BB983" s="582">
        <v>2025</v>
      </c>
    </row>
    <row r="984" spans="53:54" x14ac:dyDescent="0.2">
      <c r="BA984" s="581">
        <v>45817</v>
      </c>
      <c r="BB984" s="582">
        <v>2025</v>
      </c>
    </row>
    <row r="985" spans="53:54" x14ac:dyDescent="0.2">
      <c r="BA985" s="581">
        <v>45818</v>
      </c>
      <c r="BB985" s="582">
        <v>2025</v>
      </c>
    </row>
    <row r="986" spans="53:54" x14ac:dyDescent="0.2">
      <c r="BA986" s="581">
        <v>45819</v>
      </c>
      <c r="BB986" s="582">
        <v>2025</v>
      </c>
    </row>
    <row r="987" spans="53:54" x14ac:dyDescent="0.2">
      <c r="BA987" s="581">
        <v>45820</v>
      </c>
      <c r="BB987" s="582">
        <v>2025</v>
      </c>
    </row>
    <row r="988" spans="53:54" x14ac:dyDescent="0.2">
      <c r="BA988" s="581">
        <v>45821</v>
      </c>
      <c r="BB988" s="582">
        <v>2025</v>
      </c>
    </row>
    <row r="989" spans="53:54" x14ac:dyDescent="0.2">
      <c r="BA989" s="581">
        <v>45822</v>
      </c>
      <c r="BB989" s="582">
        <v>2025</v>
      </c>
    </row>
    <row r="990" spans="53:54" x14ac:dyDescent="0.2">
      <c r="BA990" s="581">
        <v>45823</v>
      </c>
      <c r="BB990" s="582">
        <v>2025</v>
      </c>
    </row>
    <row r="991" spans="53:54" x14ac:dyDescent="0.2">
      <c r="BA991" s="581">
        <v>45824</v>
      </c>
      <c r="BB991" s="582">
        <v>2025</v>
      </c>
    </row>
    <row r="992" spans="53:54" x14ac:dyDescent="0.2">
      <c r="BA992" s="581">
        <v>45825</v>
      </c>
      <c r="BB992" s="582">
        <v>2025</v>
      </c>
    </row>
    <row r="993" spans="53:54" x14ac:dyDescent="0.2">
      <c r="BA993" s="581">
        <v>45826</v>
      </c>
      <c r="BB993" s="582">
        <v>2025</v>
      </c>
    </row>
    <row r="994" spans="53:54" x14ac:dyDescent="0.2">
      <c r="BA994" s="581">
        <v>45827</v>
      </c>
      <c r="BB994" s="582">
        <v>2025</v>
      </c>
    </row>
    <row r="995" spans="53:54" x14ac:dyDescent="0.2">
      <c r="BA995" s="581">
        <v>45828</v>
      </c>
      <c r="BB995" s="582">
        <v>2025</v>
      </c>
    </row>
    <row r="996" spans="53:54" x14ac:dyDescent="0.2">
      <c r="BA996" s="581">
        <v>45829</v>
      </c>
      <c r="BB996" s="582">
        <v>2025</v>
      </c>
    </row>
    <row r="997" spans="53:54" x14ac:dyDescent="0.2">
      <c r="BA997" s="581">
        <v>45830</v>
      </c>
      <c r="BB997" s="582">
        <v>2025</v>
      </c>
    </row>
    <row r="998" spans="53:54" x14ac:dyDescent="0.2">
      <c r="BA998" s="581">
        <v>45831</v>
      </c>
      <c r="BB998" s="582">
        <v>2025</v>
      </c>
    </row>
    <row r="999" spans="53:54" x14ac:dyDescent="0.2">
      <c r="BA999" s="581">
        <v>45832</v>
      </c>
      <c r="BB999" s="582">
        <v>2025</v>
      </c>
    </row>
    <row r="1000" spans="53:54" x14ac:dyDescent="0.2">
      <c r="BA1000" s="581">
        <v>45833</v>
      </c>
      <c r="BB1000" s="582">
        <v>2025</v>
      </c>
    </row>
    <row r="1001" spans="53:54" x14ac:dyDescent="0.2">
      <c r="BA1001" s="581">
        <v>45834</v>
      </c>
      <c r="BB1001" s="582">
        <v>2025</v>
      </c>
    </row>
    <row r="1002" spans="53:54" x14ac:dyDescent="0.2">
      <c r="BA1002" s="581">
        <v>45835</v>
      </c>
      <c r="BB1002" s="582">
        <v>2025</v>
      </c>
    </row>
    <row r="1003" spans="53:54" x14ac:dyDescent="0.2">
      <c r="BA1003" s="581">
        <v>45836</v>
      </c>
      <c r="BB1003" s="582">
        <v>2025</v>
      </c>
    </row>
    <row r="1004" spans="53:54" x14ac:dyDescent="0.2">
      <c r="BA1004" s="581">
        <v>45837</v>
      </c>
      <c r="BB1004" s="582">
        <v>2025</v>
      </c>
    </row>
    <row r="1005" spans="53:54" x14ac:dyDescent="0.2">
      <c r="BA1005" s="581">
        <v>45838</v>
      </c>
      <c r="BB1005" s="582">
        <v>2025</v>
      </c>
    </row>
    <row r="1006" spans="53:54" x14ac:dyDescent="0.2">
      <c r="BA1006" s="581">
        <v>45839</v>
      </c>
      <c r="BB1006" s="582">
        <v>2025</v>
      </c>
    </row>
    <row r="1007" spans="53:54" x14ac:dyDescent="0.2">
      <c r="BA1007" s="581">
        <v>45840</v>
      </c>
      <c r="BB1007" s="582">
        <v>2025</v>
      </c>
    </row>
    <row r="1008" spans="53:54" x14ac:dyDescent="0.2">
      <c r="BA1008" s="581">
        <v>45841</v>
      </c>
      <c r="BB1008" s="582">
        <v>2025</v>
      </c>
    </row>
    <row r="1009" spans="53:54" x14ac:dyDescent="0.2">
      <c r="BA1009" s="581">
        <v>45842</v>
      </c>
      <c r="BB1009" s="582">
        <v>2025</v>
      </c>
    </row>
    <row r="1010" spans="53:54" x14ac:dyDescent="0.2">
      <c r="BA1010" s="581">
        <v>45843</v>
      </c>
      <c r="BB1010" s="582">
        <v>2025</v>
      </c>
    </row>
    <row r="1011" spans="53:54" x14ac:dyDescent="0.2">
      <c r="BA1011" s="581">
        <v>45844</v>
      </c>
      <c r="BB1011" s="582">
        <v>2025</v>
      </c>
    </row>
    <row r="1012" spans="53:54" x14ac:dyDescent="0.2">
      <c r="BA1012" s="581">
        <v>45845</v>
      </c>
      <c r="BB1012" s="582">
        <v>2025</v>
      </c>
    </row>
    <row r="1013" spans="53:54" x14ac:dyDescent="0.2">
      <c r="BA1013" s="581">
        <v>45846</v>
      </c>
      <c r="BB1013" s="582">
        <v>2025</v>
      </c>
    </row>
    <row r="1014" spans="53:54" x14ac:dyDescent="0.2">
      <c r="BA1014" s="581">
        <v>45847</v>
      </c>
      <c r="BB1014" s="582">
        <v>2025</v>
      </c>
    </row>
    <row r="1015" spans="53:54" x14ac:dyDescent="0.2">
      <c r="BA1015" s="581">
        <v>45848</v>
      </c>
      <c r="BB1015" s="582">
        <v>2025</v>
      </c>
    </row>
    <row r="1016" spans="53:54" x14ac:dyDescent="0.2">
      <c r="BA1016" s="581">
        <v>45849</v>
      </c>
      <c r="BB1016" s="582">
        <v>2025</v>
      </c>
    </row>
    <row r="1017" spans="53:54" x14ac:dyDescent="0.2">
      <c r="BA1017" s="581">
        <v>45850</v>
      </c>
      <c r="BB1017" s="582">
        <v>2025</v>
      </c>
    </row>
    <row r="1018" spans="53:54" x14ac:dyDescent="0.2">
      <c r="BA1018" s="581">
        <v>45851</v>
      </c>
      <c r="BB1018" s="582">
        <v>2025</v>
      </c>
    </row>
    <row r="1019" spans="53:54" x14ac:dyDescent="0.2">
      <c r="BA1019" s="581">
        <v>45852</v>
      </c>
      <c r="BB1019" s="582">
        <v>2025</v>
      </c>
    </row>
    <row r="1020" spans="53:54" x14ac:dyDescent="0.2">
      <c r="BA1020" s="581">
        <v>45853</v>
      </c>
      <c r="BB1020" s="582">
        <v>2025</v>
      </c>
    </row>
    <row r="1021" spans="53:54" x14ac:dyDescent="0.2">
      <c r="BA1021" s="581">
        <v>45854</v>
      </c>
      <c r="BB1021" s="582">
        <v>2025</v>
      </c>
    </row>
    <row r="1022" spans="53:54" x14ac:dyDescent="0.2">
      <c r="BA1022" s="581">
        <v>45855</v>
      </c>
      <c r="BB1022" s="582">
        <v>2025</v>
      </c>
    </row>
    <row r="1023" spans="53:54" x14ac:dyDescent="0.2">
      <c r="BA1023" s="581">
        <v>45856</v>
      </c>
      <c r="BB1023" s="582">
        <v>2025</v>
      </c>
    </row>
    <row r="1024" spans="53:54" x14ac:dyDescent="0.2">
      <c r="BA1024" s="581">
        <v>45857</v>
      </c>
      <c r="BB1024" s="582">
        <v>2025</v>
      </c>
    </row>
    <row r="1025" spans="53:54" x14ac:dyDescent="0.2">
      <c r="BA1025" s="581">
        <v>45858</v>
      </c>
      <c r="BB1025" s="582">
        <v>2025</v>
      </c>
    </row>
    <row r="1026" spans="53:54" x14ac:dyDescent="0.2">
      <c r="BA1026" s="581">
        <v>45859</v>
      </c>
      <c r="BB1026" s="582">
        <v>2025</v>
      </c>
    </row>
    <row r="1027" spans="53:54" x14ac:dyDescent="0.2">
      <c r="BA1027" s="581">
        <v>45860</v>
      </c>
      <c r="BB1027" s="582">
        <v>2025</v>
      </c>
    </row>
    <row r="1028" spans="53:54" x14ac:dyDescent="0.2">
      <c r="BA1028" s="581">
        <v>45861</v>
      </c>
      <c r="BB1028" s="582">
        <v>2025</v>
      </c>
    </row>
    <row r="1029" spans="53:54" x14ac:dyDescent="0.2">
      <c r="BA1029" s="581">
        <v>45862</v>
      </c>
      <c r="BB1029" s="582">
        <v>2025</v>
      </c>
    </row>
    <row r="1030" spans="53:54" x14ac:dyDescent="0.2">
      <c r="BA1030" s="581">
        <v>45863</v>
      </c>
      <c r="BB1030" s="582">
        <v>2025</v>
      </c>
    </row>
    <row r="1031" spans="53:54" x14ac:dyDescent="0.2">
      <c r="BA1031" s="581">
        <v>45864</v>
      </c>
      <c r="BB1031" s="582">
        <v>2025</v>
      </c>
    </row>
    <row r="1032" spans="53:54" x14ac:dyDescent="0.2">
      <c r="BA1032" s="581">
        <v>45865</v>
      </c>
      <c r="BB1032" s="582">
        <v>2025</v>
      </c>
    </row>
    <row r="1033" spans="53:54" x14ac:dyDescent="0.2">
      <c r="BA1033" s="581">
        <v>45866</v>
      </c>
      <c r="BB1033" s="582">
        <v>2025</v>
      </c>
    </row>
    <row r="1034" spans="53:54" x14ac:dyDescent="0.2">
      <c r="BA1034" s="581">
        <v>45867</v>
      </c>
      <c r="BB1034" s="582">
        <v>2025</v>
      </c>
    </row>
    <row r="1035" spans="53:54" x14ac:dyDescent="0.2">
      <c r="BA1035" s="581">
        <v>45868</v>
      </c>
      <c r="BB1035" s="582">
        <v>2025</v>
      </c>
    </row>
    <row r="1036" spans="53:54" x14ac:dyDescent="0.2">
      <c r="BA1036" s="581">
        <v>45869</v>
      </c>
      <c r="BB1036" s="582">
        <v>2025</v>
      </c>
    </row>
    <row r="1037" spans="53:54" x14ac:dyDescent="0.2">
      <c r="BA1037" s="581">
        <v>45870</v>
      </c>
      <c r="BB1037" s="582">
        <v>2025</v>
      </c>
    </row>
    <row r="1038" spans="53:54" x14ac:dyDescent="0.2">
      <c r="BA1038" s="581">
        <v>45871</v>
      </c>
      <c r="BB1038" s="582">
        <v>2025</v>
      </c>
    </row>
    <row r="1039" spans="53:54" x14ac:dyDescent="0.2">
      <c r="BA1039" s="581">
        <v>45872</v>
      </c>
      <c r="BB1039" s="582">
        <v>2025</v>
      </c>
    </row>
    <row r="1040" spans="53:54" x14ac:dyDescent="0.2">
      <c r="BA1040" s="581">
        <v>45873</v>
      </c>
      <c r="BB1040" s="582">
        <v>2025</v>
      </c>
    </row>
    <row r="1041" spans="53:54" x14ac:dyDescent="0.2">
      <c r="BA1041" s="581">
        <v>45874</v>
      </c>
      <c r="BB1041" s="582">
        <v>2025</v>
      </c>
    </row>
    <row r="1042" spans="53:54" x14ac:dyDescent="0.2">
      <c r="BA1042" s="581">
        <v>45875</v>
      </c>
      <c r="BB1042" s="582">
        <v>2025</v>
      </c>
    </row>
    <row r="1043" spans="53:54" x14ac:dyDescent="0.2">
      <c r="BA1043" s="581">
        <v>45876</v>
      </c>
      <c r="BB1043" s="582">
        <v>2025</v>
      </c>
    </row>
    <row r="1044" spans="53:54" x14ac:dyDescent="0.2">
      <c r="BA1044" s="581">
        <v>45877</v>
      </c>
      <c r="BB1044" s="582">
        <v>2025</v>
      </c>
    </row>
    <row r="1045" spans="53:54" x14ac:dyDescent="0.2">
      <c r="BA1045" s="581">
        <v>45878</v>
      </c>
      <c r="BB1045" s="582">
        <v>2025</v>
      </c>
    </row>
    <row r="1046" spans="53:54" x14ac:dyDescent="0.2">
      <c r="BA1046" s="581">
        <v>45879</v>
      </c>
      <c r="BB1046" s="582">
        <v>2025</v>
      </c>
    </row>
    <row r="1047" spans="53:54" x14ac:dyDescent="0.2">
      <c r="BA1047" s="581">
        <v>45880</v>
      </c>
      <c r="BB1047" s="582">
        <v>2025</v>
      </c>
    </row>
    <row r="1048" spans="53:54" x14ac:dyDescent="0.2">
      <c r="BA1048" s="581">
        <v>45881</v>
      </c>
      <c r="BB1048" s="582">
        <v>2025</v>
      </c>
    </row>
    <row r="1049" spans="53:54" x14ac:dyDescent="0.2">
      <c r="BA1049" s="581">
        <v>45882</v>
      </c>
      <c r="BB1049" s="582">
        <v>2025</v>
      </c>
    </row>
    <row r="1050" spans="53:54" x14ac:dyDescent="0.2">
      <c r="BA1050" s="581">
        <v>45883</v>
      </c>
      <c r="BB1050" s="582">
        <v>2025</v>
      </c>
    </row>
    <row r="1051" spans="53:54" x14ac:dyDescent="0.2">
      <c r="BA1051" s="581">
        <v>45884</v>
      </c>
      <c r="BB1051" s="582">
        <v>2025</v>
      </c>
    </row>
    <row r="1052" spans="53:54" x14ac:dyDescent="0.2">
      <c r="BA1052" s="581">
        <v>45885</v>
      </c>
      <c r="BB1052" s="582">
        <v>2025</v>
      </c>
    </row>
    <row r="1053" spans="53:54" x14ac:dyDescent="0.2">
      <c r="BA1053" s="581">
        <v>45886</v>
      </c>
      <c r="BB1053" s="582">
        <v>2025</v>
      </c>
    </row>
    <row r="1054" spans="53:54" x14ac:dyDescent="0.2">
      <c r="BA1054" s="581">
        <v>45887</v>
      </c>
      <c r="BB1054" s="582">
        <v>2025</v>
      </c>
    </row>
    <row r="1055" spans="53:54" x14ac:dyDescent="0.2">
      <c r="BA1055" s="581">
        <v>45888</v>
      </c>
      <c r="BB1055" s="582">
        <v>2025</v>
      </c>
    </row>
    <row r="1056" spans="53:54" x14ac:dyDescent="0.2">
      <c r="BA1056" s="581">
        <v>45889</v>
      </c>
      <c r="BB1056" s="582">
        <v>2025</v>
      </c>
    </row>
    <row r="1057" spans="53:54" x14ac:dyDescent="0.2">
      <c r="BA1057" s="581">
        <v>45890</v>
      </c>
      <c r="BB1057" s="582">
        <v>2025</v>
      </c>
    </row>
    <row r="1058" spans="53:54" x14ac:dyDescent="0.2">
      <c r="BA1058" s="581">
        <v>45891</v>
      </c>
      <c r="BB1058" s="582">
        <v>2025</v>
      </c>
    </row>
    <row r="1059" spans="53:54" x14ac:dyDescent="0.2">
      <c r="BA1059" s="581">
        <v>45892</v>
      </c>
      <c r="BB1059" s="582">
        <v>2025</v>
      </c>
    </row>
    <row r="1060" spans="53:54" x14ac:dyDescent="0.2">
      <c r="BA1060" s="581">
        <v>45893</v>
      </c>
      <c r="BB1060" s="582">
        <v>2025</v>
      </c>
    </row>
    <row r="1061" spans="53:54" x14ac:dyDescent="0.2">
      <c r="BA1061" s="581">
        <v>45894</v>
      </c>
      <c r="BB1061" s="582">
        <v>2025</v>
      </c>
    </row>
    <row r="1062" spans="53:54" x14ac:dyDescent="0.2">
      <c r="BA1062" s="581">
        <v>45895</v>
      </c>
      <c r="BB1062" s="582">
        <v>2025</v>
      </c>
    </row>
    <row r="1063" spans="53:54" x14ac:dyDescent="0.2">
      <c r="BA1063" s="581">
        <v>45896</v>
      </c>
      <c r="BB1063" s="582">
        <v>2025</v>
      </c>
    </row>
    <row r="1064" spans="53:54" x14ac:dyDescent="0.2">
      <c r="BA1064" s="581">
        <v>45897</v>
      </c>
      <c r="BB1064" s="582">
        <v>2025</v>
      </c>
    </row>
    <row r="1065" spans="53:54" x14ac:dyDescent="0.2">
      <c r="BA1065" s="581">
        <v>45898</v>
      </c>
      <c r="BB1065" s="582">
        <v>2025</v>
      </c>
    </row>
    <row r="1066" spans="53:54" x14ac:dyDescent="0.2">
      <c r="BA1066" s="581">
        <v>45899</v>
      </c>
      <c r="BB1066" s="582">
        <v>2025</v>
      </c>
    </row>
    <row r="1067" spans="53:54" x14ac:dyDescent="0.2">
      <c r="BA1067" s="581">
        <v>45900</v>
      </c>
      <c r="BB1067" s="582">
        <v>2025</v>
      </c>
    </row>
    <row r="1068" spans="53:54" x14ac:dyDescent="0.2">
      <c r="BA1068" s="581">
        <v>45901</v>
      </c>
      <c r="BB1068" s="582">
        <v>2025</v>
      </c>
    </row>
    <row r="1069" spans="53:54" x14ac:dyDescent="0.2">
      <c r="BA1069" s="581">
        <v>45902</v>
      </c>
      <c r="BB1069" s="582">
        <v>2025</v>
      </c>
    </row>
    <row r="1070" spans="53:54" x14ac:dyDescent="0.2">
      <c r="BA1070" s="581">
        <v>45903</v>
      </c>
      <c r="BB1070" s="582">
        <v>2025</v>
      </c>
    </row>
    <row r="1071" spans="53:54" x14ac:dyDescent="0.2">
      <c r="BA1071" s="581">
        <v>45904</v>
      </c>
      <c r="BB1071" s="582">
        <v>2025</v>
      </c>
    </row>
    <row r="1072" spans="53:54" x14ac:dyDescent="0.2">
      <c r="BA1072" s="581">
        <v>45905</v>
      </c>
      <c r="BB1072" s="582">
        <v>2025</v>
      </c>
    </row>
    <row r="1073" spans="53:54" x14ac:dyDescent="0.2">
      <c r="BA1073" s="581">
        <v>45906</v>
      </c>
      <c r="BB1073" s="582">
        <v>2025</v>
      </c>
    </row>
    <row r="1074" spans="53:54" x14ac:dyDescent="0.2">
      <c r="BA1074" s="581">
        <v>45907</v>
      </c>
      <c r="BB1074" s="582">
        <v>2025</v>
      </c>
    </row>
    <row r="1075" spans="53:54" x14ac:dyDescent="0.2">
      <c r="BA1075" s="581">
        <v>45908</v>
      </c>
      <c r="BB1075" s="582">
        <v>2025</v>
      </c>
    </row>
    <row r="1076" spans="53:54" x14ac:dyDescent="0.2">
      <c r="BA1076" s="581">
        <v>45909</v>
      </c>
      <c r="BB1076" s="582">
        <v>2025</v>
      </c>
    </row>
    <row r="1077" spans="53:54" x14ac:dyDescent="0.2">
      <c r="BA1077" s="581">
        <v>45910</v>
      </c>
      <c r="BB1077" s="582">
        <v>2025</v>
      </c>
    </row>
    <row r="1078" spans="53:54" x14ac:dyDescent="0.2">
      <c r="BA1078" s="581">
        <v>45911</v>
      </c>
      <c r="BB1078" s="582">
        <v>2025</v>
      </c>
    </row>
    <row r="1079" spans="53:54" x14ac:dyDescent="0.2">
      <c r="BA1079" s="581">
        <v>45912</v>
      </c>
      <c r="BB1079" s="582">
        <v>2025</v>
      </c>
    </row>
    <row r="1080" spans="53:54" x14ac:dyDescent="0.2">
      <c r="BA1080" s="581">
        <v>45913</v>
      </c>
      <c r="BB1080" s="582">
        <v>2025</v>
      </c>
    </row>
    <row r="1081" spans="53:54" x14ac:dyDescent="0.2">
      <c r="BA1081" s="581">
        <v>45914</v>
      </c>
      <c r="BB1081" s="582">
        <v>2025</v>
      </c>
    </row>
    <row r="1082" spans="53:54" x14ac:dyDescent="0.2">
      <c r="BA1082" s="581">
        <v>45915</v>
      </c>
      <c r="BB1082" s="582">
        <v>2025</v>
      </c>
    </row>
    <row r="1083" spans="53:54" x14ac:dyDescent="0.2">
      <c r="BA1083" s="581">
        <v>45916</v>
      </c>
      <c r="BB1083" s="582">
        <v>2025</v>
      </c>
    </row>
    <row r="1084" spans="53:54" x14ac:dyDescent="0.2">
      <c r="BA1084" s="581">
        <v>45917</v>
      </c>
      <c r="BB1084" s="582">
        <v>2025</v>
      </c>
    </row>
    <row r="1085" spans="53:54" x14ac:dyDescent="0.2">
      <c r="BA1085" s="581">
        <v>45918</v>
      </c>
      <c r="BB1085" s="582">
        <v>2025</v>
      </c>
    </row>
    <row r="1086" spans="53:54" x14ac:dyDescent="0.2">
      <c r="BA1086" s="581">
        <v>45919</v>
      </c>
      <c r="BB1086" s="582">
        <v>2025</v>
      </c>
    </row>
    <row r="1087" spans="53:54" x14ac:dyDescent="0.2">
      <c r="BA1087" s="581">
        <v>45920</v>
      </c>
      <c r="BB1087" s="582">
        <v>2025</v>
      </c>
    </row>
    <row r="1088" spans="53:54" x14ac:dyDescent="0.2">
      <c r="BA1088" s="581">
        <v>45921</v>
      </c>
      <c r="BB1088" s="582">
        <v>2025</v>
      </c>
    </row>
    <row r="1089" spans="53:54" x14ac:dyDescent="0.2">
      <c r="BA1089" s="581">
        <v>45922</v>
      </c>
      <c r="BB1089" s="582">
        <v>2025</v>
      </c>
    </row>
    <row r="1090" spans="53:54" x14ac:dyDescent="0.2">
      <c r="BA1090" s="581">
        <v>45923</v>
      </c>
      <c r="BB1090" s="582">
        <v>2025</v>
      </c>
    </row>
    <row r="1091" spans="53:54" x14ac:dyDescent="0.2">
      <c r="BA1091" s="581">
        <v>45924</v>
      </c>
      <c r="BB1091" s="582">
        <v>2025</v>
      </c>
    </row>
    <row r="1092" spans="53:54" x14ac:dyDescent="0.2">
      <c r="BA1092" s="581">
        <v>45925</v>
      </c>
      <c r="BB1092" s="582">
        <v>2025</v>
      </c>
    </row>
    <row r="1093" spans="53:54" x14ac:dyDescent="0.2">
      <c r="BA1093" s="581">
        <v>45926</v>
      </c>
      <c r="BB1093" s="582">
        <v>2025</v>
      </c>
    </row>
    <row r="1094" spans="53:54" x14ac:dyDescent="0.2">
      <c r="BA1094" s="581">
        <v>45927</v>
      </c>
      <c r="BB1094" s="582">
        <v>2025</v>
      </c>
    </row>
    <row r="1095" spans="53:54" x14ac:dyDescent="0.2">
      <c r="BA1095" s="581">
        <v>45928</v>
      </c>
      <c r="BB1095" s="582">
        <v>2025</v>
      </c>
    </row>
    <row r="1096" spans="53:54" x14ac:dyDescent="0.2">
      <c r="BA1096" s="581">
        <v>45929</v>
      </c>
      <c r="BB1096" s="582">
        <v>2025</v>
      </c>
    </row>
    <row r="1097" spans="53:54" x14ac:dyDescent="0.2">
      <c r="BA1097" s="581">
        <v>45930</v>
      </c>
      <c r="BB1097" s="582">
        <v>2025</v>
      </c>
    </row>
    <row r="1098" spans="53:54" x14ac:dyDescent="0.2">
      <c r="BA1098" s="581">
        <v>45931</v>
      </c>
      <c r="BB1098" s="582">
        <v>2026</v>
      </c>
    </row>
    <row r="1099" spans="53:54" x14ac:dyDescent="0.2">
      <c r="BA1099" s="581">
        <v>45932</v>
      </c>
      <c r="BB1099" s="582">
        <v>2026</v>
      </c>
    </row>
    <row r="1100" spans="53:54" x14ac:dyDescent="0.2">
      <c r="BA1100" s="581">
        <v>45933</v>
      </c>
      <c r="BB1100" s="582">
        <v>2026</v>
      </c>
    </row>
    <row r="1101" spans="53:54" x14ac:dyDescent="0.2">
      <c r="BA1101" s="581">
        <v>45934</v>
      </c>
      <c r="BB1101" s="582">
        <v>2026</v>
      </c>
    </row>
    <row r="1102" spans="53:54" x14ac:dyDescent="0.2">
      <c r="BA1102" s="581">
        <v>45935</v>
      </c>
      <c r="BB1102" s="582">
        <v>2026</v>
      </c>
    </row>
    <row r="1103" spans="53:54" x14ac:dyDescent="0.2">
      <c r="BA1103" s="581">
        <v>45936</v>
      </c>
      <c r="BB1103" s="582">
        <v>2026</v>
      </c>
    </row>
    <row r="1104" spans="53:54" x14ac:dyDescent="0.2">
      <c r="BA1104" s="581">
        <v>45937</v>
      </c>
      <c r="BB1104" s="582">
        <v>2026</v>
      </c>
    </row>
    <row r="1105" spans="53:54" x14ac:dyDescent="0.2">
      <c r="BA1105" s="581">
        <v>45938</v>
      </c>
      <c r="BB1105" s="582">
        <v>2026</v>
      </c>
    </row>
    <row r="1106" spans="53:54" x14ac:dyDescent="0.2">
      <c r="BA1106" s="581">
        <v>45939</v>
      </c>
      <c r="BB1106" s="582">
        <v>2026</v>
      </c>
    </row>
    <row r="1107" spans="53:54" x14ac:dyDescent="0.2">
      <c r="BA1107" s="581">
        <v>45940</v>
      </c>
      <c r="BB1107" s="582">
        <v>2026</v>
      </c>
    </row>
    <row r="1108" spans="53:54" x14ac:dyDescent="0.2">
      <c r="BA1108" s="581">
        <v>45941</v>
      </c>
      <c r="BB1108" s="582">
        <v>2026</v>
      </c>
    </row>
    <row r="1109" spans="53:54" x14ac:dyDescent="0.2">
      <c r="BA1109" s="581">
        <v>45942</v>
      </c>
      <c r="BB1109" s="582">
        <v>2026</v>
      </c>
    </row>
    <row r="1110" spans="53:54" x14ac:dyDescent="0.2">
      <c r="BA1110" s="581">
        <v>45943</v>
      </c>
      <c r="BB1110" s="582">
        <v>2026</v>
      </c>
    </row>
    <row r="1111" spans="53:54" x14ac:dyDescent="0.2">
      <c r="BA1111" s="581">
        <v>45944</v>
      </c>
      <c r="BB1111" s="582">
        <v>2026</v>
      </c>
    </row>
    <row r="1112" spans="53:54" x14ac:dyDescent="0.2">
      <c r="BA1112" s="581">
        <v>45945</v>
      </c>
      <c r="BB1112" s="582">
        <v>2026</v>
      </c>
    </row>
    <row r="1113" spans="53:54" x14ac:dyDescent="0.2">
      <c r="BA1113" s="581">
        <v>45946</v>
      </c>
      <c r="BB1113" s="582">
        <v>2026</v>
      </c>
    </row>
    <row r="1114" spans="53:54" x14ac:dyDescent="0.2">
      <c r="BA1114" s="581">
        <v>45947</v>
      </c>
      <c r="BB1114" s="582">
        <v>2026</v>
      </c>
    </row>
    <row r="1115" spans="53:54" x14ac:dyDescent="0.2">
      <c r="BA1115" s="581">
        <v>45948</v>
      </c>
      <c r="BB1115" s="582">
        <v>2026</v>
      </c>
    </row>
    <row r="1116" spans="53:54" x14ac:dyDescent="0.2">
      <c r="BA1116" s="581">
        <v>45949</v>
      </c>
      <c r="BB1116" s="582">
        <v>2026</v>
      </c>
    </row>
    <row r="1117" spans="53:54" x14ac:dyDescent="0.2">
      <c r="BA1117" s="581">
        <v>45950</v>
      </c>
      <c r="BB1117" s="582">
        <v>2026</v>
      </c>
    </row>
    <row r="1118" spans="53:54" x14ac:dyDescent="0.2">
      <c r="BA1118" s="581">
        <v>45951</v>
      </c>
      <c r="BB1118" s="582">
        <v>2026</v>
      </c>
    </row>
    <row r="1119" spans="53:54" x14ac:dyDescent="0.2">
      <c r="BA1119" s="581">
        <v>45952</v>
      </c>
      <c r="BB1119" s="582">
        <v>2026</v>
      </c>
    </row>
    <row r="1120" spans="53:54" x14ac:dyDescent="0.2">
      <c r="BA1120" s="581">
        <v>45953</v>
      </c>
      <c r="BB1120" s="582">
        <v>2026</v>
      </c>
    </row>
    <row r="1121" spans="53:54" x14ac:dyDescent="0.2">
      <c r="BA1121" s="581">
        <v>45954</v>
      </c>
      <c r="BB1121" s="582">
        <v>2026</v>
      </c>
    </row>
    <row r="1122" spans="53:54" x14ac:dyDescent="0.2">
      <c r="BA1122" s="581">
        <v>45955</v>
      </c>
      <c r="BB1122" s="582">
        <v>2026</v>
      </c>
    </row>
    <row r="1123" spans="53:54" x14ac:dyDescent="0.2">
      <c r="BA1123" s="581">
        <v>45956</v>
      </c>
      <c r="BB1123" s="582">
        <v>2026</v>
      </c>
    </row>
    <row r="1124" spans="53:54" x14ac:dyDescent="0.2">
      <c r="BA1124" s="581">
        <v>45957</v>
      </c>
      <c r="BB1124" s="582">
        <v>2026</v>
      </c>
    </row>
    <row r="1125" spans="53:54" x14ac:dyDescent="0.2">
      <c r="BA1125" s="581">
        <v>45958</v>
      </c>
      <c r="BB1125" s="582">
        <v>2026</v>
      </c>
    </row>
    <row r="1126" spans="53:54" x14ac:dyDescent="0.2">
      <c r="BA1126" s="581">
        <v>45959</v>
      </c>
      <c r="BB1126" s="582">
        <v>2026</v>
      </c>
    </row>
    <row r="1127" spans="53:54" x14ac:dyDescent="0.2">
      <c r="BA1127" s="581">
        <v>45960</v>
      </c>
      <c r="BB1127" s="582">
        <v>2026</v>
      </c>
    </row>
    <row r="1128" spans="53:54" x14ac:dyDescent="0.2">
      <c r="BA1128" s="581">
        <v>45961</v>
      </c>
      <c r="BB1128" s="582">
        <v>2026</v>
      </c>
    </row>
    <row r="1129" spans="53:54" x14ac:dyDescent="0.2">
      <c r="BA1129" s="581">
        <v>45962</v>
      </c>
      <c r="BB1129" s="582">
        <v>2026</v>
      </c>
    </row>
    <row r="1130" spans="53:54" x14ac:dyDescent="0.2">
      <c r="BA1130" s="581">
        <v>45963</v>
      </c>
      <c r="BB1130" s="582">
        <v>2026</v>
      </c>
    </row>
    <row r="1131" spans="53:54" x14ac:dyDescent="0.2">
      <c r="BA1131" s="581">
        <v>45964</v>
      </c>
      <c r="BB1131" s="582">
        <v>2026</v>
      </c>
    </row>
    <row r="1132" spans="53:54" x14ac:dyDescent="0.2">
      <c r="BA1132" s="581">
        <v>45965</v>
      </c>
      <c r="BB1132" s="582">
        <v>2026</v>
      </c>
    </row>
    <row r="1133" spans="53:54" x14ac:dyDescent="0.2">
      <c r="BA1133" s="581">
        <v>45966</v>
      </c>
      <c r="BB1133" s="582">
        <v>2026</v>
      </c>
    </row>
    <row r="1134" spans="53:54" x14ac:dyDescent="0.2">
      <c r="BA1134" s="581">
        <v>45967</v>
      </c>
      <c r="BB1134" s="582">
        <v>2026</v>
      </c>
    </row>
    <row r="1135" spans="53:54" x14ac:dyDescent="0.2">
      <c r="BA1135" s="581">
        <v>45968</v>
      </c>
      <c r="BB1135" s="582">
        <v>2026</v>
      </c>
    </row>
    <row r="1136" spans="53:54" x14ac:dyDescent="0.2">
      <c r="BA1136" s="581">
        <v>45969</v>
      </c>
      <c r="BB1136" s="582">
        <v>2026</v>
      </c>
    </row>
    <row r="1137" spans="53:54" x14ac:dyDescent="0.2">
      <c r="BA1137" s="581">
        <v>45970</v>
      </c>
      <c r="BB1137" s="582">
        <v>2026</v>
      </c>
    </row>
    <row r="1138" spans="53:54" x14ac:dyDescent="0.2">
      <c r="BA1138" s="581">
        <v>45971</v>
      </c>
      <c r="BB1138" s="582">
        <v>2026</v>
      </c>
    </row>
    <row r="1139" spans="53:54" x14ac:dyDescent="0.2">
      <c r="BA1139" s="581">
        <v>45972</v>
      </c>
      <c r="BB1139" s="582">
        <v>2026</v>
      </c>
    </row>
    <row r="1140" spans="53:54" x14ac:dyDescent="0.2">
      <c r="BA1140" s="581">
        <v>45973</v>
      </c>
      <c r="BB1140" s="582">
        <v>2026</v>
      </c>
    </row>
    <row r="1141" spans="53:54" x14ac:dyDescent="0.2">
      <c r="BA1141" s="581">
        <v>45974</v>
      </c>
      <c r="BB1141" s="582">
        <v>2026</v>
      </c>
    </row>
    <row r="1142" spans="53:54" x14ac:dyDescent="0.2">
      <c r="BA1142" s="581">
        <v>45975</v>
      </c>
      <c r="BB1142" s="582">
        <v>2026</v>
      </c>
    </row>
    <row r="1143" spans="53:54" x14ac:dyDescent="0.2">
      <c r="BA1143" s="581">
        <v>45976</v>
      </c>
      <c r="BB1143" s="582">
        <v>2026</v>
      </c>
    </row>
    <row r="1144" spans="53:54" x14ac:dyDescent="0.2">
      <c r="BA1144" s="581">
        <v>45977</v>
      </c>
      <c r="BB1144" s="582">
        <v>2026</v>
      </c>
    </row>
    <row r="1145" spans="53:54" x14ac:dyDescent="0.2">
      <c r="BA1145" s="581">
        <v>45978</v>
      </c>
      <c r="BB1145" s="582">
        <v>2026</v>
      </c>
    </row>
    <row r="1146" spans="53:54" x14ac:dyDescent="0.2">
      <c r="BA1146" s="581">
        <v>45979</v>
      </c>
      <c r="BB1146" s="582">
        <v>2026</v>
      </c>
    </row>
    <row r="1147" spans="53:54" x14ac:dyDescent="0.2">
      <c r="BA1147" s="581">
        <v>45980</v>
      </c>
      <c r="BB1147" s="582">
        <v>2026</v>
      </c>
    </row>
    <row r="1148" spans="53:54" x14ac:dyDescent="0.2">
      <c r="BA1148" s="581">
        <v>45981</v>
      </c>
      <c r="BB1148" s="582">
        <v>2026</v>
      </c>
    </row>
    <row r="1149" spans="53:54" x14ac:dyDescent="0.2">
      <c r="BA1149" s="581">
        <v>45982</v>
      </c>
      <c r="BB1149" s="582">
        <v>2026</v>
      </c>
    </row>
    <row r="1150" spans="53:54" x14ac:dyDescent="0.2">
      <c r="BA1150" s="581">
        <v>45983</v>
      </c>
      <c r="BB1150" s="582">
        <v>2026</v>
      </c>
    </row>
    <row r="1151" spans="53:54" x14ac:dyDescent="0.2">
      <c r="BA1151" s="581">
        <v>45984</v>
      </c>
      <c r="BB1151" s="582">
        <v>2026</v>
      </c>
    </row>
    <row r="1152" spans="53:54" x14ac:dyDescent="0.2">
      <c r="BA1152" s="581">
        <v>45985</v>
      </c>
      <c r="BB1152" s="582">
        <v>2026</v>
      </c>
    </row>
    <row r="1153" spans="53:54" x14ac:dyDescent="0.2">
      <c r="BA1153" s="581">
        <v>45986</v>
      </c>
      <c r="BB1153" s="582">
        <v>2026</v>
      </c>
    </row>
    <row r="1154" spans="53:54" x14ac:dyDescent="0.2">
      <c r="BA1154" s="581">
        <v>45987</v>
      </c>
      <c r="BB1154" s="582">
        <v>2026</v>
      </c>
    </row>
    <row r="1155" spans="53:54" x14ac:dyDescent="0.2">
      <c r="BA1155" s="581">
        <v>45988</v>
      </c>
      <c r="BB1155" s="582">
        <v>2026</v>
      </c>
    </row>
    <row r="1156" spans="53:54" x14ac:dyDescent="0.2">
      <c r="BA1156" s="581">
        <v>45989</v>
      </c>
      <c r="BB1156" s="582">
        <v>2026</v>
      </c>
    </row>
    <row r="1157" spans="53:54" x14ac:dyDescent="0.2">
      <c r="BA1157" s="581">
        <v>45990</v>
      </c>
      <c r="BB1157" s="582">
        <v>2026</v>
      </c>
    </row>
    <row r="1158" spans="53:54" x14ac:dyDescent="0.2">
      <c r="BA1158" s="581">
        <v>45991</v>
      </c>
      <c r="BB1158" s="582">
        <v>2026</v>
      </c>
    </row>
    <row r="1159" spans="53:54" x14ac:dyDescent="0.2">
      <c r="BA1159" s="581">
        <v>45992</v>
      </c>
      <c r="BB1159" s="582">
        <v>2026</v>
      </c>
    </row>
    <row r="1160" spans="53:54" x14ac:dyDescent="0.2">
      <c r="BA1160" s="581">
        <v>45993</v>
      </c>
      <c r="BB1160" s="582">
        <v>2026</v>
      </c>
    </row>
    <row r="1161" spans="53:54" x14ac:dyDescent="0.2">
      <c r="BA1161" s="581">
        <v>45994</v>
      </c>
      <c r="BB1161" s="582">
        <v>2026</v>
      </c>
    </row>
    <row r="1162" spans="53:54" x14ac:dyDescent="0.2">
      <c r="BA1162" s="581">
        <v>45995</v>
      </c>
      <c r="BB1162" s="582">
        <v>2026</v>
      </c>
    </row>
    <row r="1163" spans="53:54" x14ac:dyDescent="0.2">
      <c r="BA1163" s="581">
        <v>45996</v>
      </c>
      <c r="BB1163" s="582">
        <v>2026</v>
      </c>
    </row>
    <row r="1164" spans="53:54" x14ac:dyDescent="0.2">
      <c r="BA1164" s="581">
        <v>45997</v>
      </c>
      <c r="BB1164" s="582">
        <v>2026</v>
      </c>
    </row>
    <row r="1165" spans="53:54" x14ac:dyDescent="0.2">
      <c r="BA1165" s="581">
        <v>45998</v>
      </c>
      <c r="BB1165" s="582">
        <v>2026</v>
      </c>
    </row>
    <row r="1166" spans="53:54" x14ac:dyDescent="0.2">
      <c r="BA1166" s="581">
        <v>45999</v>
      </c>
      <c r="BB1166" s="582">
        <v>2026</v>
      </c>
    </row>
    <row r="1167" spans="53:54" x14ac:dyDescent="0.2">
      <c r="BA1167" s="581">
        <v>46000</v>
      </c>
      <c r="BB1167" s="582">
        <v>2026</v>
      </c>
    </row>
    <row r="1168" spans="53:54" x14ac:dyDescent="0.2">
      <c r="BA1168" s="581">
        <v>46001</v>
      </c>
      <c r="BB1168" s="582">
        <v>2026</v>
      </c>
    </row>
    <row r="1169" spans="53:54" x14ac:dyDescent="0.2">
      <c r="BA1169" s="581">
        <v>46002</v>
      </c>
      <c r="BB1169" s="582">
        <v>2026</v>
      </c>
    </row>
    <row r="1170" spans="53:54" x14ac:dyDescent="0.2">
      <c r="BA1170" s="581">
        <v>46003</v>
      </c>
      <c r="BB1170" s="582">
        <v>2026</v>
      </c>
    </row>
    <row r="1171" spans="53:54" x14ac:dyDescent="0.2">
      <c r="BA1171" s="581">
        <v>46004</v>
      </c>
      <c r="BB1171" s="582">
        <v>2026</v>
      </c>
    </row>
    <row r="1172" spans="53:54" x14ac:dyDescent="0.2">
      <c r="BA1172" s="581">
        <v>46005</v>
      </c>
      <c r="BB1172" s="582">
        <v>2026</v>
      </c>
    </row>
    <row r="1173" spans="53:54" x14ac:dyDescent="0.2">
      <c r="BA1173" s="581">
        <v>46006</v>
      </c>
      <c r="BB1173" s="582">
        <v>2026</v>
      </c>
    </row>
    <row r="1174" spans="53:54" x14ac:dyDescent="0.2">
      <c r="BA1174" s="581">
        <v>46007</v>
      </c>
      <c r="BB1174" s="582">
        <v>2026</v>
      </c>
    </row>
    <row r="1175" spans="53:54" x14ac:dyDescent="0.2">
      <c r="BA1175" s="581">
        <v>46008</v>
      </c>
      <c r="BB1175" s="582">
        <v>2026</v>
      </c>
    </row>
    <row r="1176" spans="53:54" x14ac:dyDescent="0.2">
      <c r="BA1176" s="581">
        <v>46009</v>
      </c>
      <c r="BB1176" s="582">
        <v>2026</v>
      </c>
    </row>
    <row r="1177" spans="53:54" x14ac:dyDescent="0.2">
      <c r="BA1177" s="581">
        <v>46010</v>
      </c>
      <c r="BB1177" s="582">
        <v>2026</v>
      </c>
    </row>
    <row r="1178" spans="53:54" x14ac:dyDescent="0.2">
      <c r="BA1178" s="581">
        <v>46011</v>
      </c>
      <c r="BB1178" s="582">
        <v>2026</v>
      </c>
    </row>
    <row r="1179" spans="53:54" x14ac:dyDescent="0.2">
      <c r="BA1179" s="581">
        <v>46012</v>
      </c>
      <c r="BB1179" s="582">
        <v>2026</v>
      </c>
    </row>
    <row r="1180" spans="53:54" x14ac:dyDescent="0.2">
      <c r="BA1180" s="581">
        <v>46013</v>
      </c>
      <c r="BB1180" s="582">
        <v>2026</v>
      </c>
    </row>
    <row r="1181" spans="53:54" x14ac:dyDescent="0.2">
      <c r="BA1181" s="581">
        <v>46014</v>
      </c>
      <c r="BB1181" s="582">
        <v>2026</v>
      </c>
    </row>
    <row r="1182" spans="53:54" x14ac:dyDescent="0.2">
      <c r="BA1182" s="581">
        <v>46015</v>
      </c>
      <c r="BB1182" s="582">
        <v>2026</v>
      </c>
    </row>
    <row r="1183" spans="53:54" x14ac:dyDescent="0.2">
      <c r="BA1183" s="581">
        <v>46016</v>
      </c>
      <c r="BB1183" s="582">
        <v>2026</v>
      </c>
    </row>
    <row r="1184" spans="53:54" x14ac:dyDescent="0.2">
      <c r="BA1184" s="581">
        <v>46017</v>
      </c>
      <c r="BB1184" s="582">
        <v>2026</v>
      </c>
    </row>
    <row r="1185" spans="53:54" x14ac:dyDescent="0.2">
      <c r="BA1185" s="581">
        <v>46018</v>
      </c>
      <c r="BB1185" s="582">
        <v>2026</v>
      </c>
    </row>
    <row r="1186" spans="53:54" x14ac:dyDescent="0.2">
      <c r="BA1186" s="581">
        <v>46019</v>
      </c>
      <c r="BB1186" s="582">
        <v>2026</v>
      </c>
    </row>
    <row r="1187" spans="53:54" x14ac:dyDescent="0.2">
      <c r="BA1187" s="581">
        <v>46020</v>
      </c>
      <c r="BB1187" s="582">
        <v>2026</v>
      </c>
    </row>
    <row r="1188" spans="53:54" x14ac:dyDescent="0.2">
      <c r="BA1188" s="581">
        <v>46021</v>
      </c>
      <c r="BB1188" s="582">
        <v>2026</v>
      </c>
    </row>
    <row r="1189" spans="53:54" x14ac:dyDescent="0.2">
      <c r="BA1189" s="581">
        <v>46022</v>
      </c>
      <c r="BB1189" s="582">
        <v>2026</v>
      </c>
    </row>
    <row r="1190" spans="53:54" x14ac:dyDescent="0.2">
      <c r="BA1190" s="581">
        <v>46023</v>
      </c>
      <c r="BB1190" s="582">
        <v>2026</v>
      </c>
    </row>
    <row r="1191" spans="53:54" x14ac:dyDescent="0.2">
      <c r="BA1191" s="581">
        <v>46024</v>
      </c>
      <c r="BB1191" s="582">
        <v>2026</v>
      </c>
    </row>
    <row r="1192" spans="53:54" x14ac:dyDescent="0.2">
      <c r="BA1192" s="581">
        <v>46025</v>
      </c>
      <c r="BB1192" s="582">
        <v>2026</v>
      </c>
    </row>
    <row r="1193" spans="53:54" x14ac:dyDescent="0.2">
      <c r="BA1193" s="581">
        <v>46026</v>
      </c>
      <c r="BB1193" s="582">
        <v>2026</v>
      </c>
    </row>
    <row r="1194" spans="53:54" x14ac:dyDescent="0.2">
      <c r="BA1194" s="581">
        <v>46027</v>
      </c>
      <c r="BB1194" s="582">
        <v>2026</v>
      </c>
    </row>
    <row r="1195" spans="53:54" x14ac:dyDescent="0.2">
      <c r="BA1195" s="581">
        <v>46028</v>
      </c>
      <c r="BB1195" s="582">
        <v>2026</v>
      </c>
    </row>
    <row r="1196" spans="53:54" x14ac:dyDescent="0.2">
      <c r="BA1196" s="581">
        <v>46029</v>
      </c>
      <c r="BB1196" s="582">
        <v>2026</v>
      </c>
    </row>
    <row r="1197" spans="53:54" x14ac:dyDescent="0.2">
      <c r="BA1197" s="581">
        <v>46030</v>
      </c>
      <c r="BB1197" s="582">
        <v>2026</v>
      </c>
    </row>
    <row r="1198" spans="53:54" x14ac:dyDescent="0.2">
      <c r="BA1198" s="581">
        <v>46031</v>
      </c>
      <c r="BB1198" s="582">
        <v>2026</v>
      </c>
    </row>
    <row r="1199" spans="53:54" x14ac:dyDescent="0.2">
      <c r="BA1199" s="581">
        <v>46032</v>
      </c>
      <c r="BB1199" s="582">
        <v>2026</v>
      </c>
    </row>
    <row r="1200" spans="53:54" x14ac:dyDescent="0.2">
      <c r="BA1200" s="581">
        <v>46033</v>
      </c>
      <c r="BB1200" s="582">
        <v>2026</v>
      </c>
    </row>
    <row r="1201" spans="53:54" x14ac:dyDescent="0.2">
      <c r="BA1201" s="581">
        <v>46034</v>
      </c>
      <c r="BB1201" s="582">
        <v>2026</v>
      </c>
    </row>
    <row r="1202" spans="53:54" x14ac:dyDescent="0.2">
      <c r="BA1202" s="581">
        <v>46035</v>
      </c>
      <c r="BB1202" s="582">
        <v>2026</v>
      </c>
    </row>
    <row r="1203" spans="53:54" x14ac:dyDescent="0.2">
      <c r="BA1203" s="581">
        <v>46036</v>
      </c>
      <c r="BB1203" s="582">
        <v>2026</v>
      </c>
    </row>
    <row r="1204" spans="53:54" x14ac:dyDescent="0.2">
      <c r="BA1204" s="581">
        <v>46037</v>
      </c>
      <c r="BB1204" s="582">
        <v>2026</v>
      </c>
    </row>
    <row r="1205" spans="53:54" x14ac:dyDescent="0.2">
      <c r="BA1205" s="581">
        <v>46038</v>
      </c>
      <c r="BB1205" s="582">
        <v>2026</v>
      </c>
    </row>
    <row r="1206" spans="53:54" x14ac:dyDescent="0.2">
      <c r="BA1206" s="581">
        <v>46039</v>
      </c>
      <c r="BB1206" s="582">
        <v>2026</v>
      </c>
    </row>
    <row r="1207" spans="53:54" x14ac:dyDescent="0.2">
      <c r="BA1207" s="581">
        <v>46040</v>
      </c>
      <c r="BB1207" s="582">
        <v>2026</v>
      </c>
    </row>
    <row r="1208" spans="53:54" x14ac:dyDescent="0.2">
      <c r="BA1208" s="581">
        <v>46041</v>
      </c>
      <c r="BB1208" s="582">
        <v>2026</v>
      </c>
    </row>
    <row r="1209" spans="53:54" x14ac:dyDescent="0.2">
      <c r="BA1209" s="581">
        <v>46042</v>
      </c>
      <c r="BB1209" s="582">
        <v>2026</v>
      </c>
    </row>
    <row r="1210" spans="53:54" x14ac:dyDescent="0.2">
      <c r="BA1210" s="581">
        <v>46043</v>
      </c>
      <c r="BB1210" s="582">
        <v>2026</v>
      </c>
    </row>
    <row r="1211" spans="53:54" x14ac:dyDescent="0.2">
      <c r="BA1211" s="581">
        <v>46044</v>
      </c>
      <c r="BB1211" s="582">
        <v>2026</v>
      </c>
    </row>
    <row r="1212" spans="53:54" x14ac:dyDescent="0.2">
      <c r="BA1212" s="581">
        <v>46045</v>
      </c>
      <c r="BB1212" s="582">
        <v>2026</v>
      </c>
    </row>
    <row r="1213" spans="53:54" x14ac:dyDescent="0.2">
      <c r="BA1213" s="581">
        <v>46046</v>
      </c>
      <c r="BB1213" s="582">
        <v>2026</v>
      </c>
    </row>
    <row r="1214" spans="53:54" x14ac:dyDescent="0.2">
      <c r="BA1214" s="581">
        <v>46047</v>
      </c>
      <c r="BB1214" s="582">
        <v>2026</v>
      </c>
    </row>
    <row r="1215" spans="53:54" x14ac:dyDescent="0.2">
      <c r="BA1215" s="581">
        <v>46048</v>
      </c>
      <c r="BB1215" s="582">
        <v>2026</v>
      </c>
    </row>
    <row r="1216" spans="53:54" x14ac:dyDescent="0.2">
      <c r="BA1216" s="581">
        <v>46049</v>
      </c>
      <c r="BB1216" s="582">
        <v>2026</v>
      </c>
    </row>
    <row r="1217" spans="53:54" x14ac:dyDescent="0.2">
      <c r="BA1217" s="581">
        <v>46050</v>
      </c>
      <c r="BB1217" s="582">
        <v>2026</v>
      </c>
    </row>
    <row r="1218" spans="53:54" x14ac:dyDescent="0.2">
      <c r="BA1218" s="581">
        <v>46051</v>
      </c>
      <c r="BB1218" s="582">
        <v>2026</v>
      </c>
    </row>
    <row r="1219" spans="53:54" x14ac:dyDescent="0.2">
      <c r="BA1219" s="581">
        <v>46052</v>
      </c>
      <c r="BB1219" s="582">
        <v>2026</v>
      </c>
    </row>
    <row r="1220" spans="53:54" x14ac:dyDescent="0.2">
      <c r="BA1220" s="581">
        <v>46053</v>
      </c>
      <c r="BB1220" s="582">
        <v>2026</v>
      </c>
    </row>
    <row r="1221" spans="53:54" x14ac:dyDescent="0.2">
      <c r="BA1221" s="581">
        <v>46054</v>
      </c>
      <c r="BB1221" s="582">
        <v>2026</v>
      </c>
    </row>
    <row r="1222" spans="53:54" x14ac:dyDescent="0.2">
      <c r="BA1222" s="581">
        <v>46055</v>
      </c>
      <c r="BB1222" s="582">
        <v>2026</v>
      </c>
    </row>
    <row r="1223" spans="53:54" x14ac:dyDescent="0.2">
      <c r="BA1223" s="581">
        <v>46056</v>
      </c>
      <c r="BB1223" s="582">
        <v>2026</v>
      </c>
    </row>
    <row r="1224" spans="53:54" x14ac:dyDescent="0.2">
      <c r="BA1224" s="581">
        <v>46057</v>
      </c>
      <c r="BB1224" s="582">
        <v>2026</v>
      </c>
    </row>
    <row r="1225" spans="53:54" x14ac:dyDescent="0.2">
      <c r="BA1225" s="581">
        <v>46058</v>
      </c>
      <c r="BB1225" s="582">
        <v>2026</v>
      </c>
    </row>
    <row r="1226" spans="53:54" x14ac:dyDescent="0.2">
      <c r="BA1226" s="581">
        <v>46059</v>
      </c>
      <c r="BB1226" s="582">
        <v>2026</v>
      </c>
    </row>
    <row r="1227" spans="53:54" x14ac:dyDescent="0.2">
      <c r="BA1227" s="581">
        <v>46060</v>
      </c>
      <c r="BB1227" s="582">
        <v>2026</v>
      </c>
    </row>
    <row r="1228" spans="53:54" x14ac:dyDescent="0.2">
      <c r="BA1228" s="581">
        <v>46061</v>
      </c>
      <c r="BB1228" s="582">
        <v>2026</v>
      </c>
    </row>
    <row r="1229" spans="53:54" x14ac:dyDescent="0.2">
      <c r="BA1229" s="581">
        <v>46062</v>
      </c>
      <c r="BB1229" s="582">
        <v>2026</v>
      </c>
    </row>
    <row r="1230" spans="53:54" x14ac:dyDescent="0.2">
      <c r="BA1230" s="581">
        <v>46063</v>
      </c>
      <c r="BB1230" s="582">
        <v>2026</v>
      </c>
    </row>
    <row r="1231" spans="53:54" x14ac:dyDescent="0.2">
      <c r="BA1231" s="581">
        <v>46064</v>
      </c>
      <c r="BB1231" s="582">
        <v>2026</v>
      </c>
    </row>
    <row r="1232" spans="53:54" x14ac:dyDescent="0.2">
      <c r="BA1232" s="581">
        <v>46065</v>
      </c>
      <c r="BB1232" s="582">
        <v>2026</v>
      </c>
    </row>
    <row r="1233" spans="53:54" x14ac:dyDescent="0.2">
      <c r="BA1233" s="581">
        <v>46066</v>
      </c>
      <c r="BB1233" s="582">
        <v>2026</v>
      </c>
    </row>
    <row r="1234" spans="53:54" x14ac:dyDescent="0.2">
      <c r="BA1234" s="581">
        <v>46067</v>
      </c>
      <c r="BB1234" s="582">
        <v>2026</v>
      </c>
    </row>
    <row r="1235" spans="53:54" x14ac:dyDescent="0.2">
      <c r="BA1235" s="581">
        <v>46068</v>
      </c>
      <c r="BB1235" s="582">
        <v>2026</v>
      </c>
    </row>
    <row r="1236" spans="53:54" x14ac:dyDescent="0.2">
      <c r="BA1236" s="581">
        <v>46069</v>
      </c>
      <c r="BB1236" s="582">
        <v>2026</v>
      </c>
    </row>
    <row r="1237" spans="53:54" x14ac:dyDescent="0.2">
      <c r="BA1237" s="581">
        <v>46070</v>
      </c>
      <c r="BB1237" s="582">
        <v>2026</v>
      </c>
    </row>
    <row r="1238" spans="53:54" x14ac:dyDescent="0.2">
      <c r="BA1238" s="581">
        <v>46071</v>
      </c>
      <c r="BB1238" s="582">
        <v>2026</v>
      </c>
    </row>
    <row r="1239" spans="53:54" x14ac:dyDescent="0.2">
      <c r="BA1239" s="581">
        <v>46072</v>
      </c>
      <c r="BB1239" s="582">
        <v>2026</v>
      </c>
    </row>
    <row r="1240" spans="53:54" x14ac:dyDescent="0.2">
      <c r="BA1240" s="581">
        <v>46073</v>
      </c>
      <c r="BB1240" s="582">
        <v>2026</v>
      </c>
    </row>
    <row r="1241" spans="53:54" x14ac:dyDescent="0.2">
      <c r="BA1241" s="581">
        <v>46074</v>
      </c>
      <c r="BB1241" s="582">
        <v>2026</v>
      </c>
    </row>
    <row r="1242" spans="53:54" x14ac:dyDescent="0.2">
      <c r="BA1242" s="581">
        <v>46075</v>
      </c>
      <c r="BB1242" s="582">
        <v>2026</v>
      </c>
    </row>
    <row r="1243" spans="53:54" x14ac:dyDescent="0.2">
      <c r="BA1243" s="581">
        <v>46076</v>
      </c>
      <c r="BB1243" s="582">
        <v>2026</v>
      </c>
    </row>
    <row r="1244" spans="53:54" x14ac:dyDescent="0.2">
      <c r="BA1244" s="581">
        <v>46077</v>
      </c>
      <c r="BB1244" s="582">
        <v>2026</v>
      </c>
    </row>
    <row r="1245" spans="53:54" x14ac:dyDescent="0.2">
      <c r="BA1245" s="581">
        <v>46078</v>
      </c>
      <c r="BB1245" s="582">
        <v>2026</v>
      </c>
    </row>
    <row r="1246" spans="53:54" x14ac:dyDescent="0.2">
      <c r="BA1246" s="581">
        <v>46079</v>
      </c>
      <c r="BB1246" s="582">
        <v>2026</v>
      </c>
    </row>
    <row r="1247" spans="53:54" x14ac:dyDescent="0.2">
      <c r="BA1247" s="581">
        <v>46080</v>
      </c>
      <c r="BB1247" s="582">
        <v>2026</v>
      </c>
    </row>
    <row r="1248" spans="53:54" x14ac:dyDescent="0.2">
      <c r="BA1248" s="581">
        <v>46081</v>
      </c>
      <c r="BB1248" s="582">
        <v>2026</v>
      </c>
    </row>
    <row r="1249" spans="53:54" x14ac:dyDescent="0.2">
      <c r="BA1249" s="581">
        <v>46082</v>
      </c>
      <c r="BB1249" s="582">
        <v>2026</v>
      </c>
    </row>
    <row r="1250" spans="53:54" x14ac:dyDescent="0.2">
      <c r="BA1250" s="581">
        <v>46083</v>
      </c>
      <c r="BB1250" s="582">
        <v>2026</v>
      </c>
    </row>
    <row r="1251" spans="53:54" x14ac:dyDescent="0.2">
      <c r="BA1251" s="581">
        <v>46084</v>
      </c>
      <c r="BB1251" s="582">
        <v>2026</v>
      </c>
    </row>
    <row r="1252" spans="53:54" x14ac:dyDescent="0.2">
      <c r="BA1252" s="581">
        <v>46085</v>
      </c>
      <c r="BB1252" s="582">
        <v>2026</v>
      </c>
    </row>
    <row r="1253" spans="53:54" x14ac:dyDescent="0.2">
      <c r="BA1253" s="581">
        <v>46086</v>
      </c>
      <c r="BB1253" s="582">
        <v>2026</v>
      </c>
    </row>
    <row r="1254" spans="53:54" x14ac:dyDescent="0.2">
      <c r="BA1254" s="581">
        <v>46087</v>
      </c>
      <c r="BB1254" s="582">
        <v>2026</v>
      </c>
    </row>
    <row r="1255" spans="53:54" x14ac:dyDescent="0.2">
      <c r="BA1255" s="581">
        <v>46088</v>
      </c>
      <c r="BB1255" s="582">
        <v>2026</v>
      </c>
    </row>
    <row r="1256" spans="53:54" x14ac:dyDescent="0.2">
      <c r="BA1256" s="581">
        <v>46089</v>
      </c>
      <c r="BB1256" s="582">
        <v>2026</v>
      </c>
    </row>
    <row r="1257" spans="53:54" x14ac:dyDescent="0.2">
      <c r="BA1257" s="581">
        <v>46090</v>
      </c>
      <c r="BB1257" s="582">
        <v>2026</v>
      </c>
    </row>
    <row r="1258" spans="53:54" x14ac:dyDescent="0.2">
      <c r="BA1258" s="581">
        <v>46091</v>
      </c>
      <c r="BB1258" s="582">
        <v>2026</v>
      </c>
    </row>
    <row r="1259" spans="53:54" x14ac:dyDescent="0.2">
      <c r="BA1259" s="581">
        <v>46092</v>
      </c>
      <c r="BB1259" s="582">
        <v>2026</v>
      </c>
    </row>
    <row r="1260" spans="53:54" x14ac:dyDescent="0.2">
      <c r="BA1260" s="581">
        <v>46093</v>
      </c>
      <c r="BB1260" s="582">
        <v>2026</v>
      </c>
    </row>
    <row r="1261" spans="53:54" x14ac:dyDescent="0.2">
      <c r="BA1261" s="581">
        <v>46094</v>
      </c>
      <c r="BB1261" s="582">
        <v>2026</v>
      </c>
    </row>
    <row r="1262" spans="53:54" x14ac:dyDescent="0.2">
      <c r="BA1262" s="581">
        <v>46095</v>
      </c>
      <c r="BB1262" s="582">
        <v>2026</v>
      </c>
    </row>
    <row r="1263" spans="53:54" x14ac:dyDescent="0.2">
      <c r="BA1263" s="581">
        <v>46096</v>
      </c>
      <c r="BB1263" s="582">
        <v>2026</v>
      </c>
    </row>
    <row r="1264" spans="53:54" x14ac:dyDescent="0.2">
      <c r="BA1264" s="581">
        <v>46097</v>
      </c>
      <c r="BB1264" s="582">
        <v>2026</v>
      </c>
    </row>
    <row r="1265" spans="53:54" x14ac:dyDescent="0.2">
      <c r="BA1265" s="581">
        <v>46098</v>
      </c>
      <c r="BB1265" s="582">
        <v>2026</v>
      </c>
    </row>
    <row r="1266" spans="53:54" x14ac:dyDescent="0.2">
      <c r="BA1266" s="581">
        <v>46099</v>
      </c>
      <c r="BB1266" s="582">
        <v>2026</v>
      </c>
    </row>
    <row r="1267" spans="53:54" x14ac:dyDescent="0.2">
      <c r="BA1267" s="581">
        <v>46100</v>
      </c>
      <c r="BB1267" s="582">
        <v>2026</v>
      </c>
    </row>
    <row r="1268" spans="53:54" x14ac:dyDescent="0.2">
      <c r="BA1268" s="581">
        <v>46101</v>
      </c>
      <c r="BB1268" s="582">
        <v>2026</v>
      </c>
    </row>
    <row r="1269" spans="53:54" x14ac:dyDescent="0.2">
      <c r="BA1269" s="581">
        <v>46102</v>
      </c>
      <c r="BB1269" s="582">
        <v>2026</v>
      </c>
    </row>
    <row r="1270" spans="53:54" x14ac:dyDescent="0.2">
      <c r="BA1270" s="581">
        <v>46103</v>
      </c>
      <c r="BB1270" s="582">
        <v>2026</v>
      </c>
    </row>
    <row r="1271" spans="53:54" x14ac:dyDescent="0.2">
      <c r="BA1271" s="581">
        <v>46104</v>
      </c>
      <c r="BB1271" s="582">
        <v>2026</v>
      </c>
    </row>
    <row r="1272" spans="53:54" x14ac:dyDescent="0.2">
      <c r="BA1272" s="581">
        <v>46105</v>
      </c>
      <c r="BB1272" s="582">
        <v>2026</v>
      </c>
    </row>
    <row r="1273" spans="53:54" x14ac:dyDescent="0.2">
      <c r="BA1273" s="581">
        <v>46106</v>
      </c>
      <c r="BB1273" s="582">
        <v>2026</v>
      </c>
    </row>
    <row r="1274" spans="53:54" x14ac:dyDescent="0.2">
      <c r="BA1274" s="581">
        <v>46107</v>
      </c>
      <c r="BB1274" s="582">
        <v>2026</v>
      </c>
    </row>
    <row r="1275" spans="53:54" x14ac:dyDescent="0.2">
      <c r="BA1275" s="581">
        <v>46108</v>
      </c>
      <c r="BB1275" s="582">
        <v>2026</v>
      </c>
    </row>
    <row r="1276" spans="53:54" x14ac:dyDescent="0.2">
      <c r="BA1276" s="581">
        <v>46109</v>
      </c>
      <c r="BB1276" s="582">
        <v>2026</v>
      </c>
    </row>
    <row r="1277" spans="53:54" x14ac:dyDescent="0.2">
      <c r="BA1277" s="581">
        <v>46110</v>
      </c>
      <c r="BB1277" s="582">
        <v>2026</v>
      </c>
    </row>
    <row r="1278" spans="53:54" x14ac:dyDescent="0.2">
      <c r="BA1278" s="581">
        <v>46111</v>
      </c>
      <c r="BB1278" s="582">
        <v>2026</v>
      </c>
    </row>
    <row r="1279" spans="53:54" x14ac:dyDescent="0.2">
      <c r="BA1279" s="581">
        <v>46112</v>
      </c>
      <c r="BB1279" s="582">
        <v>2026</v>
      </c>
    </row>
    <row r="1280" spans="53:54" x14ac:dyDescent="0.2">
      <c r="BA1280" s="581">
        <v>46113</v>
      </c>
      <c r="BB1280" s="582">
        <v>2026</v>
      </c>
    </row>
    <row r="1281" spans="53:54" x14ac:dyDescent="0.2">
      <c r="BA1281" s="581">
        <v>46114</v>
      </c>
      <c r="BB1281" s="582">
        <v>2026</v>
      </c>
    </row>
    <row r="1282" spans="53:54" x14ac:dyDescent="0.2">
      <c r="BA1282" s="581">
        <v>46115</v>
      </c>
      <c r="BB1282" s="582">
        <v>2026</v>
      </c>
    </row>
    <row r="1283" spans="53:54" x14ac:dyDescent="0.2">
      <c r="BA1283" s="581">
        <v>46116</v>
      </c>
      <c r="BB1283" s="582">
        <v>2026</v>
      </c>
    </row>
    <row r="1284" spans="53:54" x14ac:dyDescent="0.2">
      <c r="BA1284" s="581">
        <v>46117</v>
      </c>
      <c r="BB1284" s="582">
        <v>2026</v>
      </c>
    </row>
    <row r="1285" spans="53:54" x14ac:dyDescent="0.2">
      <c r="BA1285" s="581">
        <v>46118</v>
      </c>
      <c r="BB1285" s="582">
        <v>2026</v>
      </c>
    </row>
    <row r="1286" spans="53:54" x14ac:dyDescent="0.2">
      <c r="BA1286" s="581">
        <v>46119</v>
      </c>
      <c r="BB1286" s="582">
        <v>2026</v>
      </c>
    </row>
    <row r="1287" spans="53:54" x14ac:dyDescent="0.2">
      <c r="BA1287" s="581">
        <v>46120</v>
      </c>
      <c r="BB1287" s="582">
        <v>2026</v>
      </c>
    </row>
    <row r="1288" spans="53:54" x14ac:dyDescent="0.2">
      <c r="BA1288" s="581">
        <v>46121</v>
      </c>
      <c r="BB1288" s="582">
        <v>2026</v>
      </c>
    </row>
    <row r="1289" spans="53:54" x14ac:dyDescent="0.2">
      <c r="BA1289" s="581">
        <v>46122</v>
      </c>
      <c r="BB1289" s="582">
        <v>2026</v>
      </c>
    </row>
    <row r="1290" spans="53:54" x14ac:dyDescent="0.2">
      <c r="BA1290" s="581">
        <v>46123</v>
      </c>
      <c r="BB1290" s="582">
        <v>2026</v>
      </c>
    </row>
    <row r="1291" spans="53:54" x14ac:dyDescent="0.2">
      <c r="BA1291" s="581">
        <v>46124</v>
      </c>
      <c r="BB1291" s="582">
        <v>2026</v>
      </c>
    </row>
    <row r="1292" spans="53:54" x14ac:dyDescent="0.2">
      <c r="BA1292" s="581">
        <v>46125</v>
      </c>
      <c r="BB1292" s="582">
        <v>2026</v>
      </c>
    </row>
    <row r="1293" spans="53:54" x14ac:dyDescent="0.2">
      <c r="BA1293" s="581">
        <v>46126</v>
      </c>
      <c r="BB1293" s="582">
        <v>2026</v>
      </c>
    </row>
    <row r="1294" spans="53:54" x14ac:dyDescent="0.2">
      <c r="BA1294" s="581">
        <v>46127</v>
      </c>
      <c r="BB1294" s="582">
        <v>2026</v>
      </c>
    </row>
    <row r="1295" spans="53:54" x14ac:dyDescent="0.2">
      <c r="BA1295" s="581">
        <v>46128</v>
      </c>
      <c r="BB1295" s="582">
        <v>2026</v>
      </c>
    </row>
    <row r="1296" spans="53:54" x14ac:dyDescent="0.2">
      <c r="BA1296" s="581">
        <v>46129</v>
      </c>
      <c r="BB1296" s="582">
        <v>2026</v>
      </c>
    </row>
    <row r="1297" spans="53:54" x14ac:dyDescent="0.2">
      <c r="BA1297" s="581">
        <v>46130</v>
      </c>
      <c r="BB1297" s="582">
        <v>2026</v>
      </c>
    </row>
    <row r="1298" spans="53:54" x14ac:dyDescent="0.2">
      <c r="BA1298" s="581">
        <v>46131</v>
      </c>
      <c r="BB1298" s="582">
        <v>2026</v>
      </c>
    </row>
    <row r="1299" spans="53:54" x14ac:dyDescent="0.2">
      <c r="BA1299" s="581">
        <v>46132</v>
      </c>
      <c r="BB1299" s="582">
        <v>2026</v>
      </c>
    </row>
    <row r="1300" spans="53:54" x14ac:dyDescent="0.2">
      <c r="BA1300" s="581">
        <v>46133</v>
      </c>
      <c r="BB1300" s="582">
        <v>2026</v>
      </c>
    </row>
    <row r="1301" spans="53:54" x14ac:dyDescent="0.2">
      <c r="BA1301" s="581">
        <v>46134</v>
      </c>
      <c r="BB1301" s="582">
        <v>2026</v>
      </c>
    </row>
    <row r="1302" spans="53:54" x14ac:dyDescent="0.2">
      <c r="BA1302" s="581">
        <v>46135</v>
      </c>
      <c r="BB1302" s="582">
        <v>2026</v>
      </c>
    </row>
    <row r="1303" spans="53:54" x14ac:dyDescent="0.2">
      <c r="BA1303" s="581">
        <v>46136</v>
      </c>
      <c r="BB1303" s="582">
        <v>2026</v>
      </c>
    </row>
    <row r="1304" spans="53:54" x14ac:dyDescent="0.2">
      <c r="BA1304" s="581">
        <v>46137</v>
      </c>
      <c r="BB1304" s="582">
        <v>2026</v>
      </c>
    </row>
    <row r="1305" spans="53:54" x14ac:dyDescent="0.2">
      <c r="BA1305" s="581">
        <v>46138</v>
      </c>
      <c r="BB1305" s="582">
        <v>2026</v>
      </c>
    </row>
    <row r="1306" spans="53:54" x14ac:dyDescent="0.2">
      <c r="BA1306" s="581">
        <v>46139</v>
      </c>
      <c r="BB1306" s="582">
        <v>2026</v>
      </c>
    </row>
    <row r="1307" spans="53:54" x14ac:dyDescent="0.2">
      <c r="BA1307" s="581">
        <v>46140</v>
      </c>
      <c r="BB1307" s="582">
        <v>2026</v>
      </c>
    </row>
    <row r="1308" spans="53:54" x14ac:dyDescent="0.2">
      <c r="BA1308" s="581">
        <v>46141</v>
      </c>
      <c r="BB1308" s="582">
        <v>2026</v>
      </c>
    </row>
    <row r="1309" spans="53:54" x14ac:dyDescent="0.2">
      <c r="BA1309" s="581">
        <v>46142</v>
      </c>
      <c r="BB1309" s="582">
        <v>2026</v>
      </c>
    </row>
    <row r="1310" spans="53:54" x14ac:dyDescent="0.2">
      <c r="BA1310" s="581">
        <v>46143</v>
      </c>
      <c r="BB1310" s="582">
        <v>2026</v>
      </c>
    </row>
    <row r="1311" spans="53:54" x14ac:dyDescent="0.2">
      <c r="BA1311" s="581">
        <v>46144</v>
      </c>
      <c r="BB1311" s="582">
        <v>2026</v>
      </c>
    </row>
    <row r="1312" spans="53:54" x14ac:dyDescent="0.2">
      <c r="BA1312" s="581">
        <v>46145</v>
      </c>
      <c r="BB1312" s="582">
        <v>2026</v>
      </c>
    </row>
    <row r="1313" spans="53:54" x14ac:dyDescent="0.2">
      <c r="BA1313" s="581">
        <v>46146</v>
      </c>
      <c r="BB1313" s="582">
        <v>2026</v>
      </c>
    </row>
    <row r="1314" spans="53:54" x14ac:dyDescent="0.2">
      <c r="BA1314" s="581">
        <v>46147</v>
      </c>
      <c r="BB1314" s="582">
        <v>2026</v>
      </c>
    </row>
    <row r="1315" spans="53:54" x14ac:dyDescent="0.2">
      <c r="BA1315" s="581">
        <v>46148</v>
      </c>
      <c r="BB1315" s="582">
        <v>2026</v>
      </c>
    </row>
    <row r="1316" spans="53:54" x14ac:dyDescent="0.2">
      <c r="BA1316" s="581">
        <v>46149</v>
      </c>
      <c r="BB1316" s="582">
        <v>2026</v>
      </c>
    </row>
    <row r="1317" spans="53:54" x14ac:dyDescent="0.2">
      <c r="BA1317" s="581">
        <v>46150</v>
      </c>
      <c r="BB1317" s="582">
        <v>2026</v>
      </c>
    </row>
    <row r="1318" spans="53:54" x14ac:dyDescent="0.2">
      <c r="BA1318" s="581">
        <v>46151</v>
      </c>
      <c r="BB1318" s="582">
        <v>2026</v>
      </c>
    </row>
    <row r="1319" spans="53:54" x14ac:dyDescent="0.2">
      <c r="BA1319" s="581">
        <v>46152</v>
      </c>
      <c r="BB1319" s="582">
        <v>2026</v>
      </c>
    </row>
    <row r="1320" spans="53:54" x14ac:dyDescent="0.2">
      <c r="BA1320" s="581">
        <v>46153</v>
      </c>
      <c r="BB1320" s="582">
        <v>2026</v>
      </c>
    </row>
    <row r="1321" spans="53:54" x14ac:dyDescent="0.2">
      <c r="BA1321" s="581">
        <v>46154</v>
      </c>
      <c r="BB1321" s="582">
        <v>2026</v>
      </c>
    </row>
    <row r="1322" spans="53:54" x14ac:dyDescent="0.2">
      <c r="BA1322" s="581">
        <v>46155</v>
      </c>
      <c r="BB1322" s="582">
        <v>2026</v>
      </c>
    </row>
    <row r="1323" spans="53:54" x14ac:dyDescent="0.2">
      <c r="BA1323" s="581">
        <v>46156</v>
      </c>
      <c r="BB1323" s="582">
        <v>2026</v>
      </c>
    </row>
    <row r="1324" spans="53:54" x14ac:dyDescent="0.2">
      <c r="BA1324" s="581">
        <v>46157</v>
      </c>
      <c r="BB1324" s="582">
        <v>2026</v>
      </c>
    </row>
    <row r="1325" spans="53:54" x14ac:dyDescent="0.2">
      <c r="BA1325" s="581">
        <v>46158</v>
      </c>
      <c r="BB1325" s="582">
        <v>2026</v>
      </c>
    </row>
    <row r="1326" spans="53:54" x14ac:dyDescent="0.2">
      <c r="BA1326" s="581">
        <v>46159</v>
      </c>
      <c r="BB1326" s="582">
        <v>2026</v>
      </c>
    </row>
    <row r="1327" spans="53:54" x14ac:dyDescent="0.2">
      <c r="BA1327" s="581">
        <v>46160</v>
      </c>
      <c r="BB1327" s="582">
        <v>2026</v>
      </c>
    </row>
    <row r="1328" spans="53:54" x14ac:dyDescent="0.2">
      <c r="BA1328" s="581">
        <v>46161</v>
      </c>
      <c r="BB1328" s="582">
        <v>2026</v>
      </c>
    </row>
    <row r="1329" spans="53:54" x14ac:dyDescent="0.2">
      <c r="BA1329" s="581">
        <v>46162</v>
      </c>
      <c r="BB1329" s="582">
        <v>2026</v>
      </c>
    </row>
    <row r="1330" spans="53:54" x14ac:dyDescent="0.2">
      <c r="BA1330" s="581">
        <v>46163</v>
      </c>
      <c r="BB1330" s="582">
        <v>2026</v>
      </c>
    </row>
    <row r="1331" spans="53:54" x14ac:dyDescent="0.2">
      <c r="BA1331" s="581">
        <v>46164</v>
      </c>
      <c r="BB1331" s="582">
        <v>2026</v>
      </c>
    </row>
    <row r="1332" spans="53:54" x14ac:dyDescent="0.2">
      <c r="BA1332" s="581">
        <v>46165</v>
      </c>
      <c r="BB1332" s="582">
        <v>2026</v>
      </c>
    </row>
    <row r="1333" spans="53:54" x14ac:dyDescent="0.2">
      <c r="BA1333" s="581">
        <v>46166</v>
      </c>
      <c r="BB1333" s="582">
        <v>2026</v>
      </c>
    </row>
    <row r="1334" spans="53:54" x14ac:dyDescent="0.2">
      <c r="BA1334" s="581">
        <v>46167</v>
      </c>
      <c r="BB1334" s="582">
        <v>2026</v>
      </c>
    </row>
    <row r="1335" spans="53:54" x14ac:dyDescent="0.2">
      <c r="BA1335" s="581">
        <v>46168</v>
      </c>
      <c r="BB1335" s="582">
        <v>2026</v>
      </c>
    </row>
    <row r="1336" spans="53:54" x14ac:dyDescent="0.2">
      <c r="BA1336" s="581">
        <v>46169</v>
      </c>
      <c r="BB1336" s="582">
        <v>2026</v>
      </c>
    </row>
    <row r="1337" spans="53:54" x14ac:dyDescent="0.2">
      <c r="BA1337" s="581">
        <v>46170</v>
      </c>
      <c r="BB1337" s="582">
        <v>2026</v>
      </c>
    </row>
    <row r="1338" spans="53:54" x14ac:dyDescent="0.2">
      <c r="BA1338" s="581">
        <v>46171</v>
      </c>
      <c r="BB1338" s="582">
        <v>2026</v>
      </c>
    </row>
    <row r="1339" spans="53:54" x14ac:dyDescent="0.2">
      <c r="BA1339" s="581">
        <v>46172</v>
      </c>
      <c r="BB1339" s="582">
        <v>2026</v>
      </c>
    </row>
    <row r="1340" spans="53:54" x14ac:dyDescent="0.2">
      <c r="BA1340" s="581">
        <v>46173</v>
      </c>
      <c r="BB1340" s="582">
        <v>2026</v>
      </c>
    </row>
    <row r="1341" spans="53:54" x14ac:dyDescent="0.2">
      <c r="BA1341" s="581">
        <v>46174</v>
      </c>
      <c r="BB1341" s="582">
        <v>2026</v>
      </c>
    </row>
    <row r="1342" spans="53:54" x14ac:dyDescent="0.2">
      <c r="BA1342" s="581">
        <v>46175</v>
      </c>
      <c r="BB1342" s="582">
        <v>2026</v>
      </c>
    </row>
    <row r="1343" spans="53:54" x14ac:dyDescent="0.2">
      <c r="BA1343" s="581">
        <v>46176</v>
      </c>
      <c r="BB1343" s="582">
        <v>2026</v>
      </c>
    </row>
    <row r="1344" spans="53:54" x14ac:dyDescent="0.2">
      <c r="BA1344" s="581">
        <v>46177</v>
      </c>
      <c r="BB1344" s="582">
        <v>2026</v>
      </c>
    </row>
    <row r="1345" spans="53:54" x14ac:dyDescent="0.2">
      <c r="BA1345" s="581">
        <v>46178</v>
      </c>
      <c r="BB1345" s="582">
        <v>2026</v>
      </c>
    </row>
    <row r="1346" spans="53:54" x14ac:dyDescent="0.2">
      <c r="BA1346" s="581">
        <v>46179</v>
      </c>
      <c r="BB1346" s="582">
        <v>2026</v>
      </c>
    </row>
    <row r="1347" spans="53:54" x14ac:dyDescent="0.2">
      <c r="BA1347" s="581">
        <v>46180</v>
      </c>
      <c r="BB1347" s="582">
        <v>2026</v>
      </c>
    </row>
    <row r="1348" spans="53:54" x14ac:dyDescent="0.2">
      <c r="BA1348" s="581">
        <v>46181</v>
      </c>
      <c r="BB1348" s="582">
        <v>2026</v>
      </c>
    </row>
    <row r="1349" spans="53:54" x14ac:dyDescent="0.2">
      <c r="BA1349" s="581">
        <v>46182</v>
      </c>
      <c r="BB1349" s="582">
        <v>2026</v>
      </c>
    </row>
    <row r="1350" spans="53:54" x14ac:dyDescent="0.2">
      <c r="BA1350" s="581">
        <v>46183</v>
      </c>
      <c r="BB1350" s="582">
        <v>2026</v>
      </c>
    </row>
    <row r="1351" spans="53:54" x14ac:dyDescent="0.2">
      <c r="BA1351" s="581">
        <v>46184</v>
      </c>
      <c r="BB1351" s="582">
        <v>2026</v>
      </c>
    </row>
    <row r="1352" spans="53:54" x14ac:dyDescent="0.2">
      <c r="BA1352" s="581">
        <v>46185</v>
      </c>
      <c r="BB1352" s="582">
        <v>2026</v>
      </c>
    </row>
    <row r="1353" spans="53:54" x14ac:dyDescent="0.2">
      <c r="BA1353" s="581">
        <v>46186</v>
      </c>
      <c r="BB1353" s="582">
        <v>2026</v>
      </c>
    </row>
    <row r="1354" spans="53:54" x14ac:dyDescent="0.2">
      <c r="BA1354" s="581">
        <v>46187</v>
      </c>
      <c r="BB1354" s="582">
        <v>2026</v>
      </c>
    </row>
    <row r="1355" spans="53:54" x14ac:dyDescent="0.2">
      <c r="BA1355" s="581">
        <v>46188</v>
      </c>
      <c r="BB1355" s="582">
        <v>2026</v>
      </c>
    </row>
    <row r="1356" spans="53:54" x14ac:dyDescent="0.2">
      <c r="BA1356" s="581">
        <v>46189</v>
      </c>
      <c r="BB1356" s="582">
        <v>2026</v>
      </c>
    </row>
    <row r="1357" spans="53:54" x14ac:dyDescent="0.2">
      <c r="BA1357" s="581">
        <v>46190</v>
      </c>
      <c r="BB1357" s="582">
        <v>2026</v>
      </c>
    </row>
    <row r="1358" spans="53:54" x14ac:dyDescent="0.2">
      <c r="BA1358" s="581">
        <v>46191</v>
      </c>
      <c r="BB1358" s="582">
        <v>2026</v>
      </c>
    </row>
    <row r="1359" spans="53:54" x14ac:dyDescent="0.2">
      <c r="BA1359" s="581">
        <v>46192</v>
      </c>
      <c r="BB1359" s="582">
        <v>2026</v>
      </c>
    </row>
    <row r="1360" spans="53:54" x14ac:dyDescent="0.2">
      <c r="BA1360" s="581">
        <v>46193</v>
      </c>
      <c r="BB1360" s="582">
        <v>2026</v>
      </c>
    </row>
    <row r="1361" spans="53:54" x14ac:dyDescent="0.2">
      <c r="BA1361" s="581">
        <v>46194</v>
      </c>
      <c r="BB1361" s="582">
        <v>2026</v>
      </c>
    </row>
    <row r="1362" spans="53:54" x14ac:dyDescent="0.2">
      <c r="BA1362" s="581">
        <v>46195</v>
      </c>
      <c r="BB1362" s="582">
        <v>2026</v>
      </c>
    </row>
    <row r="1363" spans="53:54" x14ac:dyDescent="0.2">
      <c r="BA1363" s="581">
        <v>46196</v>
      </c>
      <c r="BB1363" s="582">
        <v>2026</v>
      </c>
    </row>
    <row r="1364" spans="53:54" x14ac:dyDescent="0.2">
      <c r="BA1364" s="581">
        <v>46197</v>
      </c>
      <c r="BB1364" s="582">
        <v>2026</v>
      </c>
    </row>
    <row r="1365" spans="53:54" x14ac:dyDescent="0.2">
      <c r="BA1365" s="581">
        <v>46198</v>
      </c>
      <c r="BB1365" s="582">
        <v>2026</v>
      </c>
    </row>
    <row r="1366" spans="53:54" x14ac:dyDescent="0.2">
      <c r="BA1366" s="581">
        <v>46199</v>
      </c>
      <c r="BB1366" s="582">
        <v>2026</v>
      </c>
    </row>
    <row r="1367" spans="53:54" x14ac:dyDescent="0.2">
      <c r="BA1367" s="581">
        <v>46200</v>
      </c>
      <c r="BB1367" s="582">
        <v>2026</v>
      </c>
    </row>
    <row r="1368" spans="53:54" x14ac:dyDescent="0.2">
      <c r="BA1368" s="581">
        <v>46201</v>
      </c>
      <c r="BB1368" s="582">
        <v>2026</v>
      </c>
    </row>
    <row r="1369" spans="53:54" x14ac:dyDescent="0.2">
      <c r="BA1369" s="581">
        <v>46202</v>
      </c>
      <c r="BB1369" s="582">
        <v>2026</v>
      </c>
    </row>
    <row r="1370" spans="53:54" x14ac:dyDescent="0.2">
      <c r="BA1370" s="581">
        <v>46203</v>
      </c>
      <c r="BB1370" s="582">
        <v>2026</v>
      </c>
    </row>
    <row r="1371" spans="53:54" x14ac:dyDescent="0.2">
      <c r="BA1371" s="581">
        <v>46204</v>
      </c>
      <c r="BB1371" s="582">
        <v>2026</v>
      </c>
    </row>
    <row r="1372" spans="53:54" x14ac:dyDescent="0.2">
      <c r="BA1372" s="581">
        <v>46205</v>
      </c>
      <c r="BB1372" s="582">
        <v>2026</v>
      </c>
    </row>
    <row r="1373" spans="53:54" x14ac:dyDescent="0.2">
      <c r="BA1373" s="581">
        <v>46206</v>
      </c>
      <c r="BB1373" s="582">
        <v>2026</v>
      </c>
    </row>
    <row r="1374" spans="53:54" x14ac:dyDescent="0.2">
      <c r="BA1374" s="581">
        <v>46207</v>
      </c>
      <c r="BB1374" s="582">
        <v>2026</v>
      </c>
    </row>
    <row r="1375" spans="53:54" x14ac:dyDescent="0.2">
      <c r="BA1375" s="581">
        <v>46208</v>
      </c>
      <c r="BB1375" s="582">
        <v>2026</v>
      </c>
    </row>
    <row r="1376" spans="53:54" x14ac:dyDescent="0.2">
      <c r="BA1376" s="581">
        <v>46209</v>
      </c>
      <c r="BB1376" s="582">
        <v>2026</v>
      </c>
    </row>
    <row r="1377" spans="53:54" x14ac:dyDescent="0.2">
      <c r="BA1377" s="581">
        <v>46210</v>
      </c>
      <c r="BB1377" s="582">
        <v>2026</v>
      </c>
    </row>
    <row r="1378" spans="53:54" x14ac:dyDescent="0.2">
      <c r="BA1378" s="581">
        <v>46211</v>
      </c>
      <c r="BB1378" s="582">
        <v>2026</v>
      </c>
    </row>
    <row r="1379" spans="53:54" x14ac:dyDescent="0.2">
      <c r="BA1379" s="581">
        <v>46212</v>
      </c>
      <c r="BB1379" s="582">
        <v>2026</v>
      </c>
    </row>
    <row r="1380" spans="53:54" x14ac:dyDescent="0.2">
      <c r="BA1380" s="581">
        <v>46213</v>
      </c>
      <c r="BB1380" s="582">
        <v>2026</v>
      </c>
    </row>
    <row r="1381" spans="53:54" x14ac:dyDescent="0.2">
      <c r="BA1381" s="581">
        <v>46214</v>
      </c>
      <c r="BB1381" s="582">
        <v>2026</v>
      </c>
    </row>
    <row r="1382" spans="53:54" x14ac:dyDescent="0.2">
      <c r="BA1382" s="581">
        <v>46215</v>
      </c>
      <c r="BB1382" s="582">
        <v>2026</v>
      </c>
    </row>
    <row r="1383" spans="53:54" x14ac:dyDescent="0.2">
      <c r="BA1383" s="581">
        <v>46216</v>
      </c>
      <c r="BB1383" s="582">
        <v>2026</v>
      </c>
    </row>
    <row r="1384" spans="53:54" x14ac:dyDescent="0.2">
      <c r="BA1384" s="581">
        <v>46217</v>
      </c>
      <c r="BB1384" s="582">
        <v>2026</v>
      </c>
    </row>
    <row r="1385" spans="53:54" x14ac:dyDescent="0.2">
      <c r="BA1385" s="581">
        <v>46218</v>
      </c>
      <c r="BB1385" s="582">
        <v>2026</v>
      </c>
    </row>
    <row r="1386" spans="53:54" x14ac:dyDescent="0.2">
      <c r="BA1386" s="581">
        <v>46219</v>
      </c>
      <c r="BB1386" s="582">
        <v>2026</v>
      </c>
    </row>
    <row r="1387" spans="53:54" x14ac:dyDescent="0.2">
      <c r="BA1387" s="581">
        <v>46220</v>
      </c>
      <c r="BB1387" s="582">
        <v>2026</v>
      </c>
    </row>
    <row r="1388" spans="53:54" x14ac:dyDescent="0.2">
      <c r="BA1388" s="581">
        <v>46221</v>
      </c>
      <c r="BB1388" s="582">
        <v>2026</v>
      </c>
    </row>
    <row r="1389" spans="53:54" x14ac:dyDescent="0.2">
      <c r="BA1389" s="581">
        <v>46222</v>
      </c>
      <c r="BB1389" s="582">
        <v>2026</v>
      </c>
    </row>
    <row r="1390" spans="53:54" x14ac:dyDescent="0.2">
      <c r="BA1390" s="581">
        <v>46223</v>
      </c>
      <c r="BB1390" s="582">
        <v>2026</v>
      </c>
    </row>
    <row r="1391" spans="53:54" x14ac:dyDescent="0.2">
      <c r="BA1391" s="581">
        <v>46224</v>
      </c>
      <c r="BB1391" s="582">
        <v>2026</v>
      </c>
    </row>
    <row r="1392" spans="53:54" x14ac:dyDescent="0.2">
      <c r="BA1392" s="581">
        <v>46225</v>
      </c>
      <c r="BB1392" s="582">
        <v>2026</v>
      </c>
    </row>
    <row r="1393" spans="53:54" x14ac:dyDescent="0.2">
      <c r="BA1393" s="581">
        <v>46226</v>
      </c>
      <c r="BB1393" s="582">
        <v>2026</v>
      </c>
    </row>
    <row r="1394" spans="53:54" x14ac:dyDescent="0.2">
      <c r="BA1394" s="581">
        <v>46227</v>
      </c>
      <c r="BB1394" s="582">
        <v>2026</v>
      </c>
    </row>
    <row r="1395" spans="53:54" x14ac:dyDescent="0.2">
      <c r="BA1395" s="581">
        <v>46228</v>
      </c>
      <c r="BB1395" s="582">
        <v>2026</v>
      </c>
    </row>
    <row r="1396" spans="53:54" x14ac:dyDescent="0.2">
      <c r="BA1396" s="581">
        <v>46229</v>
      </c>
      <c r="BB1396" s="582">
        <v>2026</v>
      </c>
    </row>
    <row r="1397" spans="53:54" x14ac:dyDescent="0.2">
      <c r="BA1397" s="581">
        <v>46230</v>
      </c>
      <c r="BB1397" s="582">
        <v>2026</v>
      </c>
    </row>
    <row r="1398" spans="53:54" x14ac:dyDescent="0.2">
      <c r="BA1398" s="581">
        <v>46231</v>
      </c>
      <c r="BB1398" s="582">
        <v>2026</v>
      </c>
    </row>
    <row r="1399" spans="53:54" x14ac:dyDescent="0.2">
      <c r="BA1399" s="581">
        <v>46232</v>
      </c>
      <c r="BB1399" s="582">
        <v>2026</v>
      </c>
    </row>
    <row r="1400" spans="53:54" x14ac:dyDescent="0.2">
      <c r="BA1400" s="581">
        <v>46233</v>
      </c>
      <c r="BB1400" s="582">
        <v>2026</v>
      </c>
    </row>
    <row r="1401" spans="53:54" x14ac:dyDescent="0.2">
      <c r="BA1401" s="581">
        <v>46234</v>
      </c>
      <c r="BB1401" s="582">
        <v>2026</v>
      </c>
    </row>
    <row r="1402" spans="53:54" x14ac:dyDescent="0.2">
      <c r="BA1402" s="581">
        <v>46235</v>
      </c>
      <c r="BB1402" s="582">
        <v>2026</v>
      </c>
    </row>
    <row r="1403" spans="53:54" x14ac:dyDescent="0.2">
      <c r="BA1403" s="581">
        <v>46236</v>
      </c>
      <c r="BB1403" s="582">
        <v>2026</v>
      </c>
    </row>
    <row r="1404" spans="53:54" x14ac:dyDescent="0.2">
      <c r="BA1404" s="581">
        <v>46237</v>
      </c>
      <c r="BB1404" s="582">
        <v>2026</v>
      </c>
    </row>
    <row r="1405" spans="53:54" x14ac:dyDescent="0.2">
      <c r="BA1405" s="581">
        <v>46238</v>
      </c>
      <c r="BB1405" s="582">
        <v>2026</v>
      </c>
    </row>
    <row r="1406" spans="53:54" x14ac:dyDescent="0.2">
      <c r="BA1406" s="581">
        <v>46239</v>
      </c>
      <c r="BB1406" s="582">
        <v>2026</v>
      </c>
    </row>
    <row r="1407" spans="53:54" x14ac:dyDescent="0.2">
      <c r="BA1407" s="581">
        <v>46240</v>
      </c>
      <c r="BB1407" s="582">
        <v>2026</v>
      </c>
    </row>
    <row r="1408" spans="53:54" x14ac:dyDescent="0.2">
      <c r="BA1408" s="581">
        <v>46241</v>
      </c>
      <c r="BB1408" s="582">
        <v>2026</v>
      </c>
    </row>
    <row r="1409" spans="53:54" x14ac:dyDescent="0.2">
      <c r="BA1409" s="581">
        <v>46242</v>
      </c>
      <c r="BB1409" s="582">
        <v>2026</v>
      </c>
    </row>
    <row r="1410" spans="53:54" x14ac:dyDescent="0.2">
      <c r="BA1410" s="581">
        <v>46243</v>
      </c>
      <c r="BB1410" s="582">
        <v>2026</v>
      </c>
    </row>
    <row r="1411" spans="53:54" x14ac:dyDescent="0.2">
      <c r="BA1411" s="581">
        <v>46244</v>
      </c>
      <c r="BB1411" s="582">
        <v>2026</v>
      </c>
    </row>
    <row r="1412" spans="53:54" x14ac:dyDescent="0.2">
      <c r="BA1412" s="581">
        <v>46245</v>
      </c>
      <c r="BB1412" s="582">
        <v>2026</v>
      </c>
    </row>
    <row r="1413" spans="53:54" x14ac:dyDescent="0.2">
      <c r="BA1413" s="581">
        <v>46246</v>
      </c>
      <c r="BB1413" s="582">
        <v>2026</v>
      </c>
    </row>
    <row r="1414" spans="53:54" x14ac:dyDescent="0.2">
      <c r="BA1414" s="581">
        <v>46247</v>
      </c>
      <c r="BB1414" s="582">
        <v>2026</v>
      </c>
    </row>
    <row r="1415" spans="53:54" x14ac:dyDescent="0.2">
      <c r="BA1415" s="581">
        <v>46248</v>
      </c>
      <c r="BB1415" s="582">
        <v>2026</v>
      </c>
    </row>
    <row r="1416" spans="53:54" x14ac:dyDescent="0.2">
      <c r="BA1416" s="581">
        <v>46249</v>
      </c>
      <c r="BB1416" s="582">
        <v>2026</v>
      </c>
    </row>
    <row r="1417" spans="53:54" x14ac:dyDescent="0.2">
      <c r="BA1417" s="581">
        <v>46250</v>
      </c>
      <c r="BB1417" s="582">
        <v>2026</v>
      </c>
    </row>
    <row r="1418" spans="53:54" x14ac:dyDescent="0.2">
      <c r="BA1418" s="581">
        <v>46251</v>
      </c>
      <c r="BB1418" s="582">
        <v>2026</v>
      </c>
    </row>
    <row r="1419" spans="53:54" x14ac:dyDescent="0.2">
      <c r="BA1419" s="581">
        <v>46252</v>
      </c>
      <c r="BB1419" s="582">
        <v>2026</v>
      </c>
    </row>
    <row r="1420" spans="53:54" x14ac:dyDescent="0.2">
      <c r="BA1420" s="581">
        <v>46253</v>
      </c>
      <c r="BB1420" s="582">
        <v>2026</v>
      </c>
    </row>
    <row r="1421" spans="53:54" x14ac:dyDescent="0.2">
      <c r="BA1421" s="581">
        <v>46254</v>
      </c>
      <c r="BB1421" s="582">
        <v>2026</v>
      </c>
    </row>
    <row r="1422" spans="53:54" x14ac:dyDescent="0.2">
      <c r="BA1422" s="581">
        <v>46255</v>
      </c>
      <c r="BB1422" s="582">
        <v>2026</v>
      </c>
    </row>
    <row r="1423" spans="53:54" x14ac:dyDescent="0.2">
      <c r="BA1423" s="581">
        <v>46256</v>
      </c>
      <c r="BB1423" s="582">
        <v>2026</v>
      </c>
    </row>
    <row r="1424" spans="53:54" x14ac:dyDescent="0.2">
      <c r="BA1424" s="581">
        <v>46257</v>
      </c>
      <c r="BB1424" s="582">
        <v>2026</v>
      </c>
    </row>
    <row r="1425" spans="53:54" x14ac:dyDescent="0.2">
      <c r="BA1425" s="581">
        <v>46258</v>
      </c>
      <c r="BB1425" s="582">
        <v>2026</v>
      </c>
    </row>
    <row r="1426" spans="53:54" x14ac:dyDescent="0.2">
      <c r="BA1426" s="581">
        <v>46259</v>
      </c>
      <c r="BB1426" s="582">
        <v>2026</v>
      </c>
    </row>
    <row r="1427" spans="53:54" x14ac:dyDescent="0.2">
      <c r="BA1427" s="581">
        <v>46260</v>
      </c>
      <c r="BB1427" s="582">
        <v>2026</v>
      </c>
    </row>
    <row r="1428" spans="53:54" x14ac:dyDescent="0.2">
      <c r="BA1428" s="581">
        <v>46261</v>
      </c>
      <c r="BB1428" s="582">
        <v>2026</v>
      </c>
    </row>
    <row r="1429" spans="53:54" x14ac:dyDescent="0.2">
      <c r="BA1429" s="581">
        <v>46262</v>
      </c>
      <c r="BB1429" s="582">
        <v>2026</v>
      </c>
    </row>
    <row r="1430" spans="53:54" x14ac:dyDescent="0.2">
      <c r="BA1430" s="581">
        <v>46263</v>
      </c>
      <c r="BB1430" s="582">
        <v>2026</v>
      </c>
    </row>
    <row r="1431" spans="53:54" x14ac:dyDescent="0.2">
      <c r="BA1431" s="581">
        <v>46264</v>
      </c>
      <c r="BB1431" s="582">
        <v>2026</v>
      </c>
    </row>
    <row r="1432" spans="53:54" x14ac:dyDescent="0.2">
      <c r="BA1432" s="581">
        <v>46265</v>
      </c>
      <c r="BB1432" s="582">
        <v>2026</v>
      </c>
    </row>
    <row r="1433" spans="53:54" x14ac:dyDescent="0.2">
      <c r="BA1433" s="581">
        <v>46266</v>
      </c>
      <c r="BB1433" s="582">
        <v>2026</v>
      </c>
    </row>
    <row r="1434" spans="53:54" x14ac:dyDescent="0.2">
      <c r="BA1434" s="581">
        <v>46267</v>
      </c>
      <c r="BB1434" s="582">
        <v>2026</v>
      </c>
    </row>
    <row r="1435" spans="53:54" x14ac:dyDescent="0.2">
      <c r="BA1435" s="581">
        <v>46268</v>
      </c>
      <c r="BB1435" s="582">
        <v>2026</v>
      </c>
    </row>
    <row r="1436" spans="53:54" x14ac:dyDescent="0.2">
      <c r="BA1436" s="581">
        <v>46269</v>
      </c>
      <c r="BB1436" s="582">
        <v>2026</v>
      </c>
    </row>
    <row r="1437" spans="53:54" x14ac:dyDescent="0.2">
      <c r="BA1437" s="581">
        <v>46270</v>
      </c>
      <c r="BB1437" s="582">
        <v>2026</v>
      </c>
    </row>
    <row r="1438" spans="53:54" x14ac:dyDescent="0.2">
      <c r="BA1438" s="581">
        <v>46271</v>
      </c>
      <c r="BB1438" s="582">
        <v>2026</v>
      </c>
    </row>
    <row r="1439" spans="53:54" x14ac:dyDescent="0.2">
      <c r="BA1439" s="581">
        <v>46272</v>
      </c>
      <c r="BB1439" s="582">
        <v>2026</v>
      </c>
    </row>
    <row r="1440" spans="53:54" x14ac:dyDescent="0.2">
      <c r="BA1440" s="581">
        <v>46273</v>
      </c>
      <c r="BB1440" s="582">
        <v>2026</v>
      </c>
    </row>
    <row r="1441" spans="53:54" x14ac:dyDescent="0.2">
      <c r="BA1441" s="581">
        <v>46274</v>
      </c>
      <c r="BB1441" s="582">
        <v>2026</v>
      </c>
    </row>
    <row r="1442" spans="53:54" x14ac:dyDescent="0.2">
      <c r="BA1442" s="581">
        <v>46275</v>
      </c>
      <c r="BB1442" s="582">
        <v>2026</v>
      </c>
    </row>
    <row r="1443" spans="53:54" x14ac:dyDescent="0.2">
      <c r="BA1443" s="581">
        <v>46276</v>
      </c>
      <c r="BB1443" s="582">
        <v>2026</v>
      </c>
    </row>
    <row r="1444" spans="53:54" x14ac:dyDescent="0.2">
      <c r="BA1444" s="581">
        <v>46277</v>
      </c>
      <c r="BB1444" s="582">
        <v>2026</v>
      </c>
    </row>
    <row r="1445" spans="53:54" x14ac:dyDescent="0.2">
      <c r="BA1445" s="581">
        <v>46278</v>
      </c>
      <c r="BB1445" s="582">
        <v>2026</v>
      </c>
    </row>
    <row r="1446" spans="53:54" x14ac:dyDescent="0.2">
      <c r="BA1446" s="581">
        <v>46279</v>
      </c>
      <c r="BB1446" s="582">
        <v>2026</v>
      </c>
    </row>
    <row r="1447" spans="53:54" x14ac:dyDescent="0.2">
      <c r="BA1447" s="581">
        <v>46280</v>
      </c>
      <c r="BB1447" s="582">
        <v>2026</v>
      </c>
    </row>
    <row r="1448" spans="53:54" x14ac:dyDescent="0.2">
      <c r="BA1448" s="581">
        <v>46281</v>
      </c>
      <c r="BB1448" s="582">
        <v>2026</v>
      </c>
    </row>
    <row r="1449" spans="53:54" x14ac:dyDescent="0.2">
      <c r="BA1449" s="581">
        <v>46282</v>
      </c>
      <c r="BB1449" s="582">
        <v>2026</v>
      </c>
    </row>
    <row r="1450" spans="53:54" x14ac:dyDescent="0.2">
      <c r="BA1450" s="581">
        <v>46283</v>
      </c>
      <c r="BB1450" s="582">
        <v>2026</v>
      </c>
    </row>
    <row r="1451" spans="53:54" x14ac:dyDescent="0.2">
      <c r="BA1451" s="581">
        <v>46284</v>
      </c>
      <c r="BB1451" s="582">
        <v>2026</v>
      </c>
    </row>
    <row r="1452" spans="53:54" x14ac:dyDescent="0.2">
      <c r="BA1452" s="581">
        <v>46285</v>
      </c>
      <c r="BB1452" s="582">
        <v>2026</v>
      </c>
    </row>
    <row r="1453" spans="53:54" x14ac:dyDescent="0.2">
      <c r="BA1453" s="581">
        <v>46286</v>
      </c>
      <c r="BB1453" s="582">
        <v>2026</v>
      </c>
    </row>
    <row r="1454" spans="53:54" x14ac:dyDescent="0.2">
      <c r="BA1454" s="581">
        <v>46287</v>
      </c>
      <c r="BB1454" s="582">
        <v>2026</v>
      </c>
    </row>
    <row r="1455" spans="53:54" x14ac:dyDescent="0.2">
      <c r="BA1455" s="581">
        <v>46288</v>
      </c>
      <c r="BB1455" s="582">
        <v>2026</v>
      </c>
    </row>
    <row r="1456" spans="53:54" x14ac:dyDescent="0.2">
      <c r="BA1456" s="581">
        <v>46289</v>
      </c>
      <c r="BB1456" s="582">
        <v>2026</v>
      </c>
    </row>
    <row r="1457" spans="53:54" x14ac:dyDescent="0.2">
      <c r="BA1457" s="581">
        <v>46290</v>
      </c>
      <c r="BB1457" s="582">
        <v>2026</v>
      </c>
    </row>
    <row r="1458" spans="53:54" x14ac:dyDescent="0.2">
      <c r="BA1458" s="581">
        <v>46291</v>
      </c>
      <c r="BB1458" s="582">
        <v>2026</v>
      </c>
    </row>
    <row r="1459" spans="53:54" x14ac:dyDescent="0.2">
      <c r="BA1459" s="581">
        <v>46292</v>
      </c>
      <c r="BB1459" s="582">
        <v>2026</v>
      </c>
    </row>
    <row r="1460" spans="53:54" x14ac:dyDescent="0.2">
      <c r="BA1460" s="581">
        <v>46293</v>
      </c>
      <c r="BB1460" s="582">
        <v>2026</v>
      </c>
    </row>
    <row r="1461" spans="53:54" x14ac:dyDescent="0.2">
      <c r="BA1461" s="581">
        <v>46294</v>
      </c>
      <c r="BB1461" s="582">
        <v>2026</v>
      </c>
    </row>
    <row r="1462" spans="53:54" x14ac:dyDescent="0.2">
      <c r="BA1462" s="581">
        <v>46295</v>
      </c>
      <c r="BB1462" s="582">
        <v>2026</v>
      </c>
    </row>
    <row r="1463" spans="53:54" x14ac:dyDescent="0.2">
      <c r="BA1463" s="581">
        <v>46296</v>
      </c>
      <c r="BB1463" s="582">
        <v>2027</v>
      </c>
    </row>
    <row r="1464" spans="53:54" x14ac:dyDescent="0.2">
      <c r="BA1464" s="581">
        <v>46297</v>
      </c>
      <c r="BB1464" s="582">
        <v>2027</v>
      </c>
    </row>
    <row r="1465" spans="53:54" x14ac:dyDescent="0.2">
      <c r="BA1465" s="581">
        <v>46298</v>
      </c>
      <c r="BB1465" s="582">
        <v>2027</v>
      </c>
    </row>
    <row r="1466" spans="53:54" x14ac:dyDescent="0.2">
      <c r="BA1466" s="581">
        <v>46299</v>
      </c>
      <c r="BB1466" s="582">
        <v>2027</v>
      </c>
    </row>
    <row r="1467" spans="53:54" x14ac:dyDescent="0.2">
      <c r="BA1467" s="581">
        <v>46300</v>
      </c>
      <c r="BB1467" s="582">
        <v>2027</v>
      </c>
    </row>
    <row r="1468" spans="53:54" x14ac:dyDescent="0.2">
      <c r="BA1468" s="581">
        <v>46301</v>
      </c>
      <c r="BB1468" s="582">
        <v>2027</v>
      </c>
    </row>
    <row r="1469" spans="53:54" x14ac:dyDescent="0.2">
      <c r="BA1469" s="581">
        <v>46302</v>
      </c>
      <c r="BB1469" s="582">
        <v>2027</v>
      </c>
    </row>
    <row r="1470" spans="53:54" x14ac:dyDescent="0.2">
      <c r="BA1470" s="581">
        <v>46303</v>
      </c>
      <c r="BB1470" s="582">
        <v>2027</v>
      </c>
    </row>
    <row r="1471" spans="53:54" x14ac:dyDescent="0.2">
      <c r="BA1471" s="581">
        <v>46304</v>
      </c>
      <c r="BB1471" s="582">
        <v>2027</v>
      </c>
    </row>
    <row r="1472" spans="53:54" x14ac:dyDescent="0.2">
      <c r="BA1472" s="581">
        <v>46305</v>
      </c>
      <c r="BB1472" s="582">
        <v>2027</v>
      </c>
    </row>
    <row r="1473" spans="53:54" x14ac:dyDescent="0.2">
      <c r="BA1473" s="581">
        <v>46306</v>
      </c>
      <c r="BB1473" s="582">
        <v>2027</v>
      </c>
    </row>
    <row r="1474" spans="53:54" x14ac:dyDescent="0.2">
      <c r="BA1474" s="581">
        <v>46307</v>
      </c>
      <c r="BB1474" s="582">
        <v>2027</v>
      </c>
    </row>
    <row r="1475" spans="53:54" x14ac:dyDescent="0.2">
      <c r="BA1475" s="581">
        <v>46308</v>
      </c>
      <c r="BB1475" s="582">
        <v>2027</v>
      </c>
    </row>
    <row r="1476" spans="53:54" x14ac:dyDescent="0.2">
      <c r="BA1476" s="581">
        <v>46309</v>
      </c>
      <c r="BB1476" s="582">
        <v>2027</v>
      </c>
    </row>
    <row r="1477" spans="53:54" x14ac:dyDescent="0.2">
      <c r="BA1477" s="581">
        <v>46310</v>
      </c>
      <c r="BB1477" s="582">
        <v>2027</v>
      </c>
    </row>
    <row r="1478" spans="53:54" x14ac:dyDescent="0.2">
      <c r="BA1478" s="581">
        <v>46311</v>
      </c>
      <c r="BB1478" s="582">
        <v>2027</v>
      </c>
    </row>
    <row r="1479" spans="53:54" x14ac:dyDescent="0.2">
      <c r="BA1479" s="581">
        <v>46312</v>
      </c>
      <c r="BB1479" s="582">
        <v>2027</v>
      </c>
    </row>
    <row r="1480" spans="53:54" x14ac:dyDescent="0.2">
      <c r="BA1480" s="581">
        <v>46313</v>
      </c>
      <c r="BB1480" s="582">
        <v>2027</v>
      </c>
    </row>
    <row r="1481" spans="53:54" x14ac:dyDescent="0.2">
      <c r="BA1481" s="581">
        <v>46314</v>
      </c>
      <c r="BB1481" s="582">
        <v>2027</v>
      </c>
    </row>
    <row r="1482" spans="53:54" x14ac:dyDescent="0.2">
      <c r="BA1482" s="581">
        <v>46315</v>
      </c>
      <c r="BB1482" s="582">
        <v>2027</v>
      </c>
    </row>
    <row r="1483" spans="53:54" x14ac:dyDescent="0.2">
      <c r="BA1483" s="581">
        <v>46316</v>
      </c>
      <c r="BB1483" s="582">
        <v>2027</v>
      </c>
    </row>
    <row r="1484" spans="53:54" x14ac:dyDescent="0.2">
      <c r="BA1484" s="581">
        <v>46317</v>
      </c>
      <c r="BB1484" s="582">
        <v>2027</v>
      </c>
    </row>
    <row r="1485" spans="53:54" x14ac:dyDescent="0.2">
      <c r="BA1485" s="581">
        <v>46318</v>
      </c>
      <c r="BB1485" s="582">
        <v>2027</v>
      </c>
    </row>
    <row r="1486" spans="53:54" x14ac:dyDescent="0.2">
      <c r="BA1486" s="581">
        <v>46319</v>
      </c>
      <c r="BB1486" s="582">
        <v>2027</v>
      </c>
    </row>
    <row r="1487" spans="53:54" x14ac:dyDescent="0.2">
      <c r="BA1487" s="581">
        <v>46320</v>
      </c>
      <c r="BB1487" s="582">
        <v>2027</v>
      </c>
    </row>
    <row r="1488" spans="53:54" x14ac:dyDescent="0.2">
      <c r="BA1488" s="581">
        <v>46321</v>
      </c>
      <c r="BB1488" s="582">
        <v>2027</v>
      </c>
    </row>
    <row r="1489" spans="53:54" x14ac:dyDescent="0.2">
      <c r="BA1489" s="581">
        <v>46322</v>
      </c>
      <c r="BB1489" s="582">
        <v>2027</v>
      </c>
    </row>
    <row r="1490" spans="53:54" x14ac:dyDescent="0.2">
      <c r="BA1490" s="581">
        <v>46323</v>
      </c>
      <c r="BB1490" s="582">
        <v>2027</v>
      </c>
    </row>
    <row r="1491" spans="53:54" x14ac:dyDescent="0.2">
      <c r="BA1491" s="581">
        <v>46324</v>
      </c>
      <c r="BB1491" s="582">
        <v>2027</v>
      </c>
    </row>
    <row r="1492" spans="53:54" x14ac:dyDescent="0.2">
      <c r="BA1492" s="581">
        <v>46325</v>
      </c>
      <c r="BB1492" s="582">
        <v>2027</v>
      </c>
    </row>
    <row r="1493" spans="53:54" x14ac:dyDescent="0.2">
      <c r="BA1493" s="581">
        <v>46326</v>
      </c>
      <c r="BB1493" s="582">
        <v>2027</v>
      </c>
    </row>
    <row r="1494" spans="53:54" x14ac:dyDescent="0.2">
      <c r="BA1494" s="581">
        <v>46327</v>
      </c>
      <c r="BB1494" s="582">
        <v>2027</v>
      </c>
    </row>
    <row r="1495" spans="53:54" x14ac:dyDescent="0.2">
      <c r="BA1495" s="581">
        <v>46328</v>
      </c>
      <c r="BB1495" s="582">
        <v>2027</v>
      </c>
    </row>
    <row r="1496" spans="53:54" x14ac:dyDescent="0.2">
      <c r="BA1496" s="581">
        <v>46329</v>
      </c>
      <c r="BB1496" s="582">
        <v>2027</v>
      </c>
    </row>
    <row r="1497" spans="53:54" x14ac:dyDescent="0.2">
      <c r="BA1497" s="581">
        <v>46330</v>
      </c>
      <c r="BB1497" s="582">
        <v>2027</v>
      </c>
    </row>
    <row r="1498" spans="53:54" x14ac:dyDescent="0.2">
      <c r="BA1498" s="581">
        <v>46331</v>
      </c>
      <c r="BB1498" s="582">
        <v>2027</v>
      </c>
    </row>
    <row r="1499" spans="53:54" x14ac:dyDescent="0.2">
      <c r="BA1499" s="581">
        <v>46332</v>
      </c>
      <c r="BB1499" s="582">
        <v>2027</v>
      </c>
    </row>
    <row r="1500" spans="53:54" x14ac:dyDescent="0.2">
      <c r="BA1500" s="581">
        <v>46333</v>
      </c>
      <c r="BB1500" s="582">
        <v>2027</v>
      </c>
    </row>
    <row r="1501" spans="53:54" x14ac:dyDescent="0.2">
      <c r="BA1501" s="581">
        <v>46334</v>
      </c>
      <c r="BB1501" s="582">
        <v>2027</v>
      </c>
    </row>
    <row r="1502" spans="53:54" x14ac:dyDescent="0.2">
      <c r="BA1502" s="581">
        <v>46335</v>
      </c>
      <c r="BB1502" s="582">
        <v>2027</v>
      </c>
    </row>
    <row r="1503" spans="53:54" x14ac:dyDescent="0.2">
      <c r="BA1503" s="581">
        <v>46336</v>
      </c>
      <c r="BB1503" s="582">
        <v>2027</v>
      </c>
    </row>
    <row r="1504" spans="53:54" x14ac:dyDescent="0.2">
      <c r="BA1504" s="581">
        <v>46337</v>
      </c>
      <c r="BB1504" s="582">
        <v>2027</v>
      </c>
    </row>
    <row r="1505" spans="53:54" x14ac:dyDescent="0.2">
      <c r="BA1505" s="581">
        <v>46338</v>
      </c>
      <c r="BB1505" s="582">
        <v>2027</v>
      </c>
    </row>
    <row r="1506" spans="53:54" x14ac:dyDescent="0.2">
      <c r="BA1506" s="581">
        <v>46339</v>
      </c>
      <c r="BB1506" s="582">
        <v>2027</v>
      </c>
    </row>
    <row r="1507" spans="53:54" x14ac:dyDescent="0.2">
      <c r="BA1507" s="581">
        <v>46340</v>
      </c>
      <c r="BB1507" s="582">
        <v>2027</v>
      </c>
    </row>
    <row r="1508" spans="53:54" x14ac:dyDescent="0.2">
      <c r="BA1508" s="581">
        <v>46341</v>
      </c>
      <c r="BB1508" s="582">
        <v>2027</v>
      </c>
    </row>
    <row r="1509" spans="53:54" x14ac:dyDescent="0.2">
      <c r="BA1509" s="581">
        <v>46342</v>
      </c>
      <c r="BB1509" s="582">
        <v>2027</v>
      </c>
    </row>
    <row r="1510" spans="53:54" x14ac:dyDescent="0.2">
      <c r="BA1510" s="581">
        <v>46343</v>
      </c>
      <c r="BB1510" s="582">
        <v>2027</v>
      </c>
    </row>
    <row r="1511" spans="53:54" x14ac:dyDescent="0.2">
      <c r="BA1511" s="581">
        <v>46344</v>
      </c>
      <c r="BB1511" s="582">
        <v>2027</v>
      </c>
    </row>
    <row r="1512" spans="53:54" x14ac:dyDescent="0.2">
      <c r="BA1512" s="581">
        <v>46345</v>
      </c>
      <c r="BB1512" s="582">
        <v>2027</v>
      </c>
    </row>
    <row r="1513" spans="53:54" x14ac:dyDescent="0.2">
      <c r="BA1513" s="581">
        <v>46346</v>
      </c>
      <c r="BB1513" s="582">
        <v>2027</v>
      </c>
    </row>
    <row r="1514" spans="53:54" x14ac:dyDescent="0.2">
      <c r="BA1514" s="581">
        <v>46347</v>
      </c>
      <c r="BB1514" s="582">
        <v>2027</v>
      </c>
    </row>
    <row r="1515" spans="53:54" x14ac:dyDescent="0.2">
      <c r="BA1515" s="581">
        <v>46348</v>
      </c>
      <c r="BB1515" s="582">
        <v>2027</v>
      </c>
    </row>
    <row r="1516" spans="53:54" x14ac:dyDescent="0.2">
      <c r="BA1516" s="581">
        <v>46349</v>
      </c>
      <c r="BB1516" s="582">
        <v>2027</v>
      </c>
    </row>
    <row r="1517" spans="53:54" x14ac:dyDescent="0.2">
      <c r="BA1517" s="581">
        <v>46350</v>
      </c>
      <c r="BB1517" s="582">
        <v>2027</v>
      </c>
    </row>
    <row r="1518" spans="53:54" x14ac:dyDescent="0.2">
      <c r="BA1518" s="581">
        <v>46351</v>
      </c>
      <c r="BB1518" s="582">
        <v>2027</v>
      </c>
    </row>
    <row r="1519" spans="53:54" x14ac:dyDescent="0.2">
      <c r="BA1519" s="581">
        <v>46352</v>
      </c>
      <c r="BB1519" s="582">
        <v>2027</v>
      </c>
    </row>
    <row r="1520" spans="53:54" x14ac:dyDescent="0.2">
      <c r="BA1520" s="581">
        <v>46353</v>
      </c>
      <c r="BB1520" s="582">
        <v>2027</v>
      </c>
    </row>
    <row r="1521" spans="53:54" x14ac:dyDescent="0.2">
      <c r="BA1521" s="581">
        <v>46354</v>
      </c>
      <c r="BB1521" s="582">
        <v>2027</v>
      </c>
    </row>
    <row r="1522" spans="53:54" x14ac:dyDescent="0.2">
      <c r="BA1522" s="581">
        <v>46355</v>
      </c>
      <c r="BB1522" s="582">
        <v>2027</v>
      </c>
    </row>
    <row r="1523" spans="53:54" x14ac:dyDescent="0.2">
      <c r="BA1523" s="581">
        <v>46356</v>
      </c>
      <c r="BB1523" s="582">
        <v>2027</v>
      </c>
    </row>
    <row r="1524" spans="53:54" x14ac:dyDescent="0.2">
      <c r="BA1524" s="581">
        <v>46357</v>
      </c>
      <c r="BB1524" s="582">
        <v>2027</v>
      </c>
    </row>
    <row r="1525" spans="53:54" x14ac:dyDescent="0.2">
      <c r="BA1525" s="581">
        <v>46358</v>
      </c>
      <c r="BB1525" s="582">
        <v>2027</v>
      </c>
    </row>
    <row r="1526" spans="53:54" x14ac:dyDescent="0.2">
      <c r="BA1526" s="581">
        <v>46359</v>
      </c>
      <c r="BB1526" s="582">
        <v>2027</v>
      </c>
    </row>
    <row r="1527" spans="53:54" x14ac:dyDescent="0.2">
      <c r="BA1527" s="581">
        <v>46360</v>
      </c>
      <c r="BB1527" s="582">
        <v>2027</v>
      </c>
    </row>
    <row r="1528" spans="53:54" x14ac:dyDescent="0.2">
      <c r="BA1528" s="581">
        <v>46361</v>
      </c>
      <c r="BB1528" s="582">
        <v>2027</v>
      </c>
    </row>
    <row r="1529" spans="53:54" x14ac:dyDescent="0.2">
      <c r="BA1529" s="581">
        <v>46362</v>
      </c>
      <c r="BB1529" s="582">
        <v>2027</v>
      </c>
    </row>
    <row r="1530" spans="53:54" x14ac:dyDescent="0.2">
      <c r="BA1530" s="581">
        <v>46363</v>
      </c>
      <c r="BB1530" s="582">
        <v>2027</v>
      </c>
    </row>
    <row r="1531" spans="53:54" x14ac:dyDescent="0.2">
      <c r="BA1531" s="581">
        <v>46364</v>
      </c>
      <c r="BB1531" s="582">
        <v>2027</v>
      </c>
    </row>
    <row r="1532" spans="53:54" x14ac:dyDescent="0.2">
      <c r="BA1532" s="581">
        <v>46365</v>
      </c>
      <c r="BB1532" s="582">
        <v>2027</v>
      </c>
    </row>
    <row r="1533" spans="53:54" x14ac:dyDescent="0.2">
      <c r="BA1533" s="581">
        <v>46366</v>
      </c>
      <c r="BB1533" s="582">
        <v>2027</v>
      </c>
    </row>
    <row r="1534" spans="53:54" x14ac:dyDescent="0.2">
      <c r="BA1534" s="581">
        <v>46367</v>
      </c>
      <c r="BB1534" s="582">
        <v>2027</v>
      </c>
    </row>
    <row r="1535" spans="53:54" x14ac:dyDescent="0.2">
      <c r="BA1535" s="581">
        <v>46368</v>
      </c>
      <c r="BB1535" s="582">
        <v>2027</v>
      </c>
    </row>
    <row r="1536" spans="53:54" x14ac:dyDescent="0.2">
      <c r="BA1536" s="581">
        <v>46369</v>
      </c>
      <c r="BB1536" s="582">
        <v>2027</v>
      </c>
    </row>
    <row r="1537" spans="53:54" x14ac:dyDescent="0.2">
      <c r="BA1537" s="581">
        <v>46370</v>
      </c>
      <c r="BB1537" s="582">
        <v>2027</v>
      </c>
    </row>
    <row r="1538" spans="53:54" x14ac:dyDescent="0.2">
      <c r="BA1538" s="581">
        <v>46371</v>
      </c>
      <c r="BB1538" s="582">
        <v>2027</v>
      </c>
    </row>
    <row r="1539" spans="53:54" x14ac:dyDescent="0.2">
      <c r="BA1539" s="581">
        <v>46372</v>
      </c>
      <c r="BB1539" s="582">
        <v>2027</v>
      </c>
    </row>
    <row r="1540" spans="53:54" x14ac:dyDescent="0.2">
      <c r="BA1540" s="581">
        <v>46373</v>
      </c>
      <c r="BB1540" s="582">
        <v>2027</v>
      </c>
    </row>
    <row r="1541" spans="53:54" x14ac:dyDescent="0.2">
      <c r="BA1541" s="581">
        <v>46374</v>
      </c>
      <c r="BB1541" s="582">
        <v>2027</v>
      </c>
    </row>
    <row r="1542" spans="53:54" x14ac:dyDescent="0.2">
      <c r="BA1542" s="581">
        <v>46375</v>
      </c>
      <c r="BB1542" s="582">
        <v>2027</v>
      </c>
    </row>
    <row r="1543" spans="53:54" x14ac:dyDescent="0.2">
      <c r="BA1543" s="581">
        <v>46376</v>
      </c>
      <c r="BB1543" s="582">
        <v>2027</v>
      </c>
    </row>
    <row r="1544" spans="53:54" x14ac:dyDescent="0.2">
      <c r="BA1544" s="581">
        <v>46377</v>
      </c>
      <c r="BB1544" s="582">
        <v>2027</v>
      </c>
    </row>
    <row r="1545" spans="53:54" x14ac:dyDescent="0.2">
      <c r="BA1545" s="581">
        <v>46378</v>
      </c>
      <c r="BB1545" s="582">
        <v>2027</v>
      </c>
    </row>
    <row r="1546" spans="53:54" x14ac:dyDescent="0.2">
      <c r="BA1546" s="581">
        <v>46379</v>
      </c>
      <c r="BB1546" s="582">
        <v>2027</v>
      </c>
    </row>
    <row r="1547" spans="53:54" x14ac:dyDescent="0.2">
      <c r="BA1547" s="581">
        <v>46380</v>
      </c>
      <c r="BB1547" s="582">
        <v>2027</v>
      </c>
    </row>
    <row r="1548" spans="53:54" x14ac:dyDescent="0.2">
      <c r="BA1548" s="581">
        <v>46381</v>
      </c>
      <c r="BB1548" s="582">
        <v>2027</v>
      </c>
    </row>
    <row r="1549" spans="53:54" x14ac:dyDescent="0.2">
      <c r="BA1549" s="581">
        <v>46382</v>
      </c>
      <c r="BB1549" s="582">
        <v>2027</v>
      </c>
    </row>
    <row r="1550" spans="53:54" x14ac:dyDescent="0.2">
      <c r="BA1550" s="581">
        <v>46383</v>
      </c>
      <c r="BB1550" s="582">
        <v>2027</v>
      </c>
    </row>
    <row r="1551" spans="53:54" x14ac:dyDescent="0.2">
      <c r="BA1551" s="581">
        <v>46384</v>
      </c>
      <c r="BB1551" s="582">
        <v>2027</v>
      </c>
    </row>
    <row r="1552" spans="53:54" x14ac:dyDescent="0.2">
      <c r="BA1552" s="581">
        <v>46385</v>
      </c>
      <c r="BB1552" s="582">
        <v>2027</v>
      </c>
    </row>
    <row r="1553" spans="53:54" x14ac:dyDescent="0.2">
      <c r="BA1553" s="581">
        <v>46386</v>
      </c>
      <c r="BB1553" s="582">
        <v>2027</v>
      </c>
    </row>
    <row r="1554" spans="53:54" x14ac:dyDescent="0.2">
      <c r="BA1554" s="581">
        <v>46387</v>
      </c>
      <c r="BB1554" s="582">
        <v>2027</v>
      </c>
    </row>
    <row r="1555" spans="53:54" x14ac:dyDescent="0.2">
      <c r="BA1555" s="581">
        <v>46388</v>
      </c>
      <c r="BB1555" s="582">
        <v>2027</v>
      </c>
    </row>
    <row r="1556" spans="53:54" x14ac:dyDescent="0.2">
      <c r="BA1556" s="581">
        <v>46389</v>
      </c>
      <c r="BB1556" s="582">
        <v>2027</v>
      </c>
    </row>
    <row r="1557" spans="53:54" x14ac:dyDescent="0.2">
      <c r="BA1557" s="581">
        <v>46390</v>
      </c>
      <c r="BB1557" s="582">
        <v>2027</v>
      </c>
    </row>
    <row r="1558" spans="53:54" x14ac:dyDescent="0.2">
      <c r="BA1558" s="581">
        <v>46391</v>
      </c>
      <c r="BB1558" s="582">
        <v>2027</v>
      </c>
    </row>
    <row r="1559" spans="53:54" x14ac:dyDescent="0.2">
      <c r="BA1559" s="581">
        <v>46392</v>
      </c>
      <c r="BB1559" s="582">
        <v>2027</v>
      </c>
    </row>
    <row r="1560" spans="53:54" x14ac:dyDescent="0.2">
      <c r="BA1560" s="581">
        <v>46393</v>
      </c>
      <c r="BB1560" s="582">
        <v>2027</v>
      </c>
    </row>
    <row r="1561" spans="53:54" x14ac:dyDescent="0.2">
      <c r="BA1561" s="581">
        <v>46394</v>
      </c>
      <c r="BB1561" s="582">
        <v>2027</v>
      </c>
    </row>
    <row r="1562" spans="53:54" x14ac:dyDescent="0.2">
      <c r="BA1562" s="581">
        <v>46395</v>
      </c>
      <c r="BB1562" s="582">
        <v>2027</v>
      </c>
    </row>
    <row r="1563" spans="53:54" x14ac:dyDescent="0.2">
      <c r="BA1563" s="581">
        <v>46396</v>
      </c>
      <c r="BB1563" s="582">
        <v>2027</v>
      </c>
    </row>
    <row r="1564" spans="53:54" x14ac:dyDescent="0.2">
      <c r="BA1564" s="581">
        <v>46397</v>
      </c>
      <c r="BB1564" s="582">
        <v>2027</v>
      </c>
    </row>
    <row r="1565" spans="53:54" x14ac:dyDescent="0.2">
      <c r="BA1565" s="581">
        <v>46398</v>
      </c>
      <c r="BB1565" s="582">
        <v>2027</v>
      </c>
    </row>
    <row r="1566" spans="53:54" x14ac:dyDescent="0.2">
      <c r="BA1566" s="581">
        <v>46399</v>
      </c>
      <c r="BB1566" s="582">
        <v>2027</v>
      </c>
    </row>
    <row r="1567" spans="53:54" x14ac:dyDescent="0.2">
      <c r="BA1567" s="581">
        <v>46400</v>
      </c>
      <c r="BB1567" s="582">
        <v>2027</v>
      </c>
    </row>
    <row r="1568" spans="53:54" x14ac:dyDescent="0.2">
      <c r="BA1568" s="581">
        <v>46401</v>
      </c>
      <c r="BB1568" s="582">
        <v>2027</v>
      </c>
    </row>
    <row r="1569" spans="53:54" x14ac:dyDescent="0.2">
      <c r="BA1569" s="581">
        <v>46402</v>
      </c>
      <c r="BB1569" s="582">
        <v>2027</v>
      </c>
    </row>
    <row r="1570" spans="53:54" x14ac:dyDescent="0.2">
      <c r="BA1570" s="581">
        <v>46403</v>
      </c>
      <c r="BB1570" s="582">
        <v>2027</v>
      </c>
    </row>
    <row r="1571" spans="53:54" x14ac:dyDescent="0.2">
      <c r="BA1571" s="581">
        <v>46404</v>
      </c>
      <c r="BB1571" s="582">
        <v>2027</v>
      </c>
    </row>
    <row r="1572" spans="53:54" x14ac:dyDescent="0.2">
      <c r="BA1572" s="581">
        <v>46405</v>
      </c>
      <c r="BB1572" s="582">
        <v>2027</v>
      </c>
    </row>
    <row r="1573" spans="53:54" x14ac:dyDescent="0.2">
      <c r="BA1573" s="581">
        <v>46406</v>
      </c>
      <c r="BB1573" s="582">
        <v>2027</v>
      </c>
    </row>
    <row r="1574" spans="53:54" x14ac:dyDescent="0.2">
      <c r="BA1574" s="581">
        <v>46407</v>
      </c>
      <c r="BB1574" s="582">
        <v>2027</v>
      </c>
    </row>
    <row r="1575" spans="53:54" x14ac:dyDescent="0.2">
      <c r="BA1575" s="581">
        <v>46408</v>
      </c>
      <c r="BB1575" s="582">
        <v>2027</v>
      </c>
    </row>
    <row r="1576" spans="53:54" x14ac:dyDescent="0.2">
      <c r="BA1576" s="581">
        <v>46409</v>
      </c>
      <c r="BB1576" s="582">
        <v>2027</v>
      </c>
    </row>
    <row r="1577" spans="53:54" x14ac:dyDescent="0.2">
      <c r="BA1577" s="581">
        <v>46410</v>
      </c>
      <c r="BB1577" s="582">
        <v>2027</v>
      </c>
    </row>
    <row r="1578" spans="53:54" x14ac:dyDescent="0.2">
      <c r="BA1578" s="581">
        <v>46411</v>
      </c>
      <c r="BB1578" s="582">
        <v>2027</v>
      </c>
    </row>
    <row r="1579" spans="53:54" x14ac:dyDescent="0.2">
      <c r="BA1579" s="581">
        <v>46412</v>
      </c>
      <c r="BB1579" s="582">
        <v>2027</v>
      </c>
    </row>
    <row r="1580" spans="53:54" x14ac:dyDescent="0.2">
      <c r="BA1580" s="581">
        <v>46413</v>
      </c>
      <c r="BB1580" s="582">
        <v>2027</v>
      </c>
    </row>
    <row r="1581" spans="53:54" x14ac:dyDescent="0.2">
      <c r="BA1581" s="581">
        <v>46414</v>
      </c>
      <c r="BB1581" s="582">
        <v>2027</v>
      </c>
    </row>
    <row r="1582" spans="53:54" x14ac:dyDescent="0.2">
      <c r="BA1582" s="581">
        <v>46415</v>
      </c>
      <c r="BB1582" s="582">
        <v>2027</v>
      </c>
    </row>
    <row r="1583" spans="53:54" x14ac:dyDescent="0.2">
      <c r="BA1583" s="581">
        <v>46416</v>
      </c>
      <c r="BB1583" s="582">
        <v>2027</v>
      </c>
    </row>
    <row r="1584" spans="53:54" x14ac:dyDescent="0.2">
      <c r="BA1584" s="581">
        <v>46417</v>
      </c>
      <c r="BB1584" s="582">
        <v>2027</v>
      </c>
    </row>
    <row r="1585" spans="53:54" x14ac:dyDescent="0.2">
      <c r="BA1585" s="581">
        <v>46418</v>
      </c>
      <c r="BB1585" s="582">
        <v>2027</v>
      </c>
    </row>
    <row r="1586" spans="53:54" x14ac:dyDescent="0.2">
      <c r="BA1586" s="581">
        <v>46419</v>
      </c>
      <c r="BB1586" s="582">
        <v>2027</v>
      </c>
    </row>
    <row r="1587" spans="53:54" x14ac:dyDescent="0.2">
      <c r="BA1587" s="581">
        <v>46420</v>
      </c>
      <c r="BB1587" s="582">
        <v>2027</v>
      </c>
    </row>
    <row r="1588" spans="53:54" x14ac:dyDescent="0.2">
      <c r="BA1588" s="581">
        <v>46421</v>
      </c>
      <c r="BB1588" s="582">
        <v>2027</v>
      </c>
    </row>
    <row r="1589" spans="53:54" x14ac:dyDescent="0.2">
      <c r="BA1589" s="581">
        <v>46422</v>
      </c>
      <c r="BB1589" s="582">
        <v>2027</v>
      </c>
    </row>
    <row r="1590" spans="53:54" x14ac:dyDescent="0.2">
      <c r="BA1590" s="581">
        <v>46423</v>
      </c>
      <c r="BB1590" s="582">
        <v>2027</v>
      </c>
    </row>
    <row r="1591" spans="53:54" x14ac:dyDescent="0.2">
      <c r="BA1591" s="581">
        <v>46424</v>
      </c>
      <c r="BB1591" s="582">
        <v>2027</v>
      </c>
    </row>
    <row r="1592" spans="53:54" x14ac:dyDescent="0.2">
      <c r="BA1592" s="581">
        <v>46425</v>
      </c>
      <c r="BB1592" s="582">
        <v>2027</v>
      </c>
    </row>
    <row r="1593" spans="53:54" x14ac:dyDescent="0.2">
      <c r="BA1593" s="581">
        <v>46426</v>
      </c>
      <c r="BB1593" s="582">
        <v>2027</v>
      </c>
    </row>
    <row r="1594" spans="53:54" x14ac:dyDescent="0.2">
      <c r="BA1594" s="581">
        <v>46427</v>
      </c>
      <c r="BB1594" s="582">
        <v>2027</v>
      </c>
    </row>
    <row r="1595" spans="53:54" x14ac:dyDescent="0.2">
      <c r="BA1595" s="581">
        <v>46428</v>
      </c>
      <c r="BB1595" s="582">
        <v>2027</v>
      </c>
    </row>
    <row r="1596" spans="53:54" x14ac:dyDescent="0.2">
      <c r="BA1596" s="581">
        <v>46429</v>
      </c>
      <c r="BB1596" s="582">
        <v>2027</v>
      </c>
    </row>
    <row r="1597" spans="53:54" x14ac:dyDescent="0.2">
      <c r="BA1597" s="581">
        <v>46430</v>
      </c>
      <c r="BB1597" s="582">
        <v>2027</v>
      </c>
    </row>
    <row r="1598" spans="53:54" x14ac:dyDescent="0.2">
      <c r="BA1598" s="581">
        <v>46431</v>
      </c>
      <c r="BB1598" s="582">
        <v>2027</v>
      </c>
    </row>
    <row r="1599" spans="53:54" x14ac:dyDescent="0.2">
      <c r="BA1599" s="581">
        <v>46432</v>
      </c>
      <c r="BB1599" s="582">
        <v>2027</v>
      </c>
    </row>
    <row r="1600" spans="53:54" x14ac:dyDescent="0.2">
      <c r="BA1600" s="581">
        <v>46433</v>
      </c>
      <c r="BB1600" s="582">
        <v>2027</v>
      </c>
    </row>
    <row r="1601" spans="53:54" x14ac:dyDescent="0.2">
      <c r="BA1601" s="581">
        <v>46434</v>
      </c>
      <c r="BB1601" s="582">
        <v>2027</v>
      </c>
    </row>
    <row r="1602" spans="53:54" x14ac:dyDescent="0.2">
      <c r="BA1602" s="581">
        <v>46435</v>
      </c>
      <c r="BB1602" s="582">
        <v>2027</v>
      </c>
    </row>
    <row r="1603" spans="53:54" x14ac:dyDescent="0.2">
      <c r="BA1603" s="581">
        <v>46436</v>
      </c>
      <c r="BB1603" s="582">
        <v>2027</v>
      </c>
    </row>
    <row r="1604" spans="53:54" x14ac:dyDescent="0.2">
      <c r="BA1604" s="581">
        <v>46437</v>
      </c>
      <c r="BB1604" s="582">
        <v>2027</v>
      </c>
    </row>
    <row r="1605" spans="53:54" x14ac:dyDescent="0.2">
      <c r="BA1605" s="581">
        <v>46438</v>
      </c>
      <c r="BB1605" s="582">
        <v>2027</v>
      </c>
    </row>
    <row r="1606" spans="53:54" x14ac:dyDescent="0.2">
      <c r="BA1606" s="581">
        <v>46439</v>
      </c>
      <c r="BB1606" s="582">
        <v>2027</v>
      </c>
    </row>
    <row r="1607" spans="53:54" x14ac:dyDescent="0.2">
      <c r="BA1607" s="581">
        <v>46440</v>
      </c>
      <c r="BB1607" s="582">
        <v>2027</v>
      </c>
    </row>
    <row r="1608" spans="53:54" x14ac:dyDescent="0.2">
      <c r="BA1608" s="581">
        <v>46441</v>
      </c>
      <c r="BB1608" s="582">
        <v>2027</v>
      </c>
    </row>
    <row r="1609" spans="53:54" x14ac:dyDescent="0.2">
      <c r="BA1609" s="581">
        <v>46442</v>
      </c>
      <c r="BB1609" s="582">
        <v>2027</v>
      </c>
    </row>
    <row r="1610" spans="53:54" x14ac:dyDescent="0.2">
      <c r="BA1610" s="581">
        <v>46443</v>
      </c>
      <c r="BB1610" s="582">
        <v>2027</v>
      </c>
    </row>
    <row r="1611" spans="53:54" x14ac:dyDescent="0.2">
      <c r="BA1611" s="581">
        <v>46444</v>
      </c>
      <c r="BB1611" s="582">
        <v>2027</v>
      </c>
    </row>
    <row r="1612" spans="53:54" x14ac:dyDescent="0.2">
      <c r="BA1612" s="581">
        <v>46445</v>
      </c>
      <c r="BB1612" s="582">
        <v>2027</v>
      </c>
    </row>
    <row r="1613" spans="53:54" x14ac:dyDescent="0.2">
      <c r="BA1613" s="581">
        <v>46446</v>
      </c>
      <c r="BB1613" s="582">
        <v>2027</v>
      </c>
    </row>
    <row r="1614" spans="53:54" x14ac:dyDescent="0.2">
      <c r="BA1614" s="581">
        <v>46447</v>
      </c>
      <c r="BB1614" s="582">
        <v>2027</v>
      </c>
    </row>
    <row r="1615" spans="53:54" x14ac:dyDescent="0.2">
      <c r="BA1615" s="581">
        <v>46448</v>
      </c>
      <c r="BB1615" s="582">
        <v>2027</v>
      </c>
    </row>
    <row r="1616" spans="53:54" x14ac:dyDescent="0.2">
      <c r="BA1616" s="581">
        <v>46449</v>
      </c>
      <c r="BB1616" s="582">
        <v>2027</v>
      </c>
    </row>
    <row r="1617" spans="53:54" x14ac:dyDescent="0.2">
      <c r="BA1617" s="581">
        <v>46450</v>
      </c>
      <c r="BB1617" s="582">
        <v>2027</v>
      </c>
    </row>
    <row r="1618" spans="53:54" x14ac:dyDescent="0.2">
      <c r="BA1618" s="581">
        <v>46451</v>
      </c>
      <c r="BB1618" s="582">
        <v>2027</v>
      </c>
    </row>
    <row r="1619" spans="53:54" x14ac:dyDescent="0.2">
      <c r="BA1619" s="581">
        <v>46452</v>
      </c>
      <c r="BB1619" s="582">
        <v>2027</v>
      </c>
    </row>
    <row r="1620" spans="53:54" x14ac:dyDescent="0.2">
      <c r="BA1620" s="581">
        <v>46453</v>
      </c>
      <c r="BB1620" s="582">
        <v>2027</v>
      </c>
    </row>
    <row r="1621" spans="53:54" x14ac:dyDescent="0.2">
      <c r="BA1621" s="581">
        <v>46454</v>
      </c>
      <c r="BB1621" s="582">
        <v>2027</v>
      </c>
    </row>
    <row r="1622" spans="53:54" x14ac:dyDescent="0.2">
      <c r="BA1622" s="581">
        <v>46455</v>
      </c>
      <c r="BB1622" s="582">
        <v>2027</v>
      </c>
    </row>
    <row r="1623" spans="53:54" x14ac:dyDescent="0.2">
      <c r="BA1623" s="581">
        <v>46456</v>
      </c>
      <c r="BB1623" s="582">
        <v>2027</v>
      </c>
    </row>
    <row r="1624" spans="53:54" x14ac:dyDescent="0.2">
      <c r="BA1624" s="581">
        <v>46457</v>
      </c>
      <c r="BB1624" s="582">
        <v>2027</v>
      </c>
    </row>
    <row r="1625" spans="53:54" x14ac:dyDescent="0.2">
      <c r="BA1625" s="581">
        <v>46458</v>
      </c>
      <c r="BB1625" s="582">
        <v>2027</v>
      </c>
    </row>
    <row r="1626" spans="53:54" x14ac:dyDescent="0.2">
      <c r="BA1626" s="581">
        <v>46459</v>
      </c>
      <c r="BB1626" s="582">
        <v>2027</v>
      </c>
    </row>
    <row r="1627" spans="53:54" x14ac:dyDescent="0.2">
      <c r="BA1627" s="581">
        <v>46460</v>
      </c>
      <c r="BB1627" s="582">
        <v>2027</v>
      </c>
    </row>
    <row r="1628" spans="53:54" x14ac:dyDescent="0.2">
      <c r="BA1628" s="581">
        <v>46461</v>
      </c>
      <c r="BB1628" s="582">
        <v>2027</v>
      </c>
    </row>
    <row r="1629" spans="53:54" x14ac:dyDescent="0.2">
      <c r="BA1629" s="581">
        <v>46462</v>
      </c>
      <c r="BB1629" s="582">
        <v>2027</v>
      </c>
    </row>
    <row r="1630" spans="53:54" x14ac:dyDescent="0.2">
      <c r="BA1630" s="581">
        <v>46463</v>
      </c>
      <c r="BB1630" s="582">
        <v>2027</v>
      </c>
    </row>
    <row r="1631" spans="53:54" x14ac:dyDescent="0.2">
      <c r="BA1631" s="581">
        <v>46464</v>
      </c>
      <c r="BB1631" s="582">
        <v>2027</v>
      </c>
    </row>
    <row r="1632" spans="53:54" x14ac:dyDescent="0.2">
      <c r="BA1632" s="581">
        <v>46465</v>
      </c>
      <c r="BB1632" s="582">
        <v>2027</v>
      </c>
    </row>
    <row r="1633" spans="53:54" x14ac:dyDescent="0.2">
      <c r="BA1633" s="581">
        <v>46466</v>
      </c>
      <c r="BB1633" s="582">
        <v>2027</v>
      </c>
    </row>
    <row r="1634" spans="53:54" x14ac:dyDescent="0.2">
      <c r="BA1634" s="581">
        <v>46467</v>
      </c>
      <c r="BB1634" s="582">
        <v>2027</v>
      </c>
    </row>
    <row r="1635" spans="53:54" x14ac:dyDescent="0.2">
      <c r="BA1635" s="581">
        <v>46468</v>
      </c>
      <c r="BB1635" s="582">
        <v>2027</v>
      </c>
    </row>
    <row r="1636" spans="53:54" x14ac:dyDescent="0.2">
      <c r="BA1636" s="581">
        <v>46469</v>
      </c>
      <c r="BB1636" s="582">
        <v>2027</v>
      </c>
    </row>
    <row r="1637" spans="53:54" x14ac:dyDescent="0.2">
      <c r="BA1637" s="581">
        <v>46470</v>
      </c>
      <c r="BB1637" s="582">
        <v>2027</v>
      </c>
    </row>
    <row r="1638" spans="53:54" x14ac:dyDescent="0.2">
      <c r="BA1638" s="581">
        <v>46471</v>
      </c>
      <c r="BB1638" s="582">
        <v>2027</v>
      </c>
    </row>
    <row r="1639" spans="53:54" x14ac:dyDescent="0.2">
      <c r="BA1639" s="581">
        <v>46472</v>
      </c>
      <c r="BB1639" s="582">
        <v>2027</v>
      </c>
    </row>
    <row r="1640" spans="53:54" x14ac:dyDescent="0.2">
      <c r="BA1640" s="581">
        <v>46473</v>
      </c>
      <c r="BB1640" s="582">
        <v>2027</v>
      </c>
    </row>
    <row r="1641" spans="53:54" x14ac:dyDescent="0.2">
      <c r="BA1641" s="581">
        <v>46474</v>
      </c>
      <c r="BB1641" s="582">
        <v>2027</v>
      </c>
    </row>
    <row r="1642" spans="53:54" x14ac:dyDescent="0.2">
      <c r="BA1642" s="581">
        <v>46475</v>
      </c>
      <c r="BB1642" s="582">
        <v>2027</v>
      </c>
    </row>
    <row r="1643" spans="53:54" x14ac:dyDescent="0.2">
      <c r="BA1643" s="581">
        <v>46476</v>
      </c>
      <c r="BB1643" s="582">
        <v>2027</v>
      </c>
    </row>
    <row r="1644" spans="53:54" x14ac:dyDescent="0.2">
      <c r="BA1644" s="581">
        <v>46477</v>
      </c>
      <c r="BB1644" s="582">
        <v>2027</v>
      </c>
    </row>
    <row r="1645" spans="53:54" x14ac:dyDescent="0.2">
      <c r="BA1645" s="581">
        <v>46478</v>
      </c>
      <c r="BB1645" s="582">
        <v>2027</v>
      </c>
    </row>
    <row r="1646" spans="53:54" x14ac:dyDescent="0.2">
      <c r="BA1646" s="581">
        <v>46479</v>
      </c>
      <c r="BB1646" s="582">
        <v>2027</v>
      </c>
    </row>
    <row r="1647" spans="53:54" x14ac:dyDescent="0.2">
      <c r="BA1647" s="581">
        <v>46480</v>
      </c>
      <c r="BB1647" s="582">
        <v>2027</v>
      </c>
    </row>
    <row r="1648" spans="53:54" x14ac:dyDescent="0.2">
      <c r="BA1648" s="581">
        <v>46481</v>
      </c>
      <c r="BB1648" s="582">
        <v>2027</v>
      </c>
    </row>
    <row r="1649" spans="53:54" x14ac:dyDescent="0.2">
      <c r="BA1649" s="581">
        <v>46482</v>
      </c>
      <c r="BB1649" s="582">
        <v>2027</v>
      </c>
    </row>
    <row r="1650" spans="53:54" x14ac:dyDescent="0.2">
      <c r="BA1650" s="581">
        <v>46483</v>
      </c>
      <c r="BB1650" s="582">
        <v>2027</v>
      </c>
    </row>
    <row r="1651" spans="53:54" x14ac:dyDescent="0.2">
      <c r="BA1651" s="581">
        <v>46484</v>
      </c>
      <c r="BB1651" s="582">
        <v>2027</v>
      </c>
    </row>
    <row r="1652" spans="53:54" x14ac:dyDescent="0.2">
      <c r="BA1652" s="581">
        <v>46485</v>
      </c>
      <c r="BB1652" s="582">
        <v>2027</v>
      </c>
    </row>
    <row r="1653" spans="53:54" x14ac:dyDescent="0.2">
      <c r="BA1653" s="581">
        <v>46486</v>
      </c>
      <c r="BB1653" s="582">
        <v>2027</v>
      </c>
    </row>
    <row r="1654" spans="53:54" x14ac:dyDescent="0.2">
      <c r="BA1654" s="581">
        <v>46487</v>
      </c>
      <c r="BB1654" s="582">
        <v>2027</v>
      </c>
    </row>
    <row r="1655" spans="53:54" x14ac:dyDescent="0.2">
      <c r="BA1655" s="581">
        <v>46488</v>
      </c>
      <c r="BB1655" s="582">
        <v>2027</v>
      </c>
    </row>
    <row r="1656" spans="53:54" x14ac:dyDescent="0.2">
      <c r="BA1656" s="581">
        <v>46489</v>
      </c>
      <c r="BB1656" s="582">
        <v>2027</v>
      </c>
    </row>
    <row r="1657" spans="53:54" x14ac:dyDescent="0.2">
      <c r="BA1657" s="581">
        <v>46490</v>
      </c>
      <c r="BB1657" s="582">
        <v>2027</v>
      </c>
    </row>
    <row r="1658" spans="53:54" x14ac:dyDescent="0.2">
      <c r="BA1658" s="581">
        <v>46491</v>
      </c>
      <c r="BB1658" s="582">
        <v>2027</v>
      </c>
    </row>
    <row r="1659" spans="53:54" x14ac:dyDescent="0.2">
      <c r="BA1659" s="581">
        <v>46492</v>
      </c>
      <c r="BB1659" s="582">
        <v>2027</v>
      </c>
    </row>
    <row r="1660" spans="53:54" x14ac:dyDescent="0.2">
      <c r="BA1660" s="581">
        <v>46493</v>
      </c>
      <c r="BB1660" s="582">
        <v>2027</v>
      </c>
    </row>
    <row r="1661" spans="53:54" x14ac:dyDescent="0.2">
      <c r="BA1661" s="581">
        <v>46494</v>
      </c>
      <c r="BB1661" s="582">
        <v>2027</v>
      </c>
    </row>
    <row r="1662" spans="53:54" x14ac:dyDescent="0.2">
      <c r="BA1662" s="581">
        <v>46495</v>
      </c>
      <c r="BB1662" s="582">
        <v>2027</v>
      </c>
    </row>
    <row r="1663" spans="53:54" x14ac:dyDescent="0.2">
      <c r="BA1663" s="581">
        <v>46496</v>
      </c>
      <c r="BB1663" s="582">
        <v>2027</v>
      </c>
    </row>
    <row r="1664" spans="53:54" x14ac:dyDescent="0.2">
      <c r="BA1664" s="581">
        <v>46497</v>
      </c>
      <c r="BB1664" s="582">
        <v>2027</v>
      </c>
    </row>
    <row r="1665" spans="53:54" x14ac:dyDescent="0.2">
      <c r="BA1665" s="581">
        <v>46498</v>
      </c>
      <c r="BB1665" s="582">
        <v>2027</v>
      </c>
    </row>
    <row r="1666" spans="53:54" x14ac:dyDescent="0.2">
      <c r="BA1666" s="581">
        <v>46499</v>
      </c>
      <c r="BB1666" s="582">
        <v>2027</v>
      </c>
    </row>
    <row r="1667" spans="53:54" x14ac:dyDescent="0.2">
      <c r="BA1667" s="581">
        <v>46500</v>
      </c>
      <c r="BB1667" s="582">
        <v>2027</v>
      </c>
    </row>
    <row r="1668" spans="53:54" x14ac:dyDescent="0.2">
      <c r="BA1668" s="581">
        <v>46501</v>
      </c>
      <c r="BB1668" s="582">
        <v>2027</v>
      </c>
    </row>
    <row r="1669" spans="53:54" x14ac:dyDescent="0.2">
      <c r="BA1669" s="581">
        <v>46502</v>
      </c>
      <c r="BB1669" s="582">
        <v>2027</v>
      </c>
    </row>
    <row r="1670" spans="53:54" x14ac:dyDescent="0.2">
      <c r="BA1670" s="581">
        <v>46503</v>
      </c>
      <c r="BB1670" s="582">
        <v>2027</v>
      </c>
    </row>
    <row r="1671" spans="53:54" x14ac:dyDescent="0.2">
      <c r="BA1671" s="581">
        <v>46504</v>
      </c>
      <c r="BB1671" s="582">
        <v>2027</v>
      </c>
    </row>
    <row r="1672" spans="53:54" x14ac:dyDescent="0.2">
      <c r="BA1672" s="581">
        <v>46505</v>
      </c>
      <c r="BB1672" s="582">
        <v>2027</v>
      </c>
    </row>
    <row r="1673" spans="53:54" x14ac:dyDescent="0.2">
      <c r="BA1673" s="581">
        <v>46506</v>
      </c>
      <c r="BB1673" s="582">
        <v>2027</v>
      </c>
    </row>
    <row r="1674" spans="53:54" x14ac:dyDescent="0.2">
      <c r="BA1674" s="581">
        <v>46507</v>
      </c>
      <c r="BB1674" s="582">
        <v>2027</v>
      </c>
    </row>
    <row r="1675" spans="53:54" x14ac:dyDescent="0.2">
      <c r="BA1675" s="581">
        <v>46508</v>
      </c>
      <c r="BB1675" s="582">
        <v>2027</v>
      </c>
    </row>
    <row r="1676" spans="53:54" x14ac:dyDescent="0.2">
      <c r="BA1676" s="581">
        <v>46509</v>
      </c>
      <c r="BB1676" s="582">
        <v>2027</v>
      </c>
    </row>
    <row r="1677" spans="53:54" x14ac:dyDescent="0.2">
      <c r="BA1677" s="581">
        <v>46510</v>
      </c>
      <c r="BB1677" s="582">
        <v>2027</v>
      </c>
    </row>
    <row r="1678" spans="53:54" x14ac:dyDescent="0.2">
      <c r="BA1678" s="581">
        <v>46511</v>
      </c>
      <c r="BB1678" s="582">
        <v>2027</v>
      </c>
    </row>
    <row r="1679" spans="53:54" x14ac:dyDescent="0.2">
      <c r="BA1679" s="581">
        <v>46512</v>
      </c>
      <c r="BB1679" s="582">
        <v>2027</v>
      </c>
    </row>
    <row r="1680" spans="53:54" x14ac:dyDescent="0.2">
      <c r="BA1680" s="581">
        <v>46513</v>
      </c>
      <c r="BB1680" s="582">
        <v>2027</v>
      </c>
    </row>
    <row r="1681" spans="53:54" x14ac:dyDescent="0.2">
      <c r="BA1681" s="581">
        <v>46514</v>
      </c>
      <c r="BB1681" s="582">
        <v>2027</v>
      </c>
    </row>
    <row r="1682" spans="53:54" x14ac:dyDescent="0.2">
      <c r="BA1682" s="581">
        <v>46515</v>
      </c>
      <c r="BB1682" s="582">
        <v>2027</v>
      </c>
    </row>
    <row r="1683" spans="53:54" x14ac:dyDescent="0.2">
      <c r="BA1683" s="581">
        <v>46516</v>
      </c>
      <c r="BB1683" s="582">
        <v>2027</v>
      </c>
    </row>
    <row r="1684" spans="53:54" x14ac:dyDescent="0.2">
      <c r="BA1684" s="581">
        <v>46517</v>
      </c>
      <c r="BB1684" s="582">
        <v>2027</v>
      </c>
    </row>
    <row r="1685" spans="53:54" x14ac:dyDescent="0.2">
      <c r="BA1685" s="581">
        <v>46518</v>
      </c>
      <c r="BB1685" s="582">
        <v>2027</v>
      </c>
    </row>
    <row r="1686" spans="53:54" x14ac:dyDescent="0.2">
      <c r="BA1686" s="581">
        <v>46519</v>
      </c>
      <c r="BB1686" s="582">
        <v>2027</v>
      </c>
    </row>
    <row r="1687" spans="53:54" x14ac:dyDescent="0.2">
      <c r="BA1687" s="581">
        <v>46520</v>
      </c>
      <c r="BB1687" s="582">
        <v>2027</v>
      </c>
    </row>
    <row r="1688" spans="53:54" x14ac:dyDescent="0.2">
      <c r="BA1688" s="581">
        <v>46521</v>
      </c>
      <c r="BB1688" s="582">
        <v>2027</v>
      </c>
    </row>
    <row r="1689" spans="53:54" x14ac:dyDescent="0.2">
      <c r="BA1689" s="581">
        <v>46522</v>
      </c>
      <c r="BB1689" s="582">
        <v>2027</v>
      </c>
    </row>
    <row r="1690" spans="53:54" x14ac:dyDescent="0.2">
      <c r="BA1690" s="581">
        <v>46523</v>
      </c>
      <c r="BB1690" s="582">
        <v>2027</v>
      </c>
    </row>
    <row r="1691" spans="53:54" x14ac:dyDescent="0.2">
      <c r="BA1691" s="581">
        <v>46524</v>
      </c>
      <c r="BB1691" s="582">
        <v>2027</v>
      </c>
    </row>
    <row r="1692" spans="53:54" x14ac:dyDescent="0.2">
      <c r="BA1692" s="581">
        <v>46525</v>
      </c>
      <c r="BB1692" s="582">
        <v>2027</v>
      </c>
    </row>
    <row r="1693" spans="53:54" x14ac:dyDescent="0.2">
      <c r="BA1693" s="581">
        <v>46526</v>
      </c>
      <c r="BB1693" s="582">
        <v>2027</v>
      </c>
    </row>
    <row r="1694" spans="53:54" x14ac:dyDescent="0.2">
      <c r="BA1694" s="581">
        <v>46527</v>
      </c>
      <c r="BB1694" s="582">
        <v>2027</v>
      </c>
    </row>
    <row r="1695" spans="53:54" x14ac:dyDescent="0.2">
      <c r="BA1695" s="581">
        <v>46528</v>
      </c>
      <c r="BB1695" s="582">
        <v>2027</v>
      </c>
    </row>
    <row r="1696" spans="53:54" x14ac:dyDescent="0.2">
      <c r="BA1696" s="581">
        <v>46529</v>
      </c>
      <c r="BB1696" s="582">
        <v>2027</v>
      </c>
    </row>
    <row r="1697" spans="53:54" x14ac:dyDescent="0.2">
      <c r="BA1697" s="581">
        <v>46530</v>
      </c>
      <c r="BB1697" s="582">
        <v>2027</v>
      </c>
    </row>
    <row r="1698" spans="53:54" x14ac:dyDescent="0.2">
      <c r="BA1698" s="581">
        <v>46531</v>
      </c>
      <c r="BB1698" s="582">
        <v>2027</v>
      </c>
    </row>
    <row r="1699" spans="53:54" x14ac:dyDescent="0.2">
      <c r="BA1699" s="581">
        <v>46532</v>
      </c>
      <c r="BB1699" s="582">
        <v>2027</v>
      </c>
    </row>
    <row r="1700" spans="53:54" x14ac:dyDescent="0.2">
      <c r="BA1700" s="581">
        <v>46533</v>
      </c>
      <c r="BB1700" s="582">
        <v>2027</v>
      </c>
    </row>
    <row r="1701" spans="53:54" x14ac:dyDescent="0.2">
      <c r="BA1701" s="581">
        <v>46534</v>
      </c>
      <c r="BB1701" s="582">
        <v>2027</v>
      </c>
    </row>
    <row r="1702" spans="53:54" x14ac:dyDescent="0.2">
      <c r="BA1702" s="581">
        <v>46535</v>
      </c>
      <c r="BB1702" s="582">
        <v>2027</v>
      </c>
    </row>
    <row r="1703" spans="53:54" x14ac:dyDescent="0.2">
      <c r="BA1703" s="581">
        <v>46536</v>
      </c>
      <c r="BB1703" s="582">
        <v>2027</v>
      </c>
    </row>
    <row r="1704" spans="53:54" x14ac:dyDescent="0.2">
      <c r="BA1704" s="581">
        <v>46537</v>
      </c>
      <c r="BB1704" s="582">
        <v>2027</v>
      </c>
    </row>
    <row r="1705" spans="53:54" x14ac:dyDescent="0.2">
      <c r="BA1705" s="581">
        <v>46538</v>
      </c>
      <c r="BB1705" s="582">
        <v>2027</v>
      </c>
    </row>
    <row r="1706" spans="53:54" x14ac:dyDescent="0.2">
      <c r="BA1706" s="581">
        <v>46539</v>
      </c>
      <c r="BB1706" s="582">
        <v>2027</v>
      </c>
    </row>
    <row r="1707" spans="53:54" x14ac:dyDescent="0.2">
      <c r="BA1707" s="581">
        <v>46540</v>
      </c>
      <c r="BB1707" s="582">
        <v>2027</v>
      </c>
    </row>
    <row r="1708" spans="53:54" x14ac:dyDescent="0.2">
      <c r="BA1708" s="581">
        <v>46541</v>
      </c>
      <c r="BB1708" s="582">
        <v>2027</v>
      </c>
    </row>
    <row r="1709" spans="53:54" x14ac:dyDescent="0.2">
      <c r="BA1709" s="581">
        <v>46542</v>
      </c>
      <c r="BB1709" s="582">
        <v>2027</v>
      </c>
    </row>
    <row r="1710" spans="53:54" x14ac:dyDescent="0.2">
      <c r="BA1710" s="581">
        <v>46543</v>
      </c>
      <c r="BB1710" s="582">
        <v>2027</v>
      </c>
    </row>
    <row r="1711" spans="53:54" x14ac:dyDescent="0.2">
      <c r="BA1711" s="581">
        <v>46544</v>
      </c>
      <c r="BB1711" s="582">
        <v>2027</v>
      </c>
    </row>
    <row r="1712" spans="53:54" x14ac:dyDescent="0.2">
      <c r="BA1712" s="581">
        <v>46545</v>
      </c>
      <c r="BB1712" s="582">
        <v>2027</v>
      </c>
    </row>
    <row r="1713" spans="53:54" x14ac:dyDescent="0.2">
      <c r="BA1713" s="581">
        <v>46546</v>
      </c>
      <c r="BB1713" s="582">
        <v>2027</v>
      </c>
    </row>
    <row r="1714" spans="53:54" x14ac:dyDescent="0.2">
      <c r="BA1714" s="581">
        <v>46547</v>
      </c>
      <c r="BB1714" s="582">
        <v>2027</v>
      </c>
    </row>
    <row r="1715" spans="53:54" x14ac:dyDescent="0.2">
      <c r="BA1715" s="581">
        <v>46548</v>
      </c>
      <c r="BB1715" s="582">
        <v>2027</v>
      </c>
    </row>
    <row r="1716" spans="53:54" x14ac:dyDescent="0.2">
      <c r="BA1716" s="581">
        <v>46549</v>
      </c>
      <c r="BB1716" s="582">
        <v>2027</v>
      </c>
    </row>
    <row r="1717" spans="53:54" x14ac:dyDescent="0.2">
      <c r="BA1717" s="581">
        <v>46550</v>
      </c>
      <c r="BB1717" s="582">
        <v>2027</v>
      </c>
    </row>
    <row r="1718" spans="53:54" x14ac:dyDescent="0.2">
      <c r="BA1718" s="581">
        <v>46551</v>
      </c>
      <c r="BB1718" s="582">
        <v>2027</v>
      </c>
    </row>
    <row r="1719" spans="53:54" x14ac:dyDescent="0.2">
      <c r="BA1719" s="581">
        <v>46552</v>
      </c>
      <c r="BB1719" s="582">
        <v>2027</v>
      </c>
    </row>
    <row r="1720" spans="53:54" x14ac:dyDescent="0.2">
      <c r="BA1720" s="581">
        <v>46553</v>
      </c>
      <c r="BB1720" s="582">
        <v>2027</v>
      </c>
    </row>
    <row r="1721" spans="53:54" x14ac:dyDescent="0.2">
      <c r="BA1721" s="581">
        <v>46554</v>
      </c>
      <c r="BB1721" s="582">
        <v>2027</v>
      </c>
    </row>
    <row r="1722" spans="53:54" x14ac:dyDescent="0.2">
      <c r="BA1722" s="581">
        <v>46555</v>
      </c>
      <c r="BB1722" s="582">
        <v>2027</v>
      </c>
    </row>
    <row r="1723" spans="53:54" x14ac:dyDescent="0.2">
      <c r="BA1723" s="581">
        <v>46556</v>
      </c>
      <c r="BB1723" s="582">
        <v>2027</v>
      </c>
    </row>
    <row r="1724" spans="53:54" x14ac:dyDescent="0.2">
      <c r="BA1724" s="581">
        <v>46557</v>
      </c>
      <c r="BB1724" s="582">
        <v>2027</v>
      </c>
    </row>
    <row r="1725" spans="53:54" x14ac:dyDescent="0.2">
      <c r="BA1725" s="581">
        <v>46558</v>
      </c>
      <c r="BB1725" s="582">
        <v>2027</v>
      </c>
    </row>
    <row r="1726" spans="53:54" x14ac:dyDescent="0.2">
      <c r="BA1726" s="581">
        <v>46559</v>
      </c>
      <c r="BB1726" s="582">
        <v>2027</v>
      </c>
    </row>
    <row r="1727" spans="53:54" x14ac:dyDescent="0.2">
      <c r="BA1727" s="581">
        <v>46560</v>
      </c>
      <c r="BB1727" s="582">
        <v>2027</v>
      </c>
    </row>
    <row r="1728" spans="53:54" x14ac:dyDescent="0.2">
      <c r="BA1728" s="581">
        <v>46561</v>
      </c>
      <c r="BB1728" s="582">
        <v>2027</v>
      </c>
    </row>
    <row r="1729" spans="53:54" x14ac:dyDescent="0.2">
      <c r="BA1729" s="581">
        <v>46562</v>
      </c>
      <c r="BB1729" s="582">
        <v>2027</v>
      </c>
    </row>
    <row r="1730" spans="53:54" x14ac:dyDescent="0.2">
      <c r="BA1730" s="581">
        <v>46563</v>
      </c>
      <c r="BB1730" s="582">
        <v>2027</v>
      </c>
    </row>
    <row r="1731" spans="53:54" x14ac:dyDescent="0.2">
      <c r="BA1731" s="581">
        <v>46564</v>
      </c>
      <c r="BB1731" s="582">
        <v>2027</v>
      </c>
    </row>
    <row r="1732" spans="53:54" x14ac:dyDescent="0.2">
      <c r="BA1732" s="581">
        <v>46565</v>
      </c>
      <c r="BB1732" s="582">
        <v>2027</v>
      </c>
    </row>
    <row r="1733" spans="53:54" x14ac:dyDescent="0.2">
      <c r="BA1733" s="581">
        <v>46566</v>
      </c>
      <c r="BB1733" s="582">
        <v>2027</v>
      </c>
    </row>
    <row r="1734" spans="53:54" x14ac:dyDescent="0.2">
      <c r="BA1734" s="581">
        <v>46567</v>
      </c>
      <c r="BB1734" s="582">
        <v>2027</v>
      </c>
    </row>
    <row r="1735" spans="53:54" x14ac:dyDescent="0.2">
      <c r="BA1735" s="581">
        <v>46568</v>
      </c>
      <c r="BB1735" s="582">
        <v>2027</v>
      </c>
    </row>
    <row r="1736" spans="53:54" x14ac:dyDescent="0.2">
      <c r="BA1736" s="581">
        <v>46569</v>
      </c>
      <c r="BB1736" s="582">
        <v>2027</v>
      </c>
    </row>
    <row r="1737" spans="53:54" x14ac:dyDescent="0.2">
      <c r="BA1737" s="581">
        <v>46570</v>
      </c>
      <c r="BB1737" s="582">
        <v>2027</v>
      </c>
    </row>
    <row r="1738" spans="53:54" x14ac:dyDescent="0.2">
      <c r="BA1738" s="581">
        <v>46571</v>
      </c>
      <c r="BB1738" s="582">
        <v>2027</v>
      </c>
    </row>
    <row r="1739" spans="53:54" x14ac:dyDescent="0.2">
      <c r="BA1739" s="581">
        <v>46572</v>
      </c>
      <c r="BB1739" s="582">
        <v>2027</v>
      </c>
    </row>
    <row r="1740" spans="53:54" x14ac:dyDescent="0.2">
      <c r="BA1740" s="581">
        <v>46573</v>
      </c>
      <c r="BB1740" s="582">
        <v>2027</v>
      </c>
    </row>
    <row r="1741" spans="53:54" x14ac:dyDescent="0.2">
      <c r="BA1741" s="581">
        <v>46574</v>
      </c>
      <c r="BB1741" s="582">
        <v>2027</v>
      </c>
    </row>
    <row r="1742" spans="53:54" x14ac:dyDescent="0.2">
      <c r="BA1742" s="581">
        <v>46575</v>
      </c>
      <c r="BB1742" s="582">
        <v>2027</v>
      </c>
    </row>
    <row r="1743" spans="53:54" x14ac:dyDescent="0.2">
      <c r="BA1743" s="581">
        <v>46576</v>
      </c>
      <c r="BB1743" s="582">
        <v>2027</v>
      </c>
    </row>
    <row r="1744" spans="53:54" x14ac:dyDescent="0.2">
      <c r="BA1744" s="581">
        <v>46577</v>
      </c>
      <c r="BB1744" s="582">
        <v>2027</v>
      </c>
    </row>
    <row r="1745" spans="53:54" x14ac:dyDescent="0.2">
      <c r="BA1745" s="581">
        <v>46578</v>
      </c>
      <c r="BB1745" s="582">
        <v>2027</v>
      </c>
    </row>
    <row r="1746" spans="53:54" x14ac:dyDescent="0.2">
      <c r="BA1746" s="581">
        <v>46579</v>
      </c>
      <c r="BB1746" s="582">
        <v>2027</v>
      </c>
    </row>
    <row r="1747" spans="53:54" x14ac:dyDescent="0.2">
      <c r="BA1747" s="581">
        <v>46580</v>
      </c>
      <c r="BB1747" s="582">
        <v>2027</v>
      </c>
    </row>
    <row r="1748" spans="53:54" x14ac:dyDescent="0.2">
      <c r="BA1748" s="581">
        <v>46581</v>
      </c>
      <c r="BB1748" s="582">
        <v>2027</v>
      </c>
    </row>
    <row r="1749" spans="53:54" x14ac:dyDescent="0.2">
      <c r="BA1749" s="581">
        <v>46582</v>
      </c>
      <c r="BB1749" s="582">
        <v>2027</v>
      </c>
    </row>
    <row r="1750" spans="53:54" x14ac:dyDescent="0.2">
      <c r="BA1750" s="581">
        <v>46583</v>
      </c>
      <c r="BB1750" s="582">
        <v>2027</v>
      </c>
    </row>
    <row r="1751" spans="53:54" x14ac:dyDescent="0.2">
      <c r="BA1751" s="581">
        <v>46584</v>
      </c>
      <c r="BB1751" s="582">
        <v>2027</v>
      </c>
    </row>
    <row r="1752" spans="53:54" x14ac:dyDescent="0.2">
      <c r="BA1752" s="581">
        <v>46585</v>
      </c>
      <c r="BB1752" s="582">
        <v>2027</v>
      </c>
    </row>
    <row r="1753" spans="53:54" x14ac:dyDescent="0.2">
      <c r="BA1753" s="581">
        <v>46586</v>
      </c>
      <c r="BB1753" s="582">
        <v>2027</v>
      </c>
    </row>
    <row r="1754" spans="53:54" x14ac:dyDescent="0.2">
      <c r="BA1754" s="581">
        <v>46587</v>
      </c>
      <c r="BB1754" s="582">
        <v>2027</v>
      </c>
    </row>
    <row r="1755" spans="53:54" x14ac:dyDescent="0.2">
      <c r="BA1755" s="581">
        <v>46588</v>
      </c>
      <c r="BB1755" s="582">
        <v>2027</v>
      </c>
    </row>
    <row r="1756" spans="53:54" x14ac:dyDescent="0.2">
      <c r="BA1756" s="581">
        <v>46589</v>
      </c>
      <c r="BB1756" s="582">
        <v>2027</v>
      </c>
    </row>
    <row r="1757" spans="53:54" x14ac:dyDescent="0.2">
      <c r="BA1757" s="581">
        <v>46590</v>
      </c>
      <c r="BB1757" s="582">
        <v>2027</v>
      </c>
    </row>
    <row r="1758" spans="53:54" x14ac:dyDescent="0.2">
      <c r="BA1758" s="581">
        <v>46591</v>
      </c>
      <c r="BB1758" s="582">
        <v>2027</v>
      </c>
    </row>
    <row r="1759" spans="53:54" x14ac:dyDescent="0.2">
      <c r="BA1759" s="581">
        <v>46592</v>
      </c>
      <c r="BB1759" s="582">
        <v>2027</v>
      </c>
    </row>
    <row r="1760" spans="53:54" x14ac:dyDescent="0.2">
      <c r="BA1760" s="581">
        <v>46593</v>
      </c>
      <c r="BB1760" s="582">
        <v>2027</v>
      </c>
    </row>
    <row r="1761" spans="53:54" x14ac:dyDescent="0.2">
      <c r="BA1761" s="581">
        <v>46594</v>
      </c>
      <c r="BB1761" s="582">
        <v>2027</v>
      </c>
    </row>
    <row r="1762" spans="53:54" x14ac:dyDescent="0.2">
      <c r="BA1762" s="581">
        <v>46595</v>
      </c>
      <c r="BB1762" s="582">
        <v>2027</v>
      </c>
    </row>
    <row r="1763" spans="53:54" x14ac:dyDescent="0.2">
      <c r="BA1763" s="581">
        <v>46596</v>
      </c>
      <c r="BB1763" s="582">
        <v>2027</v>
      </c>
    </row>
    <row r="1764" spans="53:54" x14ac:dyDescent="0.2">
      <c r="BA1764" s="581">
        <v>46597</v>
      </c>
      <c r="BB1764" s="582">
        <v>2027</v>
      </c>
    </row>
    <row r="1765" spans="53:54" x14ac:dyDescent="0.2">
      <c r="BA1765" s="581">
        <v>46598</v>
      </c>
      <c r="BB1765" s="582">
        <v>2027</v>
      </c>
    </row>
    <row r="1766" spans="53:54" x14ac:dyDescent="0.2">
      <c r="BA1766" s="581">
        <v>46599</v>
      </c>
      <c r="BB1766" s="582">
        <v>2027</v>
      </c>
    </row>
    <row r="1767" spans="53:54" x14ac:dyDescent="0.2">
      <c r="BA1767" s="581">
        <v>46600</v>
      </c>
      <c r="BB1767" s="582">
        <v>2027</v>
      </c>
    </row>
    <row r="1768" spans="53:54" x14ac:dyDescent="0.2">
      <c r="BA1768" s="581">
        <v>46601</v>
      </c>
      <c r="BB1768" s="582">
        <v>2027</v>
      </c>
    </row>
    <row r="1769" spans="53:54" x14ac:dyDescent="0.2">
      <c r="BA1769" s="581">
        <v>46602</v>
      </c>
      <c r="BB1769" s="582">
        <v>2027</v>
      </c>
    </row>
    <row r="1770" spans="53:54" x14ac:dyDescent="0.2">
      <c r="BA1770" s="581">
        <v>46603</v>
      </c>
      <c r="BB1770" s="582">
        <v>2027</v>
      </c>
    </row>
    <row r="1771" spans="53:54" x14ac:dyDescent="0.2">
      <c r="BA1771" s="581">
        <v>46604</v>
      </c>
      <c r="BB1771" s="582">
        <v>2027</v>
      </c>
    </row>
    <row r="1772" spans="53:54" x14ac:dyDescent="0.2">
      <c r="BA1772" s="581">
        <v>46605</v>
      </c>
      <c r="BB1772" s="582">
        <v>2027</v>
      </c>
    </row>
    <row r="1773" spans="53:54" x14ac:dyDescent="0.2">
      <c r="BA1773" s="581">
        <v>46606</v>
      </c>
      <c r="BB1773" s="582">
        <v>2027</v>
      </c>
    </row>
    <row r="1774" spans="53:54" x14ac:dyDescent="0.2">
      <c r="BA1774" s="581">
        <v>46607</v>
      </c>
      <c r="BB1774" s="582">
        <v>2027</v>
      </c>
    </row>
    <row r="1775" spans="53:54" x14ac:dyDescent="0.2">
      <c r="BA1775" s="581">
        <v>46608</v>
      </c>
      <c r="BB1775" s="582">
        <v>2027</v>
      </c>
    </row>
    <row r="1776" spans="53:54" x14ac:dyDescent="0.2">
      <c r="BA1776" s="581">
        <v>46609</v>
      </c>
      <c r="BB1776" s="582">
        <v>2027</v>
      </c>
    </row>
    <row r="1777" spans="53:54" x14ac:dyDescent="0.2">
      <c r="BA1777" s="581">
        <v>46610</v>
      </c>
      <c r="BB1777" s="582">
        <v>2027</v>
      </c>
    </row>
    <row r="1778" spans="53:54" x14ac:dyDescent="0.2">
      <c r="BA1778" s="581">
        <v>46611</v>
      </c>
      <c r="BB1778" s="582">
        <v>2027</v>
      </c>
    </row>
    <row r="1779" spans="53:54" x14ac:dyDescent="0.2">
      <c r="BA1779" s="581">
        <v>46612</v>
      </c>
      <c r="BB1779" s="582">
        <v>2027</v>
      </c>
    </row>
    <row r="1780" spans="53:54" x14ac:dyDescent="0.2">
      <c r="BA1780" s="581">
        <v>46613</v>
      </c>
      <c r="BB1780" s="582">
        <v>2027</v>
      </c>
    </row>
    <row r="1781" spans="53:54" x14ac:dyDescent="0.2">
      <c r="BA1781" s="581">
        <v>46614</v>
      </c>
      <c r="BB1781" s="582">
        <v>2027</v>
      </c>
    </row>
    <row r="1782" spans="53:54" x14ac:dyDescent="0.2">
      <c r="BA1782" s="581">
        <v>46615</v>
      </c>
      <c r="BB1782" s="582">
        <v>2027</v>
      </c>
    </row>
    <row r="1783" spans="53:54" x14ac:dyDescent="0.2">
      <c r="BA1783" s="581">
        <v>46616</v>
      </c>
      <c r="BB1783" s="582">
        <v>2027</v>
      </c>
    </row>
    <row r="1784" spans="53:54" x14ac:dyDescent="0.2">
      <c r="BA1784" s="581">
        <v>46617</v>
      </c>
      <c r="BB1784" s="582">
        <v>2027</v>
      </c>
    </row>
    <row r="1785" spans="53:54" x14ac:dyDescent="0.2">
      <c r="BA1785" s="581">
        <v>46618</v>
      </c>
      <c r="BB1785" s="582">
        <v>2027</v>
      </c>
    </row>
    <row r="1786" spans="53:54" x14ac:dyDescent="0.2">
      <c r="BA1786" s="581">
        <v>46619</v>
      </c>
      <c r="BB1786" s="582">
        <v>2027</v>
      </c>
    </row>
    <row r="1787" spans="53:54" x14ac:dyDescent="0.2">
      <c r="BA1787" s="581">
        <v>46620</v>
      </c>
      <c r="BB1787" s="582">
        <v>2027</v>
      </c>
    </row>
    <row r="1788" spans="53:54" x14ac:dyDescent="0.2">
      <c r="BA1788" s="581">
        <v>46621</v>
      </c>
      <c r="BB1788" s="582">
        <v>2027</v>
      </c>
    </row>
    <row r="1789" spans="53:54" x14ac:dyDescent="0.2">
      <c r="BA1789" s="581">
        <v>46622</v>
      </c>
      <c r="BB1789" s="582">
        <v>2027</v>
      </c>
    </row>
    <row r="1790" spans="53:54" x14ac:dyDescent="0.2">
      <c r="BA1790" s="581">
        <v>46623</v>
      </c>
      <c r="BB1790" s="582">
        <v>2027</v>
      </c>
    </row>
    <row r="1791" spans="53:54" x14ac:dyDescent="0.2">
      <c r="BA1791" s="581">
        <v>46624</v>
      </c>
      <c r="BB1791" s="582">
        <v>2027</v>
      </c>
    </row>
    <row r="1792" spans="53:54" x14ac:dyDescent="0.2">
      <c r="BA1792" s="581">
        <v>46625</v>
      </c>
      <c r="BB1792" s="582">
        <v>2027</v>
      </c>
    </row>
    <row r="1793" spans="53:54" x14ac:dyDescent="0.2">
      <c r="BA1793" s="581">
        <v>46626</v>
      </c>
      <c r="BB1793" s="582">
        <v>2027</v>
      </c>
    </row>
    <row r="1794" spans="53:54" x14ac:dyDescent="0.2">
      <c r="BA1794" s="581">
        <v>46627</v>
      </c>
      <c r="BB1794" s="582">
        <v>2027</v>
      </c>
    </row>
    <row r="1795" spans="53:54" x14ac:dyDescent="0.2">
      <c r="BA1795" s="581">
        <v>46628</v>
      </c>
      <c r="BB1795" s="582">
        <v>2027</v>
      </c>
    </row>
    <row r="1796" spans="53:54" x14ac:dyDescent="0.2">
      <c r="BA1796" s="581">
        <v>46629</v>
      </c>
      <c r="BB1796" s="582">
        <v>2027</v>
      </c>
    </row>
    <row r="1797" spans="53:54" x14ac:dyDescent="0.2">
      <c r="BA1797" s="581">
        <v>46630</v>
      </c>
      <c r="BB1797" s="582">
        <v>2027</v>
      </c>
    </row>
    <row r="1798" spans="53:54" x14ac:dyDescent="0.2">
      <c r="BA1798" s="581">
        <v>46631</v>
      </c>
      <c r="BB1798" s="582">
        <v>2027</v>
      </c>
    </row>
    <row r="1799" spans="53:54" x14ac:dyDescent="0.2">
      <c r="BA1799" s="581">
        <v>46632</v>
      </c>
      <c r="BB1799" s="582">
        <v>2027</v>
      </c>
    </row>
    <row r="1800" spans="53:54" x14ac:dyDescent="0.2">
      <c r="BA1800" s="581">
        <v>46633</v>
      </c>
      <c r="BB1800" s="582">
        <v>2027</v>
      </c>
    </row>
    <row r="1801" spans="53:54" x14ac:dyDescent="0.2">
      <c r="BA1801" s="581">
        <v>46634</v>
      </c>
      <c r="BB1801" s="582">
        <v>2027</v>
      </c>
    </row>
    <row r="1802" spans="53:54" x14ac:dyDescent="0.2">
      <c r="BA1802" s="581">
        <v>46635</v>
      </c>
      <c r="BB1802" s="582">
        <v>2027</v>
      </c>
    </row>
    <row r="1803" spans="53:54" x14ac:dyDescent="0.2">
      <c r="BA1803" s="581">
        <v>46636</v>
      </c>
      <c r="BB1803" s="582">
        <v>2027</v>
      </c>
    </row>
    <row r="1804" spans="53:54" x14ac:dyDescent="0.2">
      <c r="BA1804" s="581">
        <v>46637</v>
      </c>
      <c r="BB1804" s="582">
        <v>2027</v>
      </c>
    </row>
    <row r="1805" spans="53:54" x14ac:dyDescent="0.2">
      <c r="BA1805" s="581">
        <v>46638</v>
      </c>
      <c r="BB1805" s="582">
        <v>2027</v>
      </c>
    </row>
    <row r="1806" spans="53:54" x14ac:dyDescent="0.2">
      <c r="BA1806" s="581">
        <v>46639</v>
      </c>
      <c r="BB1806" s="582">
        <v>2027</v>
      </c>
    </row>
    <row r="1807" spans="53:54" x14ac:dyDescent="0.2">
      <c r="BA1807" s="581">
        <v>46640</v>
      </c>
      <c r="BB1807" s="582">
        <v>2027</v>
      </c>
    </row>
    <row r="1808" spans="53:54" x14ac:dyDescent="0.2">
      <c r="BA1808" s="581">
        <v>46641</v>
      </c>
      <c r="BB1808" s="582">
        <v>2027</v>
      </c>
    </row>
    <row r="1809" spans="53:54" x14ac:dyDescent="0.2">
      <c r="BA1809" s="581">
        <v>46642</v>
      </c>
      <c r="BB1809" s="582">
        <v>2027</v>
      </c>
    </row>
    <row r="1810" spans="53:54" x14ac:dyDescent="0.2">
      <c r="BA1810" s="581">
        <v>46643</v>
      </c>
      <c r="BB1810" s="582">
        <v>2027</v>
      </c>
    </row>
    <row r="1811" spans="53:54" x14ac:dyDescent="0.2">
      <c r="BA1811" s="581">
        <v>46644</v>
      </c>
      <c r="BB1811" s="582">
        <v>2027</v>
      </c>
    </row>
    <row r="1812" spans="53:54" x14ac:dyDescent="0.2">
      <c r="BA1812" s="581">
        <v>46645</v>
      </c>
      <c r="BB1812" s="582">
        <v>2027</v>
      </c>
    </row>
    <row r="1813" spans="53:54" x14ac:dyDescent="0.2">
      <c r="BA1813" s="581">
        <v>46646</v>
      </c>
      <c r="BB1813" s="582">
        <v>2027</v>
      </c>
    </row>
    <row r="1814" spans="53:54" x14ac:dyDescent="0.2">
      <c r="BA1814" s="581">
        <v>46647</v>
      </c>
      <c r="BB1814" s="582">
        <v>2027</v>
      </c>
    </row>
    <row r="1815" spans="53:54" x14ac:dyDescent="0.2">
      <c r="BA1815" s="581">
        <v>46648</v>
      </c>
      <c r="BB1815" s="582">
        <v>2027</v>
      </c>
    </row>
    <row r="1816" spans="53:54" x14ac:dyDescent="0.2">
      <c r="BA1816" s="581">
        <v>46649</v>
      </c>
      <c r="BB1816" s="582">
        <v>2027</v>
      </c>
    </row>
    <row r="1817" spans="53:54" x14ac:dyDescent="0.2">
      <c r="BA1817" s="581">
        <v>46650</v>
      </c>
      <c r="BB1817" s="582">
        <v>2027</v>
      </c>
    </row>
    <row r="1818" spans="53:54" x14ac:dyDescent="0.2">
      <c r="BA1818" s="581">
        <v>46651</v>
      </c>
      <c r="BB1818" s="582">
        <v>2027</v>
      </c>
    </row>
    <row r="1819" spans="53:54" x14ac:dyDescent="0.2">
      <c r="BA1819" s="581">
        <v>46652</v>
      </c>
      <c r="BB1819" s="582">
        <v>2027</v>
      </c>
    </row>
    <row r="1820" spans="53:54" x14ac:dyDescent="0.2">
      <c r="BA1820" s="581">
        <v>46653</v>
      </c>
      <c r="BB1820" s="582">
        <v>2027</v>
      </c>
    </row>
    <row r="1821" spans="53:54" x14ac:dyDescent="0.2">
      <c r="BA1821" s="581">
        <v>46654</v>
      </c>
      <c r="BB1821" s="582">
        <v>2027</v>
      </c>
    </row>
    <row r="1822" spans="53:54" x14ac:dyDescent="0.2">
      <c r="BA1822" s="581">
        <v>46655</v>
      </c>
      <c r="BB1822" s="582">
        <v>2027</v>
      </c>
    </row>
    <row r="1823" spans="53:54" x14ac:dyDescent="0.2">
      <c r="BA1823" s="581">
        <v>46656</v>
      </c>
      <c r="BB1823" s="582">
        <v>2027</v>
      </c>
    </row>
    <row r="1824" spans="53:54" x14ac:dyDescent="0.2">
      <c r="BA1824" s="581">
        <v>46657</v>
      </c>
      <c r="BB1824" s="582">
        <v>2027</v>
      </c>
    </row>
    <row r="1825" spans="53:54" x14ac:dyDescent="0.2">
      <c r="BA1825" s="581">
        <v>46658</v>
      </c>
      <c r="BB1825" s="582">
        <v>2027</v>
      </c>
    </row>
    <row r="1826" spans="53:54" x14ac:dyDescent="0.2">
      <c r="BA1826" s="581">
        <v>46659</v>
      </c>
      <c r="BB1826" s="582">
        <v>2027</v>
      </c>
    </row>
    <row r="1827" spans="53:54" x14ac:dyDescent="0.2">
      <c r="BA1827" s="581">
        <v>46660</v>
      </c>
      <c r="BB1827" s="582">
        <v>2027</v>
      </c>
    </row>
    <row r="1828" spans="53:54" x14ac:dyDescent="0.2">
      <c r="BA1828" s="581">
        <v>46661</v>
      </c>
      <c r="BB1828" s="582">
        <v>2028</v>
      </c>
    </row>
    <row r="1829" spans="53:54" x14ac:dyDescent="0.2">
      <c r="BA1829" s="581">
        <v>46662</v>
      </c>
      <c r="BB1829" s="582">
        <v>2028</v>
      </c>
    </row>
    <row r="1830" spans="53:54" x14ac:dyDescent="0.2">
      <c r="BA1830" s="581">
        <v>46663</v>
      </c>
      <c r="BB1830" s="582">
        <v>2028</v>
      </c>
    </row>
    <row r="1831" spans="53:54" x14ac:dyDescent="0.2">
      <c r="BA1831" s="581">
        <v>46664</v>
      </c>
      <c r="BB1831" s="582">
        <v>2028</v>
      </c>
    </row>
    <row r="1832" spans="53:54" x14ac:dyDescent="0.2">
      <c r="BA1832" s="581">
        <v>46665</v>
      </c>
      <c r="BB1832" s="582">
        <v>2028</v>
      </c>
    </row>
    <row r="1833" spans="53:54" x14ac:dyDescent="0.2">
      <c r="BA1833" s="581">
        <v>46666</v>
      </c>
      <c r="BB1833" s="582">
        <v>2028</v>
      </c>
    </row>
    <row r="1834" spans="53:54" x14ac:dyDescent="0.2">
      <c r="BA1834" s="581">
        <v>46667</v>
      </c>
      <c r="BB1834" s="582">
        <v>2028</v>
      </c>
    </row>
    <row r="1835" spans="53:54" x14ac:dyDescent="0.2">
      <c r="BA1835" s="581">
        <v>46668</v>
      </c>
      <c r="BB1835" s="582">
        <v>2028</v>
      </c>
    </row>
    <row r="1836" spans="53:54" x14ac:dyDescent="0.2">
      <c r="BA1836" s="581">
        <v>46669</v>
      </c>
      <c r="BB1836" s="582">
        <v>2028</v>
      </c>
    </row>
    <row r="1837" spans="53:54" x14ac:dyDescent="0.2">
      <c r="BA1837" s="581">
        <v>46670</v>
      </c>
      <c r="BB1837" s="582">
        <v>2028</v>
      </c>
    </row>
    <row r="1838" spans="53:54" x14ac:dyDescent="0.2">
      <c r="BA1838" s="581">
        <v>46671</v>
      </c>
      <c r="BB1838" s="582">
        <v>2028</v>
      </c>
    </row>
    <row r="1839" spans="53:54" x14ac:dyDescent="0.2">
      <c r="BA1839" s="581">
        <v>46672</v>
      </c>
      <c r="BB1839" s="582">
        <v>2028</v>
      </c>
    </row>
    <row r="1840" spans="53:54" x14ac:dyDescent="0.2">
      <c r="BA1840" s="581">
        <v>46673</v>
      </c>
      <c r="BB1840" s="582">
        <v>2028</v>
      </c>
    </row>
    <row r="1841" spans="53:54" x14ac:dyDescent="0.2">
      <c r="BA1841" s="581">
        <v>46674</v>
      </c>
      <c r="BB1841" s="582">
        <v>2028</v>
      </c>
    </row>
    <row r="1842" spans="53:54" x14ac:dyDescent="0.2">
      <c r="BA1842" s="581">
        <v>46675</v>
      </c>
      <c r="BB1842" s="582">
        <v>2028</v>
      </c>
    </row>
    <row r="1843" spans="53:54" x14ac:dyDescent="0.2">
      <c r="BA1843" s="581">
        <v>46676</v>
      </c>
      <c r="BB1843" s="582">
        <v>2028</v>
      </c>
    </row>
    <row r="1844" spans="53:54" x14ac:dyDescent="0.2">
      <c r="BA1844" s="581">
        <v>46677</v>
      </c>
      <c r="BB1844" s="582">
        <v>2028</v>
      </c>
    </row>
    <row r="1845" spans="53:54" x14ac:dyDescent="0.2">
      <c r="BA1845" s="581">
        <v>46678</v>
      </c>
      <c r="BB1845" s="582">
        <v>2028</v>
      </c>
    </row>
    <row r="1846" spans="53:54" x14ac:dyDescent="0.2">
      <c r="BA1846" s="581">
        <v>46679</v>
      </c>
      <c r="BB1846" s="582">
        <v>2028</v>
      </c>
    </row>
    <row r="1847" spans="53:54" x14ac:dyDescent="0.2">
      <c r="BA1847" s="581">
        <v>46680</v>
      </c>
      <c r="BB1847" s="582">
        <v>2028</v>
      </c>
    </row>
    <row r="1848" spans="53:54" x14ac:dyDescent="0.2">
      <c r="BA1848" s="581">
        <v>46681</v>
      </c>
      <c r="BB1848" s="582">
        <v>2028</v>
      </c>
    </row>
    <row r="1849" spans="53:54" x14ac:dyDescent="0.2">
      <c r="BA1849" s="581">
        <v>46682</v>
      </c>
      <c r="BB1849" s="582">
        <v>2028</v>
      </c>
    </row>
    <row r="1850" spans="53:54" x14ac:dyDescent="0.2">
      <c r="BA1850" s="581">
        <v>46683</v>
      </c>
      <c r="BB1850" s="582">
        <v>2028</v>
      </c>
    </row>
    <row r="1851" spans="53:54" x14ac:dyDescent="0.2">
      <c r="BA1851" s="581">
        <v>46684</v>
      </c>
      <c r="BB1851" s="582">
        <v>2028</v>
      </c>
    </row>
    <row r="1852" spans="53:54" x14ac:dyDescent="0.2">
      <c r="BA1852" s="581">
        <v>46685</v>
      </c>
      <c r="BB1852" s="582">
        <v>2028</v>
      </c>
    </row>
    <row r="1853" spans="53:54" x14ac:dyDescent="0.2">
      <c r="BA1853" s="581">
        <v>46686</v>
      </c>
      <c r="BB1853" s="582">
        <v>2028</v>
      </c>
    </row>
    <row r="1854" spans="53:54" x14ac:dyDescent="0.2">
      <c r="BA1854" s="581">
        <v>46687</v>
      </c>
      <c r="BB1854" s="582">
        <v>2028</v>
      </c>
    </row>
    <row r="1855" spans="53:54" x14ac:dyDescent="0.2">
      <c r="BA1855" s="581">
        <v>46688</v>
      </c>
      <c r="BB1855" s="582">
        <v>2028</v>
      </c>
    </row>
    <row r="1856" spans="53:54" x14ac:dyDescent="0.2">
      <c r="BA1856" s="581">
        <v>46689</v>
      </c>
      <c r="BB1856" s="582">
        <v>2028</v>
      </c>
    </row>
    <row r="1857" spans="53:54" x14ac:dyDescent="0.2">
      <c r="BA1857" s="581">
        <v>46690</v>
      </c>
      <c r="BB1857" s="582">
        <v>2028</v>
      </c>
    </row>
    <row r="1858" spans="53:54" x14ac:dyDescent="0.2">
      <c r="BA1858" s="581">
        <v>46691</v>
      </c>
      <c r="BB1858" s="582">
        <v>2028</v>
      </c>
    </row>
    <row r="1859" spans="53:54" x14ac:dyDescent="0.2">
      <c r="BA1859" s="581">
        <v>46692</v>
      </c>
      <c r="BB1859" s="582">
        <v>2028</v>
      </c>
    </row>
    <row r="1860" spans="53:54" x14ac:dyDescent="0.2">
      <c r="BA1860" s="581">
        <v>46693</v>
      </c>
      <c r="BB1860" s="582">
        <v>2028</v>
      </c>
    </row>
    <row r="1861" spans="53:54" x14ac:dyDescent="0.2">
      <c r="BA1861" s="581">
        <v>46694</v>
      </c>
      <c r="BB1861" s="582">
        <v>2028</v>
      </c>
    </row>
    <row r="1862" spans="53:54" x14ac:dyDescent="0.2">
      <c r="BA1862" s="581">
        <v>46695</v>
      </c>
      <c r="BB1862" s="582">
        <v>2028</v>
      </c>
    </row>
    <row r="1863" spans="53:54" x14ac:dyDescent="0.2">
      <c r="BA1863" s="581">
        <v>46696</v>
      </c>
      <c r="BB1863" s="582">
        <v>2028</v>
      </c>
    </row>
    <row r="1864" spans="53:54" x14ac:dyDescent="0.2">
      <c r="BA1864" s="581">
        <v>46697</v>
      </c>
      <c r="BB1864" s="582">
        <v>2028</v>
      </c>
    </row>
    <row r="1865" spans="53:54" x14ac:dyDescent="0.2">
      <c r="BA1865" s="581">
        <v>46698</v>
      </c>
      <c r="BB1865" s="582">
        <v>2028</v>
      </c>
    </row>
    <row r="1866" spans="53:54" x14ac:dyDescent="0.2">
      <c r="BA1866" s="581">
        <v>46699</v>
      </c>
      <c r="BB1866" s="582">
        <v>2028</v>
      </c>
    </row>
    <row r="1867" spans="53:54" x14ac:dyDescent="0.2">
      <c r="BA1867" s="581">
        <v>46700</v>
      </c>
      <c r="BB1867" s="582">
        <v>2028</v>
      </c>
    </row>
    <row r="1868" spans="53:54" x14ac:dyDescent="0.2">
      <c r="BA1868" s="581">
        <v>46701</v>
      </c>
      <c r="BB1868" s="582">
        <v>2028</v>
      </c>
    </row>
    <row r="1869" spans="53:54" x14ac:dyDescent="0.2">
      <c r="BA1869" s="581">
        <v>46702</v>
      </c>
      <c r="BB1869" s="582">
        <v>2028</v>
      </c>
    </row>
    <row r="1870" spans="53:54" x14ac:dyDescent="0.2">
      <c r="BA1870" s="581">
        <v>46703</v>
      </c>
      <c r="BB1870" s="582">
        <v>2028</v>
      </c>
    </row>
    <row r="1871" spans="53:54" x14ac:dyDescent="0.2">
      <c r="BA1871" s="581">
        <v>46704</v>
      </c>
      <c r="BB1871" s="582">
        <v>2028</v>
      </c>
    </row>
    <row r="1872" spans="53:54" x14ac:dyDescent="0.2">
      <c r="BA1872" s="581">
        <v>46705</v>
      </c>
      <c r="BB1872" s="582">
        <v>2028</v>
      </c>
    </row>
    <row r="1873" spans="53:54" x14ac:dyDescent="0.2">
      <c r="BA1873" s="581">
        <v>46706</v>
      </c>
      <c r="BB1873" s="582">
        <v>2028</v>
      </c>
    </row>
    <row r="1874" spans="53:54" x14ac:dyDescent="0.2">
      <c r="BA1874" s="581">
        <v>46707</v>
      </c>
      <c r="BB1874" s="582">
        <v>2028</v>
      </c>
    </row>
    <row r="1875" spans="53:54" x14ac:dyDescent="0.2">
      <c r="BA1875" s="581">
        <v>46708</v>
      </c>
      <c r="BB1875" s="582">
        <v>2028</v>
      </c>
    </row>
    <row r="1876" spans="53:54" x14ac:dyDescent="0.2">
      <c r="BA1876" s="581">
        <v>46709</v>
      </c>
      <c r="BB1876" s="582">
        <v>2028</v>
      </c>
    </row>
    <row r="1877" spans="53:54" x14ac:dyDescent="0.2">
      <c r="BA1877" s="581">
        <v>46710</v>
      </c>
      <c r="BB1877" s="582">
        <v>2028</v>
      </c>
    </row>
    <row r="1878" spans="53:54" x14ac:dyDescent="0.2">
      <c r="BA1878" s="581">
        <v>46711</v>
      </c>
      <c r="BB1878" s="582">
        <v>2028</v>
      </c>
    </row>
    <row r="1879" spans="53:54" x14ac:dyDescent="0.2">
      <c r="BA1879" s="581">
        <v>46712</v>
      </c>
      <c r="BB1879" s="582">
        <v>2028</v>
      </c>
    </row>
    <row r="1880" spans="53:54" x14ac:dyDescent="0.2">
      <c r="BA1880" s="581">
        <v>46713</v>
      </c>
      <c r="BB1880" s="582">
        <v>2028</v>
      </c>
    </row>
    <row r="1881" spans="53:54" x14ac:dyDescent="0.2">
      <c r="BA1881" s="581">
        <v>46714</v>
      </c>
      <c r="BB1881" s="582">
        <v>2028</v>
      </c>
    </row>
    <row r="1882" spans="53:54" x14ac:dyDescent="0.2">
      <c r="BA1882" s="581">
        <v>46715</v>
      </c>
      <c r="BB1882" s="582">
        <v>2028</v>
      </c>
    </row>
    <row r="1883" spans="53:54" x14ac:dyDescent="0.2">
      <c r="BA1883" s="581">
        <v>46716</v>
      </c>
      <c r="BB1883" s="582">
        <v>2028</v>
      </c>
    </row>
    <row r="1884" spans="53:54" x14ac:dyDescent="0.2">
      <c r="BA1884" s="581">
        <v>46717</v>
      </c>
      <c r="BB1884" s="582">
        <v>2028</v>
      </c>
    </row>
    <row r="1885" spans="53:54" x14ac:dyDescent="0.2">
      <c r="BA1885" s="581">
        <v>46718</v>
      </c>
      <c r="BB1885" s="582">
        <v>2028</v>
      </c>
    </row>
    <row r="1886" spans="53:54" x14ac:dyDescent="0.2">
      <c r="BA1886" s="581">
        <v>46719</v>
      </c>
      <c r="BB1886" s="582">
        <v>2028</v>
      </c>
    </row>
    <row r="1887" spans="53:54" x14ac:dyDescent="0.2">
      <c r="BA1887" s="581">
        <v>46720</v>
      </c>
      <c r="BB1887" s="582">
        <v>2028</v>
      </c>
    </row>
    <row r="1888" spans="53:54" x14ac:dyDescent="0.2">
      <c r="BA1888" s="581">
        <v>46721</v>
      </c>
      <c r="BB1888" s="582">
        <v>2028</v>
      </c>
    </row>
    <row r="1889" spans="53:54" x14ac:dyDescent="0.2">
      <c r="BA1889" s="581">
        <v>46722</v>
      </c>
      <c r="BB1889" s="582">
        <v>2028</v>
      </c>
    </row>
    <row r="1890" spans="53:54" x14ac:dyDescent="0.2">
      <c r="BA1890" s="581">
        <v>46723</v>
      </c>
      <c r="BB1890" s="582">
        <v>2028</v>
      </c>
    </row>
    <row r="1891" spans="53:54" x14ac:dyDescent="0.2">
      <c r="BA1891" s="581">
        <v>46724</v>
      </c>
      <c r="BB1891" s="582">
        <v>2028</v>
      </c>
    </row>
    <row r="1892" spans="53:54" x14ac:dyDescent="0.2">
      <c r="BA1892" s="581">
        <v>46725</v>
      </c>
      <c r="BB1892" s="582">
        <v>2028</v>
      </c>
    </row>
    <row r="1893" spans="53:54" x14ac:dyDescent="0.2">
      <c r="BA1893" s="581">
        <v>46726</v>
      </c>
      <c r="BB1893" s="582">
        <v>2028</v>
      </c>
    </row>
    <row r="1894" spans="53:54" x14ac:dyDescent="0.2">
      <c r="BA1894" s="581">
        <v>46727</v>
      </c>
      <c r="BB1894" s="582">
        <v>2028</v>
      </c>
    </row>
    <row r="1895" spans="53:54" x14ac:dyDescent="0.2">
      <c r="BA1895" s="581">
        <v>46728</v>
      </c>
      <c r="BB1895" s="582">
        <v>2028</v>
      </c>
    </row>
    <row r="1896" spans="53:54" x14ac:dyDescent="0.2">
      <c r="BA1896" s="581">
        <v>46729</v>
      </c>
      <c r="BB1896" s="582">
        <v>2028</v>
      </c>
    </row>
    <row r="1897" spans="53:54" x14ac:dyDescent="0.2">
      <c r="BA1897" s="581">
        <v>46730</v>
      </c>
      <c r="BB1897" s="582">
        <v>2028</v>
      </c>
    </row>
    <row r="1898" spans="53:54" x14ac:dyDescent="0.2">
      <c r="BA1898" s="581">
        <v>46731</v>
      </c>
      <c r="BB1898" s="582">
        <v>2028</v>
      </c>
    </row>
    <row r="1899" spans="53:54" x14ac:dyDescent="0.2">
      <c r="BA1899" s="581">
        <v>46732</v>
      </c>
      <c r="BB1899" s="582">
        <v>2028</v>
      </c>
    </row>
    <row r="1900" spans="53:54" x14ac:dyDescent="0.2">
      <c r="BA1900" s="581">
        <v>46733</v>
      </c>
      <c r="BB1900" s="582">
        <v>2028</v>
      </c>
    </row>
    <row r="1901" spans="53:54" x14ac:dyDescent="0.2">
      <c r="BA1901" s="581">
        <v>46734</v>
      </c>
      <c r="BB1901" s="582">
        <v>2028</v>
      </c>
    </row>
    <row r="1902" spans="53:54" x14ac:dyDescent="0.2">
      <c r="BA1902" s="581">
        <v>46735</v>
      </c>
      <c r="BB1902" s="582">
        <v>2028</v>
      </c>
    </row>
    <row r="1903" spans="53:54" x14ac:dyDescent="0.2">
      <c r="BA1903" s="581">
        <v>46736</v>
      </c>
      <c r="BB1903" s="582">
        <v>2028</v>
      </c>
    </row>
    <row r="1904" spans="53:54" x14ac:dyDescent="0.2">
      <c r="BA1904" s="581">
        <v>46737</v>
      </c>
      <c r="BB1904" s="582">
        <v>2028</v>
      </c>
    </row>
    <row r="1905" spans="53:54" x14ac:dyDescent="0.2">
      <c r="BA1905" s="581">
        <v>46738</v>
      </c>
      <c r="BB1905" s="582">
        <v>2028</v>
      </c>
    </row>
    <row r="1906" spans="53:54" x14ac:dyDescent="0.2">
      <c r="BA1906" s="581">
        <v>46739</v>
      </c>
      <c r="BB1906" s="582">
        <v>2028</v>
      </c>
    </row>
    <row r="1907" spans="53:54" x14ac:dyDescent="0.2">
      <c r="BA1907" s="581">
        <v>46740</v>
      </c>
      <c r="BB1907" s="582">
        <v>2028</v>
      </c>
    </row>
    <row r="1908" spans="53:54" x14ac:dyDescent="0.2">
      <c r="BA1908" s="581">
        <v>46741</v>
      </c>
      <c r="BB1908" s="582">
        <v>2028</v>
      </c>
    </row>
    <row r="1909" spans="53:54" x14ac:dyDescent="0.2">
      <c r="BA1909" s="581">
        <v>46742</v>
      </c>
      <c r="BB1909" s="582">
        <v>2028</v>
      </c>
    </row>
    <row r="1910" spans="53:54" x14ac:dyDescent="0.2">
      <c r="BA1910" s="581">
        <v>46743</v>
      </c>
      <c r="BB1910" s="582">
        <v>2028</v>
      </c>
    </row>
    <row r="1911" spans="53:54" x14ac:dyDescent="0.2">
      <c r="BA1911" s="581">
        <v>46744</v>
      </c>
      <c r="BB1911" s="582">
        <v>2028</v>
      </c>
    </row>
    <row r="1912" spans="53:54" x14ac:dyDescent="0.2">
      <c r="BA1912" s="581">
        <v>46745</v>
      </c>
      <c r="BB1912" s="582">
        <v>2028</v>
      </c>
    </row>
    <row r="1913" spans="53:54" x14ac:dyDescent="0.2">
      <c r="BA1913" s="581">
        <v>46746</v>
      </c>
      <c r="BB1913" s="582">
        <v>2028</v>
      </c>
    </row>
    <row r="1914" spans="53:54" x14ac:dyDescent="0.2">
      <c r="BA1914" s="581">
        <v>46747</v>
      </c>
      <c r="BB1914" s="582">
        <v>2028</v>
      </c>
    </row>
    <row r="1915" spans="53:54" x14ac:dyDescent="0.2">
      <c r="BA1915" s="581">
        <v>46748</v>
      </c>
      <c r="BB1915" s="582">
        <v>2028</v>
      </c>
    </row>
    <row r="1916" spans="53:54" x14ac:dyDescent="0.2">
      <c r="BA1916" s="581">
        <v>46749</v>
      </c>
      <c r="BB1916" s="582">
        <v>2028</v>
      </c>
    </row>
    <row r="1917" spans="53:54" x14ac:dyDescent="0.2">
      <c r="BA1917" s="581">
        <v>46750</v>
      </c>
      <c r="BB1917" s="582">
        <v>2028</v>
      </c>
    </row>
    <row r="1918" spans="53:54" x14ac:dyDescent="0.2">
      <c r="BA1918" s="581">
        <v>46751</v>
      </c>
      <c r="BB1918" s="582">
        <v>2028</v>
      </c>
    </row>
    <row r="1919" spans="53:54" x14ac:dyDescent="0.2">
      <c r="BA1919" s="581">
        <v>46752</v>
      </c>
      <c r="BB1919" s="582">
        <v>2028</v>
      </c>
    </row>
    <row r="1920" spans="53:54" x14ac:dyDescent="0.2">
      <c r="BA1920" s="581">
        <v>46753</v>
      </c>
      <c r="BB1920" s="582">
        <v>2028</v>
      </c>
    </row>
    <row r="1921" spans="53:54" x14ac:dyDescent="0.2">
      <c r="BA1921" s="581">
        <v>46754</v>
      </c>
      <c r="BB1921" s="582">
        <v>2028</v>
      </c>
    </row>
    <row r="1922" spans="53:54" x14ac:dyDescent="0.2">
      <c r="BA1922" s="581">
        <v>46755</v>
      </c>
      <c r="BB1922" s="582">
        <v>2028</v>
      </c>
    </row>
    <row r="1923" spans="53:54" x14ac:dyDescent="0.2">
      <c r="BA1923" s="581">
        <v>46756</v>
      </c>
      <c r="BB1923" s="582">
        <v>2028</v>
      </c>
    </row>
    <row r="1924" spans="53:54" x14ac:dyDescent="0.2">
      <c r="BA1924" s="581">
        <v>46757</v>
      </c>
      <c r="BB1924" s="582">
        <v>2028</v>
      </c>
    </row>
    <row r="1925" spans="53:54" x14ac:dyDescent="0.2">
      <c r="BA1925" s="581">
        <v>46758</v>
      </c>
      <c r="BB1925" s="582">
        <v>2028</v>
      </c>
    </row>
    <row r="1926" spans="53:54" x14ac:dyDescent="0.2">
      <c r="BA1926" s="581">
        <v>46759</v>
      </c>
      <c r="BB1926" s="582">
        <v>2028</v>
      </c>
    </row>
    <row r="1927" spans="53:54" x14ac:dyDescent="0.2">
      <c r="BA1927" s="581">
        <v>46760</v>
      </c>
      <c r="BB1927" s="582">
        <v>2028</v>
      </c>
    </row>
    <row r="1928" spans="53:54" x14ac:dyDescent="0.2">
      <c r="BA1928" s="581">
        <v>46761</v>
      </c>
      <c r="BB1928" s="582">
        <v>2028</v>
      </c>
    </row>
    <row r="1929" spans="53:54" x14ac:dyDescent="0.2">
      <c r="BA1929" s="581">
        <v>46762</v>
      </c>
      <c r="BB1929" s="582">
        <v>2028</v>
      </c>
    </row>
    <row r="1930" spans="53:54" x14ac:dyDescent="0.2">
      <c r="BA1930" s="581">
        <v>46763</v>
      </c>
      <c r="BB1930" s="582">
        <v>2028</v>
      </c>
    </row>
    <row r="1931" spans="53:54" x14ac:dyDescent="0.2">
      <c r="BA1931" s="581">
        <v>46764</v>
      </c>
      <c r="BB1931" s="582">
        <v>2028</v>
      </c>
    </row>
    <row r="1932" spans="53:54" x14ac:dyDescent="0.2">
      <c r="BA1932" s="581">
        <v>46765</v>
      </c>
      <c r="BB1932" s="582">
        <v>2028</v>
      </c>
    </row>
    <row r="1933" spans="53:54" x14ac:dyDescent="0.2">
      <c r="BA1933" s="581">
        <v>46766</v>
      </c>
      <c r="BB1933" s="582">
        <v>2028</v>
      </c>
    </row>
    <row r="1934" spans="53:54" x14ac:dyDescent="0.2">
      <c r="BA1934" s="581">
        <v>46767</v>
      </c>
      <c r="BB1934" s="582">
        <v>2028</v>
      </c>
    </row>
    <row r="1935" spans="53:54" x14ac:dyDescent="0.2">
      <c r="BA1935" s="581">
        <v>46768</v>
      </c>
      <c r="BB1935" s="582">
        <v>2028</v>
      </c>
    </row>
    <row r="1936" spans="53:54" x14ac:dyDescent="0.2">
      <c r="BA1936" s="581">
        <v>46769</v>
      </c>
      <c r="BB1936" s="582">
        <v>2028</v>
      </c>
    </row>
    <row r="1937" spans="53:54" x14ac:dyDescent="0.2">
      <c r="BA1937" s="581">
        <v>46770</v>
      </c>
      <c r="BB1937" s="582">
        <v>2028</v>
      </c>
    </row>
    <row r="1938" spans="53:54" x14ac:dyDescent="0.2">
      <c r="BA1938" s="581">
        <v>46771</v>
      </c>
      <c r="BB1938" s="582">
        <v>2028</v>
      </c>
    </row>
    <row r="1939" spans="53:54" x14ac:dyDescent="0.2">
      <c r="BA1939" s="581">
        <v>46772</v>
      </c>
      <c r="BB1939" s="582">
        <v>2028</v>
      </c>
    </row>
    <row r="1940" spans="53:54" x14ac:dyDescent="0.2">
      <c r="BA1940" s="581">
        <v>46773</v>
      </c>
      <c r="BB1940" s="582">
        <v>2028</v>
      </c>
    </row>
    <row r="1941" spans="53:54" x14ac:dyDescent="0.2">
      <c r="BA1941" s="581">
        <v>46774</v>
      </c>
      <c r="BB1941" s="582">
        <v>2028</v>
      </c>
    </row>
    <row r="1942" spans="53:54" x14ac:dyDescent="0.2">
      <c r="BA1942" s="581">
        <v>46775</v>
      </c>
      <c r="BB1942" s="582">
        <v>2028</v>
      </c>
    </row>
    <row r="1943" spans="53:54" x14ac:dyDescent="0.2">
      <c r="BA1943" s="581">
        <v>46776</v>
      </c>
      <c r="BB1943" s="582">
        <v>2028</v>
      </c>
    </row>
    <row r="1944" spans="53:54" x14ac:dyDescent="0.2">
      <c r="BA1944" s="581">
        <v>46777</v>
      </c>
      <c r="BB1944" s="582">
        <v>2028</v>
      </c>
    </row>
    <row r="1945" spans="53:54" x14ac:dyDescent="0.2">
      <c r="BA1945" s="581">
        <v>46778</v>
      </c>
      <c r="BB1945" s="582">
        <v>2028</v>
      </c>
    </row>
    <row r="1946" spans="53:54" x14ac:dyDescent="0.2">
      <c r="BA1946" s="581">
        <v>46779</v>
      </c>
      <c r="BB1946" s="582">
        <v>2028</v>
      </c>
    </row>
    <row r="1947" spans="53:54" x14ac:dyDescent="0.2">
      <c r="BA1947" s="581">
        <v>46780</v>
      </c>
      <c r="BB1947" s="582">
        <v>2028</v>
      </c>
    </row>
    <row r="1948" spans="53:54" x14ac:dyDescent="0.2">
      <c r="BA1948" s="581">
        <v>46781</v>
      </c>
      <c r="BB1948" s="582">
        <v>2028</v>
      </c>
    </row>
    <row r="1949" spans="53:54" x14ac:dyDescent="0.2">
      <c r="BA1949" s="581">
        <v>46782</v>
      </c>
      <c r="BB1949" s="582">
        <v>2028</v>
      </c>
    </row>
    <row r="1950" spans="53:54" x14ac:dyDescent="0.2">
      <c r="BA1950" s="581">
        <v>46783</v>
      </c>
      <c r="BB1950" s="582">
        <v>2028</v>
      </c>
    </row>
    <row r="1951" spans="53:54" x14ac:dyDescent="0.2">
      <c r="BA1951" s="581">
        <v>46784</v>
      </c>
      <c r="BB1951" s="582">
        <v>2028</v>
      </c>
    </row>
    <row r="1952" spans="53:54" x14ac:dyDescent="0.2">
      <c r="BA1952" s="581">
        <v>46785</v>
      </c>
      <c r="BB1952" s="582">
        <v>2028</v>
      </c>
    </row>
    <row r="1953" spans="53:54" x14ac:dyDescent="0.2">
      <c r="BA1953" s="581">
        <v>46786</v>
      </c>
      <c r="BB1953" s="582">
        <v>2028</v>
      </c>
    </row>
    <row r="1954" spans="53:54" x14ac:dyDescent="0.2">
      <c r="BA1954" s="581">
        <v>46787</v>
      </c>
      <c r="BB1954" s="582">
        <v>2028</v>
      </c>
    </row>
    <row r="1955" spans="53:54" x14ac:dyDescent="0.2">
      <c r="BA1955" s="581">
        <v>46788</v>
      </c>
      <c r="BB1955" s="582">
        <v>2028</v>
      </c>
    </row>
    <row r="1956" spans="53:54" x14ac:dyDescent="0.2">
      <c r="BA1956" s="581">
        <v>46789</v>
      </c>
      <c r="BB1956" s="582">
        <v>2028</v>
      </c>
    </row>
    <row r="1957" spans="53:54" x14ac:dyDescent="0.2">
      <c r="BA1957" s="581">
        <v>46790</v>
      </c>
      <c r="BB1957" s="582">
        <v>2028</v>
      </c>
    </row>
    <row r="1958" spans="53:54" x14ac:dyDescent="0.2">
      <c r="BA1958" s="581">
        <v>46791</v>
      </c>
      <c r="BB1958" s="582">
        <v>2028</v>
      </c>
    </row>
    <row r="1959" spans="53:54" x14ac:dyDescent="0.2">
      <c r="BA1959" s="581">
        <v>46792</v>
      </c>
      <c r="BB1959" s="582">
        <v>2028</v>
      </c>
    </row>
    <row r="1960" spans="53:54" x14ac:dyDescent="0.2">
      <c r="BA1960" s="581">
        <v>46793</v>
      </c>
      <c r="BB1960" s="582">
        <v>2028</v>
      </c>
    </row>
    <row r="1961" spans="53:54" x14ac:dyDescent="0.2">
      <c r="BA1961" s="581">
        <v>46794</v>
      </c>
      <c r="BB1961" s="582">
        <v>2028</v>
      </c>
    </row>
    <row r="1962" spans="53:54" x14ac:dyDescent="0.2">
      <c r="BA1962" s="581">
        <v>46795</v>
      </c>
      <c r="BB1962" s="582">
        <v>2028</v>
      </c>
    </row>
    <row r="1963" spans="53:54" x14ac:dyDescent="0.2">
      <c r="BA1963" s="581">
        <v>46796</v>
      </c>
      <c r="BB1963" s="582">
        <v>2028</v>
      </c>
    </row>
    <row r="1964" spans="53:54" x14ac:dyDescent="0.2">
      <c r="BA1964" s="581">
        <v>46797</v>
      </c>
      <c r="BB1964" s="582">
        <v>2028</v>
      </c>
    </row>
    <row r="1965" spans="53:54" x14ac:dyDescent="0.2">
      <c r="BA1965" s="581">
        <v>46798</v>
      </c>
      <c r="BB1965" s="582">
        <v>2028</v>
      </c>
    </row>
    <row r="1966" spans="53:54" x14ac:dyDescent="0.2">
      <c r="BA1966" s="581">
        <v>46799</v>
      </c>
      <c r="BB1966" s="582">
        <v>2028</v>
      </c>
    </row>
    <row r="1967" spans="53:54" x14ac:dyDescent="0.2">
      <c r="BA1967" s="581">
        <v>46800</v>
      </c>
      <c r="BB1967" s="582">
        <v>2028</v>
      </c>
    </row>
    <row r="1968" spans="53:54" x14ac:dyDescent="0.2">
      <c r="BA1968" s="581">
        <v>46801</v>
      </c>
      <c r="BB1968" s="582">
        <v>2028</v>
      </c>
    </row>
    <row r="1969" spans="53:54" x14ac:dyDescent="0.2">
      <c r="BA1969" s="581">
        <v>46802</v>
      </c>
      <c r="BB1969" s="582">
        <v>2028</v>
      </c>
    </row>
    <row r="1970" spans="53:54" x14ac:dyDescent="0.2">
      <c r="BA1970" s="581">
        <v>46803</v>
      </c>
      <c r="BB1970" s="582">
        <v>2028</v>
      </c>
    </row>
    <row r="1971" spans="53:54" x14ac:dyDescent="0.2">
      <c r="BA1971" s="581">
        <v>46804</v>
      </c>
      <c r="BB1971" s="582">
        <v>2028</v>
      </c>
    </row>
    <row r="1972" spans="53:54" x14ac:dyDescent="0.2">
      <c r="BA1972" s="581">
        <v>46805</v>
      </c>
      <c r="BB1972" s="582">
        <v>2028</v>
      </c>
    </row>
    <row r="1973" spans="53:54" x14ac:dyDescent="0.2">
      <c r="BA1973" s="581">
        <v>46806</v>
      </c>
      <c r="BB1973" s="582">
        <v>2028</v>
      </c>
    </row>
    <row r="1974" spans="53:54" x14ac:dyDescent="0.2">
      <c r="BA1974" s="581">
        <v>46807</v>
      </c>
      <c r="BB1974" s="582">
        <v>2028</v>
      </c>
    </row>
    <row r="1975" spans="53:54" x14ac:dyDescent="0.2">
      <c r="BA1975" s="581">
        <v>46808</v>
      </c>
      <c r="BB1975" s="582">
        <v>2028</v>
      </c>
    </row>
    <row r="1976" spans="53:54" x14ac:dyDescent="0.2">
      <c r="BA1976" s="581">
        <v>46809</v>
      </c>
      <c r="BB1976" s="582">
        <v>2028</v>
      </c>
    </row>
    <row r="1977" spans="53:54" x14ac:dyDescent="0.2">
      <c r="BA1977" s="581">
        <v>46810</v>
      </c>
      <c r="BB1977" s="582">
        <v>2028</v>
      </c>
    </row>
    <row r="1978" spans="53:54" x14ac:dyDescent="0.2">
      <c r="BA1978" s="581">
        <v>46811</v>
      </c>
      <c r="BB1978" s="582">
        <v>2028</v>
      </c>
    </row>
    <row r="1979" spans="53:54" x14ac:dyDescent="0.2">
      <c r="BA1979" s="581">
        <v>46812</v>
      </c>
      <c r="BB1979" s="582">
        <v>2028</v>
      </c>
    </row>
    <row r="1980" spans="53:54" x14ac:dyDescent="0.2">
      <c r="BA1980" s="581">
        <v>46813</v>
      </c>
      <c r="BB1980" s="582">
        <v>2028</v>
      </c>
    </row>
    <row r="1981" spans="53:54" x14ac:dyDescent="0.2">
      <c r="BA1981" s="581">
        <v>46814</v>
      </c>
      <c r="BB1981" s="582">
        <v>2028</v>
      </c>
    </row>
    <row r="1982" spans="53:54" x14ac:dyDescent="0.2">
      <c r="BA1982" s="581">
        <v>46815</v>
      </c>
      <c r="BB1982" s="582">
        <v>2028</v>
      </c>
    </row>
    <row r="1983" spans="53:54" x14ac:dyDescent="0.2">
      <c r="BA1983" s="581">
        <v>46816</v>
      </c>
      <c r="BB1983" s="582">
        <v>2028</v>
      </c>
    </row>
    <row r="1984" spans="53:54" x14ac:dyDescent="0.2">
      <c r="BA1984" s="581">
        <v>46817</v>
      </c>
      <c r="BB1984" s="582">
        <v>2028</v>
      </c>
    </row>
    <row r="1985" spans="53:54" x14ac:dyDescent="0.2">
      <c r="BA1985" s="581">
        <v>46818</v>
      </c>
      <c r="BB1985" s="582">
        <v>2028</v>
      </c>
    </row>
    <row r="1986" spans="53:54" x14ac:dyDescent="0.2">
      <c r="BA1986" s="581">
        <v>46819</v>
      </c>
      <c r="BB1986" s="582">
        <v>2028</v>
      </c>
    </row>
    <row r="1987" spans="53:54" x14ac:dyDescent="0.2">
      <c r="BA1987" s="581">
        <v>46820</v>
      </c>
      <c r="BB1987" s="582">
        <v>2028</v>
      </c>
    </row>
    <row r="1988" spans="53:54" x14ac:dyDescent="0.2">
      <c r="BA1988" s="581">
        <v>46821</v>
      </c>
      <c r="BB1988" s="582">
        <v>2028</v>
      </c>
    </row>
    <row r="1989" spans="53:54" x14ac:dyDescent="0.2">
      <c r="BA1989" s="581">
        <v>46822</v>
      </c>
      <c r="BB1989" s="582">
        <v>2028</v>
      </c>
    </row>
    <row r="1990" spans="53:54" x14ac:dyDescent="0.2">
      <c r="BA1990" s="581">
        <v>46823</v>
      </c>
      <c r="BB1990" s="582">
        <v>2028</v>
      </c>
    </row>
    <row r="1991" spans="53:54" x14ac:dyDescent="0.2">
      <c r="BA1991" s="581">
        <v>46824</v>
      </c>
      <c r="BB1991" s="582">
        <v>2028</v>
      </c>
    </row>
    <row r="1992" spans="53:54" x14ac:dyDescent="0.2">
      <c r="BA1992" s="581">
        <v>46825</v>
      </c>
      <c r="BB1992" s="582">
        <v>2028</v>
      </c>
    </row>
    <row r="1993" spans="53:54" x14ac:dyDescent="0.2">
      <c r="BA1993" s="581">
        <v>46826</v>
      </c>
      <c r="BB1993" s="582">
        <v>2028</v>
      </c>
    </row>
    <row r="1994" spans="53:54" x14ac:dyDescent="0.2">
      <c r="BA1994" s="581">
        <v>46827</v>
      </c>
      <c r="BB1994" s="582">
        <v>2028</v>
      </c>
    </row>
    <row r="1995" spans="53:54" x14ac:dyDescent="0.2">
      <c r="BA1995" s="581">
        <v>46828</v>
      </c>
      <c r="BB1995" s="582">
        <v>2028</v>
      </c>
    </row>
    <row r="1996" spans="53:54" x14ac:dyDescent="0.2">
      <c r="BA1996" s="581">
        <v>46829</v>
      </c>
      <c r="BB1996" s="582">
        <v>2028</v>
      </c>
    </row>
    <row r="1997" spans="53:54" x14ac:dyDescent="0.2">
      <c r="BA1997" s="581">
        <v>46830</v>
      </c>
      <c r="BB1997" s="582">
        <v>2028</v>
      </c>
    </row>
    <row r="1998" spans="53:54" x14ac:dyDescent="0.2">
      <c r="BA1998" s="581">
        <v>46831</v>
      </c>
      <c r="BB1998" s="582">
        <v>2028</v>
      </c>
    </row>
    <row r="1999" spans="53:54" x14ac:dyDescent="0.2">
      <c r="BA1999" s="581">
        <v>46832</v>
      </c>
      <c r="BB1999" s="582">
        <v>2028</v>
      </c>
    </row>
    <row r="2000" spans="53:54" x14ac:dyDescent="0.2">
      <c r="BA2000" s="581">
        <v>46833</v>
      </c>
      <c r="BB2000" s="582">
        <v>2028</v>
      </c>
    </row>
    <row r="2001" spans="53:54" x14ac:dyDescent="0.2">
      <c r="BA2001" s="581">
        <v>46834</v>
      </c>
      <c r="BB2001" s="582">
        <v>2028</v>
      </c>
    </row>
    <row r="2002" spans="53:54" x14ac:dyDescent="0.2">
      <c r="BA2002" s="581">
        <v>46835</v>
      </c>
      <c r="BB2002" s="582">
        <v>2028</v>
      </c>
    </row>
    <row r="2003" spans="53:54" x14ac:dyDescent="0.2">
      <c r="BA2003" s="581">
        <v>46836</v>
      </c>
      <c r="BB2003" s="582">
        <v>2028</v>
      </c>
    </row>
    <row r="2004" spans="53:54" x14ac:dyDescent="0.2">
      <c r="BA2004" s="581">
        <v>46837</v>
      </c>
      <c r="BB2004" s="582">
        <v>2028</v>
      </c>
    </row>
    <row r="2005" spans="53:54" x14ac:dyDescent="0.2">
      <c r="BA2005" s="581">
        <v>46838</v>
      </c>
      <c r="BB2005" s="582">
        <v>2028</v>
      </c>
    </row>
    <row r="2006" spans="53:54" x14ac:dyDescent="0.2">
      <c r="BA2006" s="581">
        <v>46839</v>
      </c>
      <c r="BB2006" s="582">
        <v>2028</v>
      </c>
    </row>
    <row r="2007" spans="53:54" x14ac:dyDescent="0.2">
      <c r="BA2007" s="581">
        <v>46840</v>
      </c>
      <c r="BB2007" s="582">
        <v>2028</v>
      </c>
    </row>
    <row r="2008" spans="53:54" x14ac:dyDescent="0.2">
      <c r="BA2008" s="581">
        <v>46841</v>
      </c>
      <c r="BB2008" s="582">
        <v>2028</v>
      </c>
    </row>
    <row r="2009" spans="53:54" x14ac:dyDescent="0.2">
      <c r="BA2009" s="581">
        <v>46842</v>
      </c>
      <c r="BB2009" s="582">
        <v>2028</v>
      </c>
    </row>
    <row r="2010" spans="53:54" x14ac:dyDescent="0.2">
      <c r="BA2010" s="581">
        <v>46843</v>
      </c>
      <c r="BB2010" s="582">
        <v>2028</v>
      </c>
    </row>
    <row r="2011" spans="53:54" x14ac:dyDescent="0.2">
      <c r="BA2011" s="581">
        <v>46844</v>
      </c>
      <c r="BB2011" s="582">
        <v>2028</v>
      </c>
    </row>
    <row r="2012" spans="53:54" x14ac:dyDescent="0.2">
      <c r="BA2012" s="581">
        <v>46845</v>
      </c>
      <c r="BB2012" s="582">
        <v>2028</v>
      </c>
    </row>
    <row r="2013" spans="53:54" x14ac:dyDescent="0.2">
      <c r="BA2013" s="581">
        <v>46846</v>
      </c>
      <c r="BB2013" s="582">
        <v>2028</v>
      </c>
    </row>
    <row r="2014" spans="53:54" x14ac:dyDescent="0.2">
      <c r="BA2014" s="581">
        <v>46847</v>
      </c>
      <c r="BB2014" s="582">
        <v>2028</v>
      </c>
    </row>
    <row r="2015" spans="53:54" x14ac:dyDescent="0.2">
      <c r="BA2015" s="581">
        <v>46848</v>
      </c>
      <c r="BB2015" s="582">
        <v>2028</v>
      </c>
    </row>
    <row r="2016" spans="53:54" x14ac:dyDescent="0.2">
      <c r="BA2016" s="581">
        <v>46849</v>
      </c>
      <c r="BB2016" s="582">
        <v>2028</v>
      </c>
    </row>
    <row r="2017" spans="53:54" x14ac:dyDescent="0.2">
      <c r="BA2017" s="581">
        <v>46850</v>
      </c>
      <c r="BB2017" s="582">
        <v>2028</v>
      </c>
    </row>
    <row r="2018" spans="53:54" x14ac:dyDescent="0.2">
      <c r="BA2018" s="581">
        <v>46851</v>
      </c>
      <c r="BB2018" s="582">
        <v>2028</v>
      </c>
    </row>
    <row r="2019" spans="53:54" x14ac:dyDescent="0.2">
      <c r="BA2019" s="581">
        <v>46852</v>
      </c>
      <c r="BB2019" s="582">
        <v>2028</v>
      </c>
    </row>
    <row r="2020" spans="53:54" x14ac:dyDescent="0.2">
      <c r="BA2020" s="581">
        <v>46853</v>
      </c>
      <c r="BB2020" s="582">
        <v>2028</v>
      </c>
    </row>
    <row r="2021" spans="53:54" x14ac:dyDescent="0.2">
      <c r="BA2021" s="581">
        <v>46854</v>
      </c>
      <c r="BB2021" s="582">
        <v>2028</v>
      </c>
    </row>
    <row r="2022" spans="53:54" x14ac:dyDescent="0.2">
      <c r="BA2022" s="581">
        <v>46855</v>
      </c>
      <c r="BB2022" s="582">
        <v>2028</v>
      </c>
    </row>
    <row r="2023" spans="53:54" x14ac:dyDescent="0.2">
      <c r="BA2023" s="581">
        <v>46856</v>
      </c>
      <c r="BB2023" s="582">
        <v>2028</v>
      </c>
    </row>
    <row r="2024" spans="53:54" x14ac:dyDescent="0.2">
      <c r="BA2024" s="581">
        <v>46857</v>
      </c>
      <c r="BB2024" s="582">
        <v>2028</v>
      </c>
    </row>
    <row r="2025" spans="53:54" x14ac:dyDescent="0.2">
      <c r="BA2025" s="581">
        <v>46858</v>
      </c>
      <c r="BB2025" s="582">
        <v>2028</v>
      </c>
    </row>
    <row r="2026" spans="53:54" x14ac:dyDescent="0.2">
      <c r="BA2026" s="581">
        <v>46859</v>
      </c>
      <c r="BB2026" s="582">
        <v>2028</v>
      </c>
    </row>
    <row r="2027" spans="53:54" x14ac:dyDescent="0.2">
      <c r="BA2027" s="581">
        <v>46860</v>
      </c>
      <c r="BB2027" s="582">
        <v>2028</v>
      </c>
    </row>
    <row r="2028" spans="53:54" x14ac:dyDescent="0.2">
      <c r="BA2028" s="581">
        <v>46861</v>
      </c>
      <c r="BB2028" s="582">
        <v>2028</v>
      </c>
    </row>
    <row r="2029" spans="53:54" x14ac:dyDescent="0.2">
      <c r="BA2029" s="581">
        <v>46862</v>
      </c>
      <c r="BB2029" s="582">
        <v>2028</v>
      </c>
    </row>
    <row r="2030" spans="53:54" x14ac:dyDescent="0.2">
      <c r="BA2030" s="581">
        <v>46863</v>
      </c>
      <c r="BB2030" s="582">
        <v>2028</v>
      </c>
    </row>
    <row r="2031" spans="53:54" x14ac:dyDescent="0.2">
      <c r="BA2031" s="581">
        <v>46864</v>
      </c>
      <c r="BB2031" s="582">
        <v>2028</v>
      </c>
    </row>
    <row r="2032" spans="53:54" x14ac:dyDescent="0.2">
      <c r="BA2032" s="581">
        <v>46865</v>
      </c>
      <c r="BB2032" s="582">
        <v>2028</v>
      </c>
    </row>
    <row r="2033" spans="53:54" x14ac:dyDescent="0.2">
      <c r="BA2033" s="581">
        <v>46866</v>
      </c>
      <c r="BB2033" s="582">
        <v>2028</v>
      </c>
    </row>
    <row r="2034" spans="53:54" x14ac:dyDescent="0.2">
      <c r="BA2034" s="581">
        <v>46867</v>
      </c>
      <c r="BB2034" s="582">
        <v>2028</v>
      </c>
    </row>
    <row r="2035" spans="53:54" x14ac:dyDescent="0.2">
      <c r="BA2035" s="581">
        <v>46868</v>
      </c>
      <c r="BB2035" s="582">
        <v>2028</v>
      </c>
    </row>
    <row r="2036" spans="53:54" x14ac:dyDescent="0.2">
      <c r="BA2036" s="581">
        <v>46869</v>
      </c>
      <c r="BB2036" s="582">
        <v>2028</v>
      </c>
    </row>
    <row r="2037" spans="53:54" x14ac:dyDescent="0.2">
      <c r="BA2037" s="581">
        <v>46870</v>
      </c>
      <c r="BB2037" s="582">
        <v>2028</v>
      </c>
    </row>
    <row r="2038" spans="53:54" x14ac:dyDescent="0.2">
      <c r="BA2038" s="581">
        <v>46871</v>
      </c>
      <c r="BB2038" s="582">
        <v>2028</v>
      </c>
    </row>
    <row r="2039" spans="53:54" x14ac:dyDescent="0.2">
      <c r="BA2039" s="581">
        <v>46872</v>
      </c>
      <c r="BB2039" s="582">
        <v>2028</v>
      </c>
    </row>
    <row r="2040" spans="53:54" x14ac:dyDescent="0.2">
      <c r="BA2040" s="581">
        <v>46873</v>
      </c>
      <c r="BB2040" s="582">
        <v>2028</v>
      </c>
    </row>
    <row r="2041" spans="53:54" x14ac:dyDescent="0.2">
      <c r="BA2041" s="581">
        <v>46874</v>
      </c>
      <c r="BB2041" s="582">
        <v>2028</v>
      </c>
    </row>
    <row r="2042" spans="53:54" x14ac:dyDescent="0.2">
      <c r="BA2042" s="581">
        <v>46875</v>
      </c>
      <c r="BB2042" s="582">
        <v>2028</v>
      </c>
    </row>
    <row r="2043" spans="53:54" x14ac:dyDescent="0.2">
      <c r="BA2043" s="581">
        <v>46876</v>
      </c>
      <c r="BB2043" s="582">
        <v>2028</v>
      </c>
    </row>
    <row r="2044" spans="53:54" x14ac:dyDescent="0.2">
      <c r="BA2044" s="581">
        <v>46877</v>
      </c>
      <c r="BB2044" s="582">
        <v>2028</v>
      </c>
    </row>
    <row r="2045" spans="53:54" x14ac:dyDescent="0.2">
      <c r="BA2045" s="581">
        <v>46878</v>
      </c>
      <c r="BB2045" s="582">
        <v>2028</v>
      </c>
    </row>
    <row r="2046" spans="53:54" x14ac:dyDescent="0.2">
      <c r="BA2046" s="581">
        <v>46879</v>
      </c>
      <c r="BB2046" s="582">
        <v>2028</v>
      </c>
    </row>
    <row r="2047" spans="53:54" x14ac:dyDescent="0.2">
      <c r="BA2047" s="581">
        <v>46880</v>
      </c>
      <c r="BB2047" s="582">
        <v>2028</v>
      </c>
    </row>
    <row r="2048" spans="53:54" x14ac:dyDescent="0.2">
      <c r="BA2048" s="581">
        <v>46881</v>
      </c>
      <c r="BB2048" s="582">
        <v>2028</v>
      </c>
    </row>
    <row r="2049" spans="53:54" x14ac:dyDescent="0.2">
      <c r="BA2049" s="581">
        <v>46882</v>
      </c>
      <c r="BB2049" s="582">
        <v>2028</v>
      </c>
    </row>
    <row r="2050" spans="53:54" x14ac:dyDescent="0.2">
      <c r="BA2050" s="581">
        <v>46883</v>
      </c>
      <c r="BB2050" s="582">
        <v>2028</v>
      </c>
    </row>
    <row r="2051" spans="53:54" x14ac:dyDescent="0.2">
      <c r="BA2051" s="581">
        <v>46884</v>
      </c>
      <c r="BB2051" s="582">
        <v>2028</v>
      </c>
    </row>
    <row r="2052" spans="53:54" x14ac:dyDescent="0.2">
      <c r="BA2052" s="581">
        <v>46885</v>
      </c>
      <c r="BB2052" s="582">
        <v>2028</v>
      </c>
    </row>
    <row r="2053" spans="53:54" x14ac:dyDescent="0.2">
      <c r="BA2053" s="581">
        <v>46886</v>
      </c>
      <c r="BB2053" s="582">
        <v>2028</v>
      </c>
    </row>
    <row r="2054" spans="53:54" x14ac:dyDescent="0.2">
      <c r="BA2054" s="581">
        <v>46887</v>
      </c>
      <c r="BB2054" s="582">
        <v>2028</v>
      </c>
    </row>
    <row r="2055" spans="53:54" x14ac:dyDescent="0.2">
      <c r="BA2055" s="581">
        <v>46888</v>
      </c>
      <c r="BB2055" s="582">
        <v>2028</v>
      </c>
    </row>
    <row r="2056" spans="53:54" x14ac:dyDescent="0.2">
      <c r="BA2056" s="581">
        <v>46889</v>
      </c>
      <c r="BB2056" s="582">
        <v>2028</v>
      </c>
    </row>
    <row r="2057" spans="53:54" x14ac:dyDescent="0.2">
      <c r="BA2057" s="581">
        <v>46890</v>
      </c>
      <c r="BB2057" s="582">
        <v>2028</v>
      </c>
    </row>
    <row r="2058" spans="53:54" x14ac:dyDescent="0.2">
      <c r="BA2058" s="581">
        <v>46891</v>
      </c>
      <c r="BB2058" s="582">
        <v>2028</v>
      </c>
    </row>
    <row r="2059" spans="53:54" x14ac:dyDescent="0.2">
      <c r="BA2059" s="581">
        <v>46892</v>
      </c>
      <c r="BB2059" s="582">
        <v>2028</v>
      </c>
    </row>
    <row r="2060" spans="53:54" x14ac:dyDescent="0.2">
      <c r="BA2060" s="581">
        <v>46893</v>
      </c>
      <c r="BB2060" s="582">
        <v>2028</v>
      </c>
    </row>
    <row r="2061" spans="53:54" x14ac:dyDescent="0.2">
      <c r="BA2061" s="581">
        <v>46894</v>
      </c>
      <c r="BB2061" s="582">
        <v>2028</v>
      </c>
    </row>
    <row r="2062" spans="53:54" x14ac:dyDescent="0.2">
      <c r="BA2062" s="581">
        <v>46895</v>
      </c>
      <c r="BB2062" s="582">
        <v>2028</v>
      </c>
    </row>
    <row r="2063" spans="53:54" x14ac:dyDescent="0.2">
      <c r="BA2063" s="581">
        <v>46896</v>
      </c>
      <c r="BB2063" s="582">
        <v>2028</v>
      </c>
    </row>
    <row r="2064" spans="53:54" x14ac:dyDescent="0.2">
      <c r="BA2064" s="581">
        <v>46897</v>
      </c>
      <c r="BB2064" s="582">
        <v>2028</v>
      </c>
    </row>
    <row r="2065" spans="53:54" x14ac:dyDescent="0.2">
      <c r="BA2065" s="581">
        <v>46898</v>
      </c>
      <c r="BB2065" s="582">
        <v>2028</v>
      </c>
    </row>
    <row r="2066" spans="53:54" x14ac:dyDescent="0.2">
      <c r="BA2066" s="581">
        <v>46899</v>
      </c>
      <c r="BB2066" s="582">
        <v>2028</v>
      </c>
    </row>
    <row r="2067" spans="53:54" x14ac:dyDescent="0.2">
      <c r="BA2067" s="581">
        <v>46900</v>
      </c>
      <c r="BB2067" s="582">
        <v>2028</v>
      </c>
    </row>
    <row r="2068" spans="53:54" x14ac:dyDescent="0.2">
      <c r="BA2068" s="581">
        <v>46901</v>
      </c>
      <c r="BB2068" s="582">
        <v>2028</v>
      </c>
    </row>
    <row r="2069" spans="53:54" x14ac:dyDescent="0.2">
      <c r="BA2069" s="581">
        <v>46902</v>
      </c>
      <c r="BB2069" s="582">
        <v>2028</v>
      </c>
    </row>
    <row r="2070" spans="53:54" x14ac:dyDescent="0.2">
      <c r="BA2070" s="581">
        <v>46903</v>
      </c>
      <c r="BB2070" s="582">
        <v>2028</v>
      </c>
    </row>
    <row r="2071" spans="53:54" x14ac:dyDescent="0.2">
      <c r="BA2071" s="581">
        <v>46904</v>
      </c>
      <c r="BB2071" s="582">
        <v>2028</v>
      </c>
    </row>
    <row r="2072" spans="53:54" x14ac:dyDescent="0.2">
      <c r="BA2072" s="581">
        <v>46905</v>
      </c>
      <c r="BB2072" s="582">
        <v>2028</v>
      </c>
    </row>
    <row r="2073" spans="53:54" x14ac:dyDescent="0.2">
      <c r="BA2073" s="581">
        <v>46906</v>
      </c>
      <c r="BB2073" s="582">
        <v>2028</v>
      </c>
    </row>
    <row r="2074" spans="53:54" x14ac:dyDescent="0.2">
      <c r="BA2074" s="581">
        <v>46907</v>
      </c>
      <c r="BB2074" s="582">
        <v>2028</v>
      </c>
    </row>
    <row r="2075" spans="53:54" x14ac:dyDescent="0.2">
      <c r="BA2075" s="581">
        <v>46908</v>
      </c>
      <c r="BB2075" s="582">
        <v>2028</v>
      </c>
    </row>
    <row r="2076" spans="53:54" x14ac:dyDescent="0.2">
      <c r="BA2076" s="581">
        <v>46909</v>
      </c>
      <c r="BB2076" s="582">
        <v>2028</v>
      </c>
    </row>
    <row r="2077" spans="53:54" x14ac:dyDescent="0.2">
      <c r="BA2077" s="581">
        <v>46910</v>
      </c>
      <c r="BB2077" s="582">
        <v>2028</v>
      </c>
    </row>
    <row r="2078" spans="53:54" x14ac:dyDescent="0.2">
      <c r="BA2078" s="581">
        <v>46911</v>
      </c>
      <c r="BB2078" s="582">
        <v>2028</v>
      </c>
    </row>
    <row r="2079" spans="53:54" x14ac:dyDescent="0.2">
      <c r="BA2079" s="581">
        <v>46912</v>
      </c>
      <c r="BB2079" s="582">
        <v>2028</v>
      </c>
    </row>
    <row r="2080" spans="53:54" x14ac:dyDescent="0.2">
      <c r="BA2080" s="581">
        <v>46913</v>
      </c>
      <c r="BB2080" s="582">
        <v>2028</v>
      </c>
    </row>
    <row r="2081" spans="53:54" x14ac:dyDescent="0.2">
      <c r="BA2081" s="581">
        <v>46914</v>
      </c>
      <c r="BB2081" s="582">
        <v>2028</v>
      </c>
    </row>
    <row r="2082" spans="53:54" x14ac:dyDescent="0.2">
      <c r="BA2082" s="581">
        <v>46915</v>
      </c>
      <c r="BB2082" s="582">
        <v>2028</v>
      </c>
    </row>
    <row r="2083" spans="53:54" x14ac:dyDescent="0.2">
      <c r="BA2083" s="581">
        <v>46916</v>
      </c>
      <c r="BB2083" s="582">
        <v>2028</v>
      </c>
    </row>
    <row r="2084" spans="53:54" x14ac:dyDescent="0.2">
      <c r="BA2084" s="581">
        <v>46917</v>
      </c>
      <c r="BB2084" s="582">
        <v>2028</v>
      </c>
    </row>
    <row r="2085" spans="53:54" x14ac:dyDescent="0.2">
      <c r="BA2085" s="581">
        <v>46918</v>
      </c>
      <c r="BB2085" s="582">
        <v>2028</v>
      </c>
    </row>
    <row r="2086" spans="53:54" x14ac:dyDescent="0.2">
      <c r="BA2086" s="581">
        <v>46919</v>
      </c>
      <c r="BB2086" s="582">
        <v>2028</v>
      </c>
    </row>
    <row r="2087" spans="53:54" x14ac:dyDescent="0.2">
      <c r="BA2087" s="581">
        <v>46920</v>
      </c>
      <c r="BB2087" s="582">
        <v>2028</v>
      </c>
    </row>
    <row r="2088" spans="53:54" x14ac:dyDescent="0.2">
      <c r="BA2088" s="581">
        <v>46921</v>
      </c>
      <c r="BB2088" s="582">
        <v>2028</v>
      </c>
    </row>
    <row r="2089" spans="53:54" x14ac:dyDescent="0.2">
      <c r="BA2089" s="581">
        <v>46922</v>
      </c>
      <c r="BB2089" s="582">
        <v>2028</v>
      </c>
    </row>
    <row r="2090" spans="53:54" x14ac:dyDescent="0.2">
      <c r="BA2090" s="581">
        <v>46923</v>
      </c>
      <c r="BB2090" s="582">
        <v>2028</v>
      </c>
    </row>
    <row r="2091" spans="53:54" x14ac:dyDescent="0.2">
      <c r="BA2091" s="581">
        <v>46924</v>
      </c>
      <c r="BB2091" s="582">
        <v>2028</v>
      </c>
    </row>
    <row r="2092" spans="53:54" x14ac:dyDescent="0.2">
      <c r="BA2092" s="581">
        <v>46925</v>
      </c>
      <c r="BB2092" s="582">
        <v>2028</v>
      </c>
    </row>
    <row r="2093" spans="53:54" x14ac:dyDescent="0.2">
      <c r="BA2093" s="581">
        <v>46926</v>
      </c>
      <c r="BB2093" s="582">
        <v>2028</v>
      </c>
    </row>
    <row r="2094" spans="53:54" x14ac:dyDescent="0.2">
      <c r="BA2094" s="581">
        <v>46927</v>
      </c>
      <c r="BB2094" s="582">
        <v>2028</v>
      </c>
    </row>
    <row r="2095" spans="53:54" x14ac:dyDescent="0.2">
      <c r="BA2095" s="581">
        <v>46928</v>
      </c>
      <c r="BB2095" s="582">
        <v>2028</v>
      </c>
    </row>
    <row r="2096" spans="53:54" x14ac:dyDescent="0.2">
      <c r="BA2096" s="581">
        <v>46929</v>
      </c>
      <c r="BB2096" s="582">
        <v>2028</v>
      </c>
    </row>
    <row r="2097" spans="53:54" x14ac:dyDescent="0.2">
      <c r="BA2097" s="581">
        <v>46930</v>
      </c>
      <c r="BB2097" s="582">
        <v>2028</v>
      </c>
    </row>
    <row r="2098" spans="53:54" x14ac:dyDescent="0.2">
      <c r="BA2098" s="581">
        <v>46931</v>
      </c>
      <c r="BB2098" s="582">
        <v>2028</v>
      </c>
    </row>
    <row r="2099" spans="53:54" x14ac:dyDescent="0.2">
      <c r="BA2099" s="581">
        <v>46932</v>
      </c>
      <c r="BB2099" s="582">
        <v>2028</v>
      </c>
    </row>
    <row r="2100" spans="53:54" x14ac:dyDescent="0.2">
      <c r="BA2100" s="581">
        <v>46933</v>
      </c>
      <c r="BB2100" s="582">
        <v>2028</v>
      </c>
    </row>
    <row r="2101" spans="53:54" x14ac:dyDescent="0.2">
      <c r="BA2101" s="581">
        <v>46934</v>
      </c>
      <c r="BB2101" s="582">
        <v>2028</v>
      </c>
    </row>
    <row r="2102" spans="53:54" x14ac:dyDescent="0.2">
      <c r="BA2102" s="581">
        <v>46935</v>
      </c>
      <c r="BB2102" s="582">
        <v>2028</v>
      </c>
    </row>
    <row r="2103" spans="53:54" x14ac:dyDescent="0.2">
      <c r="BA2103" s="581">
        <v>46936</v>
      </c>
      <c r="BB2103" s="582">
        <v>2028</v>
      </c>
    </row>
    <row r="2104" spans="53:54" x14ac:dyDescent="0.2">
      <c r="BA2104" s="581">
        <v>46937</v>
      </c>
      <c r="BB2104" s="582">
        <v>2028</v>
      </c>
    </row>
    <row r="2105" spans="53:54" x14ac:dyDescent="0.2">
      <c r="BA2105" s="581">
        <v>46938</v>
      </c>
      <c r="BB2105" s="582">
        <v>2028</v>
      </c>
    </row>
    <row r="2106" spans="53:54" x14ac:dyDescent="0.2">
      <c r="BA2106" s="581">
        <v>46939</v>
      </c>
      <c r="BB2106" s="582">
        <v>2028</v>
      </c>
    </row>
    <row r="2107" spans="53:54" x14ac:dyDescent="0.2">
      <c r="BA2107" s="581">
        <v>46940</v>
      </c>
      <c r="BB2107" s="582">
        <v>2028</v>
      </c>
    </row>
    <row r="2108" spans="53:54" x14ac:dyDescent="0.2">
      <c r="BA2108" s="581">
        <v>46941</v>
      </c>
      <c r="BB2108" s="582">
        <v>2028</v>
      </c>
    </row>
    <row r="2109" spans="53:54" x14ac:dyDescent="0.2">
      <c r="BA2109" s="581">
        <v>46942</v>
      </c>
      <c r="BB2109" s="582">
        <v>2028</v>
      </c>
    </row>
    <row r="2110" spans="53:54" x14ac:dyDescent="0.2">
      <c r="BA2110" s="581">
        <v>46943</v>
      </c>
      <c r="BB2110" s="582">
        <v>2028</v>
      </c>
    </row>
    <row r="2111" spans="53:54" x14ac:dyDescent="0.2">
      <c r="BA2111" s="581">
        <v>46944</v>
      </c>
      <c r="BB2111" s="582">
        <v>2028</v>
      </c>
    </row>
    <row r="2112" spans="53:54" x14ac:dyDescent="0.2">
      <c r="BA2112" s="581">
        <v>46945</v>
      </c>
      <c r="BB2112" s="582">
        <v>2028</v>
      </c>
    </row>
    <row r="2113" spans="53:54" x14ac:dyDescent="0.2">
      <c r="BA2113" s="581">
        <v>46946</v>
      </c>
      <c r="BB2113" s="582">
        <v>2028</v>
      </c>
    </row>
    <row r="2114" spans="53:54" x14ac:dyDescent="0.2">
      <c r="BA2114" s="581">
        <v>46947</v>
      </c>
      <c r="BB2114" s="582">
        <v>2028</v>
      </c>
    </row>
    <row r="2115" spans="53:54" x14ac:dyDescent="0.2">
      <c r="BA2115" s="581">
        <v>46948</v>
      </c>
      <c r="BB2115" s="582">
        <v>2028</v>
      </c>
    </row>
    <row r="2116" spans="53:54" x14ac:dyDescent="0.2">
      <c r="BA2116" s="581">
        <v>46949</v>
      </c>
      <c r="BB2116" s="582">
        <v>2028</v>
      </c>
    </row>
    <row r="2117" spans="53:54" x14ac:dyDescent="0.2">
      <c r="BA2117" s="581">
        <v>46950</v>
      </c>
      <c r="BB2117" s="582">
        <v>2028</v>
      </c>
    </row>
    <row r="2118" spans="53:54" x14ac:dyDescent="0.2">
      <c r="BA2118" s="581">
        <v>46951</v>
      </c>
      <c r="BB2118" s="582">
        <v>2028</v>
      </c>
    </row>
    <row r="2119" spans="53:54" x14ac:dyDescent="0.2">
      <c r="BA2119" s="581">
        <v>46952</v>
      </c>
      <c r="BB2119" s="582">
        <v>2028</v>
      </c>
    </row>
    <row r="2120" spans="53:54" x14ac:dyDescent="0.2">
      <c r="BA2120" s="581">
        <v>46953</v>
      </c>
      <c r="BB2120" s="582">
        <v>2028</v>
      </c>
    </row>
    <row r="2121" spans="53:54" x14ac:dyDescent="0.2">
      <c r="BA2121" s="581">
        <v>46954</v>
      </c>
      <c r="BB2121" s="582">
        <v>2028</v>
      </c>
    </row>
    <row r="2122" spans="53:54" x14ac:dyDescent="0.2">
      <c r="BA2122" s="581">
        <v>46955</v>
      </c>
      <c r="BB2122" s="582">
        <v>2028</v>
      </c>
    </row>
    <row r="2123" spans="53:54" x14ac:dyDescent="0.2">
      <c r="BA2123" s="581">
        <v>46956</v>
      </c>
      <c r="BB2123" s="582">
        <v>2028</v>
      </c>
    </row>
    <row r="2124" spans="53:54" x14ac:dyDescent="0.2">
      <c r="BA2124" s="581">
        <v>46957</v>
      </c>
      <c r="BB2124" s="582">
        <v>2028</v>
      </c>
    </row>
    <row r="2125" spans="53:54" x14ac:dyDescent="0.2">
      <c r="BA2125" s="581">
        <v>46958</v>
      </c>
      <c r="BB2125" s="582">
        <v>2028</v>
      </c>
    </row>
    <row r="2126" spans="53:54" x14ac:dyDescent="0.2">
      <c r="BA2126" s="581">
        <v>46959</v>
      </c>
      <c r="BB2126" s="582">
        <v>2028</v>
      </c>
    </row>
    <row r="2127" spans="53:54" x14ac:dyDescent="0.2">
      <c r="BA2127" s="581">
        <v>46960</v>
      </c>
      <c r="BB2127" s="582">
        <v>2028</v>
      </c>
    </row>
    <row r="2128" spans="53:54" x14ac:dyDescent="0.2">
      <c r="BA2128" s="581">
        <v>46961</v>
      </c>
      <c r="BB2128" s="582">
        <v>2028</v>
      </c>
    </row>
    <row r="2129" spans="53:54" x14ac:dyDescent="0.2">
      <c r="BA2129" s="581">
        <v>46962</v>
      </c>
      <c r="BB2129" s="582">
        <v>2028</v>
      </c>
    </row>
    <row r="2130" spans="53:54" x14ac:dyDescent="0.2">
      <c r="BA2130" s="581">
        <v>46963</v>
      </c>
      <c r="BB2130" s="582">
        <v>2028</v>
      </c>
    </row>
    <row r="2131" spans="53:54" x14ac:dyDescent="0.2">
      <c r="BA2131" s="581">
        <v>46964</v>
      </c>
      <c r="BB2131" s="582">
        <v>2028</v>
      </c>
    </row>
    <row r="2132" spans="53:54" x14ac:dyDescent="0.2">
      <c r="BA2132" s="581">
        <v>46965</v>
      </c>
      <c r="BB2132" s="582">
        <v>2028</v>
      </c>
    </row>
    <row r="2133" spans="53:54" x14ac:dyDescent="0.2">
      <c r="BA2133" s="581">
        <v>46966</v>
      </c>
      <c r="BB2133" s="582">
        <v>2028</v>
      </c>
    </row>
    <row r="2134" spans="53:54" x14ac:dyDescent="0.2">
      <c r="BA2134" s="581">
        <v>46967</v>
      </c>
      <c r="BB2134" s="582">
        <v>2028</v>
      </c>
    </row>
    <row r="2135" spans="53:54" x14ac:dyDescent="0.2">
      <c r="BA2135" s="581">
        <v>46968</v>
      </c>
      <c r="BB2135" s="582">
        <v>2028</v>
      </c>
    </row>
    <row r="2136" spans="53:54" x14ac:dyDescent="0.2">
      <c r="BA2136" s="581">
        <v>46969</v>
      </c>
      <c r="BB2136" s="582">
        <v>2028</v>
      </c>
    </row>
    <row r="2137" spans="53:54" x14ac:dyDescent="0.2">
      <c r="BA2137" s="581">
        <v>46970</v>
      </c>
      <c r="BB2137" s="582">
        <v>2028</v>
      </c>
    </row>
    <row r="2138" spans="53:54" x14ac:dyDescent="0.2">
      <c r="BA2138" s="581">
        <v>46971</v>
      </c>
      <c r="BB2138" s="582">
        <v>2028</v>
      </c>
    </row>
    <row r="2139" spans="53:54" x14ac:dyDescent="0.2">
      <c r="BA2139" s="581">
        <v>46972</v>
      </c>
      <c r="BB2139" s="582">
        <v>2028</v>
      </c>
    </row>
    <row r="2140" spans="53:54" x14ac:dyDescent="0.2">
      <c r="BA2140" s="581">
        <v>46973</v>
      </c>
      <c r="BB2140" s="582">
        <v>2028</v>
      </c>
    </row>
    <row r="2141" spans="53:54" x14ac:dyDescent="0.2">
      <c r="BA2141" s="581">
        <v>46974</v>
      </c>
      <c r="BB2141" s="582">
        <v>2028</v>
      </c>
    </row>
    <row r="2142" spans="53:54" x14ac:dyDescent="0.2">
      <c r="BA2142" s="581">
        <v>46975</v>
      </c>
      <c r="BB2142" s="582">
        <v>2028</v>
      </c>
    </row>
    <row r="2143" spans="53:54" x14ac:dyDescent="0.2">
      <c r="BA2143" s="581">
        <v>46976</v>
      </c>
      <c r="BB2143" s="582">
        <v>2028</v>
      </c>
    </row>
    <row r="2144" spans="53:54" x14ac:dyDescent="0.2">
      <c r="BA2144" s="581">
        <v>46977</v>
      </c>
      <c r="BB2144" s="582">
        <v>2028</v>
      </c>
    </row>
    <row r="2145" spans="53:54" x14ac:dyDescent="0.2">
      <c r="BA2145" s="581">
        <v>46978</v>
      </c>
      <c r="BB2145" s="582">
        <v>2028</v>
      </c>
    </row>
    <row r="2146" spans="53:54" x14ac:dyDescent="0.2">
      <c r="BA2146" s="581">
        <v>46979</v>
      </c>
      <c r="BB2146" s="582">
        <v>2028</v>
      </c>
    </row>
    <row r="2147" spans="53:54" x14ac:dyDescent="0.2">
      <c r="BA2147" s="581">
        <v>46980</v>
      </c>
      <c r="BB2147" s="582">
        <v>2028</v>
      </c>
    </row>
    <row r="2148" spans="53:54" x14ac:dyDescent="0.2">
      <c r="BA2148" s="581">
        <v>46981</v>
      </c>
      <c r="BB2148" s="582">
        <v>2028</v>
      </c>
    </row>
    <row r="2149" spans="53:54" x14ac:dyDescent="0.2">
      <c r="BA2149" s="581">
        <v>46982</v>
      </c>
      <c r="BB2149" s="582">
        <v>2028</v>
      </c>
    </row>
    <row r="2150" spans="53:54" x14ac:dyDescent="0.2">
      <c r="BA2150" s="581">
        <v>46983</v>
      </c>
      <c r="BB2150" s="582">
        <v>2028</v>
      </c>
    </row>
    <row r="2151" spans="53:54" x14ac:dyDescent="0.2">
      <c r="BA2151" s="581">
        <v>46984</v>
      </c>
      <c r="BB2151" s="582">
        <v>2028</v>
      </c>
    </row>
    <row r="2152" spans="53:54" x14ac:dyDescent="0.2">
      <c r="BA2152" s="581">
        <v>46985</v>
      </c>
      <c r="BB2152" s="582">
        <v>2028</v>
      </c>
    </row>
    <row r="2153" spans="53:54" x14ac:dyDescent="0.2">
      <c r="BA2153" s="581">
        <v>46986</v>
      </c>
      <c r="BB2153" s="582">
        <v>2028</v>
      </c>
    </row>
    <row r="2154" spans="53:54" x14ac:dyDescent="0.2">
      <c r="BA2154" s="581">
        <v>46987</v>
      </c>
      <c r="BB2154" s="582">
        <v>2028</v>
      </c>
    </row>
    <row r="2155" spans="53:54" x14ac:dyDescent="0.2">
      <c r="BA2155" s="581">
        <v>46988</v>
      </c>
      <c r="BB2155" s="582">
        <v>2028</v>
      </c>
    </row>
    <row r="2156" spans="53:54" x14ac:dyDescent="0.2">
      <c r="BA2156" s="581">
        <v>46989</v>
      </c>
      <c r="BB2156" s="582">
        <v>2028</v>
      </c>
    </row>
    <row r="2157" spans="53:54" x14ac:dyDescent="0.2">
      <c r="BA2157" s="581">
        <v>46990</v>
      </c>
      <c r="BB2157" s="582">
        <v>2028</v>
      </c>
    </row>
    <row r="2158" spans="53:54" x14ac:dyDescent="0.2">
      <c r="BA2158" s="581">
        <v>46991</v>
      </c>
      <c r="BB2158" s="582">
        <v>2028</v>
      </c>
    </row>
    <row r="2159" spans="53:54" x14ac:dyDescent="0.2">
      <c r="BA2159" s="581">
        <v>46992</v>
      </c>
      <c r="BB2159" s="582">
        <v>2028</v>
      </c>
    </row>
    <row r="2160" spans="53:54" x14ac:dyDescent="0.2">
      <c r="BA2160" s="581">
        <v>46993</v>
      </c>
      <c r="BB2160" s="582">
        <v>2028</v>
      </c>
    </row>
    <row r="2161" spans="53:54" x14ac:dyDescent="0.2">
      <c r="BA2161" s="581">
        <v>46994</v>
      </c>
      <c r="BB2161" s="582">
        <v>2028</v>
      </c>
    </row>
    <row r="2162" spans="53:54" x14ac:dyDescent="0.2">
      <c r="BA2162" s="581">
        <v>46995</v>
      </c>
      <c r="BB2162" s="582">
        <v>2028</v>
      </c>
    </row>
    <row r="2163" spans="53:54" x14ac:dyDescent="0.2">
      <c r="BA2163" s="581">
        <v>46996</v>
      </c>
      <c r="BB2163" s="582">
        <v>2028</v>
      </c>
    </row>
    <row r="2164" spans="53:54" x14ac:dyDescent="0.2">
      <c r="BA2164" s="581">
        <v>46997</v>
      </c>
      <c r="BB2164" s="582">
        <v>2028</v>
      </c>
    </row>
    <row r="2165" spans="53:54" x14ac:dyDescent="0.2">
      <c r="BA2165" s="581">
        <v>46998</v>
      </c>
      <c r="BB2165" s="582">
        <v>2028</v>
      </c>
    </row>
    <row r="2166" spans="53:54" x14ac:dyDescent="0.2">
      <c r="BA2166" s="581">
        <v>46999</v>
      </c>
      <c r="BB2166" s="582">
        <v>2028</v>
      </c>
    </row>
    <row r="2167" spans="53:54" x14ac:dyDescent="0.2">
      <c r="BA2167" s="581">
        <v>47000</v>
      </c>
      <c r="BB2167" s="582">
        <v>2028</v>
      </c>
    </row>
    <row r="2168" spans="53:54" x14ac:dyDescent="0.2">
      <c r="BA2168" s="581">
        <v>47001</v>
      </c>
      <c r="BB2168" s="582">
        <v>2028</v>
      </c>
    </row>
    <row r="2169" spans="53:54" x14ac:dyDescent="0.2">
      <c r="BA2169" s="581">
        <v>47002</v>
      </c>
      <c r="BB2169" s="582">
        <v>2028</v>
      </c>
    </row>
    <row r="2170" spans="53:54" x14ac:dyDescent="0.2">
      <c r="BA2170" s="581">
        <v>47003</v>
      </c>
      <c r="BB2170" s="582">
        <v>2028</v>
      </c>
    </row>
    <row r="2171" spans="53:54" x14ac:dyDescent="0.2">
      <c r="BA2171" s="581">
        <v>47004</v>
      </c>
      <c r="BB2171" s="582">
        <v>2028</v>
      </c>
    </row>
    <row r="2172" spans="53:54" x14ac:dyDescent="0.2">
      <c r="BA2172" s="581">
        <v>47005</v>
      </c>
      <c r="BB2172" s="582">
        <v>2028</v>
      </c>
    </row>
    <row r="2173" spans="53:54" x14ac:dyDescent="0.2">
      <c r="BA2173" s="581">
        <v>47006</v>
      </c>
      <c r="BB2173" s="582">
        <v>2028</v>
      </c>
    </row>
    <row r="2174" spans="53:54" x14ac:dyDescent="0.2">
      <c r="BA2174" s="581">
        <v>47007</v>
      </c>
      <c r="BB2174" s="582">
        <v>2028</v>
      </c>
    </row>
    <row r="2175" spans="53:54" x14ac:dyDescent="0.2">
      <c r="BA2175" s="581">
        <v>47008</v>
      </c>
      <c r="BB2175" s="582">
        <v>2028</v>
      </c>
    </row>
    <row r="2176" spans="53:54" x14ac:dyDescent="0.2">
      <c r="BA2176" s="581">
        <v>47009</v>
      </c>
      <c r="BB2176" s="582">
        <v>2028</v>
      </c>
    </row>
    <row r="2177" spans="53:54" x14ac:dyDescent="0.2">
      <c r="BA2177" s="581">
        <v>47010</v>
      </c>
      <c r="BB2177" s="582">
        <v>2028</v>
      </c>
    </row>
    <row r="2178" spans="53:54" x14ac:dyDescent="0.2">
      <c r="BA2178" s="581">
        <v>47011</v>
      </c>
      <c r="BB2178" s="582">
        <v>2028</v>
      </c>
    </row>
    <row r="2179" spans="53:54" x14ac:dyDescent="0.2">
      <c r="BA2179" s="581">
        <v>47012</v>
      </c>
      <c r="BB2179" s="582">
        <v>2028</v>
      </c>
    </row>
    <row r="2180" spans="53:54" x14ac:dyDescent="0.2">
      <c r="BA2180" s="581">
        <v>47013</v>
      </c>
      <c r="BB2180" s="582">
        <v>2028</v>
      </c>
    </row>
    <row r="2181" spans="53:54" x14ac:dyDescent="0.2">
      <c r="BA2181" s="581">
        <v>47014</v>
      </c>
      <c r="BB2181" s="582">
        <v>2028</v>
      </c>
    </row>
    <row r="2182" spans="53:54" x14ac:dyDescent="0.2">
      <c r="BA2182" s="581">
        <v>47015</v>
      </c>
      <c r="BB2182" s="582">
        <v>2028</v>
      </c>
    </row>
    <row r="2183" spans="53:54" x14ac:dyDescent="0.2">
      <c r="BA2183" s="581">
        <v>47016</v>
      </c>
      <c r="BB2183" s="582">
        <v>2028</v>
      </c>
    </row>
    <row r="2184" spans="53:54" x14ac:dyDescent="0.2">
      <c r="BA2184" s="581">
        <v>47017</v>
      </c>
      <c r="BB2184" s="582">
        <v>2028</v>
      </c>
    </row>
    <row r="2185" spans="53:54" x14ac:dyDescent="0.2">
      <c r="BA2185" s="581">
        <v>47018</v>
      </c>
      <c r="BB2185" s="582">
        <v>2028</v>
      </c>
    </row>
    <row r="2186" spans="53:54" x14ac:dyDescent="0.2">
      <c r="BA2186" s="581">
        <v>47019</v>
      </c>
      <c r="BB2186" s="582">
        <v>2028</v>
      </c>
    </row>
    <row r="2187" spans="53:54" x14ac:dyDescent="0.2">
      <c r="BA2187" s="581">
        <v>47020</v>
      </c>
      <c r="BB2187" s="582">
        <v>2028</v>
      </c>
    </row>
    <row r="2188" spans="53:54" x14ac:dyDescent="0.2">
      <c r="BA2188" s="581">
        <v>47021</v>
      </c>
      <c r="BB2188" s="582">
        <v>2028</v>
      </c>
    </row>
    <row r="2189" spans="53:54" x14ac:dyDescent="0.2">
      <c r="BA2189" s="581">
        <v>47022</v>
      </c>
      <c r="BB2189" s="582">
        <v>2028</v>
      </c>
    </row>
    <row r="2190" spans="53:54" x14ac:dyDescent="0.2">
      <c r="BA2190" s="581">
        <v>47023</v>
      </c>
      <c r="BB2190" s="582">
        <v>2028</v>
      </c>
    </row>
    <row r="2191" spans="53:54" x14ac:dyDescent="0.2">
      <c r="BA2191" s="581">
        <v>47024</v>
      </c>
      <c r="BB2191" s="582">
        <v>2028</v>
      </c>
    </row>
    <row r="2192" spans="53:54" x14ac:dyDescent="0.2">
      <c r="BA2192" s="581">
        <v>47025</v>
      </c>
      <c r="BB2192" s="582">
        <v>2028</v>
      </c>
    </row>
    <row r="2193" spans="53:54" x14ac:dyDescent="0.2">
      <c r="BA2193" s="581">
        <v>47026</v>
      </c>
      <c r="BB2193" s="582">
        <v>2028</v>
      </c>
    </row>
    <row r="2194" spans="53:54" x14ac:dyDescent="0.2">
      <c r="BA2194" s="581">
        <v>47027</v>
      </c>
      <c r="BB2194" s="582">
        <v>2029</v>
      </c>
    </row>
    <row r="2195" spans="53:54" x14ac:dyDescent="0.2">
      <c r="BA2195" s="581">
        <v>47028</v>
      </c>
      <c r="BB2195" s="582">
        <v>2029</v>
      </c>
    </row>
    <row r="2196" spans="53:54" x14ac:dyDescent="0.2">
      <c r="BA2196" s="581">
        <v>47029</v>
      </c>
      <c r="BB2196" s="582">
        <v>2029</v>
      </c>
    </row>
    <row r="2197" spans="53:54" x14ac:dyDescent="0.2">
      <c r="BA2197" s="581">
        <v>47030</v>
      </c>
      <c r="BB2197" s="582">
        <v>2029</v>
      </c>
    </row>
    <row r="2198" spans="53:54" x14ac:dyDescent="0.2">
      <c r="BA2198" s="581">
        <v>47031</v>
      </c>
      <c r="BB2198" s="582">
        <v>2029</v>
      </c>
    </row>
    <row r="2199" spans="53:54" x14ac:dyDescent="0.2">
      <c r="BA2199" s="581">
        <v>47032</v>
      </c>
      <c r="BB2199" s="582">
        <v>2029</v>
      </c>
    </row>
    <row r="2200" spans="53:54" x14ac:dyDescent="0.2">
      <c r="BA2200" s="581">
        <v>47033</v>
      </c>
      <c r="BB2200" s="582">
        <v>2029</v>
      </c>
    </row>
    <row r="2201" spans="53:54" x14ac:dyDescent="0.2">
      <c r="BA2201" s="581">
        <v>47034</v>
      </c>
      <c r="BB2201" s="582">
        <v>2029</v>
      </c>
    </row>
    <row r="2202" spans="53:54" x14ac:dyDescent="0.2">
      <c r="BA2202" s="581">
        <v>47035</v>
      </c>
      <c r="BB2202" s="582">
        <v>2029</v>
      </c>
    </row>
    <row r="2203" spans="53:54" x14ac:dyDescent="0.2">
      <c r="BA2203" s="581">
        <v>47036</v>
      </c>
      <c r="BB2203" s="582">
        <v>2029</v>
      </c>
    </row>
    <row r="2204" spans="53:54" x14ac:dyDescent="0.2">
      <c r="BA2204" s="581">
        <v>47037</v>
      </c>
      <c r="BB2204" s="582">
        <v>2029</v>
      </c>
    </row>
    <row r="2205" spans="53:54" x14ac:dyDescent="0.2">
      <c r="BA2205" s="581">
        <v>47038</v>
      </c>
      <c r="BB2205" s="582">
        <v>2029</v>
      </c>
    </row>
    <row r="2206" spans="53:54" x14ac:dyDescent="0.2">
      <c r="BA2206" s="581">
        <v>47039</v>
      </c>
      <c r="BB2206" s="582">
        <v>2029</v>
      </c>
    </row>
    <row r="2207" spans="53:54" x14ac:dyDescent="0.2">
      <c r="BA2207" s="581">
        <v>47040</v>
      </c>
      <c r="BB2207" s="582">
        <v>2029</v>
      </c>
    </row>
    <row r="2208" spans="53:54" x14ac:dyDescent="0.2">
      <c r="BA2208" s="581">
        <v>47041</v>
      </c>
      <c r="BB2208" s="582">
        <v>2029</v>
      </c>
    </row>
    <row r="2209" spans="53:54" x14ac:dyDescent="0.2">
      <c r="BA2209" s="581">
        <v>47042</v>
      </c>
      <c r="BB2209" s="582">
        <v>2029</v>
      </c>
    </row>
    <row r="2210" spans="53:54" x14ac:dyDescent="0.2">
      <c r="BA2210" s="581">
        <v>47043</v>
      </c>
      <c r="BB2210" s="582">
        <v>2029</v>
      </c>
    </row>
    <row r="2211" spans="53:54" x14ac:dyDescent="0.2">
      <c r="BA2211" s="581">
        <v>47044</v>
      </c>
      <c r="BB2211" s="582">
        <v>2029</v>
      </c>
    </row>
    <row r="2212" spans="53:54" x14ac:dyDescent="0.2">
      <c r="BA2212" s="581">
        <v>47045</v>
      </c>
      <c r="BB2212" s="582">
        <v>2029</v>
      </c>
    </row>
    <row r="2213" spans="53:54" x14ac:dyDescent="0.2">
      <c r="BA2213" s="581">
        <v>47046</v>
      </c>
      <c r="BB2213" s="582">
        <v>2029</v>
      </c>
    </row>
    <row r="2214" spans="53:54" x14ac:dyDescent="0.2">
      <c r="BA2214" s="581">
        <v>47047</v>
      </c>
      <c r="BB2214" s="582">
        <v>2029</v>
      </c>
    </row>
    <row r="2215" spans="53:54" x14ac:dyDescent="0.2">
      <c r="BA2215" s="581">
        <v>47048</v>
      </c>
      <c r="BB2215" s="582">
        <v>2029</v>
      </c>
    </row>
    <row r="2216" spans="53:54" x14ac:dyDescent="0.2">
      <c r="BA2216" s="581">
        <v>47049</v>
      </c>
      <c r="BB2216" s="582">
        <v>2029</v>
      </c>
    </row>
    <row r="2217" spans="53:54" x14ac:dyDescent="0.2">
      <c r="BA2217" s="581">
        <v>47050</v>
      </c>
      <c r="BB2217" s="582">
        <v>2029</v>
      </c>
    </row>
    <row r="2218" spans="53:54" x14ac:dyDescent="0.2">
      <c r="BA2218" s="581">
        <v>47051</v>
      </c>
      <c r="BB2218" s="582">
        <v>2029</v>
      </c>
    </row>
    <row r="2219" spans="53:54" x14ac:dyDescent="0.2">
      <c r="BA2219" s="581">
        <v>47052</v>
      </c>
      <c r="BB2219" s="582">
        <v>2029</v>
      </c>
    </row>
    <row r="2220" spans="53:54" x14ac:dyDescent="0.2">
      <c r="BA2220" s="581">
        <v>47053</v>
      </c>
      <c r="BB2220" s="582">
        <v>2029</v>
      </c>
    </row>
    <row r="2221" spans="53:54" x14ac:dyDescent="0.2">
      <c r="BA2221" s="581">
        <v>47054</v>
      </c>
      <c r="BB2221" s="582">
        <v>2029</v>
      </c>
    </row>
    <row r="2222" spans="53:54" x14ac:dyDescent="0.2">
      <c r="BA2222" s="581">
        <v>47055</v>
      </c>
      <c r="BB2222" s="582">
        <v>2029</v>
      </c>
    </row>
    <row r="2223" spans="53:54" x14ac:dyDescent="0.2">
      <c r="BA2223" s="581">
        <v>47056</v>
      </c>
      <c r="BB2223" s="582">
        <v>2029</v>
      </c>
    </row>
    <row r="2224" spans="53:54" x14ac:dyDescent="0.2">
      <c r="BA2224" s="581">
        <v>47057</v>
      </c>
      <c r="BB2224" s="582">
        <v>2029</v>
      </c>
    </row>
    <row r="2225" spans="53:54" x14ac:dyDescent="0.2">
      <c r="BA2225" s="581">
        <v>47058</v>
      </c>
      <c r="BB2225" s="582">
        <v>2029</v>
      </c>
    </row>
    <row r="2226" spans="53:54" x14ac:dyDescent="0.2">
      <c r="BA2226" s="581">
        <v>47059</v>
      </c>
      <c r="BB2226" s="582">
        <v>2029</v>
      </c>
    </row>
    <row r="2227" spans="53:54" x14ac:dyDescent="0.2">
      <c r="BA2227" s="581">
        <v>47060</v>
      </c>
      <c r="BB2227" s="582">
        <v>2029</v>
      </c>
    </row>
    <row r="2228" spans="53:54" x14ac:dyDescent="0.2">
      <c r="BA2228" s="581">
        <v>47061</v>
      </c>
      <c r="BB2228" s="582">
        <v>2029</v>
      </c>
    </row>
    <row r="2229" spans="53:54" x14ac:dyDescent="0.2">
      <c r="BA2229" s="581">
        <v>47062</v>
      </c>
      <c r="BB2229" s="582">
        <v>2029</v>
      </c>
    </row>
    <row r="2230" spans="53:54" x14ac:dyDescent="0.2">
      <c r="BA2230" s="581">
        <v>47063</v>
      </c>
      <c r="BB2230" s="582">
        <v>2029</v>
      </c>
    </row>
    <row r="2231" spans="53:54" x14ac:dyDescent="0.2">
      <c r="BA2231" s="581">
        <v>47064</v>
      </c>
      <c r="BB2231" s="582">
        <v>2029</v>
      </c>
    </row>
    <row r="2232" spans="53:54" x14ac:dyDescent="0.2">
      <c r="BA2232" s="581">
        <v>47065</v>
      </c>
      <c r="BB2232" s="582">
        <v>2029</v>
      </c>
    </row>
    <row r="2233" spans="53:54" x14ac:dyDescent="0.2">
      <c r="BA2233" s="581">
        <v>47066</v>
      </c>
      <c r="BB2233" s="582">
        <v>2029</v>
      </c>
    </row>
    <row r="2234" spans="53:54" x14ac:dyDescent="0.2">
      <c r="BA2234" s="581">
        <v>47067</v>
      </c>
      <c r="BB2234" s="582">
        <v>2029</v>
      </c>
    </row>
    <row r="2235" spans="53:54" x14ac:dyDescent="0.2">
      <c r="BA2235" s="581">
        <v>47068</v>
      </c>
      <c r="BB2235" s="582">
        <v>2029</v>
      </c>
    </row>
    <row r="2236" spans="53:54" x14ac:dyDescent="0.2">
      <c r="BA2236" s="581">
        <v>47069</v>
      </c>
      <c r="BB2236" s="582">
        <v>2029</v>
      </c>
    </row>
    <row r="2237" spans="53:54" x14ac:dyDescent="0.2">
      <c r="BA2237" s="581">
        <v>47070</v>
      </c>
      <c r="BB2237" s="582">
        <v>2029</v>
      </c>
    </row>
    <row r="2238" spans="53:54" x14ac:dyDescent="0.2">
      <c r="BA2238" s="581">
        <v>47071</v>
      </c>
      <c r="BB2238" s="582">
        <v>2029</v>
      </c>
    </row>
    <row r="2239" spans="53:54" x14ac:dyDescent="0.2">
      <c r="BA2239" s="581">
        <v>47072</v>
      </c>
      <c r="BB2239" s="582">
        <v>2029</v>
      </c>
    </row>
    <row r="2240" spans="53:54" x14ac:dyDescent="0.2">
      <c r="BA2240" s="581">
        <v>47073</v>
      </c>
      <c r="BB2240" s="582">
        <v>2029</v>
      </c>
    </row>
    <row r="2241" spans="53:54" x14ac:dyDescent="0.2">
      <c r="BA2241" s="581">
        <v>47074</v>
      </c>
      <c r="BB2241" s="582">
        <v>2029</v>
      </c>
    </row>
    <row r="2242" spans="53:54" x14ac:dyDescent="0.2">
      <c r="BA2242" s="581">
        <v>47075</v>
      </c>
      <c r="BB2242" s="582">
        <v>2029</v>
      </c>
    </row>
    <row r="2243" spans="53:54" x14ac:dyDescent="0.2">
      <c r="BA2243" s="581">
        <v>47076</v>
      </c>
      <c r="BB2243" s="582">
        <v>2029</v>
      </c>
    </row>
    <row r="2244" spans="53:54" x14ac:dyDescent="0.2">
      <c r="BA2244" s="581">
        <v>47077</v>
      </c>
      <c r="BB2244" s="582">
        <v>2029</v>
      </c>
    </row>
    <row r="2245" spans="53:54" x14ac:dyDescent="0.2">
      <c r="BA2245" s="581">
        <v>47078</v>
      </c>
      <c r="BB2245" s="582">
        <v>2029</v>
      </c>
    </row>
    <row r="2246" spans="53:54" x14ac:dyDescent="0.2">
      <c r="BA2246" s="581">
        <v>47079</v>
      </c>
      <c r="BB2246" s="582">
        <v>2029</v>
      </c>
    </row>
    <row r="2247" spans="53:54" x14ac:dyDescent="0.2">
      <c r="BA2247" s="581">
        <v>47080</v>
      </c>
      <c r="BB2247" s="582">
        <v>2029</v>
      </c>
    </row>
    <row r="2248" spans="53:54" x14ac:dyDescent="0.2">
      <c r="BA2248" s="581">
        <v>47081</v>
      </c>
      <c r="BB2248" s="582">
        <v>2029</v>
      </c>
    </row>
    <row r="2249" spans="53:54" x14ac:dyDescent="0.2">
      <c r="BA2249" s="581">
        <v>47082</v>
      </c>
      <c r="BB2249" s="582">
        <v>2029</v>
      </c>
    </row>
    <row r="2250" spans="53:54" x14ac:dyDescent="0.2">
      <c r="BA2250" s="581">
        <v>47083</v>
      </c>
      <c r="BB2250" s="582">
        <v>2029</v>
      </c>
    </row>
    <row r="2251" spans="53:54" x14ac:dyDescent="0.2">
      <c r="BA2251" s="581">
        <v>47084</v>
      </c>
      <c r="BB2251" s="582">
        <v>2029</v>
      </c>
    </row>
    <row r="2252" spans="53:54" x14ac:dyDescent="0.2">
      <c r="BA2252" s="581">
        <v>47085</v>
      </c>
      <c r="BB2252" s="582">
        <v>2029</v>
      </c>
    </row>
    <row r="2253" spans="53:54" x14ac:dyDescent="0.2">
      <c r="BA2253" s="581">
        <v>47086</v>
      </c>
      <c r="BB2253" s="582">
        <v>2029</v>
      </c>
    </row>
    <row r="2254" spans="53:54" x14ac:dyDescent="0.2">
      <c r="BA2254" s="581">
        <v>47087</v>
      </c>
      <c r="BB2254" s="582">
        <v>2029</v>
      </c>
    </row>
    <row r="2255" spans="53:54" x14ac:dyDescent="0.2">
      <c r="BA2255" s="581">
        <v>47088</v>
      </c>
      <c r="BB2255" s="582">
        <v>2029</v>
      </c>
    </row>
    <row r="2256" spans="53:54" x14ac:dyDescent="0.2">
      <c r="BA2256" s="581">
        <v>47089</v>
      </c>
      <c r="BB2256" s="582">
        <v>2029</v>
      </c>
    </row>
    <row r="2257" spans="53:54" x14ac:dyDescent="0.2">
      <c r="BA2257" s="581">
        <v>47090</v>
      </c>
      <c r="BB2257" s="582">
        <v>2029</v>
      </c>
    </row>
    <row r="2258" spans="53:54" x14ac:dyDescent="0.2">
      <c r="BA2258" s="581">
        <v>47091</v>
      </c>
      <c r="BB2258" s="582">
        <v>2029</v>
      </c>
    </row>
    <row r="2259" spans="53:54" x14ac:dyDescent="0.2">
      <c r="BA2259" s="581">
        <v>47092</v>
      </c>
      <c r="BB2259" s="582">
        <v>2029</v>
      </c>
    </row>
    <row r="2260" spans="53:54" x14ac:dyDescent="0.2">
      <c r="BA2260" s="581">
        <v>47093</v>
      </c>
      <c r="BB2260" s="582">
        <v>2029</v>
      </c>
    </row>
    <row r="2261" spans="53:54" x14ac:dyDescent="0.2">
      <c r="BA2261" s="581">
        <v>47094</v>
      </c>
      <c r="BB2261" s="582">
        <v>2029</v>
      </c>
    </row>
    <row r="2262" spans="53:54" x14ac:dyDescent="0.2">
      <c r="BA2262" s="581">
        <v>47095</v>
      </c>
      <c r="BB2262" s="582">
        <v>2029</v>
      </c>
    </row>
    <row r="2263" spans="53:54" x14ac:dyDescent="0.2">
      <c r="BA2263" s="581">
        <v>47096</v>
      </c>
      <c r="BB2263" s="582">
        <v>2029</v>
      </c>
    </row>
    <row r="2264" spans="53:54" x14ac:dyDescent="0.2">
      <c r="BA2264" s="581">
        <v>47097</v>
      </c>
      <c r="BB2264" s="582">
        <v>2029</v>
      </c>
    </row>
    <row r="2265" spans="53:54" x14ac:dyDescent="0.2">
      <c r="BA2265" s="581">
        <v>47098</v>
      </c>
      <c r="BB2265" s="582">
        <v>2029</v>
      </c>
    </row>
    <row r="2266" spans="53:54" x14ac:dyDescent="0.2">
      <c r="BA2266" s="581">
        <v>47099</v>
      </c>
      <c r="BB2266" s="582">
        <v>2029</v>
      </c>
    </row>
    <row r="2267" spans="53:54" x14ac:dyDescent="0.2">
      <c r="BA2267" s="581">
        <v>47100</v>
      </c>
      <c r="BB2267" s="582">
        <v>2029</v>
      </c>
    </row>
    <row r="2268" spans="53:54" x14ac:dyDescent="0.2">
      <c r="BA2268" s="581">
        <v>47101</v>
      </c>
      <c r="BB2268" s="582">
        <v>2029</v>
      </c>
    </row>
    <row r="2269" spans="53:54" x14ac:dyDescent="0.2">
      <c r="BA2269" s="581">
        <v>47102</v>
      </c>
      <c r="BB2269" s="582">
        <v>2029</v>
      </c>
    </row>
    <row r="2270" spans="53:54" x14ac:dyDescent="0.2">
      <c r="BA2270" s="581">
        <v>47103</v>
      </c>
      <c r="BB2270" s="582">
        <v>2029</v>
      </c>
    </row>
    <row r="2271" spans="53:54" x14ac:dyDescent="0.2">
      <c r="BA2271" s="581">
        <v>47104</v>
      </c>
      <c r="BB2271" s="582">
        <v>2029</v>
      </c>
    </row>
    <row r="2272" spans="53:54" x14ac:dyDescent="0.2">
      <c r="BA2272" s="581">
        <v>47105</v>
      </c>
      <c r="BB2272" s="582">
        <v>2029</v>
      </c>
    </row>
    <row r="2273" spans="53:54" x14ac:dyDescent="0.2">
      <c r="BA2273" s="581">
        <v>47106</v>
      </c>
      <c r="BB2273" s="582">
        <v>2029</v>
      </c>
    </row>
    <row r="2274" spans="53:54" x14ac:dyDescent="0.2">
      <c r="BA2274" s="581">
        <v>47107</v>
      </c>
      <c r="BB2274" s="582">
        <v>2029</v>
      </c>
    </row>
    <row r="2275" spans="53:54" x14ac:dyDescent="0.2">
      <c r="BA2275" s="581">
        <v>47108</v>
      </c>
      <c r="BB2275" s="582">
        <v>2029</v>
      </c>
    </row>
    <row r="2276" spans="53:54" x14ac:dyDescent="0.2">
      <c r="BA2276" s="581">
        <v>47109</v>
      </c>
      <c r="BB2276" s="582">
        <v>2029</v>
      </c>
    </row>
    <row r="2277" spans="53:54" x14ac:dyDescent="0.2">
      <c r="BA2277" s="581">
        <v>47110</v>
      </c>
      <c r="BB2277" s="582">
        <v>2029</v>
      </c>
    </row>
    <row r="2278" spans="53:54" x14ac:dyDescent="0.2">
      <c r="BA2278" s="581">
        <v>47111</v>
      </c>
      <c r="BB2278" s="582">
        <v>2029</v>
      </c>
    </row>
    <row r="2279" spans="53:54" x14ac:dyDescent="0.2">
      <c r="BA2279" s="581">
        <v>47112</v>
      </c>
      <c r="BB2279" s="582">
        <v>2029</v>
      </c>
    </row>
    <row r="2280" spans="53:54" x14ac:dyDescent="0.2">
      <c r="BA2280" s="581">
        <v>47113</v>
      </c>
      <c r="BB2280" s="582">
        <v>2029</v>
      </c>
    </row>
    <row r="2281" spans="53:54" x14ac:dyDescent="0.2">
      <c r="BA2281" s="581">
        <v>47114</v>
      </c>
      <c r="BB2281" s="582">
        <v>2029</v>
      </c>
    </row>
    <row r="2282" spans="53:54" x14ac:dyDescent="0.2">
      <c r="BA2282" s="581">
        <v>47115</v>
      </c>
      <c r="BB2282" s="582">
        <v>2029</v>
      </c>
    </row>
    <row r="2283" spans="53:54" x14ac:dyDescent="0.2">
      <c r="BA2283" s="581">
        <v>47116</v>
      </c>
      <c r="BB2283" s="582">
        <v>2029</v>
      </c>
    </row>
    <row r="2284" spans="53:54" x14ac:dyDescent="0.2">
      <c r="BA2284" s="581">
        <v>47117</v>
      </c>
      <c r="BB2284" s="582">
        <v>2029</v>
      </c>
    </row>
    <row r="2285" spans="53:54" x14ac:dyDescent="0.2">
      <c r="BA2285" s="581">
        <v>47118</v>
      </c>
      <c r="BB2285" s="582">
        <v>2029</v>
      </c>
    </row>
    <row r="2286" spans="53:54" x14ac:dyDescent="0.2">
      <c r="BA2286" s="581">
        <v>47119</v>
      </c>
      <c r="BB2286" s="582">
        <v>2029</v>
      </c>
    </row>
    <row r="2287" spans="53:54" x14ac:dyDescent="0.2">
      <c r="BA2287" s="581">
        <v>47120</v>
      </c>
      <c r="BB2287" s="582">
        <v>2029</v>
      </c>
    </row>
    <row r="2288" spans="53:54" x14ac:dyDescent="0.2">
      <c r="BA2288" s="581">
        <v>47121</v>
      </c>
      <c r="BB2288" s="582">
        <v>2029</v>
      </c>
    </row>
    <row r="2289" spans="53:54" x14ac:dyDescent="0.2">
      <c r="BA2289" s="581">
        <v>47122</v>
      </c>
      <c r="BB2289" s="582">
        <v>2029</v>
      </c>
    </row>
    <row r="2290" spans="53:54" x14ac:dyDescent="0.2">
      <c r="BA2290" s="581">
        <v>47123</v>
      </c>
      <c r="BB2290" s="582">
        <v>2029</v>
      </c>
    </row>
    <row r="2291" spans="53:54" x14ac:dyDescent="0.2">
      <c r="BA2291" s="581">
        <v>47124</v>
      </c>
      <c r="BB2291" s="582">
        <v>2029</v>
      </c>
    </row>
    <row r="2292" spans="53:54" x14ac:dyDescent="0.2">
      <c r="BA2292" s="581">
        <v>47125</v>
      </c>
      <c r="BB2292" s="582">
        <v>2029</v>
      </c>
    </row>
    <row r="2293" spans="53:54" x14ac:dyDescent="0.2">
      <c r="BA2293" s="581">
        <v>47126</v>
      </c>
      <c r="BB2293" s="582">
        <v>2029</v>
      </c>
    </row>
    <row r="2294" spans="53:54" x14ac:dyDescent="0.2">
      <c r="BA2294" s="581">
        <v>47127</v>
      </c>
      <c r="BB2294" s="582">
        <v>2029</v>
      </c>
    </row>
    <row r="2295" spans="53:54" x14ac:dyDescent="0.2">
      <c r="BA2295" s="581">
        <v>47128</v>
      </c>
      <c r="BB2295" s="582">
        <v>2029</v>
      </c>
    </row>
    <row r="2296" spans="53:54" x14ac:dyDescent="0.2">
      <c r="BA2296" s="581">
        <v>47129</v>
      </c>
      <c r="BB2296" s="582">
        <v>2029</v>
      </c>
    </row>
    <row r="2297" spans="53:54" x14ac:dyDescent="0.2">
      <c r="BA2297" s="581">
        <v>47130</v>
      </c>
      <c r="BB2297" s="582">
        <v>2029</v>
      </c>
    </row>
    <row r="2298" spans="53:54" x14ac:dyDescent="0.2">
      <c r="BA2298" s="581">
        <v>47131</v>
      </c>
      <c r="BB2298" s="582">
        <v>2029</v>
      </c>
    </row>
    <row r="2299" spans="53:54" x14ac:dyDescent="0.2">
      <c r="BA2299" s="581">
        <v>47132</v>
      </c>
      <c r="BB2299" s="582">
        <v>2029</v>
      </c>
    </row>
    <row r="2300" spans="53:54" x14ac:dyDescent="0.2">
      <c r="BA2300" s="581">
        <v>47133</v>
      </c>
      <c r="BB2300" s="582">
        <v>2029</v>
      </c>
    </row>
    <row r="2301" spans="53:54" x14ac:dyDescent="0.2">
      <c r="BA2301" s="581">
        <v>47134</v>
      </c>
      <c r="BB2301" s="582">
        <v>2029</v>
      </c>
    </row>
    <row r="2302" spans="53:54" x14ac:dyDescent="0.2">
      <c r="BA2302" s="581">
        <v>47135</v>
      </c>
      <c r="BB2302" s="582">
        <v>2029</v>
      </c>
    </row>
    <row r="2303" spans="53:54" x14ac:dyDescent="0.2">
      <c r="BA2303" s="581">
        <v>47136</v>
      </c>
      <c r="BB2303" s="582">
        <v>2029</v>
      </c>
    </row>
    <row r="2304" spans="53:54" x14ac:dyDescent="0.2">
      <c r="BA2304" s="581">
        <v>47137</v>
      </c>
      <c r="BB2304" s="582">
        <v>2029</v>
      </c>
    </row>
    <row r="2305" spans="53:54" x14ac:dyDescent="0.2">
      <c r="BA2305" s="581">
        <v>47138</v>
      </c>
      <c r="BB2305" s="582">
        <v>2029</v>
      </c>
    </row>
    <row r="2306" spans="53:54" x14ac:dyDescent="0.2">
      <c r="BA2306" s="581">
        <v>47139</v>
      </c>
      <c r="BB2306" s="582">
        <v>2029</v>
      </c>
    </row>
    <row r="2307" spans="53:54" x14ac:dyDescent="0.2">
      <c r="BA2307" s="581">
        <v>47140</v>
      </c>
      <c r="BB2307" s="582">
        <v>2029</v>
      </c>
    </row>
    <row r="2308" spans="53:54" x14ac:dyDescent="0.2">
      <c r="BA2308" s="581">
        <v>47141</v>
      </c>
      <c r="BB2308" s="582">
        <v>2029</v>
      </c>
    </row>
    <row r="2309" spans="53:54" x14ac:dyDescent="0.2">
      <c r="BA2309" s="581">
        <v>47142</v>
      </c>
      <c r="BB2309" s="582">
        <v>2029</v>
      </c>
    </row>
    <row r="2310" spans="53:54" x14ac:dyDescent="0.2">
      <c r="BA2310" s="581">
        <v>47143</v>
      </c>
      <c r="BB2310" s="582">
        <v>2029</v>
      </c>
    </row>
    <row r="2311" spans="53:54" x14ac:dyDescent="0.2">
      <c r="BA2311" s="581">
        <v>47144</v>
      </c>
      <c r="BB2311" s="582">
        <v>2029</v>
      </c>
    </row>
    <row r="2312" spans="53:54" x14ac:dyDescent="0.2">
      <c r="BA2312" s="581">
        <v>47145</v>
      </c>
      <c r="BB2312" s="582">
        <v>2029</v>
      </c>
    </row>
    <row r="2313" spans="53:54" x14ac:dyDescent="0.2">
      <c r="BA2313" s="581">
        <v>47146</v>
      </c>
      <c r="BB2313" s="582">
        <v>2029</v>
      </c>
    </row>
    <row r="2314" spans="53:54" x14ac:dyDescent="0.2">
      <c r="BA2314" s="581">
        <v>47147</v>
      </c>
      <c r="BB2314" s="582">
        <v>2029</v>
      </c>
    </row>
    <row r="2315" spans="53:54" x14ac:dyDescent="0.2">
      <c r="BA2315" s="581">
        <v>47148</v>
      </c>
      <c r="BB2315" s="582">
        <v>2029</v>
      </c>
    </row>
    <row r="2316" spans="53:54" x14ac:dyDescent="0.2">
      <c r="BA2316" s="581">
        <v>47149</v>
      </c>
      <c r="BB2316" s="582">
        <v>2029</v>
      </c>
    </row>
    <row r="2317" spans="53:54" x14ac:dyDescent="0.2">
      <c r="BA2317" s="581">
        <v>47150</v>
      </c>
      <c r="BB2317" s="582">
        <v>2029</v>
      </c>
    </row>
    <row r="2318" spans="53:54" x14ac:dyDescent="0.2">
      <c r="BA2318" s="581">
        <v>47151</v>
      </c>
      <c r="BB2318" s="582">
        <v>2029</v>
      </c>
    </row>
    <row r="2319" spans="53:54" x14ac:dyDescent="0.2">
      <c r="BA2319" s="581">
        <v>47152</v>
      </c>
      <c r="BB2319" s="582">
        <v>2029</v>
      </c>
    </row>
    <row r="2320" spans="53:54" x14ac:dyDescent="0.2">
      <c r="BA2320" s="581">
        <v>47153</v>
      </c>
      <c r="BB2320" s="582">
        <v>2029</v>
      </c>
    </row>
    <row r="2321" spans="53:54" x14ac:dyDescent="0.2">
      <c r="BA2321" s="581">
        <v>47154</v>
      </c>
      <c r="BB2321" s="582">
        <v>2029</v>
      </c>
    </row>
    <row r="2322" spans="53:54" x14ac:dyDescent="0.2">
      <c r="BA2322" s="581">
        <v>47155</v>
      </c>
      <c r="BB2322" s="582">
        <v>2029</v>
      </c>
    </row>
    <row r="2323" spans="53:54" x14ac:dyDescent="0.2">
      <c r="BA2323" s="581">
        <v>47156</v>
      </c>
      <c r="BB2323" s="582">
        <v>2029</v>
      </c>
    </row>
    <row r="2324" spans="53:54" x14ac:dyDescent="0.2">
      <c r="BA2324" s="581">
        <v>47157</v>
      </c>
      <c r="BB2324" s="582">
        <v>2029</v>
      </c>
    </row>
    <row r="2325" spans="53:54" x14ac:dyDescent="0.2">
      <c r="BA2325" s="581">
        <v>47158</v>
      </c>
      <c r="BB2325" s="582">
        <v>2029</v>
      </c>
    </row>
    <row r="2326" spans="53:54" x14ac:dyDescent="0.2">
      <c r="BA2326" s="581">
        <v>47159</v>
      </c>
      <c r="BB2326" s="582">
        <v>2029</v>
      </c>
    </row>
    <row r="2327" spans="53:54" x14ac:dyDescent="0.2">
      <c r="BA2327" s="581">
        <v>47160</v>
      </c>
      <c r="BB2327" s="582">
        <v>2029</v>
      </c>
    </row>
    <row r="2328" spans="53:54" x14ac:dyDescent="0.2">
      <c r="BA2328" s="581">
        <v>47161</v>
      </c>
      <c r="BB2328" s="582">
        <v>2029</v>
      </c>
    </row>
    <row r="2329" spans="53:54" x14ac:dyDescent="0.2">
      <c r="BA2329" s="581">
        <v>47162</v>
      </c>
      <c r="BB2329" s="582">
        <v>2029</v>
      </c>
    </row>
    <row r="2330" spans="53:54" x14ac:dyDescent="0.2">
      <c r="BA2330" s="581">
        <v>47163</v>
      </c>
      <c r="BB2330" s="582">
        <v>2029</v>
      </c>
    </row>
    <row r="2331" spans="53:54" x14ac:dyDescent="0.2">
      <c r="BA2331" s="581">
        <v>47164</v>
      </c>
      <c r="BB2331" s="582">
        <v>2029</v>
      </c>
    </row>
    <row r="2332" spans="53:54" x14ac:dyDescent="0.2">
      <c r="BA2332" s="581">
        <v>47165</v>
      </c>
      <c r="BB2332" s="582">
        <v>2029</v>
      </c>
    </row>
    <row r="2333" spans="53:54" x14ac:dyDescent="0.2">
      <c r="BA2333" s="581">
        <v>47166</v>
      </c>
      <c r="BB2333" s="582">
        <v>2029</v>
      </c>
    </row>
    <row r="2334" spans="53:54" x14ac:dyDescent="0.2">
      <c r="BA2334" s="581">
        <v>47167</v>
      </c>
      <c r="BB2334" s="582">
        <v>2029</v>
      </c>
    </row>
    <row r="2335" spans="53:54" x14ac:dyDescent="0.2">
      <c r="BA2335" s="581">
        <v>47168</v>
      </c>
      <c r="BB2335" s="582">
        <v>2029</v>
      </c>
    </row>
    <row r="2336" spans="53:54" x14ac:dyDescent="0.2">
      <c r="BA2336" s="581">
        <v>47169</v>
      </c>
      <c r="BB2336" s="582">
        <v>2029</v>
      </c>
    </row>
    <row r="2337" spans="53:54" x14ac:dyDescent="0.2">
      <c r="BA2337" s="581">
        <v>47170</v>
      </c>
      <c r="BB2337" s="582">
        <v>2029</v>
      </c>
    </row>
    <row r="2338" spans="53:54" x14ac:dyDescent="0.2">
      <c r="BA2338" s="581">
        <v>47171</v>
      </c>
      <c r="BB2338" s="582">
        <v>2029</v>
      </c>
    </row>
    <row r="2339" spans="53:54" x14ac:dyDescent="0.2">
      <c r="BA2339" s="581">
        <v>47172</v>
      </c>
      <c r="BB2339" s="582">
        <v>2029</v>
      </c>
    </row>
    <row r="2340" spans="53:54" x14ac:dyDescent="0.2">
      <c r="BA2340" s="581">
        <v>47173</v>
      </c>
      <c r="BB2340" s="582">
        <v>2029</v>
      </c>
    </row>
    <row r="2341" spans="53:54" x14ac:dyDescent="0.2">
      <c r="BA2341" s="581">
        <v>47174</v>
      </c>
      <c r="BB2341" s="582">
        <v>2029</v>
      </c>
    </row>
    <row r="2342" spans="53:54" x14ac:dyDescent="0.2">
      <c r="BA2342" s="581">
        <v>47175</v>
      </c>
      <c r="BB2342" s="582">
        <v>2029</v>
      </c>
    </row>
    <row r="2343" spans="53:54" x14ac:dyDescent="0.2">
      <c r="BA2343" s="581">
        <v>47176</v>
      </c>
      <c r="BB2343" s="582">
        <v>2029</v>
      </c>
    </row>
    <row r="2344" spans="53:54" x14ac:dyDescent="0.2">
      <c r="BA2344" s="581">
        <v>47177</v>
      </c>
      <c r="BB2344" s="582">
        <v>2029</v>
      </c>
    </row>
    <row r="2345" spans="53:54" x14ac:dyDescent="0.2">
      <c r="BA2345" s="581">
        <v>47178</v>
      </c>
      <c r="BB2345" s="582">
        <v>2029</v>
      </c>
    </row>
    <row r="2346" spans="53:54" x14ac:dyDescent="0.2">
      <c r="BA2346" s="581">
        <v>47179</v>
      </c>
      <c r="BB2346" s="582">
        <v>2029</v>
      </c>
    </row>
    <row r="2347" spans="53:54" x14ac:dyDescent="0.2">
      <c r="BA2347" s="581">
        <v>47180</v>
      </c>
      <c r="BB2347" s="582">
        <v>2029</v>
      </c>
    </row>
    <row r="2348" spans="53:54" x14ac:dyDescent="0.2">
      <c r="BA2348" s="581">
        <v>47181</v>
      </c>
      <c r="BB2348" s="582">
        <v>2029</v>
      </c>
    </row>
    <row r="2349" spans="53:54" x14ac:dyDescent="0.2">
      <c r="BA2349" s="581">
        <v>47182</v>
      </c>
      <c r="BB2349" s="582">
        <v>2029</v>
      </c>
    </row>
    <row r="2350" spans="53:54" x14ac:dyDescent="0.2">
      <c r="BA2350" s="581">
        <v>47183</v>
      </c>
      <c r="BB2350" s="582">
        <v>2029</v>
      </c>
    </row>
    <row r="2351" spans="53:54" x14ac:dyDescent="0.2">
      <c r="BA2351" s="581">
        <v>47184</v>
      </c>
      <c r="BB2351" s="582">
        <v>2029</v>
      </c>
    </row>
    <row r="2352" spans="53:54" x14ac:dyDescent="0.2">
      <c r="BA2352" s="581">
        <v>47185</v>
      </c>
      <c r="BB2352" s="582">
        <v>2029</v>
      </c>
    </row>
    <row r="2353" spans="53:54" x14ac:dyDescent="0.2">
      <c r="BA2353" s="581">
        <v>47186</v>
      </c>
      <c r="BB2353" s="582">
        <v>2029</v>
      </c>
    </row>
    <row r="2354" spans="53:54" x14ac:dyDescent="0.2">
      <c r="BA2354" s="581">
        <v>47187</v>
      </c>
      <c r="BB2354" s="582">
        <v>2029</v>
      </c>
    </row>
    <row r="2355" spans="53:54" x14ac:dyDescent="0.2">
      <c r="BA2355" s="581">
        <v>47188</v>
      </c>
      <c r="BB2355" s="582">
        <v>2029</v>
      </c>
    </row>
    <row r="2356" spans="53:54" x14ac:dyDescent="0.2">
      <c r="BA2356" s="581">
        <v>47189</v>
      </c>
      <c r="BB2356" s="582">
        <v>2029</v>
      </c>
    </row>
    <row r="2357" spans="53:54" x14ac:dyDescent="0.2">
      <c r="BA2357" s="581">
        <v>47190</v>
      </c>
      <c r="BB2357" s="582">
        <v>2029</v>
      </c>
    </row>
    <row r="2358" spans="53:54" x14ac:dyDescent="0.2">
      <c r="BA2358" s="581">
        <v>47191</v>
      </c>
      <c r="BB2358" s="582">
        <v>2029</v>
      </c>
    </row>
    <row r="2359" spans="53:54" x14ac:dyDescent="0.2">
      <c r="BA2359" s="581">
        <v>47192</v>
      </c>
      <c r="BB2359" s="582">
        <v>2029</v>
      </c>
    </row>
    <row r="2360" spans="53:54" x14ac:dyDescent="0.2">
      <c r="BA2360" s="581">
        <v>47193</v>
      </c>
      <c r="BB2360" s="582">
        <v>2029</v>
      </c>
    </row>
    <row r="2361" spans="53:54" x14ac:dyDescent="0.2">
      <c r="BA2361" s="581">
        <v>47194</v>
      </c>
      <c r="BB2361" s="582">
        <v>2029</v>
      </c>
    </row>
    <row r="2362" spans="53:54" x14ac:dyDescent="0.2">
      <c r="BA2362" s="581">
        <v>47195</v>
      </c>
      <c r="BB2362" s="582">
        <v>2029</v>
      </c>
    </row>
    <row r="2363" spans="53:54" x14ac:dyDescent="0.2">
      <c r="BA2363" s="581">
        <v>47196</v>
      </c>
      <c r="BB2363" s="582">
        <v>2029</v>
      </c>
    </row>
    <row r="2364" spans="53:54" x14ac:dyDescent="0.2">
      <c r="BA2364" s="581">
        <v>47197</v>
      </c>
      <c r="BB2364" s="582">
        <v>2029</v>
      </c>
    </row>
    <row r="2365" spans="53:54" x14ac:dyDescent="0.2">
      <c r="BA2365" s="581">
        <v>47198</v>
      </c>
      <c r="BB2365" s="582">
        <v>2029</v>
      </c>
    </row>
    <row r="2366" spans="53:54" x14ac:dyDescent="0.2">
      <c r="BA2366" s="581">
        <v>47199</v>
      </c>
      <c r="BB2366" s="582">
        <v>2029</v>
      </c>
    </row>
    <row r="2367" spans="53:54" x14ac:dyDescent="0.2">
      <c r="BA2367" s="581">
        <v>47200</v>
      </c>
      <c r="BB2367" s="582">
        <v>2029</v>
      </c>
    </row>
    <row r="2368" spans="53:54" x14ac:dyDescent="0.2">
      <c r="BA2368" s="581">
        <v>47201</v>
      </c>
      <c r="BB2368" s="582">
        <v>2029</v>
      </c>
    </row>
    <row r="2369" spans="53:54" x14ac:dyDescent="0.2">
      <c r="BA2369" s="581">
        <v>47202</v>
      </c>
      <c r="BB2369" s="582">
        <v>2029</v>
      </c>
    </row>
    <row r="2370" spans="53:54" x14ac:dyDescent="0.2">
      <c r="BA2370" s="581">
        <v>47203</v>
      </c>
      <c r="BB2370" s="582">
        <v>2029</v>
      </c>
    </row>
    <row r="2371" spans="53:54" x14ac:dyDescent="0.2">
      <c r="BA2371" s="581">
        <v>47204</v>
      </c>
      <c r="BB2371" s="582">
        <v>2029</v>
      </c>
    </row>
    <row r="2372" spans="53:54" x14ac:dyDescent="0.2">
      <c r="BA2372" s="581">
        <v>47205</v>
      </c>
      <c r="BB2372" s="582">
        <v>2029</v>
      </c>
    </row>
    <row r="2373" spans="53:54" x14ac:dyDescent="0.2">
      <c r="BA2373" s="581">
        <v>47206</v>
      </c>
      <c r="BB2373" s="582">
        <v>2029</v>
      </c>
    </row>
    <row r="2374" spans="53:54" x14ac:dyDescent="0.2">
      <c r="BA2374" s="581">
        <v>47207</v>
      </c>
      <c r="BB2374" s="582">
        <v>2029</v>
      </c>
    </row>
    <row r="2375" spans="53:54" x14ac:dyDescent="0.2">
      <c r="BA2375" s="581">
        <v>47208</v>
      </c>
      <c r="BB2375" s="582">
        <v>2029</v>
      </c>
    </row>
    <row r="2376" spans="53:54" x14ac:dyDescent="0.2">
      <c r="BA2376" s="581">
        <v>47209</v>
      </c>
      <c r="BB2376" s="582">
        <v>2029</v>
      </c>
    </row>
    <row r="2377" spans="53:54" x14ac:dyDescent="0.2">
      <c r="BA2377" s="581">
        <v>47210</v>
      </c>
      <c r="BB2377" s="582">
        <v>2029</v>
      </c>
    </row>
    <row r="2378" spans="53:54" x14ac:dyDescent="0.2">
      <c r="BA2378" s="581">
        <v>47211</v>
      </c>
      <c r="BB2378" s="582">
        <v>2029</v>
      </c>
    </row>
    <row r="2379" spans="53:54" x14ac:dyDescent="0.2">
      <c r="BA2379" s="581">
        <v>47212</v>
      </c>
      <c r="BB2379" s="582">
        <v>2029</v>
      </c>
    </row>
    <row r="2380" spans="53:54" x14ac:dyDescent="0.2">
      <c r="BA2380" s="581">
        <v>47213</v>
      </c>
      <c r="BB2380" s="582">
        <v>2029</v>
      </c>
    </row>
    <row r="2381" spans="53:54" x14ac:dyDescent="0.2">
      <c r="BA2381" s="581">
        <v>47214</v>
      </c>
      <c r="BB2381" s="582">
        <v>2029</v>
      </c>
    </row>
    <row r="2382" spans="53:54" x14ac:dyDescent="0.2">
      <c r="BA2382" s="581">
        <v>47215</v>
      </c>
      <c r="BB2382" s="582">
        <v>2029</v>
      </c>
    </row>
    <row r="2383" spans="53:54" x14ac:dyDescent="0.2">
      <c r="BA2383" s="581">
        <v>47216</v>
      </c>
      <c r="BB2383" s="582">
        <v>2029</v>
      </c>
    </row>
    <row r="2384" spans="53:54" x14ac:dyDescent="0.2">
      <c r="BA2384" s="581">
        <v>47217</v>
      </c>
      <c r="BB2384" s="582">
        <v>2029</v>
      </c>
    </row>
    <row r="2385" spans="53:54" x14ac:dyDescent="0.2">
      <c r="BA2385" s="581">
        <v>47218</v>
      </c>
      <c r="BB2385" s="582">
        <v>2029</v>
      </c>
    </row>
    <row r="2386" spans="53:54" x14ac:dyDescent="0.2">
      <c r="BA2386" s="581">
        <v>47219</v>
      </c>
      <c r="BB2386" s="582">
        <v>2029</v>
      </c>
    </row>
    <row r="2387" spans="53:54" x14ac:dyDescent="0.2">
      <c r="BA2387" s="581">
        <v>47220</v>
      </c>
      <c r="BB2387" s="582">
        <v>2029</v>
      </c>
    </row>
    <row r="2388" spans="53:54" x14ac:dyDescent="0.2">
      <c r="BA2388" s="581">
        <v>47221</v>
      </c>
      <c r="BB2388" s="582">
        <v>2029</v>
      </c>
    </row>
    <row r="2389" spans="53:54" x14ac:dyDescent="0.2">
      <c r="BA2389" s="581">
        <v>47222</v>
      </c>
      <c r="BB2389" s="582">
        <v>2029</v>
      </c>
    </row>
    <row r="2390" spans="53:54" x14ac:dyDescent="0.2">
      <c r="BA2390" s="581">
        <v>47223</v>
      </c>
      <c r="BB2390" s="582">
        <v>2029</v>
      </c>
    </row>
    <row r="2391" spans="53:54" x14ac:dyDescent="0.2">
      <c r="BA2391" s="581">
        <v>47224</v>
      </c>
      <c r="BB2391" s="582">
        <v>2029</v>
      </c>
    </row>
    <row r="2392" spans="53:54" x14ac:dyDescent="0.2">
      <c r="BA2392" s="581">
        <v>47225</v>
      </c>
      <c r="BB2392" s="582">
        <v>2029</v>
      </c>
    </row>
    <row r="2393" spans="53:54" x14ac:dyDescent="0.2">
      <c r="BA2393" s="581">
        <v>47226</v>
      </c>
      <c r="BB2393" s="582">
        <v>2029</v>
      </c>
    </row>
    <row r="2394" spans="53:54" x14ac:dyDescent="0.2">
      <c r="BA2394" s="581">
        <v>47227</v>
      </c>
      <c r="BB2394" s="582">
        <v>2029</v>
      </c>
    </row>
    <row r="2395" spans="53:54" x14ac:dyDescent="0.2">
      <c r="BA2395" s="581">
        <v>47228</v>
      </c>
      <c r="BB2395" s="582">
        <v>2029</v>
      </c>
    </row>
    <row r="2396" spans="53:54" x14ac:dyDescent="0.2">
      <c r="BA2396" s="581">
        <v>47229</v>
      </c>
      <c r="BB2396" s="582">
        <v>2029</v>
      </c>
    </row>
    <row r="2397" spans="53:54" x14ac:dyDescent="0.2">
      <c r="BA2397" s="581">
        <v>47230</v>
      </c>
      <c r="BB2397" s="582">
        <v>2029</v>
      </c>
    </row>
    <row r="2398" spans="53:54" x14ac:dyDescent="0.2">
      <c r="BA2398" s="581">
        <v>47231</v>
      </c>
      <c r="BB2398" s="582">
        <v>2029</v>
      </c>
    </row>
    <row r="2399" spans="53:54" x14ac:dyDescent="0.2">
      <c r="BA2399" s="581">
        <v>47232</v>
      </c>
      <c r="BB2399" s="582">
        <v>2029</v>
      </c>
    </row>
    <row r="2400" spans="53:54" x14ac:dyDescent="0.2">
      <c r="BA2400" s="581">
        <v>47233</v>
      </c>
      <c r="BB2400" s="582">
        <v>2029</v>
      </c>
    </row>
    <row r="2401" spans="53:54" x14ac:dyDescent="0.2">
      <c r="BA2401" s="581">
        <v>47234</v>
      </c>
      <c r="BB2401" s="582">
        <v>2029</v>
      </c>
    </row>
    <row r="2402" spans="53:54" x14ac:dyDescent="0.2">
      <c r="BA2402" s="581">
        <v>47235</v>
      </c>
      <c r="BB2402" s="582">
        <v>2029</v>
      </c>
    </row>
    <row r="2403" spans="53:54" x14ac:dyDescent="0.2">
      <c r="BA2403" s="581">
        <v>47236</v>
      </c>
      <c r="BB2403" s="582">
        <v>2029</v>
      </c>
    </row>
    <row r="2404" spans="53:54" x14ac:dyDescent="0.2">
      <c r="BA2404" s="581">
        <v>47237</v>
      </c>
      <c r="BB2404" s="582">
        <v>2029</v>
      </c>
    </row>
    <row r="2405" spans="53:54" x14ac:dyDescent="0.2">
      <c r="BA2405" s="581">
        <v>47238</v>
      </c>
      <c r="BB2405" s="582">
        <v>2029</v>
      </c>
    </row>
    <row r="2406" spans="53:54" x14ac:dyDescent="0.2">
      <c r="BA2406" s="581">
        <v>47239</v>
      </c>
      <c r="BB2406" s="582">
        <v>2029</v>
      </c>
    </row>
    <row r="2407" spans="53:54" x14ac:dyDescent="0.2">
      <c r="BA2407" s="581">
        <v>47240</v>
      </c>
      <c r="BB2407" s="582">
        <v>2029</v>
      </c>
    </row>
    <row r="2408" spans="53:54" x14ac:dyDescent="0.2">
      <c r="BA2408" s="581">
        <v>47241</v>
      </c>
      <c r="BB2408" s="582">
        <v>2029</v>
      </c>
    </row>
    <row r="2409" spans="53:54" x14ac:dyDescent="0.2">
      <c r="BA2409" s="581">
        <v>47242</v>
      </c>
      <c r="BB2409" s="582">
        <v>2029</v>
      </c>
    </row>
    <row r="2410" spans="53:54" x14ac:dyDescent="0.2">
      <c r="BA2410" s="581">
        <v>47243</v>
      </c>
      <c r="BB2410" s="582">
        <v>2029</v>
      </c>
    </row>
    <row r="2411" spans="53:54" x14ac:dyDescent="0.2">
      <c r="BA2411" s="581">
        <v>47244</v>
      </c>
      <c r="BB2411" s="582">
        <v>2029</v>
      </c>
    </row>
    <row r="2412" spans="53:54" x14ac:dyDescent="0.2">
      <c r="BA2412" s="581">
        <v>47245</v>
      </c>
      <c r="BB2412" s="582">
        <v>2029</v>
      </c>
    </row>
    <row r="2413" spans="53:54" x14ac:dyDescent="0.2">
      <c r="BA2413" s="581">
        <v>47246</v>
      </c>
      <c r="BB2413" s="582">
        <v>2029</v>
      </c>
    </row>
    <row r="2414" spans="53:54" x14ac:dyDescent="0.2">
      <c r="BA2414" s="581">
        <v>47247</v>
      </c>
      <c r="BB2414" s="582">
        <v>2029</v>
      </c>
    </row>
    <row r="2415" spans="53:54" x14ac:dyDescent="0.2">
      <c r="BA2415" s="581">
        <v>47248</v>
      </c>
      <c r="BB2415" s="582">
        <v>2029</v>
      </c>
    </row>
    <row r="2416" spans="53:54" x14ac:dyDescent="0.2">
      <c r="BA2416" s="581">
        <v>47249</v>
      </c>
      <c r="BB2416" s="582">
        <v>2029</v>
      </c>
    </row>
    <row r="2417" spans="53:54" x14ac:dyDescent="0.2">
      <c r="BA2417" s="581">
        <v>47250</v>
      </c>
      <c r="BB2417" s="582">
        <v>2029</v>
      </c>
    </row>
    <row r="2418" spans="53:54" x14ac:dyDescent="0.2">
      <c r="BA2418" s="581">
        <v>47251</v>
      </c>
      <c r="BB2418" s="582">
        <v>2029</v>
      </c>
    </row>
    <row r="2419" spans="53:54" x14ac:dyDescent="0.2">
      <c r="BA2419" s="581">
        <v>47252</v>
      </c>
      <c r="BB2419" s="582">
        <v>2029</v>
      </c>
    </row>
    <row r="2420" spans="53:54" x14ac:dyDescent="0.2">
      <c r="BA2420" s="581">
        <v>47253</v>
      </c>
      <c r="BB2420" s="582">
        <v>2029</v>
      </c>
    </row>
    <row r="2421" spans="53:54" x14ac:dyDescent="0.2">
      <c r="BA2421" s="581">
        <v>47254</v>
      </c>
      <c r="BB2421" s="582">
        <v>2029</v>
      </c>
    </row>
    <row r="2422" spans="53:54" x14ac:dyDescent="0.2">
      <c r="BA2422" s="581">
        <v>47255</v>
      </c>
      <c r="BB2422" s="582">
        <v>2029</v>
      </c>
    </row>
    <row r="2423" spans="53:54" x14ac:dyDescent="0.2">
      <c r="BA2423" s="581">
        <v>47256</v>
      </c>
      <c r="BB2423" s="582">
        <v>2029</v>
      </c>
    </row>
    <row r="2424" spans="53:54" x14ac:dyDescent="0.2">
      <c r="BA2424" s="581">
        <v>47257</v>
      </c>
      <c r="BB2424" s="582">
        <v>2029</v>
      </c>
    </row>
    <row r="2425" spans="53:54" x14ac:dyDescent="0.2">
      <c r="BA2425" s="581">
        <v>47258</v>
      </c>
      <c r="BB2425" s="582">
        <v>2029</v>
      </c>
    </row>
    <row r="2426" spans="53:54" x14ac:dyDescent="0.2">
      <c r="BA2426" s="581">
        <v>47259</v>
      </c>
      <c r="BB2426" s="582">
        <v>2029</v>
      </c>
    </row>
    <row r="2427" spans="53:54" x14ac:dyDescent="0.2">
      <c r="BA2427" s="581">
        <v>47260</v>
      </c>
      <c r="BB2427" s="582">
        <v>2029</v>
      </c>
    </row>
    <row r="2428" spans="53:54" x14ac:dyDescent="0.2">
      <c r="BA2428" s="581">
        <v>47261</v>
      </c>
      <c r="BB2428" s="582">
        <v>2029</v>
      </c>
    </row>
    <row r="2429" spans="53:54" x14ac:dyDescent="0.2">
      <c r="BA2429" s="581">
        <v>47262</v>
      </c>
      <c r="BB2429" s="582">
        <v>2029</v>
      </c>
    </row>
    <row r="2430" spans="53:54" x14ac:dyDescent="0.2">
      <c r="BA2430" s="581">
        <v>47263</v>
      </c>
      <c r="BB2430" s="582">
        <v>2029</v>
      </c>
    </row>
    <row r="2431" spans="53:54" x14ac:dyDescent="0.2">
      <c r="BA2431" s="581">
        <v>47264</v>
      </c>
      <c r="BB2431" s="582">
        <v>2029</v>
      </c>
    </row>
    <row r="2432" spans="53:54" x14ac:dyDescent="0.2">
      <c r="BA2432" s="581">
        <v>47265</v>
      </c>
      <c r="BB2432" s="582">
        <v>2029</v>
      </c>
    </row>
    <row r="2433" spans="53:54" x14ac:dyDescent="0.2">
      <c r="BA2433" s="581">
        <v>47266</v>
      </c>
      <c r="BB2433" s="582">
        <v>2029</v>
      </c>
    </row>
    <row r="2434" spans="53:54" x14ac:dyDescent="0.2">
      <c r="BA2434" s="581">
        <v>47267</v>
      </c>
      <c r="BB2434" s="582">
        <v>2029</v>
      </c>
    </row>
    <row r="2435" spans="53:54" x14ac:dyDescent="0.2">
      <c r="BA2435" s="581">
        <v>47268</v>
      </c>
      <c r="BB2435" s="582">
        <v>2029</v>
      </c>
    </row>
    <row r="2436" spans="53:54" x14ac:dyDescent="0.2">
      <c r="BA2436" s="581">
        <v>47269</v>
      </c>
      <c r="BB2436" s="582">
        <v>2029</v>
      </c>
    </row>
    <row r="2437" spans="53:54" x14ac:dyDescent="0.2">
      <c r="BA2437" s="581">
        <v>47270</v>
      </c>
      <c r="BB2437" s="582">
        <v>2029</v>
      </c>
    </row>
    <row r="2438" spans="53:54" x14ac:dyDescent="0.2">
      <c r="BA2438" s="581">
        <v>47271</v>
      </c>
      <c r="BB2438" s="582">
        <v>2029</v>
      </c>
    </row>
    <row r="2439" spans="53:54" x14ac:dyDescent="0.2">
      <c r="BA2439" s="581">
        <v>47272</v>
      </c>
      <c r="BB2439" s="582">
        <v>2029</v>
      </c>
    </row>
    <row r="2440" spans="53:54" x14ac:dyDescent="0.2">
      <c r="BA2440" s="581">
        <v>47273</v>
      </c>
      <c r="BB2440" s="582">
        <v>2029</v>
      </c>
    </row>
    <row r="2441" spans="53:54" x14ac:dyDescent="0.2">
      <c r="BA2441" s="581">
        <v>47274</v>
      </c>
      <c r="BB2441" s="582">
        <v>2029</v>
      </c>
    </row>
    <row r="2442" spans="53:54" x14ac:dyDescent="0.2">
      <c r="BA2442" s="581">
        <v>47275</v>
      </c>
      <c r="BB2442" s="582">
        <v>2029</v>
      </c>
    </row>
    <row r="2443" spans="53:54" x14ac:dyDescent="0.2">
      <c r="BA2443" s="581">
        <v>47276</v>
      </c>
      <c r="BB2443" s="582">
        <v>2029</v>
      </c>
    </row>
    <row r="2444" spans="53:54" x14ac:dyDescent="0.2">
      <c r="BA2444" s="581">
        <v>47277</v>
      </c>
      <c r="BB2444" s="582">
        <v>2029</v>
      </c>
    </row>
    <row r="2445" spans="53:54" x14ac:dyDescent="0.2">
      <c r="BA2445" s="581">
        <v>47278</v>
      </c>
      <c r="BB2445" s="582">
        <v>2029</v>
      </c>
    </row>
    <row r="2446" spans="53:54" x14ac:dyDescent="0.2">
      <c r="BA2446" s="581">
        <v>47279</v>
      </c>
      <c r="BB2446" s="582">
        <v>2029</v>
      </c>
    </row>
    <row r="2447" spans="53:54" x14ac:dyDescent="0.2">
      <c r="BA2447" s="581">
        <v>47280</v>
      </c>
      <c r="BB2447" s="582">
        <v>2029</v>
      </c>
    </row>
    <row r="2448" spans="53:54" x14ac:dyDescent="0.2">
      <c r="BA2448" s="581">
        <v>47281</v>
      </c>
      <c r="BB2448" s="582">
        <v>2029</v>
      </c>
    </row>
    <row r="2449" spans="53:54" x14ac:dyDescent="0.2">
      <c r="BA2449" s="581">
        <v>47282</v>
      </c>
      <c r="BB2449" s="582">
        <v>2029</v>
      </c>
    </row>
    <row r="2450" spans="53:54" x14ac:dyDescent="0.2">
      <c r="BA2450" s="581">
        <v>47283</v>
      </c>
      <c r="BB2450" s="582">
        <v>2029</v>
      </c>
    </row>
    <row r="2451" spans="53:54" x14ac:dyDescent="0.2">
      <c r="BA2451" s="581">
        <v>47284</v>
      </c>
      <c r="BB2451" s="582">
        <v>2029</v>
      </c>
    </row>
    <row r="2452" spans="53:54" x14ac:dyDescent="0.2">
      <c r="BA2452" s="581">
        <v>47285</v>
      </c>
      <c r="BB2452" s="582">
        <v>2029</v>
      </c>
    </row>
    <row r="2453" spans="53:54" x14ac:dyDescent="0.2">
      <c r="BA2453" s="581">
        <v>47286</v>
      </c>
      <c r="BB2453" s="582">
        <v>2029</v>
      </c>
    </row>
    <row r="2454" spans="53:54" x14ac:dyDescent="0.2">
      <c r="BA2454" s="581">
        <v>47287</v>
      </c>
      <c r="BB2454" s="582">
        <v>2029</v>
      </c>
    </row>
    <row r="2455" spans="53:54" x14ac:dyDescent="0.2">
      <c r="BA2455" s="581">
        <v>47288</v>
      </c>
      <c r="BB2455" s="582">
        <v>2029</v>
      </c>
    </row>
    <row r="2456" spans="53:54" x14ac:dyDescent="0.2">
      <c r="BA2456" s="581">
        <v>47289</v>
      </c>
      <c r="BB2456" s="582">
        <v>2029</v>
      </c>
    </row>
    <row r="2457" spans="53:54" x14ac:dyDescent="0.2">
      <c r="BA2457" s="581">
        <v>47290</v>
      </c>
      <c r="BB2457" s="582">
        <v>2029</v>
      </c>
    </row>
    <row r="2458" spans="53:54" x14ac:dyDescent="0.2">
      <c r="BA2458" s="581">
        <v>47291</v>
      </c>
      <c r="BB2458" s="582">
        <v>2029</v>
      </c>
    </row>
    <row r="2459" spans="53:54" x14ac:dyDescent="0.2">
      <c r="BA2459" s="581">
        <v>47292</v>
      </c>
      <c r="BB2459" s="582">
        <v>2029</v>
      </c>
    </row>
    <row r="2460" spans="53:54" x14ac:dyDescent="0.2">
      <c r="BA2460" s="581">
        <v>47293</v>
      </c>
      <c r="BB2460" s="582">
        <v>2029</v>
      </c>
    </row>
    <row r="2461" spans="53:54" x14ac:dyDescent="0.2">
      <c r="BA2461" s="581">
        <v>47294</v>
      </c>
      <c r="BB2461" s="582">
        <v>2029</v>
      </c>
    </row>
    <row r="2462" spans="53:54" x14ac:dyDescent="0.2">
      <c r="BA2462" s="581">
        <v>47295</v>
      </c>
      <c r="BB2462" s="582">
        <v>2029</v>
      </c>
    </row>
    <row r="2463" spans="53:54" x14ac:dyDescent="0.2">
      <c r="BA2463" s="581">
        <v>47296</v>
      </c>
      <c r="BB2463" s="582">
        <v>2029</v>
      </c>
    </row>
    <row r="2464" spans="53:54" x14ac:dyDescent="0.2">
      <c r="BA2464" s="581">
        <v>47297</v>
      </c>
      <c r="BB2464" s="582">
        <v>2029</v>
      </c>
    </row>
    <row r="2465" spans="53:54" x14ac:dyDescent="0.2">
      <c r="BA2465" s="581">
        <v>47298</v>
      </c>
      <c r="BB2465" s="582">
        <v>2029</v>
      </c>
    </row>
    <row r="2466" spans="53:54" x14ac:dyDescent="0.2">
      <c r="BA2466" s="581">
        <v>47299</v>
      </c>
      <c r="BB2466" s="582">
        <v>2029</v>
      </c>
    </row>
    <row r="2467" spans="53:54" x14ac:dyDescent="0.2">
      <c r="BA2467" s="581">
        <v>47300</v>
      </c>
      <c r="BB2467" s="582">
        <v>2029</v>
      </c>
    </row>
    <row r="2468" spans="53:54" x14ac:dyDescent="0.2">
      <c r="BA2468" s="581">
        <v>47301</v>
      </c>
      <c r="BB2468" s="582">
        <v>2029</v>
      </c>
    </row>
    <row r="2469" spans="53:54" x14ac:dyDescent="0.2">
      <c r="BA2469" s="581">
        <v>47302</v>
      </c>
      <c r="BB2469" s="582">
        <v>2029</v>
      </c>
    </row>
    <row r="2470" spans="53:54" x14ac:dyDescent="0.2">
      <c r="BA2470" s="581">
        <v>47303</v>
      </c>
      <c r="BB2470" s="582">
        <v>2029</v>
      </c>
    </row>
    <row r="2471" spans="53:54" x14ac:dyDescent="0.2">
      <c r="BA2471" s="581">
        <v>47304</v>
      </c>
      <c r="BB2471" s="582">
        <v>2029</v>
      </c>
    </row>
    <row r="2472" spans="53:54" x14ac:dyDescent="0.2">
      <c r="BA2472" s="581">
        <v>47305</v>
      </c>
      <c r="BB2472" s="582">
        <v>2029</v>
      </c>
    </row>
    <row r="2473" spans="53:54" x14ac:dyDescent="0.2">
      <c r="BA2473" s="581">
        <v>47306</v>
      </c>
      <c r="BB2473" s="582">
        <v>2029</v>
      </c>
    </row>
    <row r="2474" spans="53:54" x14ac:dyDescent="0.2">
      <c r="BA2474" s="581">
        <v>47307</v>
      </c>
      <c r="BB2474" s="582">
        <v>2029</v>
      </c>
    </row>
    <row r="2475" spans="53:54" x14ac:dyDescent="0.2">
      <c r="BA2475" s="581">
        <v>47308</v>
      </c>
      <c r="BB2475" s="582">
        <v>2029</v>
      </c>
    </row>
    <row r="2476" spans="53:54" x14ac:dyDescent="0.2">
      <c r="BA2476" s="581">
        <v>47309</v>
      </c>
      <c r="BB2476" s="582">
        <v>2029</v>
      </c>
    </row>
    <row r="2477" spans="53:54" x14ac:dyDescent="0.2">
      <c r="BA2477" s="581">
        <v>47310</v>
      </c>
      <c r="BB2477" s="582">
        <v>2029</v>
      </c>
    </row>
    <row r="2478" spans="53:54" x14ac:dyDescent="0.2">
      <c r="BA2478" s="581">
        <v>47311</v>
      </c>
      <c r="BB2478" s="582">
        <v>2029</v>
      </c>
    </row>
    <row r="2479" spans="53:54" x14ac:dyDescent="0.2">
      <c r="BA2479" s="581">
        <v>47312</v>
      </c>
      <c r="BB2479" s="582">
        <v>2029</v>
      </c>
    </row>
    <row r="2480" spans="53:54" x14ac:dyDescent="0.2">
      <c r="BA2480" s="581">
        <v>47313</v>
      </c>
      <c r="BB2480" s="582">
        <v>2029</v>
      </c>
    </row>
    <row r="2481" spans="53:54" x14ac:dyDescent="0.2">
      <c r="BA2481" s="581">
        <v>47314</v>
      </c>
      <c r="BB2481" s="582">
        <v>2029</v>
      </c>
    </row>
    <row r="2482" spans="53:54" x14ac:dyDescent="0.2">
      <c r="BA2482" s="581">
        <v>47315</v>
      </c>
      <c r="BB2482" s="582">
        <v>2029</v>
      </c>
    </row>
    <row r="2483" spans="53:54" x14ac:dyDescent="0.2">
      <c r="BA2483" s="581">
        <v>47316</v>
      </c>
      <c r="BB2483" s="582">
        <v>2029</v>
      </c>
    </row>
    <row r="2484" spans="53:54" x14ac:dyDescent="0.2">
      <c r="BA2484" s="581">
        <v>47317</v>
      </c>
      <c r="BB2484" s="582">
        <v>2029</v>
      </c>
    </row>
    <row r="2485" spans="53:54" x14ac:dyDescent="0.2">
      <c r="BA2485" s="581">
        <v>47318</v>
      </c>
      <c r="BB2485" s="582">
        <v>2029</v>
      </c>
    </row>
    <row r="2486" spans="53:54" x14ac:dyDescent="0.2">
      <c r="BA2486" s="581">
        <v>47319</v>
      </c>
      <c r="BB2486" s="582">
        <v>2029</v>
      </c>
    </row>
    <row r="2487" spans="53:54" x14ac:dyDescent="0.2">
      <c r="BA2487" s="581">
        <v>47320</v>
      </c>
      <c r="BB2487" s="582">
        <v>2029</v>
      </c>
    </row>
    <row r="2488" spans="53:54" x14ac:dyDescent="0.2">
      <c r="BA2488" s="581">
        <v>47321</v>
      </c>
      <c r="BB2488" s="582">
        <v>2029</v>
      </c>
    </row>
    <row r="2489" spans="53:54" x14ac:dyDescent="0.2">
      <c r="BA2489" s="581">
        <v>47322</v>
      </c>
      <c r="BB2489" s="582">
        <v>2029</v>
      </c>
    </row>
    <row r="2490" spans="53:54" x14ac:dyDescent="0.2">
      <c r="BA2490" s="581">
        <v>47323</v>
      </c>
      <c r="BB2490" s="582">
        <v>2029</v>
      </c>
    </row>
    <row r="2491" spans="53:54" x14ac:dyDescent="0.2">
      <c r="BA2491" s="581">
        <v>47324</v>
      </c>
      <c r="BB2491" s="582">
        <v>2029</v>
      </c>
    </row>
    <row r="2492" spans="53:54" x14ac:dyDescent="0.2">
      <c r="BA2492" s="581">
        <v>47325</v>
      </c>
      <c r="BB2492" s="582">
        <v>2029</v>
      </c>
    </row>
    <row r="2493" spans="53:54" x14ac:dyDescent="0.2">
      <c r="BA2493" s="581">
        <v>47326</v>
      </c>
      <c r="BB2493" s="582">
        <v>2029</v>
      </c>
    </row>
    <row r="2494" spans="53:54" x14ac:dyDescent="0.2">
      <c r="BA2494" s="581">
        <v>47327</v>
      </c>
      <c r="BB2494" s="582">
        <v>2029</v>
      </c>
    </row>
    <row r="2495" spans="53:54" x14ac:dyDescent="0.2">
      <c r="BA2495" s="581">
        <v>47328</v>
      </c>
      <c r="BB2495" s="582">
        <v>2029</v>
      </c>
    </row>
    <row r="2496" spans="53:54" x14ac:dyDescent="0.2">
      <c r="BA2496" s="581">
        <v>47329</v>
      </c>
      <c r="BB2496" s="582">
        <v>2029</v>
      </c>
    </row>
    <row r="2497" spans="53:54" x14ac:dyDescent="0.2">
      <c r="BA2497" s="581">
        <v>47330</v>
      </c>
      <c r="BB2497" s="582">
        <v>2029</v>
      </c>
    </row>
    <row r="2498" spans="53:54" x14ac:dyDescent="0.2">
      <c r="BA2498" s="581">
        <v>47331</v>
      </c>
      <c r="BB2498" s="582">
        <v>2029</v>
      </c>
    </row>
    <row r="2499" spans="53:54" x14ac:dyDescent="0.2">
      <c r="BA2499" s="581">
        <v>47332</v>
      </c>
      <c r="BB2499" s="582">
        <v>2029</v>
      </c>
    </row>
    <row r="2500" spans="53:54" x14ac:dyDescent="0.2">
      <c r="BA2500" s="581">
        <v>47333</v>
      </c>
      <c r="BB2500" s="582">
        <v>2029</v>
      </c>
    </row>
    <row r="2501" spans="53:54" x14ac:dyDescent="0.2">
      <c r="BA2501" s="581">
        <v>47334</v>
      </c>
      <c r="BB2501" s="582">
        <v>2029</v>
      </c>
    </row>
    <row r="2502" spans="53:54" x14ac:dyDescent="0.2">
      <c r="BA2502" s="581">
        <v>47335</v>
      </c>
      <c r="BB2502" s="582">
        <v>2029</v>
      </c>
    </row>
    <row r="2503" spans="53:54" x14ac:dyDescent="0.2">
      <c r="BA2503" s="581">
        <v>47336</v>
      </c>
      <c r="BB2503" s="582">
        <v>2029</v>
      </c>
    </row>
    <row r="2504" spans="53:54" x14ac:dyDescent="0.2">
      <c r="BA2504" s="581">
        <v>47337</v>
      </c>
      <c r="BB2504" s="582">
        <v>2029</v>
      </c>
    </row>
    <row r="2505" spans="53:54" x14ac:dyDescent="0.2">
      <c r="BA2505" s="581">
        <v>47338</v>
      </c>
      <c r="BB2505" s="582">
        <v>2029</v>
      </c>
    </row>
    <row r="2506" spans="53:54" x14ac:dyDescent="0.2">
      <c r="BA2506" s="581">
        <v>47339</v>
      </c>
      <c r="BB2506" s="582">
        <v>2029</v>
      </c>
    </row>
    <row r="2507" spans="53:54" x14ac:dyDescent="0.2">
      <c r="BA2507" s="581">
        <v>47340</v>
      </c>
      <c r="BB2507" s="582">
        <v>2029</v>
      </c>
    </row>
    <row r="2508" spans="53:54" x14ac:dyDescent="0.2">
      <c r="BA2508" s="581">
        <v>47341</v>
      </c>
      <c r="BB2508" s="582">
        <v>2029</v>
      </c>
    </row>
    <row r="2509" spans="53:54" x14ac:dyDescent="0.2">
      <c r="BA2509" s="581">
        <v>47342</v>
      </c>
      <c r="BB2509" s="582">
        <v>2029</v>
      </c>
    </row>
    <row r="2510" spans="53:54" x14ac:dyDescent="0.2">
      <c r="BA2510" s="581">
        <v>47343</v>
      </c>
      <c r="BB2510" s="582">
        <v>2029</v>
      </c>
    </row>
    <row r="2511" spans="53:54" x14ac:dyDescent="0.2">
      <c r="BA2511" s="581">
        <v>47344</v>
      </c>
      <c r="BB2511" s="582">
        <v>2029</v>
      </c>
    </row>
    <row r="2512" spans="53:54" x14ac:dyDescent="0.2">
      <c r="BA2512" s="581">
        <v>47345</v>
      </c>
      <c r="BB2512" s="582">
        <v>2029</v>
      </c>
    </row>
    <row r="2513" spans="53:54" x14ac:dyDescent="0.2">
      <c r="BA2513" s="581">
        <v>47346</v>
      </c>
      <c r="BB2513" s="582">
        <v>2029</v>
      </c>
    </row>
    <row r="2514" spans="53:54" x14ac:dyDescent="0.2">
      <c r="BA2514" s="581">
        <v>47347</v>
      </c>
      <c r="BB2514" s="582">
        <v>2029</v>
      </c>
    </row>
    <row r="2515" spans="53:54" x14ac:dyDescent="0.2">
      <c r="BA2515" s="581">
        <v>47348</v>
      </c>
      <c r="BB2515" s="582">
        <v>2029</v>
      </c>
    </row>
    <row r="2516" spans="53:54" x14ac:dyDescent="0.2">
      <c r="BA2516" s="581">
        <v>47349</v>
      </c>
      <c r="BB2516" s="582">
        <v>2029</v>
      </c>
    </row>
    <row r="2517" spans="53:54" x14ac:dyDescent="0.2">
      <c r="BA2517" s="581">
        <v>47350</v>
      </c>
      <c r="BB2517" s="582">
        <v>2029</v>
      </c>
    </row>
    <row r="2518" spans="53:54" x14ac:dyDescent="0.2">
      <c r="BA2518" s="581">
        <v>47351</v>
      </c>
      <c r="BB2518" s="582">
        <v>2029</v>
      </c>
    </row>
    <row r="2519" spans="53:54" x14ac:dyDescent="0.2">
      <c r="BA2519" s="581">
        <v>47352</v>
      </c>
      <c r="BB2519" s="582">
        <v>2029</v>
      </c>
    </row>
    <row r="2520" spans="53:54" x14ac:dyDescent="0.2">
      <c r="BA2520" s="581">
        <v>47353</v>
      </c>
      <c r="BB2520" s="582">
        <v>2029</v>
      </c>
    </row>
    <row r="2521" spans="53:54" x14ac:dyDescent="0.2">
      <c r="BA2521" s="581">
        <v>47354</v>
      </c>
      <c r="BB2521" s="582">
        <v>2029</v>
      </c>
    </row>
    <row r="2522" spans="53:54" x14ac:dyDescent="0.2">
      <c r="BA2522" s="581">
        <v>47355</v>
      </c>
      <c r="BB2522" s="582">
        <v>2029</v>
      </c>
    </row>
    <row r="2523" spans="53:54" x14ac:dyDescent="0.2">
      <c r="BA2523" s="581">
        <v>47356</v>
      </c>
      <c r="BB2523" s="582">
        <v>2029</v>
      </c>
    </row>
    <row r="2524" spans="53:54" x14ac:dyDescent="0.2">
      <c r="BA2524" s="581">
        <v>47357</v>
      </c>
      <c r="BB2524" s="582">
        <v>2029</v>
      </c>
    </row>
    <row r="2525" spans="53:54" x14ac:dyDescent="0.2">
      <c r="BA2525" s="581">
        <v>47358</v>
      </c>
      <c r="BB2525" s="582">
        <v>2029</v>
      </c>
    </row>
    <row r="2526" spans="53:54" x14ac:dyDescent="0.2">
      <c r="BA2526" s="581">
        <v>47359</v>
      </c>
      <c r="BB2526" s="582">
        <v>2029</v>
      </c>
    </row>
    <row r="2527" spans="53:54" x14ac:dyDescent="0.2">
      <c r="BA2527" s="581">
        <v>47360</v>
      </c>
      <c r="BB2527" s="582">
        <v>2029</v>
      </c>
    </row>
    <row r="2528" spans="53:54" x14ac:dyDescent="0.2">
      <c r="BA2528" s="581">
        <v>47361</v>
      </c>
      <c r="BB2528" s="582">
        <v>2029</v>
      </c>
    </row>
    <row r="2529" spans="53:54" x14ac:dyDescent="0.2">
      <c r="BA2529" s="581">
        <v>47362</v>
      </c>
      <c r="BB2529" s="582">
        <v>2029</v>
      </c>
    </row>
    <row r="2530" spans="53:54" x14ac:dyDescent="0.2">
      <c r="BA2530" s="581">
        <v>47363</v>
      </c>
      <c r="BB2530" s="582">
        <v>2029</v>
      </c>
    </row>
    <row r="2531" spans="53:54" x14ac:dyDescent="0.2">
      <c r="BA2531" s="581">
        <v>47364</v>
      </c>
      <c r="BB2531" s="582">
        <v>2029</v>
      </c>
    </row>
    <row r="2532" spans="53:54" x14ac:dyDescent="0.2">
      <c r="BA2532" s="581">
        <v>47365</v>
      </c>
      <c r="BB2532" s="582">
        <v>2029</v>
      </c>
    </row>
    <row r="2533" spans="53:54" x14ac:dyDescent="0.2">
      <c r="BA2533" s="581">
        <v>47366</v>
      </c>
      <c r="BB2533" s="582">
        <v>2029</v>
      </c>
    </row>
    <row r="2534" spans="53:54" x14ac:dyDescent="0.2">
      <c r="BA2534" s="581">
        <v>47367</v>
      </c>
      <c r="BB2534" s="582">
        <v>2029</v>
      </c>
    </row>
    <row r="2535" spans="53:54" x14ac:dyDescent="0.2">
      <c r="BA2535" s="581">
        <v>47368</v>
      </c>
      <c r="BB2535" s="582">
        <v>2029</v>
      </c>
    </row>
    <row r="2536" spans="53:54" x14ac:dyDescent="0.2">
      <c r="BA2536" s="581">
        <v>47369</v>
      </c>
      <c r="BB2536" s="582">
        <v>2029</v>
      </c>
    </row>
    <row r="2537" spans="53:54" x14ac:dyDescent="0.2">
      <c r="BA2537" s="581">
        <v>47370</v>
      </c>
      <c r="BB2537" s="582">
        <v>2029</v>
      </c>
    </row>
    <row r="2538" spans="53:54" x14ac:dyDescent="0.2">
      <c r="BA2538" s="581">
        <v>47371</v>
      </c>
      <c r="BB2538" s="582">
        <v>2029</v>
      </c>
    </row>
    <row r="2539" spans="53:54" x14ac:dyDescent="0.2">
      <c r="BA2539" s="581">
        <v>47372</v>
      </c>
      <c r="BB2539" s="582">
        <v>2029</v>
      </c>
    </row>
    <row r="2540" spans="53:54" x14ac:dyDescent="0.2">
      <c r="BA2540" s="581">
        <v>47373</v>
      </c>
      <c r="BB2540" s="582">
        <v>2029</v>
      </c>
    </row>
    <row r="2541" spans="53:54" x14ac:dyDescent="0.2">
      <c r="BA2541" s="581">
        <v>47374</v>
      </c>
      <c r="BB2541" s="582">
        <v>2029</v>
      </c>
    </row>
    <row r="2542" spans="53:54" x14ac:dyDescent="0.2">
      <c r="BA2542" s="581">
        <v>47375</v>
      </c>
      <c r="BB2542" s="582">
        <v>2029</v>
      </c>
    </row>
    <row r="2543" spans="53:54" x14ac:dyDescent="0.2">
      <c r="BA2543" s="581">
        <v>47376</v>
      </c>
      <c r="BB2543" s="582">
        <v>2029</v>
      </c>
    </row>
    <row r="2544" spans="53:54" x14ac:dyDescent="0.2">
      <c r="BA2544" s="581">
        <v>47377</v>
      </c>
      <c r="BB2544" s="582">
        <v>2029</v>
      </c>
    </row>
    <row r="2545" spans="53:54" x14ac:dyDescent="0.2">
      <c r="BA2545" s="581">
        <v>47378</v>
      </c>
      <c r="BB2545" s="582">
        <v>2029</v>
      </c>
    </row>
    <row r="2546" spans="53:54" x14ac:dyDescent="0.2">
      <c r="BA2546" s="581">
        <v>47379</v>
      </c>
      <c r="BB2546" s="582">
        <v>2029</v>
      </c>
    </row>
    <row r="2547" spans="53:54" x14ac:dyDescent="0.2">
      <c r="BA2547" s="581">
        <v>47380</v>
      </c>
      <c r="BB2547" s="582">
        <v>2029</v>
      </c>
    </row>
    <row r="2548" spans="53:54" x14ac:dyDescent="0.2">
      <c r="BA2548" s="581">
        <v>47381</v>
      </c>
      <c r="BB2548" s="582">
        <v>2029</v>
      </c>
    </row>
    <row r="2549" spans="53:54" x14ac:dyDescent="0.2">
      <c r="BA2549" s="581">
        <v>47382</v>
      </c>
      <c r="BB2549" s="582">
        <v>2029</v>
      </c>
    </row>
    <row r="2550" spans="53:54" x14ac:dyDescent="0.2">
      <c r="BA2550" s="581">
        <v>47383</v>
      </c>
      <c r="BB2550" s="582">
        <v>2029</v>
      </c>
    </row>
    <row r="2551" spans="53:54" x14ac:dyDescent="0.2">
      <c r="BA2551" s="581">
        <v>47384</v>
      </c>
      <c r="BB2551" s="582">
        <v>2029</v>
      </c>
    </row>
    <row r="2552" spans="53:54" x14ac:dyDescent="0.2">
      <c r="BA2552" s="581">
        <v>47385</v>
      </c>
      <c r="BB2552" s="582">
        <v>2029</v>
      </c>
    </row>
    <row r="2553" spans="53:54" x14ac:dyDescent="0.2">
      <c r="BA2553" s="581">
        <v>47386</v>
      </c>
      <c r="BB2553" s="582">
        <v>2029</v>
      </c>
    </row>
    <row r="2554" spans="53:54" x14ac:dyDescent="0.2">
      <c r="BA2554" s="581">
        <v>47387</v>
      </c>
      <c r="BB2554" s="582">
        <v>2029</v>
      </c>
    </row>
    <row r="2555" spans="53:54" x14ac:dyDescent="0.2">
      <c r="BA2555" s="581">
        <v>47388</v>
      </c>
      <c r="BB2555" s="582">
        <v>2029</v>
      </c>
    </row>
    <row r="2556" spans="53:54" x14ac:dyDescent="0.2">
      <c r="BA2556" s="581">
        <v>47389</v>
      </c>
      <c r="BB2556" s="582">
        <v>2029</v>
      </c>
    </row>
    <row r="2557" spans="53:54" x14ac:dyDescent="0.2">
      <c r="BA2557" s="581">
        <v>47390</v>
      </c>
      <c r="BB2557" s="582">
        <v>2029</v>
      </c>
    </row>
    <row r="2558" spans="53:54" x14ac:dyDescent="0.2">
      <c r="BA2558" s="581">
        <v>47391</v>
      </c>
      <c r="BB2558" s="582">
        <v>2029</v>
      </c>
    </row>
    <row r="2559" spans="53:54" x14ac:dyDescent="0.2">
      <c r="BA2559" s="581">
        <v>47392</v>
      </c>
      <c r="BB2559" s="582">
        <v>2030</v>
      </c>
    </row>
    <row r="2560" spans="53:54" x14ac:dyDescent="0.2">
      <c r="BA2560" s="581">
        <v>47393</v>
      </c>
      <c r="BB2560" s="582">
        <v>2030</v>
      </c>
    </row>
    <row r="2561" spans="53:54" x14ac:dyDescent="0.2">
      <c r="BA2561" s="581">
        <v>47394</v>
      </c>
      <c r="BB2561" s="582">
        <v>2030</v>
      </c>
    </row>
    <row r="2562" spans="53:54" x14ac:dyDescent="0.2">
      <c r="BA2562" s="581">
        <v>47395</v>
      </c>
      <c r="BB2562" s="582">
        <v>2030</v>
      </c>
    </row>
    <row r="2563" spans="53:54" x14ac:dyDescent="0.2">
      <c r="BA2563" s="581">
        <v>47396</v>
      </c>
      <c r="BB2563" s="582">
        <v>2030</v>
      </c>
    </row>
    <row r="2564" spans="53:54" x14ac:dyDescent="0.2">
      <c r="BA2564" s="581">
        <v>47397</v>
      </c>
      <c r="BB2564" s="582">
        <v>2030</v>
      </c>
    </row>
    <row r="2565" spans="53:54" x14ac:dyDescent="0.2">
      <c r="BA2565" s="581">
        <v>47398</v>
      </c>
      <c r="BB2565" s="582">
        <v>2030</v>
      </c>
    </row>
    <row r="2566" spans="53:54" x14ac:dyDescent="0.2">
      <c r="BA2566" s="581">
        <v>47399</v>
      </c>
      <c r="BB2566" s="582">
        <v>2030</v>
      </c>
    </row>
    <row r="2567" spans="53:54" x14ac:dyDescent="0.2">
      <c r="BA2567" s="581">
        <v>47400</v>
      </c>
      <c r="BB2567" s="582">
        <v>2030</v>
      </c>
    </row>
    <row r="2568" spans="53:54" x14ac:dyDescent="0.2">
      <c r="BA2568" s="581">
        <v>47401</v>
      </c>
      <c r="BB2568" s="582">
        <v>2030</v>
      </c>
    </row>
    <row r="2569" spans="53:54" x14ac:dyDescent="0.2">
      <c r="BA2569" s="581">
        <v>47402</v>
      </c>
      <c r="BB2569" s="582">
        <v>2030</v>
      </c>
    </row>
    <row r="2570" spans="53:54" x14ac:dyDescent="0.2">
      <c r="BA2570" s="581">
        <v>47403</v>
      </c>
      <c r="BB2570" s="582">
        <v>2030</v>
      </c>
    </row>
    <row r="2571" spans="53:54" x14ac:dyDescent="0.2">
      <c r="BA2571" s="581">
        <v>47404</v>
      </c>
      <c r="BB2571" s="582">
        <v>2030</v>
      </c>
    </row>
    <row r="2572" spans="53:54" x14ac:dyDescent="0.2">
      <c r="BA2572" s="581">
        <v>47405</v>
      </c>
      <c r="BB2572" s="582">
        <v>2030</v>
      </c>
    </row>
    <row r="2573" spans="53:54" x14ac:dyDescent="0.2">
      <c r="BA2573" s="581">
        <v>47406</v>
      </c>
      <c r="BB2573" s="582">
        <v>2030</v>
      </c>
    </row>
    <row r="2574" spans="53:54" x14ac:dyDescent="0.2">
      <c r="BA2574" s="581">
        <v>47407</v>
      </c>
      <c r="BB2574" s="582">
        <v>2030</v>
      </c>
    </row>
    <row r="2575" spans="53:54" x14ac:dyDescent="0.2">
      <c r="BA2575" s="581">
        <v>47408</v>
      </c>
      <c r="BB2575" s="582">
        <v>2030</v>
      </c>
    </row>
    <row r="2576" spans="53:54" x14ac:dyDescent="0.2">
      <c r="BA2576" s="581">
        <v>47409</v>
      </c>
      <c r="BB2576" s="582">
        <v>2030</v>
      </c>
    </row>
    <row r="2577" spans="53:54" x14ac:dyDescent="0.2">
      <c r="BA2577" s="581">
        <v>47410</v>
      </c>
      <c r="BB2577" s="582">
        <v>2030</v>
      </c>
    </row>
    <row r="2578" spans="53:54" x14ac:dyDescent="0.2">
      <c r="BA2578" s="581">
        <v>47411</v>
      </c>
      <c r="BB2578" s="582">
        <v>2030</v>
      </c>
    </row>
    <row r="2579" spans="53:54" x14ac:dyDescent="0.2">
      <c r="BA2579" s="581">
        <v>47412</v>
      </c>
      <c r="BB2579" s="582">
        <v>2030</v>
      </c>
    </row>
    <row r="2580" spans="53:54" x14ac:dyDescent="0.2">
      <c r="BA2580" s="581">
        <v>47413</v>
      </c>
      <c r="BB2580" s="582">
        <v>2030</v>
      </c>
    </row>
    <row r="2581" spans="53:54" x14ac:dyDescent="0.2">
      <c r="BA2581" s="581">
        <v>47414</v>
      </c>
      <c r="BB2581" s="582">
        <v>2030</v>
      </c>
    </row>
    <row r="2582" spans="53:54" x14ac:dyDescent="0.2">
      <c r="BA2582" s="581">
        <v>47415</v>
      </c>
      <c r="BB2582" s="582">
        <v>2030</v>
      </c>
    </row>
    <row r="2583" spans="53:54" x14ac:dyDescent="0.2">
      <c r="BA2583" s="581">
        <v>47416</v>
      </c>
      <c r="BB2583" s="582">
        <v>2030</v>
      </c>
    </row>
    <row r="2584" spans="53:54" x14ac:dyDescent="0.2">
      <c r="BA2584" s="581">
        <v>47417</v>
      </c>
      <c r="BB2584" s="582">
        <v>2030</v>
      </c>
    </row>
    <row r="2585" spans="53:54" x14ac:dyDescent="0.2">
      <c r="BA2585" s="581">
        <v>47418</v>
      </c>
      <c r="BB2585" s="582">
        <v>2030</v>
      </c>
    </row>
    <row r="2586" spans="53:54" x14ac:dyDescent="0.2">
      <c r="BA2586" s="581">
        <v>47419</v>
      </c>
      <c r="BB2586" s="582">
        <v>2030</v>
      </c>
    </row>
    <row r="2587" spans="53:54" x14ac:dyDescent="0.2">
      <c r="BA2587" s="581">
        <v>47420</v>
      </c>
      <c r="BB2587" s="582">
        <v>2030</v>
      </c>
    </row>
    <row r="2588" spans="53:54" x14ac:dyDescent="0.2">
      <c r="BA2588" s="581">
        <v>47421</v>
      </c>
      <c r="BB2588" s="582">
        <v>2030</v>
      </c>
    </row>
    <row r="2589" spans="53:54" x14ac:dyDescent="0.2">
      <c r="BA2589" s="581">
        <v>47422</v>
      </c>
      <c r="BB2589" s="582">
        <v>2030</v>
      </c>
    </row>
    <row r="2590" spans="53:54" x14ac:dyDescent="0.2">
      <c r="BA2590" s="581">
        <v>47423</v>
      </c>
      <c r="BB2590" s="582">
        <v>2030</v>
      </c>
    </row>
    <row r="2591" spans="53:54" x14ac:dyDescent="0.2">
      <c r="BA2591" s="581">
        <v>47424</v>
      </c>
      <c r="BB2591" s="582">
        <v>2030</v>
      </c>
    </row>
    <row r="2592" spans="53:54" x14ac:dyDescent="0.2">
      <c r="BA2592" s="581">
        <v>47425</v>
      </c>
      <c r="BB2592" s="582">
        <v>2030</v>
      </c>
    </row>
    <row r="2593" spans="53:54" x14ac:dyDescent="0.2">
      <c r="BA2593" s="581">
        <v>47426</v>
      </c>
      <c r="BB2593" s="582">
        <v>2030</v>
      </c>
    </row>
    <row r="2594" spans="53:54" x14ac:dyDescent="0.2">
      <c r="BA2594" s="581">
        <v>47427</v>
      </c>
      <c r="BB2594" s="582">
        <v>2030</v>
      </c>
    </row>
    <row r="2595" spans="53:54" x14ac:dyDescent="0.2">
      <c r="BA2595" s="581">
        <v>47428</v>
      </c>
      <c r="BB2595" s="582">
        <v>2030</v>
      </c>
    </row>
    <row r="2596" spans="53:54" x14ac:dyDescent="0.2">
      <c r="BA2596" s="581">
        <v>47429</v>
      </c>
      <c r="BB2596" s="582">
        <v>2030</v>
      </c>
    </row>
    <row r="2597" spans="53:54" x14ac:dyDescent="0.2">
      <c r="BA2597" s="581">
        <v>47430</v>
      </c>
      <c r="BB2597" s="582">
        <v>2030</v>
      </c>
    </row>
    <row r="2598" spans="53:54" x14ac:dyDescent="0.2">
      <c r="BA2598" s="581">
        <v>47431</v>
      </c>
      <c r="BB2598" s="582">
        <v>2030</v>
      </c>
    </row>
    <row r="2599" spans="53:54" x14ac:dyDescent="0.2">
      <c r="BA2599" s="581">
        <v>47432</v>
      </c>
      <c r="BB2599" s="582">
        <v>2030</v>
      </c>
    </row>
    <row r="2600" spans="53:54" x14ac:dyDescent="0.2">
      <c r="BA2600" s="581">
        <v>47433</v>
      </c>
      <c r="BB2600" s="582">
        <v>2030</v>
      </c>
    </row>
    <row r="2601" spans="53:54" x14ac:dyDescent="0.2">
      <c r="BA2601" s="581">
        <v>47434</v>
      </c>
      <c r="BB2601" s="582">
        <v>2030</v>
      </c>
    </row>
    <row r="2602" spans="53:54" x14ac:dyDescent="0.2">
      <c r="BA2602" s="581">
        <v>47435</v>
      </c>
      <c r="BB2602" s="582">
        <v>2030</v>
      </c>
    </row>
    <row r="2603" spans="53:54" x14ac:dyDescent="0.2">
      <c r="BA2603" s="581">
        <v>47436</v>
      </c>
      <c r="BB2603" s="582">
        <v>2030</v>
      </c>
    </row>
    <row r="2604" spans="53:54" x14ac:dyDescent="0.2">
      <c r="BA2604" s="581">
        <v>47437</v>
      </c>
      <c r="BB2604" s="582">
        <v>2030</v>
      </c>
    </row>
    <row r="2605" spans="53:54" x14ac:dyDescent="0.2">
      <c r="BA2605" s="581">
        <v>47438</v>
      </c>
      <c r="BB2605" s="582">
        <v>2030</v>
      </c>
    </row>
    <row r="2606" spans="53:54" x14ac:dyDescent="0.2">
      <c r="BA2606" s="581">
        <v>47439</v>
      </c>
      <c r="BB2606" s="582">
        <v>2030</v>
      </c>
    </row>
    <row r="2607" spans="53:54" x14ac:dyDescent="0.2">
      <c r="BA2607" s="581">
        <v>47440</v>
      </c>
      <c r="BB2607" s="582">
        <v>2030</v>
      </c>
    </row>
    <row r="2608" spans="53:54" x14ac:dyDescent="0.2">
      <c r="BA2608" s="581">
        <v>47441</v>
      </c>
      <c r="BB2608" s="582">
        <v>2030</v>
      </c>
    </row>
    <row r="2609" spans="53:54" x14ac:dyDescent="0.2">
      <c r="BA2609" s="581">
        <v>47442</v>
      </c>
      <c r="BB2609" s="582">
        <v>2030</v>
      </c>
    </row>
    <row r="2610" spans="53:54" x14ac:dyDescent="0.2">
      <c r="BA2610" s="581">
        <v>47443</v>
      </c>
      <c r="BB2610" s="582">
        <v>2030</v>
      </c>
    </row>
    <row r="2611" spans="53:54" x14ac:dyDescent="0.2">
      <c r="BA2611" s="581">
        <v>47444</v>
      </c>
      <c r="BB2611" s="582">
        <v>2030</v>
      </c>
    </row>
    <row r="2612" spans="53:54" x14ac:dyDescent="0.2">
      <c r="BA2612" s="581">
        <v>47445</v>
      </c>
      <c r="BB2612" s="582">
        <v>2030</v>
      </c>
    </row>
    <row r="2613" spans="53:54" x14ac:dyDescent="0.2">
      <c r="BA2613" s="581">
        <v>47446</v>
      </c>
      <c r="BB2613" s="582">
        <v>2030</v>
      </c>
    </row>
    <row r="2614" spans="53:54" x14ac:dyDescent="0.2">
      <c r="BA2614" s="581">
        <v>47447</v>
      </c>
      <c r="BB2614" s="582">
        <v>2030</v>
      </c>
    </row>
    <row r="2615" spans="53:54" x14ac:dyDescent="0.2">
      <c r="BA2615" s="581">
        <v>47448</v>
      </c>
      <c r="BB2615" s="582">
        <v>2030</v>
      </c>
    </row>
    <row r="2616" spans="53:54" x14ac:dyDescent="0.2">
      <c r="BA2616" s="581">
        <v>47449</v>
      </c>
      <c r="BB2616" s="582">
        <v>2030</v>
      </c>
    </row>
    <row r="2617" spans="53:54" x14ac:dyDescent="0.2">
      <c r="BA2617" s="581">
        <v>47450</v>
      </c>
      <c r="BB2617" s="582">
        <v>2030</v>
      </c>
    </row>
    <row r="2618" spans="53:54" x14ac:dyDescent="0.2">
      <c r="BA2618" s="581">
        <v>47451</v>
      </c>
      <c r="BB2618" s="582">
        <v>2030</v>
      </c>
    </row>
    <row r="2619" spans="53:54" x14ac:dyDescent="0.2">
      <c r="BA2619" s="581">
        <v>47452</v>
      </c>
      <c r="BB2619" s="582">
        <v>2030</v>
      </c>
    </row>
    <row r="2620" spans="53:54" x14ac:dyDescent="0.2">
      <c r="BA2620" s="581">
        <v>47453</v>
      </c>
      <c r="BB2620" s="582">
        <v>2030</v>
      </c>
    </row>
    <row r="2621" spans="53:54" x14ac:dyDescent="0.2">
      <c r="BA2621" s="581">
        <v>47454</v>
      </c>
      <c r="BB2621" s="582">
        <v>2030</v>
      </c>
    </row>
    <row r="2622" spans="53:54" x14ac:dyDescent="0.2">
      <c r="BA2622" s="581">
        <v>47455</v>
      </c>
      <c r="BB2622" s="582">
        <v>2030</v>
      </c>
    </row>
    <row r="2623" spans="53:54" x14ac:dyDescent="0.2">
      <c r="BA2623" s="581">
        <v>47456</v>
      </c>
      <c r="BB2623" s="582">
        <v>2030</v>
      </c>
    </row>
    <row r="2624" spans="53:54" x14ac:dyDescent="0.2">
      <c r="BA2624" s="581">
        <v>47457</v>
      </c>
      <c r="BB2624" s="582">
        <v>2030</v>
      </c>
    </row>
    <row r="2625" spans="53:54" x14ac:dyDescent="0.2">
      <c r="BA2625" s="581">
        <v>47458</v>
      </c>
      <c r="BB2625" s="582">
        <v>2030</v>
      </c>
    </row>
    <row r="2626" spans="53:54" x14ac:dyDescent="0.2">
      <c r="BA2626" s="581">
        <v>47459</v>
      </c>
      <c r="BB2626" s="582">
        <v>2030</v>
      </c>
    </row>
    <row r="2627" spans="53:54" x14ac:dyDescent="0.2">
      <c r="BA2627" s="581">
        <v>47460</v>
      </c>
      <c r="BB2627" s="582">
        <v>2030</v>
      </c>
    </row>
    <row r="2628" spans="53:54" x14ac:dyDescent="0.2">
      <c r="BA2628" s="581">
        <v>47461</v>
      </c>
      <c r="BB2628" s="582">
        <v>2030</v>
      </c>
    </row>
    <row r="2629" spans="53:54" x14ac:dyDescent="0.2">
      <c r="BA2629" s="581">
        <v>47462</v>
      </c>
      <c r="BB2629" s="582">
        <v>2030</v>
      </c>
    </row>
    <row r="2630" spans="53:54" x14ac:dyDescent="0.2">
      <c r="BA2630" s="581">
        <v>47463</v>
      </c>
      <c r="BB2630" s="582">
        <v>2030</v>
      </c>
    </row>
    <row r="2631" spans="53:54" x14ac:dyDescent="0.2">
      <c r="BA2631" s="581">
        <v>47464</v>
      </c>
      <c r="BB2631" s="582">
        <v>2030</v>
      </c>
    </row>
    <row r="2632" spans="53:54" x14ac:dyDescent="0.2">
      <c r="BA2632" s="581">
        <v>47465</v>
      </c>
      <c r="BB2632" s="582">
        <v>2030</v>
      </c>
    </row>
    <row r="2633" spans="53:54" x14ac:dyDescent="0.2">
      <c r="BA2633" s="581">
        <v>47466</v>
      </c>
      <c r="BB2633" s="582">
        <v>2030</v>
      </c>
    </row>
    <row r="2634" spans="53:54" x14ac:dyDescent="0.2">
      <c r="BA2634" s="581">
        <v>47467</v>
      </c>
      <c r="BB2634" s="582">
        <v>2030</v>
      </c>
    </row>
    <row r="2635" spans="53:54" x14ac:dyDescent="0.2">
      <c r="BA2635" s="581">
        <v>47468</v>
      </c>
      <c r="BB2635" s="582">
        <v>2030</v>
      </c>
    </row>
    <row r="2636" spans="53:54" x14ac:dyDescent="0.2">
      <c r="BA2636" s="581">
        <v>47469</v>
      </c>
      <c r="BB2636" s="582">
        <v>2030</v>
      </c>
    </row>
    <row r="2637" spans="53:54" x14ac:dyDescent="0.2">
      <c r="BA2637" s="581">
        <v>47470</v>
      </c>
      <c r="BB2637" s="582">
        <v>2030</v>
      </c>
    </row>
    <row r="2638" spans="53:54" x14ac:dyDescent="0.2">
      <c r="BA2638" s="581">
        <v>47471</v>
      </c>
      <c r="BB2638" s="582">
        <v>2030</v>
      </c>
    </row>
    <row r="2639" spans="53:54" x14ac:dyDescent="0.2">
      <c r="BA2639" s="581">
        <v>47472</v>
      </c>
      <c r="BB2639" s="582">
        <v>2030</v>
      </c>
    </row>
    <row r="2640" spans="53:54" x14ac:dyDescent="0.2">
      <c r="BA2640" s="581">
        <v>47473</v>
      </c>
      <c r="BB2640" s="582">
        <v>2030</v>
      </c>
    </row>
    <row r="2641" spans="53:54" x14ac:dyDescent="0.2">
      <c r="BA2641" s="581">
        <v>47474</v>
      </c>
      <c r="BB2641" s="582">
        <v>2030</v>
      </c>
    </row>
    <row r="2642" spans="53:54" x14ac:dyDescent="0.2">
      <c r="BA2642" s="581">
        <v>47475</v>
      </c>
      <c r="BB2642" s="582">
        <v>2030</v>
      </c>
    </row>
    <row r="2643" spans="53:54" x14ac:dyDescent="0.2">
      <c r="BA2643" s="581">
        <v>47476</v>
      </c>
      <c r="BB2643" s="582">
        <v>2030</v>
      </c>
    </row>
    <row r="2644" spans="53:54" x14ac:dyDescent="0.2">
      <c r="BA2644" s="581">
        <v>47477</v>
      </c>
      <c r="BB2644" s="582">
        <v>2030</v>
      </c>
    </row>
    <row r="2645" spans="53:54" x14ac:dyDescent="0.2">
      <c r="BA2645" s="581">
        <v>47478</v>
      </c>
      <c r="BB2645" s="582">
        <v>2030</v>
      </c>
    </row>
    <row r="2646" spans="53:54" x14ac:dyDescent="0.2">
      <c r="BA2646" s="581">
        <v>47479</v>
      </c>
      <c r="BB2646" s="582">
        <v>2030</v>
      </c>
    </row>
    <row r="2647" spans="53:54" x14ac:dyDescent="0.2">
      <c r="BA2647" s="581">
        <v>47480</v>
      </c>
      <c r="BB2647" s="582">
        <v>2030</v>
      </c>
    </row>
    <row r="2648" spans="53:54" x14ac:dyDescent="0.2">
      <c r="BA2648" s="581">
        <v>47481</v>
      </c>
      <c r="BB2648" s="582">
        <v>2030</v>
      </c>
    </row>
    <row r="2649" spans="53:54" x14ac:dyDescent="0.2">
      <c r="BA2649" s="581">
        <v>47482</v>
      </c>
      <c r="BB2649" s="582">
        <v>2030</v>
      </c>
    </row>
    <row r="2650" spans="53:54" x14ac:dyDescent="0.2">
      <c r="BA2650" s="581">
        <v>47483</v>
      </c>
      <c r="BB2650" s="582">
        <v>2030</v>
      </c>
    </row>
    <row r="2651" spans="53:54" x14ac:dyDescent="0.2">
      <c r="BA2651" s="581">
        <v>47484</v>
      </c>
      <c r="BB2651" s="582">
        <v>2030</v>
      </c>
    </row>
    <row r="2652" spans="53:54" x14ac:dyDescent="0.2">
      <c r="BA2652" s="581">
        <v>47485</v>
      </c>
      <c r="BB2652" s="582">
        <v>2030</v>
      </c>
    </row>
    <row r="2653" spans="53:54" x14ac:dyDescent="0.2">
      <c r="BA2653" s="581">
        <v>47486</v>
      </c>
      <c r="BB2653" s="582">
        <v>2030</v>
      </c>
    </row>
    <row r="2654" spans="53:54" x14ac:dyDescent="0.2">
      <c r="BA2654" s="581">
        <v>47487</v>
      </c>
      <c r="BB2654" s="582">
        <v>2030</v>
      </c>
    </row>
    <row r="2655" spans="53:54" x14ac:dyDescent="0.2">
      <c r="BA2655" s="581">
        <v>47488</v>
      </c>
      <c r="BB2655" s="582">
        <v>2030</v>
      </c>
    </row>
    <row r="2656" spans="53:54" x14ac:dyDescent="0.2">
      <c r="BA2656" s="581">
        <v>47489</v>
      </c>
      <c r="BB2656" s="582">
        <v>2030</v>
      </c>
    </row>
    <row r="2657" spans="53:54" x14ac:dyDescent="0.2">
      <c r="BA2657" s="581">
        <v>47490</v>
      </c>
      <c r="BB2657" s="582">
        <v>2030</v>
      </c>
    </row>
    <row r="2658" spans="53:54" x14ac:dyDescent="0.2">
      <c r="BA2658" s="581">
        <v>47491</v>
      </c>
      <c r="BB2658" s="582">
        <v>2030</v>
      </c>
    </row>
    <row r="2659" spans="53:54" x14ac:dyDescent="0.2">
      <c r="BA2659" s="581">
        <v>47492</v>
      </c>
      <c r="BB2659" s="582">
        <v>2030</v>
      </c>
    </row>
    <row r="2660" spans="53:54" x14ac:dyDescent="0.2">
      <c r="BA2660" s="581">
        <v>47493</v>
      </c>
      <c r="BB2660" s="582">
        <v>2030</v>
      </c>
    </row>
    <row r="2661" spans="53:54" x14ac:dyDescent="0.2">
      <c r="BA2661" s="581">
        <v>47494</v>
      </c>
      <c r="BB2661" s="582">
        <v>2030</v>
      </c>
    </row>
    <row r="2662" spans="53:54" x14ac:dyDescent="0.2">
      <c r="BA2662" s="581">
        <v>47495</v>
      </c>
      <c r="BB2662" s="582">
        <v>2030</v>
      </c>
    </row>
    <row r="2663" spans="53:54" x14ac:dyDescent="0.2">
      <c r="BA2663" s="581">
        <v>47496</v>
      </c>
      <c r="BB2663" s="582">
        <v>2030</v>
      </c>
    </row>
    <row r="2664" spans="53:54" x14ac:dyDescent="0.2">
      <c r="BA2664" s="581">
        <v>47497</v>
      </c>
      <c r="BB2664" s="582">
        <v>2030</v>
      </c>
    </row>
    <row r="2665" spans="53:54" x14ac:dyDescent="0.2">
      <c r="BA2665" s="581">
        <v>47498</v>
      </c>
      <c r="BB2665" s="582">
        <v>2030</v>
      </c>
    </row>
    <row r="2666" spans="53:54" x14ac:dyDescent="0.2">
      <c r="BA2666" s="581">
        <v>47499</v>
      </c>
      <c r="BB2666" s="582">
        <v>2030</v>
      </c>
    </row>
    <row r="2667" spans="53:54" x14ac:dyDescent="0.2">
      <c r="BA2667" s="581">
        <v>47500</v>
      </c>
      <c r="BB2667" s="582">
        <v>2030</v>
      </c>
    </row>
    <row r="2668" spans="53:54" x14ac:dyDescent="0.2">
      <c r="BA2668" s="581">
        <v>47501</v>
      </c>
      <c r="BB2668" s="582">
        <v>2030</v>
      </c>
    </row>
    <row r="2669" spans="53:54" x14ac:dyDescent="0.2">
      <c r="BA2669" s="581">
        <v>47502</v>
      </c>
      <c r="BB2669" s="582">
        <v>2030</v>
      </c>
    </row>
    <row r="2670" spans="53:54" x14ac:dyDescent="0.2">
      <c r="BA2670" s="581">
        <v>47503</v>
      </c>
      <c r="BB2670" s="582">
        <v>2030</v>
      </c>
    </row>
    <row r="2671" spans="53:54" x14ac:dyDescent="0.2">
      <c r="BA2671" s="581">
        <v>47504</v>
      </c>
      <c r="BB2671" s="582">
        <v>2030</v>
      </c>
    </row>
    <row r="2672" spans="53:54" x14ac:dyDescent="0.2">
      <c r="BA2672" s="581">
        <v>47505</v>
      </c>
      <c r="BB2672" s="582">
        <v>2030</v>
      </c>
    </row>
    <row r="2673" spans="53:54" x14ac:dyDescent="0.2">
      <c r="BA2673" s="581">
        <v>47506</v>
      </c>
      <c r="BB2673" s="582">
        <v>2030</v>
      </c>
    </row>
    <row r="2674" spans="53:54" x14ac:dyDescent="0.2">
      <c r="BA2674" s="581">
        <v>47507</v>
      </c>
      <c r="BB2674" s="582">
        <v>2030</v>
      </c>
    </row>
    <row r="2675" spans="53:54" x14ac:dyDescent="0.2">
      <c r="BA2675" s="581">
        <v>47508</v>
      </c>
      <c r="BB2675" s="582">
        <v>2030</v>
      </c>
    </row>
    <row r="2676" spans="53:54" x14ac:dyDescent="0.2">
      <c r="BA2676" s="581">
        <v>47509</v>
      </c>
      <c r="BB2676" s="582">
        <v>2030</v>
      </c>
    </row>
    <row r="2677" spans="53:54" x14ac:dyDescent="0.2">
      <c r="BA2677" s="581">
        <v>47510</v>
      </c>
      <c r="BB2677" s="582">
        <v>2030</v>
      </c>
    </row>
    <row r="2678" spans="53:54" x14ac:dyDescent="0.2">
      <c r="BA2678" s="581">
        <v>47511</v>
      </c>
      <c r="BB2678" s="582">
        <v>2030</v>
      </c>
    </row>
    <row r="2679" spans="53:54" x14ac:dyDescent="0.2">
      <c r="BA2679" s="581">
        <v>47512</v>
      </c>
      <c r="BB2679" s="582">
        <v>2030</v>
      </c>
    </row>
    <row r="2680" spans="53:54" x14ac:dyDescent="0.2">
      <c r="BA2680" s="581">
        <v>47513</v>
      </c>
      <c r="BB2680" s="582">
        <v>2030</v>
      </c>
    </row>
    <row r="2681" spans="53:54" x14ac:dyDescent="0.2">
      <c r="BA2681" s="581">
        <v>47514</v>
      </c>
      <c r="BB2681" s="582">
        <v>2030</v>
      </c>
    </row>
    <row r="2682" spans="53:54" x14ac:dyDescent="0.2">
      <c r="BA2682" s="581">
        <v>47515</v>
      </c>
      <c r="BB2682" s="582">
        <v>2030</v>
      </c>
    </row>
    <row r="2683" spans="53:54" x14ac:dyDescent="0.2">
      <c r="BA2683" s="581">
        <v>47516</v>
      </c>
      <c r="BB2683" s="582">
        <v>2030</v>
      </c>
    </row>
    <row r="2684" spans="53:54" x14ac:dyDescent="0.2">
      <c r="BA2684" s="581">
        <v>47517</v>
      </c>
      <c r="BB2684" s="582">
        <v>2030</v>
      </c>
    </row>
    <row r="2685" spans="53:54" x14ac:dyDescent="0.2">
      <c r="BA2685" s="581">
        <v>47518</v>
      </c>
      <c r="BB2685" s="582">
        <v>2030</v>
      </c>
    </row>
    <row r="2686" spans="53:54" x14ac:dyDescent="0.2">
      <c r="BA2686" s="581">
        <v>47519</v>
      </c>
      <c r="BB2686" s="582">
        <v>2030</v>
      </c>
    </row>
    <row r="2687" spans="53:54" x14ac:dyDescent="0.2">
      <c r="BA2687" s="581">
        <v>47520</v>
      </c>
      <c r="BB2687" s="582">
        <v>2030</v>
      </c>
    </row>
    <row r="2688" spans="53:54" x14ac:dyDescent="0.2">
      <c r="BA2688" s="581">
        <v>47521</v>
      </c>
      <c r="BB2688" s="582">
        <v>2030</v>
      </c>
    </row>
    <row r="2689" spans="53:54" x14ac:dyDescent="0.2">
      <c r="BA2689" s="581">
        <v>47522</v>
      </c>
      <c r="BB2689" s="582">
        <v>2030</v>
      </c>
    </row>
    <row r="2690" spans="53:54" x14ac:dyDescent="0.2">
      <c r="BA2690" s="581">
        <v>47523</v>
      </c>
      <c r="BB2690" s="582">
        <v>2030</v>
      </c>
    </row>
    <row r="2691" spans="53:54" x14ac:dyDescent="0.2">
      <c r="BA2691" s="581">
        <v>47524</v>
      </c>
      <c r="BB2691" s="582">
        <v>2030</v>
      </c>
    </row>
    <row r="2692" spans="53:54" x14ac:dyDescent="0.2">
      <c r="BA2692" s="581">
        <v>47525</v>
      </c>
      <c r="BB2692" s="582">
        <v>2030</v>
      </c>
    </row>
    <row r="2693" spans="53:54" x14ac:dyDescent="0.2">
      <c r="BA2693" s="581">
        <v>47526</v>
      </c>
      <c r="BB2693" s="582">
        <v>2030</v>
      </c>
    </row>
    <row r="2694" spans="53:54" x14ac:dyDescent="0.2">
      <c r="BA2694" s="581">
        <v>47527</v>
      </c>
      <c r="BB2694" s="582">
        <v>2030</v>
      </c>
    </row>
    <row r="2695" spans="53:54" x14ac:dyDescent="0.2">
      <c r="BA2695" s="581">
        <v>47528</v>
      </c>
      <c r="BB2695" s="582">
        <v>2030</v>
      </c>
    </row>
    <row r="2696" spans="53:54" x14ac:dyDescent="0.2">
      <c r="BA2696" s="581">
        <v>47529</v>
      </c>
      <c r="BB2696" s="582">
        <v>2030</v>
      </c>
    </row>
    <row r="2697" spans="53:54" x14ac:dyDescent="0.2">
      <c r="BA2697" s="581">
        <v>47530</v>
      </c>
      <c r="BB2697" s="582">
        <v>2030</v>
      </c>
    </row>
    <row r="2698" spans="53:54" x14ac:dyDescent="0.2">
      <c r="BA2698" s="581">
        <v>47531</v>
      </c>
      <c r="BB2698" s="582">
        <v>2030</v>
      </c>
    </row>
    <row r="2699" spans="53:54" x14ac:dyDescent="0.2">
      <c r="BA2699" s="581">
        <v>47532</v>
      </c>
      <c r="BB2699" s="582">
        <v>2030</v>
      </c>
    </row>
    <row r="2700" spans="53:54" x14ac:dyDescent="0.2">
      <c r="BA2700" s="581">
        <v>47533</v>
      </c>
      <c r="BB2700" s="582">
        <v>2030</v>
      </c>
    </row>
    <row r="2701" spans="53:54" x14ac:dyDescent="0.2">
      <c r="BA2701" s="581">
        <v>47534</v>
      </c>
      <c r="BB2701" s="582">
        <v>2030</v>
      </c>
    </row>
    <row r="2702" spans="53:54" x14ac:dyDescent="0.2">
      <c r="BA2702" s="581">
        <v>47535</v>
      </c>
      <c r="BB2702" s="582">
        <v>2030</v>
      </c>
    </row>
    <row r="2703" spans="53:54" x14ac:dyDescent="0.2">
      <c r="BA2703" s="581">
        <v>47536</v>
      </c>
      <c r="BB2703" s="582">
        <v>2030</v>
      </c>
    </row>
    <row r="2704" spans="53:54" x14ac:dyDescent="0.2">
      <c r="BA2704" s="581">
        <v>47537</v>
      </c>
      <c r="BB2704" s="582">
        <v>2030</v>
      </c>
    </row>
    <row r="2705" spans="53:54" x14ac:dyDescent="0.2">
      <c r="BA2705" s="581">
        <v>47538</v>
      </c>
      <c r="BB2705" s="582">
        <v>2030</v>
      </c>
    </row>
    <row r="2706" spans="53:54" x14ac:dyDescent="0.2">
      <c r="BA2706" s="581">
        <v>47539</v>
      </c>
      <c r="BB2706" s="582">
        <v>2030</v>
      </c>
    </row>
    <row r="2707" spans="53:54" x14ac:dyDescent="0.2">
      <c r="BA2707" s="581">
        <v>47540</v>
      </c>
      <c r="BB2707" s="582">
        <v>2030</v>
      </c>
    </row>
    <row r="2708" spans="53:54" x14ac:dyDescent="0.2">
      <c r="BA2708" s="581">
        <v>47541</v>
      </c>
      <c r="BB2708" s="582">
        <v>2030</v>
      </c>
    </row>
    <row r="2709" spans="53:54" x14ac:dyDescent="0.2">
      <c r="BA2709" s="581">
        <v>47542</v>
      </c>
      <c r="BB2709" s="582">
        <v>2030</v>
      </c>
    </row>
    <row r="2710" spans="53:54" x14ac:dyDescent="0.2">
      <c r="BA2710" s="581">
        <v>47543</v>
      </c>
      <c r="BB2710" s="582">
        <v>2030</v>
      </c>
    </row>
    <row r="2711" spans="53:54" x14ac:dyDescent="0.2">
      <c r="BA2711" s="581">
        <v>47544</v>
      </c>
      <c r="BB2711" s="582">
        <v>2030</v>
      </c>
    </row>
    <row r="2712" spans="53:54" x14ac:dyDescent="0.2">
      <c r="BA2712" s="581">
        <v>47545</v>
      </c>
      <c r="BB2712" s="582">
        <v>2030</v>
      </c>
    </row>
    <row r="2713" spans="53:54" x14ac:dyDescent="0.2">
      <c r="BA2713" s="581">
        <v>47546</v>
      </c>
      <c r="BB2713" s="582">
        <v>2030</v>
      </c>
    </row>
    <row r="2714" spans="53:54" x14ac:dyDescent="0.2">
      <c r="BA2714" s="581">
        <v>47547</v>
      </c>
      <c r="BB2714" s="582">
        <v>2030</v>
      </c>
    </row>
    <row r="2715" spans="53:54" x14ac:dyDescent="0.2">
      <c r="BA2715" s="581">
        <v>47548</v>
      </c>
      <c r="BB2715" s="582">
        <v>2030</v>
      </c>
    </row>
    <row r="2716" spans="53:54" x14ac:dyDescent="0.2">
      <c r="BA2716" s="581">
        <v>47549</v>
      </c>
      <c r="BB2716" s="582">
        <v>2030</v>
      </c>
    </row>
    <row r="2717" spans="53:54" x14ac:dyDescent="0.2">
      <c r="BA2717" s="581">
        <v>47550</v>
      </c>
      <c r="BB2717" s="582">
        <v>2030</v>
      </c>
    </row>
    <row r="2718" spans="53:54" x14ac:dyDescent="0.2">
      <c r="BA2718" s="581">
        <v>47551</v>
      </c>
      <c r="BB2718" s="582">
        <v>2030</v>
      </c>
    </row>
    <row r="2719" spans="53:54" x14ac:dyDescent="0.2">
      <c r="BA2719" s="581">
        <v>47552</v>
      </c>
      <c r="BB2719" s="582">
        <v>2030</v>
      </c>
    </row>
    <row r="2720" spans="53:54" x14ac:dyDescent="0.2">
      <c r="BA2720" s="581">
        <v>47553</v>
      </c>
      <c r="BB2720" s="582">
        <v>2030</v>
      </c>
    </row>
    <row r="2721" spans="53:54" x14ac:dyDescent="0.2">
      <c r="BA2721" s="581">
        <v>47554</v>
      </c>
      <c r="BB2721" s="582">
        <v>2030</v>
      </c>
    </row>
    <row r="2722" spans="53:54" x14ac:dyDescent="0.2">
      <c r="BA2722" s="581">
        <v>47555</v>
      </c>
      <c r="BB2722" s="582">
        <v>2030</v>
      </c>
    </row>
    <row r="2723" spans="53:54" x14ac:dyDescent="0.2">
      <c r="BA2723" s="581">
        <v>47556</v>
      </c>
      <c r="BB2723" s="582">
        <v>2030</v>
      </c>
    </row>
    <row r="2724" spans="53:54" x14ac:dyDescent="0.2">
      <c r="BA2724" s="581">
        <v>47557</v>
      </c>
      <c r="BB2724" s="582">
        <v>2030</v>
      </c>
    </row>
    <row r="2725" spans="53:54" x14ac:dyDescent="0.2">
      <c r="BA2725" s="581">
        <v>47558</v>
      </c>
      <c r="BB2725" s="582">
        <v>2030</v>
      </c>
    </row>
    <row r="2726" spans="53:54" x14ac:dyDescent="0.2">
      <c r="BA2726" s="581">
        <v>47559</v>
      </c>
      <c r="BB2726" s="582">
        <v>2030</v>
      </c>
    </row>
    <row r="2727" spans="53:54" x14ac:dyDescent="0.2">
      <c r="BA2727" s="581">
        <v>47560</v>
      </c>
      <c r="BB2727" s="582">
        <v>2030</v>
      </c>
    </row>
    <row r="2728" spans="53:54" x14ac:dyDescent="0.2">
      <c r="BA2728" s="581">
        <v>47561</v>
      </c>
      <c r="BB2728" s="582">
        <v>2030</v>
      </c>
    </row>
    <row r="2729" spans="53:54" x14ac:dyDescent="0.2">
      <c r="BA2729" s="581">
        <v>47562</v>
      </c>
      <c r="BB2729" s="582">
        <v>2030</v>
      </c>
    </row>
    <row r="2730" spans="53:54" x14ac:dyDescent="0.2">
      <c r="BA2730" s="581">
        <v>47563</v>
      </c>
      <c r="BB2730" s="582">
        <v>2030</v>
      </c>
    </row>
    <row r="2731" spans="53:54" x14ac:dyDescent="0.2">
      <c r="BA2731" s="581">
        <v>47564</v>
      </c>
      <c r="BB2731" s="582">
        <v>2030</v>
      </c>
    </row>
    <row r="2732" spans="53:54" x14ac:dyDescent="0.2">
      <c r="BA2732" s="581">
        <v>47565</v>
      </c>
      <c r="BB2732" s="582">
        <v>2030</v>
      </c>
    </row>
    <row r="2733" spans="53:54" x14ac:dyDescent="0.2">
      <c r="BA2733" s="581">
        <v>47566</v>
      </c>
      <c r="BB2733" s="582">
        <v>2030</v>
      </c>
    </row>
    <row r="2734" spans="53:54" x14ac:dyDescent="0.2">
      <c r="BA2734" s="581">
        <v>47567</v>
      </c>
      <c r="BB2734" s="582">
        <v>2030</v>
      </c>
    </row>
    <row r="2735" spans="53:54" x14ac:dyDescent="0.2">
      <c r="BA2735" s="581">
        <v>47568</v>
      </c>
      <c r="BB2735" s="582">
        <v>2030</v>
      </c>
    </row>
    <row r="2736" spans="53:54" x14ac:dyDescent="0.2">
      <c r="BA2736" s="581">
        <v>47569</v>
      </c>
      <c r="BB2736" s="582">
        <v>2030</v>
      </c>
    </row>
    <row r="2737" spans="53:54" x14ac:dyDescent="0.2">
      <c r="BA2737" s="581">
        <v>47570</v>
      </c>
      <c r="BB2737" s="582">
        <v>2030</v>
      </c>
    </row>
    <row r="2738" spans="53:54" x14ac:dyDescent="0.2">
      <c r="BA2738" s="581">
        <v>47571</v>
      </c>
      <c r="BB2738" s="582">
        <v>2030</v>
      </c>
    </row>
    <row r="2739" spans="53:54" x14ac:dyDescent="0.2">
      <c r="BA2739" s="581">
        <v>47572</v>
      </c>
      <c r="BB2739" s="582">
        <v>2030</v>
      </c>
    </row>
    <row r="2740" spans="53:54" x14ac:dyDescent="0.2">
      <c r="BA2740" s="581">
        <v>47573</v>
      </c>
      <c r="BB2740" s="582">
        <v>2030</v>
      </c>
    </row>
    <row r="2741" spans="53:54" x14ac:dyDescent="0.2">
      <c r="BA2741" s="581">
        <v>47574</v>
      </c>
      <c r="BB2741" s="582">
        <v>2030</v>
      </c>
    </row>
    <row r="2742" spans="53:54" x14ac:dyDescent="0.2">
      <c r="BA2742" s="581">
        <v>47575</v>
      </c>
      <c r="BB2742" s="582">
        <v>2030</v>
      </c>
    </row>
    <row r="2743" spans="53:54" x14ac:dyDescent="0.2">
      <c r="BA2743" s="581">
        <v>47576</v>
      </c>
      <c r="BB2743" s="582">
        <v>2030</v>
      </c>
    </row>
    <row r="2744" spans="53:54" x14ac:dyDescent="0.2">
      <c r="BA2744" s="581">
        <v>47577</v>
      </c>
      <c r="BB2744" s="582">
        <v>2030</v>
      </c>
    </row>
    <row r="2745" spans="53:54" x14ac:dyDescent="0.2">
      <c r="BA2745" s="581">
        <v>47578</v>
      </c>
      <c r="BB2745" s="582">
        <v>2030</v>
      </c>
    </row>
    <row r="2746" spans="53:54" x14ac:dyDescent="0.2">
      <c r="BA2746" s="581">
        <v>47579</v>
      </c>
      <c r="BB2746" s="582">
        <v>2030</v>
      </c>
    </row>
    <row r="2747" spans="53:54" x14ac:dyDescent="0.2">
      <c r="BA2747" s="581">
        <v>47580</v>
      </c>
      <c r="BB2747" s="582">
        <v>2030</v>
      </c>
    </row>
    <row r="2748" spans="53:54" x14ac:dyDescent="0.2">
      <c r="BA2748" s="581">
        <v>47581</v>
      </c>
      <c r="BB2748" s="582">
        <v>2030</v>
      </c>
    </row>
    <row r="2749" spans="53:54" x14ac:dyDescent="0.2">
      <c r="BA2749" s="581">
        <v>47582</v>
      </c>
      <c r="BB2749" s="582">
        <v>2030</v>
      </c>
    </row>
    <row r="2750" spans="53:54" x14ac:dyDescent="0.2">
      <c r="BA2750" s="581">
        <v>47583</v>
      </c>
      <c r="BB2750" s="582">
        <v>2030</v>
      </c>
    </row>
    <row r="2751" spans="53:54" x14ac:dyDescent="0.2">
      <c r="BA2751" s="581">
        <v>47584</v>
      </c>
      <c r="BB2751" s="582">
        <v>2030</v>
      </c>
    </row>
    <row r="2752" spans="53:54" x14ac:dyDescent="0.2">
      <c r="BA2752" s="581">
        <v>47585</v>
      </c>
      <c r="BB2752" s="582">
        <v>2030</v>
      </c>
    </row>
    <row r="2753" spans="53:54" x14ac:dyDescent="0.2">
      <c r="BA2753" s="581">
        <v>47586</v>
      </c>
      <c r="BB2753" s="582">
        <v>2030</v>
      </c>
    </row>
    <row r="2754" spans="53:54" x14ac:dyDescent="0.2">
      <c r="BA2754" s="581">
        <v>47587</v>
      </c>
      <c r="BB2754" s="582">
        <v>2030</v>
      </c>
    </row>
    <row r="2755" spans="53:54" x14ac:dyDescent="0.2">
      <c r="BA2755" s="581">
        <v>47588</v>
      </c>
      <c r="BB2755" s="582">
        <v>2030</v>
      </c>
    </row>
    <row r="2756" spans="53:54" x14ac:dyDescent="0.2">
      <c r="BA2756" s="581">
        <v>47589</v>
      </c>
      <c r="BB2756" s="582">
        <v>2030</v>
      </c>
    </row>
    <row r="2757" spans="53:54" x14ac:dyDescent="0.2">
      <c r="BA2757" s="581">
        <v>47590</v>
      </c>
      <c r="BB2757" s="582">
        <v>2030</v>
      </c>
    </row>
    <row r="2758" spans="53:54" x14ac:dyDescent="0.2">
      <c r="BA2758" s="581">
        <v>47591</v>
      </c>
      <c r="BB2758" s="582">
        <v>2030</v>
      </c>
    </row>
    <row r="2759" spans="53:54" x14ac:dyDescent="0.2">
      <c r="BA2759" s="581">
        <v>47592</v>
      </c>
      <c r="BB2759" s="582">
        <v>2030</v>
      </c>
    </row>
    <row r="2760" spans="53:54" x14ac:dyDescent="0.2">
      <c r="BA2760" s="581">
        <v>47593</v>
      </c>
      <c r="BB2760" s="582">
        <v>2030</v>
      </c>
    </row>
    <row r="2761" spans="53:54" x14ac:dyDescent="0.2">
      <c r="BA2761" s="581">
        <v>47594</v>
      </c>
      <c r="BB2761" s="582">
        <v>2030</v>
      </c>
    </row>
    <row r="2762" spans="53:54" x14ac:dyDescent="0.2">
      <c r="BA2762" s="581">
        <v>47595</v>
      </c>
      <c r="BB2762" s="582">
        <v>2030</v>
      </c>
    </row>
    <row r="2763" spans="53:54" x14ac:dyDescent="0.2">
      <c r="BA2763" s="581">
        <v>47596</v>
      </c>
      <c r="BB2763" s="582">
        <v>2030</v>
      </c>
    </row>
    <row r="2764" spans="53:54" x14ac:dyDescent="0.2">
      <c r="BA2764" s="581">
        <v>47597</v>
      </c>
      <c r="BB2764" s="582">
        <v>2030</v>
      </c>
    </row>
    <row r="2765" spans="53:54" x14ac:dyDescent="0.2">
      <c r="BA2765" s="581">
        <v>47598</v>
      </c>
      <c r="BB2765" s="582">
        <v>2030</v>
      </c>
    </row>
    <row r="2766" spans="53:54" x14ac:dyDescent="0.2">
      <c r="BA2766" s="581">
        <v>47599</v>
      </c>
      <c r="BB2766" s="582">
        <v>2030</v>
      </c>
    </row>
    <row r="2767" spans="53:54" x14ac:dyDescent="0.2">
      <c r="BA2767" s="581">
        <v>47600</v>
      </c>
      <c r="BB2767" s="582">
        <v>2030</v>
      </c>
    </row>
    <row r="2768" spans="53:54" x14ac:dyDescent="0.2">
      <c r="BA2768" s="581">
        <v>47601</v>
      </c>
      <c r="BB2768" s="582">
        <v>2030</v>
      </c>
    </row>
    <row r="2769" spans="53:54" x14ac:dyDescent="0.2">
      <c r="BA2769" s="581">
        <v>47602</v>
      </c>
      <c r="BB2769" s="582">
        <v>2030</v>
      </c>
    </row>
    <row r="2770" spans="53:54" x14ac:dyDescent="0.2">
      <c r="BA2770" s="581">
        <v>47603</v>
      </c>
      <c r="BB2770" s="582">
        <v>2030</v>
      </c>
    </row>
    <row r="2771" spans="53:54" x14ac:dyDescent="0.2">
      <c r="BA2771" s="581">
        <v>47604</v>
      </c>
      <c r="BB2771" s="582">
        <v>2030</v>
      </c>
    </row>
    <row r="2772" spans="53:54" x14ac:dyDescent="0.2">
      <c r="BA2772" s="581">
        <v>47605</v>
      </c>
      <c r="BB2772" s="582">
        <v>2030</v>
      </c>
    </row>
    <row r="2773" spans="53:54" x14ac:dyDescent="0.2">
      <c r="BA2773" s="581">
        <v>47606</v>
      </c>
      <c r="BB2773" s="582">
        <v>2030</v>
      </c>
    </row>
    <row r="2774" spans="53:54" x14ac:dyDescent="0.2">
      <c r="BA2774" s="581">
        <v>47607</v>
      </c>
      <c r="BB2774" s="582">
        <v>2030</v>
      </c>
    </row>
    <row r="2775" spans="53:54" x14ac:dyDescent="0.2">
      <c r="BA2775" s="581">
        <v>47608</v>
      </c>
      <c r="BB2775" s="582">
        <v>2030</v>
      </c>
    </row>
    <row r="2776" spans="53:54" x14ac:dyDescent="0.2">
      <c r="BA2776" s="581">
        <v>47609</v>
      </c>
      <c r="BB2776" s="582">
        <v>2030</v>
      </c>
    </row>
    <row r="2777" spans="53:54" x14ac:dyDescent="0.2">
      <c r="BA2777" s="581">
        <v>47610</v>
      </c>
      <c r="BB2777" s="582">
        <v>2030</v>
      </c>
    </row>
    <row r="2778" spans="53:54" x14ac:dyDescent="0.2">
      <c r="BA2778" s="581">
        <v>47611</v>
      </c>
      <c r="BB2778" s="582">
        <v>2030</v>
      </c>
    </row>
    <row r="2779" spans="53:54" x14ac:dyDescent="0.2">
      <c r="BA2779" s="581">
        <v>47612</v>
      </c>
      <c r="BB2779" s="582">
        <v>2030</v>
      </c>
    </row>
    <row r="2780" spans="53:54" x14ac:dyDescent="0.2">
      <c r="BA2780" s="581">
        <v>47613</v>
      </c>
      <c r="BB2780" s="582">
        <v>2030</v>
      </c>
    </row>
    <row r="2781" spans="53:54" x14ac:dyDescent="0.2">
      <c r="BA2781" s="581">
        <v>47614</v>
      </c>
      <c r="BB2781" s="582">
        <v>2030</v>
      </c>
    </row>
    <row r="2782" spans="53:54" x14ac:dyDescent="0.2">
      <c r="BA2782" s="581">
        <v>47615</v>
      </c>
      <c r="BB2782" s="582">
        <v>2030</v>
      </c>
    </row>
    <row r="2783" spans="53:54" x14ac:dyDescent="0.2">
      <c r="BA2783" s="581">
        <v>47616</v>
      </c>
      <c r="BB2783" s="582">
        <v>2030</v>
      </c>
    </row>
    <row r="2784" spans="53:54" x14ac:dyDescent="0.2">
      <c r="BA2784" s="581">
        <v>47617</v>
      </c>
      <c r="BB2784" s="582">
        <v>2030</v>
      </c>
    </row>
    <row r="2785" spans="53:54" x14ac:dyDescent="0.2">
      <c r="BA2785" s="581">
        <v>47618</v>
      </c>
      <c r="BB2785" s="582">
        <v>2030</v>
      </c>
    </row>
    <row r="2786" spans="53:54" x14ac:dyDescent="0.2">
      <c r="BA2786" s="581">
        <v>47619</v>
      </c>
      <c r="BB2786" s="582">
        <v>2030</v>
      </c>
    </row>
    <row r="2787" spans="53:54" x14ac:dyDescent="0.2">
      <c r="BA2787" s="581">
        <v>47620</v>
      </c>
      <c r="BB2787" s="582">
        <v>2030</v>
      </c>
    </row>
    <row r="2788" spans="53:54" x14ac:dyDescent="0.2">
      <c r="BA2788" s="581">
        <v>47621</v>
      </c>
      <c r="BB2788" s="582">
        <v>2030</v>
      </c>
    </row>
    <row r="2789" spans="53:54" x14ac:dyDescent="0.2">
      <c r="BA2789" s="581">
        <v>47622</v>
      </c>
      <c r="BB2789" s="582">
        <v>2030</v>
      </c>
    </row>
    <row r="2790" spans="53:54" x14ac:dyDescent="0.2">
      <c r="BA2790" s="581">
        <v>47623</v>
      </c>
      <c r="BB2790" s="582">
        <v>2030</v>
      </c>
    </row>
    <row r="2791" spans="53:54" x14ac:dyDescent="0.2">
      <c r="BA2791" s="581">
        <v>47624</v>
      </c>
      <c r="BB2791" s="582">
        <v>2030</v>
      </c>
    </row>
    <row r="2792" spans="53:54" x14ac:dyDescent="0.2">
      <c r="BA2792" s="581">
        <v>47625</v>
      </c>
      <c r="BB2792" s="582">
        <v>2030</v>
      </c>
    </row>
    <row r="2793" spans="53:54" x14ac:dyDescent="0.2">
      <c r="BA2793" s="581">
        <v>47626</v>
      </c>
      <c r="BB2793" s="582">
        <v>2030</v>
      </c>
    </row>
    <row r="2794" spans="53:54" x14ac:dyDescent="0.2">
      <c r="BA2794" s="581">
        <v>47627</v>
      </c>
      <c r="BB2794" s="582">
        <v>2030</v>
      </c>
    </row>
    <row r="2795" spans="53:54" x14ac:dyDescent="0.2">
      <c r="BA2795" s="581">
        <v>47628</v>
      </c>
      <c r="BB2795" s="582">
        <v>2030</v>
      </c>
    </row>
    <row r="2796" spans="53:54" x14ac:dyDescent="0.2">
      <c r="BA2796" s="581">
        <v>47629</v>
      </c>
      <c r="BB2796" s="582">
        <v>2030</v>
      </c>
    </row>
    <row r="2797" spans="53:54" x14ac:dyDescent="0.2">
      <c r="BA2797" s="581">
        <v>47630</v>
      </c>
      <c r="BB2797" s="582">
        <v>2030</v>
      </c>
    </row>
    <row r="2798" spans="53:54" x14ac:dyDescent="0.2">
      <c r="BA2798" s="581">
        <v>47631</v>
      </c>
      <c r="BB2798" s="582">
        <v>2030</v>
      </c>
    </row>
    <row r="2799" spans="53:54" x14ac:dyDescent="0.2">
      <c r="BA2799" s="581">
        <v>47632</v>
      </c>
      <c r="BB2799" s="582">
        <v>2030</v>
      </c>
    </row>
    <row r="2800" spans="53:54" x14ac:dyDescent="0.2">
      <c r="BA2800" s="581">
        <v>47633</v>
      </c>
      <c r="BB2800" s="582">
        <v>2030</v>
      </c>
    </row>
    <row r="2801" spans="53:54" x14ac:dyDescent="0.2">
      <c r="BA2801" s="581">
        <v>47634</v>
      </c>
      <c r="BB2801" s="582">
        <v>2030</v>
      </c>
    </row>
    <row r="2802" spans="53:54" x14ac:dyDescent="0.2">
      <c r="BA2802" s="581">
        <v>47635</v>
      </c>
      <c r="BB2802" s="582">
        <v>2030</v>
      </c>
    </row>
    <row r="2803" spans="53:54" x14ac:dyDescent="0.2">
      <c r="BA2803" s="581">
        <v>47636</v>
      </c>
      <c r="BB2803" s="582">
        <v>2030</v>
      </c>
    </row>
    <row r="2804" spans="53:54" x14ac:dyDescent="0.2">
      <c r="BA2804" s="581">
        <v>47637</v>
      </c>
      <c r="BB2804" s="582">
        <v>2030</v>
      </c>
    </row>
    <row r="2805" spans="53:54" x14ac:dyDescent="0.2">
      <c r="BA2805" s="581">
        <v>47638</v>
      </c>
      <c r="BB2805" s="582">
        <v>2030</v>
      </c>
    </row>
    <row r="2806" spans="53:54" x14ac:dyDescent="0.2">
      <c r="BA2806" s="581">
        <v>47639</v>
      </c>
      <c r="BB2806" s="582">
        <v>2030</v>
      </c>
    </row>
    <row r="2807" spans="53:54" x14ac:dyDescent="0.2">
      <c r="BA2807" s="581">
        <v>47640</v>
      </c>
      <c r="BB2807" s="582">
        <v>2030</v>
      </c>
    </row>
    <row r="2808" spans="53:54" x14ac:dyDescent="0.2">
      <c r="BA2808" s="581">
        <v>47641</v>
      </c>
      <c r="BB2808" s="582">
        <v>2030</v>
      </c>
    </row>
    <row r="2809" spans="53:54" x14ac:dyDescent="0.2">
      <c r="BA2809" s="581">
        <v>47642</v>
      </c>
      <c r="BB2809" s="582">
        <v>2030</v>
      </c>
    </row>
    <row r="2810" spans="53:54" x14ac:dyDescent="0.2">
      <c r="BA2810" s="581">
        <v>47643</v>
      </c>
      <c r="BB2810" s="582">
        <v>2030</v>
      </c>
    </row>
    <row r="2811" spans="53:54" x14ac:dyDescent="0.2">
      <c r="BA2811" s="581">
        <v>47644</v>
      </c>
      <c r="BB2811" s="582">
        <v>2030</v>
      </c>
    </row>
    <row r="2812" spans="53:54" x14ac:dyDescent="0.2">
      <c r="BA2812" s="581">
        <v>47645</v>
      </c>
      <c r="BB2812" s="582">
        <v>2030</v>
      </c>
    </row>
    <row r="2813" spans="53:54" x14ac:dyDescent="0.2">
      <c r="BA2813" s="581">
        <v>47646</v>
      </c>
      <c r="BB2813" s="582">
        <v>2030</v>
      </c>
    </row>
    <row r="2814" spans="53:54" x14ac:dyDescent="0.2">
      <c r="BA2814" s="581">
        <v>47647</v>
      </c>
      <c r="BB2814" s="582">
        <v>2030</v>
      </c>
    </row>
    <row r="2815" spans="53:54" x14ac:dyDescent="0.2">
      <c r="BA2815" s="581">
        <v>47648</v>
      </c>
      <c r="BB2815" s="582">
        <v>2030</v>
      </c>
    </row>
    <row r="2816" spans="53:54" x14ac:dyDescent="0.2">
      <c r="BA2816" s="581">
        <v>47649</v>
      </c>
      <c r="BB2816" s="582">
        <v>2030</v>
      </c>
    </row>
    <row r="2817" spans="53:54" x14ac:dyDescent="0.2">
      <c r="BA2817" s="581">
        <v>47650</v>
      </c>
      <c r="BB2817" s="582">
        <v>2030</v>
      </c>
    </row>
    <row r="2818" spans="53:54" x14ac:dyDescent="0.2">
      <c r="BA2818" s="581">
        <v>47651</v>
      </c>
      <c r="BB2818" s="582">
        <v>2030</v>
      </c>
    </row>
    <row r="2819" spans="53:54" x14ac:dyDescent="0.2">
      <c r="BA2819" s="581">
        <v>47652</v>
      </c>
      <c r="BB2819" s="582">
        <v>2030</v>
      </c>
    </row>
    <row r="2820" spans="53:54" x14ac:dyDescent="0.2">
      <c r="BA2820" s="581">
        <v>47653</v>
      </c>
      <c r="BB2820" s="582">
        <v>2030</v>
      </c>
    </row>
    <row r="2821" spans="53:54" x14ac:dyDescent="0.2">
      <c r="BA2821" s="581">
        <v>47654</v>
      </c>
      <c r="BB2821" s="582">
        <v>2030</v>
      </c>
    </row>
    <row r="2822" spans="53:54" x14ac:dyDescent="0.2">
      <c r="BA2822" s="581">
        <v>47655</v>
      </c>
      <c r="BB2822" s="582">
        <v>2030</v>
      </c>
    </row>
    <row r="2823" spans="53:54" x14ac:dyDescent="0.2">
      <c r="BA2823" s="581">
        <v>47656</v>
      </c>
      <c r="BB2823" s="582">
        <v>2030</v>
      </c>
    </row>
    <row r="2824" spans="53:54" x14ac:dyDescent="0.2">
      <c r="BA2824" s="581">
        <v>47657</v>
      </c>
      <c r="BB2824" s="582">
        <v>2030</v>
      </c>
    </row>
    <row r="2825" spans="53:54" x14ac:dyDescent="0.2">
      <c r="BA2825" s="581">
        <v>47658</v>
      </c>
      <c r="BB2825" s="582">
        <v>2030</v>
      </c>
    </row>
    <row r="2826" spans="53:54" x14ac:dyDescent="0.2">
      <c r="BA2826" s="581">
        <v>47659</v>
      </c>
      <c r="BB2826" s="582">
        <v>2030</v>
      </c>
    </row>
    <row r="2827" spans="53:54" x14ac:dyDescent="0.2">
      <c r="BA2827" s="581">
        <v>47660</v>
      </c>
      <c r="BB2827" s="582">
        <v>2030</v>
      </c>
    </row>
    <row r="2828" spans="53:54" x14ac:dyDescent="0.2">
      <c r="BA2828" s="581">
        <v>47661</v>
      </c>
      <c r="BB2828" s="582">
        <v>2030</v>
      </c>
    </row>
    <row r="2829" spans="53:54" x14ac:dyDescent="0.2">
      <c r="BA2829" s="581">
        <v>47662</v>
      </c>
      <c r="BB2829" s="582">
        <v>2030</v>
      </c>
    </row>
    <row r="2830" spans="53:54" x14ac:dyDescent="0.2">
      <c r="BA2830" s="581">
        <v>47663</v>
      </c>
      <c r="BB2830" s="582">
        <v>2030</v>
      </c>
    </row>
    <row r="2831" spans="53:54" x14ac:dyDescent="0.2">
      <c r="BA2831" s="581">
        <v>47664</v>
      </c>
      <c r="BB2831" s="582">
        <v>2030</v>
      </c>
    </row>
    <row r="2832" spans="53:54" x14ac:dyDescent="0.2">
      <c r="BA2832" s="581">
        <v>47665</v>
      </c>
      <c r="BB2832" s="582">
        <v>2030</v>
      </c>
    </row>
    <row r="2833" spans="53:54" x14ac:dyDescent="0.2">
      <c r="BA2833" s="581">
        <v>47666</v>
      </c>
      <c r="BB2833" s="582">
        <v>2030</v>
      </c>
    </row>
    <row r="2834" spans="53:54" x14ac:dyDescent="0.2">
      <c r="BA2834" s="581">
        <v>47667</v>
      </c>
      <c r="BB2834" s="582">
        <v>2030</v>
      </c>
    </row>
    <row r="2835" spans="53:54" x14ac:dyDescent="0.2">
      <c r="BA2835" s="581">
        <v>47668</v>
      </c>
      <c r="BB2835" s="582">
        <v>2030</v>
      </c>
    </row>
    <row r="2836" spans="53:54" x14ac:dyDescent="0.2">
      <c r="BA2836" s="581">
        <v>47669</v>
      </c>
      <c r="BB2836" s="582">
        <v>2030</v>
      </c>
    </row>
    <row r="2837" spans="53:54" x14ac:dyDescent="0.2">
      <c r="BA2837" s="581">
        <v>47670</v>
      </c>
      <c r="BB2837" s="582">
        <v>2030</v>
      </c>
    </row>
    <row r="2838" spans="53:54" x14ac:dyDescent="0.2">
      <c r="BA2838" s="581">
        <v>47671</v>
      </c>
      <c r="BB2838" s="582">
        <v>2030</v>
      </c>
    </row>
    <row r="2839" spans="53:54" x14ac:dyDescent="0.2">
      <c r="BA2839" s="581">
        <v>47672</v>
      </c>
      <c r="BB2839" s="582">
        <v>2030</v>
      </c>
    </row>
    <row r="2840" spans="53:54" x14ac:dyDescent="0.2">
      <c r="BA2840" s="581">
        <v>47673</v>
      </c>
      <c r="BB2840" s="582">
        <v>2030</v>
      </c>
    </row>
    <row r="2841" spans="53:54" x14ac:dyDescent="0.2">
      <c r="BA2841" s="581">
        <v>47674</v>
      </c>
      <c r="BB2841" s="582">
        <v>2030</v>
      </c>
    </row>
    <row r="2842" spans="53:54" x14ac:dyDescent="0.2">
      <c r="BA2842" s="581">
        <v>47675</v>
      </c>
      <c r="BB2842" s="582">
        <v>2030</v>
      </c>
    </row>
    <row r="2843" spans="53:54" x14ac:dyDescent="0.2">
      <c r="BA2843" s="581">
        <v>47676</v>
      </c>
      <c r="BB2843" s="582">
        <v>2030</v>
      </c>
    </row>
    <row r="2844" spans="53:54" x14ac:dyDescent="0.2">
      <c r="BA2844" s="581">
        <v>47677</v>
      </c>
      <c r="BB2844" s="582">
        <v>2030</v>
      </c>
    </row>
    <row r="2845" spans="53:54" x14ac:dyDescent="0.2">
      <c r="BA2845" s="581">
        <v>47678</v>
      </c>
      <c r="BB2845" s="582">
        <v>2030</v>
      </c>
    </row>
    <row r="2846" spans="53:54" x14ac:dyDescent="0.2">
      <c r="BA2846" s="581">
        <v>47679</v>
      </c>
      <c r="BB2846" s="582">
        <v>2030</v>
      </c>
    </row>
    <row r="2847" spans="53:54" x14ac:dyDescent="0.2">
      <c r="BA2847" s="581">
        <v>47680</v>
      </c>
      <c r="BB2847" s="582">
        <v>2030</v>
      </c>
    </row>
    <row r="2848" spans="53:54" x14ac:dyDescent="0.2">
      <c r="BA2848" s="581">
        <v>47681</v>
      </c>
      <c r="BB2848" s="582">
        <v>2030</v>
      </c>
    </row>
    <row r="2849" spans="53:54" x14ac:dyDescent="0.2">
      <c r="BA2849" s="581">
        <v>47682</v>
      </c>
      <c r="BB2849" s="582">
        <v>2030</v>
      </c>
    </row>
    <row r="2850" spans="53:54" x14ac:dyDescent="0.2">
      <c r="BA2850" s="581">
        <v>47683</v>
      </c>
      <c r="BB2850" s="582">
        <v>2030</v>
      </c>
    </row>
    <row r="2851" spans="53:54" x14ac:dyDescent="0.2">
      <c r="BA2851" s="581">
        <v>47684</v>
      </c>
      <c r="BB2851" s="582">
        <v>2030</v>
      </c>
    </row>
    <row r="2852" spans="53:54" x14ac:dyDescent="0.2">
      <c r="BA2852" s="581">
        <v>47685</v>
      </c>
      <c r="BB2852" s="582">
        <v>2030</v>
      </c>
    </row>
    <row r="2853" spans="53:54" x14ac:dyDescent="0.2">
      <c r="BA2853" s="581">
        <v>47686</v>
      </c>
      <c r="BB2853" s="582">
        <v>2030</v>
      </c>
    </row>
    <row r="2854" spans="53:54" x14ac:dyDescent="0.2">
      <c r="BA2854" s="581">
        <v>47687</v>
      </c>
      <c r="BB2854" s="582">
        <v>2030</v>
      </c>
    </row>
    <row r="2855" spans="53:54" x14ac:dyDescent="0.2">
      <c r="BA2855" s="581">
        <v>47688</v>
      </c>
      <c r="BB2855" s="582">
        <v>2030</v>
      </c>
    </row>
    <row r="2856" spans="53:54" x14ac:dyDescent="0.2">
      <c r="BA2856" s="581">
        <v>47689</v>
      </c>
      <c r="BB2856" s="582">
        <v>2030</v>
      </c>
    </row>
    <row r="2857" spans="53:54" x14ac:dyDescent="0.2">
      <c r="BA2857" s="581">
        <v>47690</v>
      </c>
      <c r="BB2857" s="582">
        <v>2030</v>
      </c>
    </row>
    <row r="2858" spans="53:54" x14ac:dyDescent="0.2">
      <c r="BA2858" s="581">
        <v>47691</v>
      </c>
      <c r="BB2858" s="582">
        <v>2030</v>
      </c>
    </row>
    <row r="2859" spans="53:54" x14ac:dyDescent="0.2">
      <c r="BA2859" s="581">
        <v>47692</v>
      </c>
      <c r="BB2859" s="582">
        <v>2030</v>
      </c>
    </row>
    <row r="2860" spans="53:54" x14ac:dyDescent="0.2">
      <c r="BA2860" s="581">
        <v>47693</v>
      </c>
      <c r="BB2860" s="582">
        <v>2030</v>
      </c>
    </row>
    <row r="2861" spans="53:54" x14ac:dyDescent="0.2">
      <c r="BA2861" s="581">
        <v>47694</v>
      </c>
      <c r="BB2861" s="582">
        <v>2030</v>
      </c>
    </row>
    <row r="2862" spans="53:54" x14ac:dyDescent="0.2">
      <c r="BA2862" s="581">
        <v>47695</v>
      </c>
      <c r="BB2862" s="582">
        <v>2030</v>
      </c>
    </row>
    <row r="2863" spans="53:54" x14ac:dyDescent="0.2">
      <c r="BA2863" s="581">
        <v>47696</v>
      </c>
      <c r="BB2863" s="582">
        <v>2030</v>
      </c>
    </row>
    <row r="2864" spans="53:54" x14ac:dyDescent="0.2">
      <c r="BA2864" s="581">
        <v>47697</v>
      </c>
      <c r="BB2864" s="582">
        <v>2030</v>
      </c>
    </row>
    <row r="2865" spans="53:54" x14ac:dyDescent="0.2">
      <c r="BA2865" s="581">
        <v>47698</v>
      </c>
      <c r="BB2865" s="582">
        <v>2030</v>
      </c>
    </row>
    <row r="2866" spans="53:54" x14ac:dyDescent="0.2">
      <c r="BA2866" s="581">
        <v>47699</v>
      </c>
      <c r="BB2866" s="582">
        <v>2030</v>
      </c>
    </row>
    <row r="2867" spans="53:54" x14ac:dyDescent="0.2">
      <c r="BA2867" s="581">
        <v>47700</v>
      </c>
      <c r="BB2867" s="582">
        <v>2030</v>
      </c>
    </row>
    <row r="2868" spans="53:54" x14ac:dyDescent="0.2">
      <c r="BA2868" s="581">
        <v>47701</v>
      </c>
      <c r="BB2868" s="582">
        <v>2030</v>
      </c>
    </row>
    <row r="2869" spans="53:54" x14ac:dyDescent="0.2">
      <c r="BA2869" s="581">
        <v>47702</v>
      </c>
      <c r="BB2869" s="582">
        <v>2030</v>
      </c>
    </row>
    <row r="2870" spans="53:54" x14ac:dyDescent="0.2">
      <c r="BA2870" s="581">
        <v>47703</v>
      </c>
      <c r="BB2870" s="582">
        <v>2030</v>
      </c>
    </row>
    <row r="2871" spans="53:54" x14ac:dyDescent="0.2">
      <c r="BA2871" s="581">
        <v>47704</v>
      </c>
      <c r="BB2871" s="582">
        <v>2030</v>
      </c>
    </row>
    <row r="2872" spans="53:54" x14ac:dyDescent="0.2">
      <c r="BA2872" s="581">
        <v>47705</v>
      </c>
      <c r="BB2872" s="582">
        <v>2030</v>
      </c>
    </row>
    <row r="2873" spans="53:54" x14ac:dyDescent="0.2">
      <c r="BA2873" s="581">
        <v>47706</v>
      </c>
      <c r="BB2873" s="582">
        <v>2030</v>
      </c>
    </row>
    <row r="2874" spans="53:54" x14ac:dyDescent="0.2">
      <c r="BA2874" s="581">
        <v>47707</v>
      </c>
      <c r="BB2874" s="582">
        <v>2030</v>
      </c>
    </row>
    <row r="2875" spans="53:54" x14ac:dyDescent="0.2">
      <c r="BA2875" s="581">
        <v>47708</v>
      </c>
      <c r="BB2875" s="582">
        <v>2030</v>
      </c>
    </row>
    <row r="2876" spans="53:54" x14ac:dyDescent="0.2">
      <c r="BA2876" s="581">
        <v>47709</v>
      </c>
      <c r="BB2876" s="582">
        <v>2030</v>
      </c>
    </row>
    <row r="2877" spans="53:54" x14ac:dyDescent="0.2">
      <c r="BA2877" s="581">
        <v>47710</v>
      </c>
      <c r="BB2877" s="582">
        <v>2030</v>
      </c>
    </row>
    <row r="2878" spans="53:54" x14ac:dyDescent="0.2">
      <c r="BA2878" s="581">
        <v>47711</v>
      </c>
      <c r="BB2878" s="582">
        <v>2030</v>
      </c>
    </row>
    <row r="2879" spans="53:54" x14ac:dyDescent="0.2">
      <c r="BA2879" s="581">
        <v>47712</v>
      </c>
      <c r="BB2879" s="582">
        <v>2030</v>
      </c>
    </row>
    <row r="2880" spans="53:54" x14ac:dyDescent="0.2">
      <c r="BA2880" s="581">
        <v>47713</v>
      </c>
      <c r="BB2880" s="582">
        <v>2030</v>
      </c>
    </row>
    <row r="2881" spans="53:54" x14ac:dyDescent="0.2">
      <c r="BA2881" s="581">
        <v>47714</v>
      </c>
      <c r="BB2881" s="582">
        <v>2030</v>
      </c>
    </row>
    <row r="2882" spans="53:54" x14ac:dyDescent="0.2">
      <c r="BA2882" s="581">
        <v>47715</v>
      </c>
      <c r="BB2882" s="582">
        <v>2030</v>
      </c>
    </row>
    <row r="2883" spans="53:54" x14ac:dyDescent="0.2">
      <c r="BA2883" s="581">
        <v>47716</v>
      </c>
      <c r="BB2883" s="582">
        <v>2030</v>
      </c>
    </row>
    <row r="2884" spans="53:54" x14ac:dyDescent="0.2">
      <c r="BA2884" s="581">
        <v>47717</v>
      </c>
      <c r="BB2884" s="582">
        <v>2030</v>
      </c>
    </row>
    <row r="2885" spans="53:54" x14ac:dyDescent="0.2">
      <c r="BA2885" s="581">
        <v>47718</v>
      </c>
      <c r="BB2885" s="582">
        <v>2030</v>
      </c>
    </row>
    <row r="2886" spans="53:54" x14ac:dyDescent="0.2">
      <c r="BA2886" s="581">
        <v>47719</v>
      </c>
      <c r="BB2886" s="582">
        <v>2030</v>
      </c>
    </row>
    <row r="2887" spans="53:54" x14ac:dyDescent="0.2">
      <c r="BA2887" s="581">
        <v>47720</v>
      </c>
      <c r="BB2887" s="582">
        <v>2030</v>
      </c>
    </row>
    <row r="2888" spans="53:54" x14ac:dyDescent="0.2">
      <c r="BA2888" s="581">
        <v>47721</v>
      </c>
      <c r="BB2888" s="582">
        <v>2030</v>
      </c>
    </row>
    <row r="2889" spans="53:54" x14ac:dyDescent="0.2">
      <c r="BA2889" s="581">
        <v>47722</v>
      </c>
      <c r="BB2889" s="582">
        <v>2030</v>
      </c>
    </row>
    <row r="2890" spans="53:54" x14ac:dyDescent="0.2">
      <c r="BA2890" s="581">
        <v>47723</v>
      </c>
      <c r="BB2890" s="582">
        <v>2030</v>
      </c>
    </row>
    <row r="2891" spans="53:54" x14ac:dyDescent="0.2">
      <c r="BA2891" s="581">
        <v>47724</v>
      </c>
      <c r="BB2891" s="582">
        <v>2030</v>
      </c>
    </row>
    <row r="2892" spans="53:54" x14ac:dyDescent="0.2">
      <c r="BA2892" s="581">
        <v>47725</v>
      </c>
      <c r="BB2892" s="582">
        <v>2030</v>
      </c>
    </row>
    <row r="2893" spans="53:54" x14ac:dyDescent="0.2">
      <c r="BA2893" s="581">
        <v>47726</v>
      </c>
      <c r="BB2893" s="582">
        <v>2030</v>
      </c>
    </row>
    <row r="2894" spans="53:54" x14ac:dyDescent="0.2">
      <c r="BA2894" s="581">
        <v>47727</v>
      </c>
      <c r="BB2894" s="582">
        <v>2030</v>
      </c>
    </row>
    <row r="2895" spans="53:54" x14ac:dyDescent="0.2">
      <c r="BA2895" s="581">
        <v>47728</v>
      </c>
      <c r="BB2895" s="582">
        <v>2030</v>
      </c>
    </row>
    <row r="2896" spans="53:54" x14ac:dyDescent="0.2">
      <c r="BA2896" s="581">
        <v>47729</v>
      </c>
      <c r="BB2896" s="582">
        <v>2030</v>
      </c>
    </row>
    <row r="2897" spans="53:54" x14ac:dyDescent="0.2">
      <c r="BA2897" s="581">
        <v>47730</v>
      </c>
      <c r="BB2897" s="582">
        <v>2030</v>
      </c>
    </row>
    <row r="2898" spans="53:54" x14ac:dyDescent="0.2">
      <c r="BA2898" s="581">
        <v>47731</v>
      </c>
      <c r="BB2898" s="582">
        <v>2030</v>
      </c>
    </row>
    <row r="2899" spans="53:54" x14ac:dyDescent="0.2">
      <c r="BA2899" s="581">
        <v>47732</v>
      </c>
      <c r="BB2899" s="582">
        <v>2030</v>
      </c>
    </row>
    <row r="2900" spans="53:54" x14ac:dyDescent="0.2">
      <c r="BA2900" s="581">
        <v>47733</v>
      </c>
      <c r="BB2900" s="582">
        <v>2030</v>
      </c>
    </row>
    <row r="2901" spans="53:54" x14ac:dyDescent="0.2">
      <c r="BA2901" s="581">
        <v>47734</v>
      </c>
      <c r="BB2901" s="582">
        <v>2030</v>
      </c>
    </row>
    <row r="2902" spans="53:54" x14ac:dyDescent="0.2">
      <c r="BA2902" s="581">
        <v>47735</v>
      </c>
      <c r="BB2902" s="582">
        <v>2030</v>
      </c>
    </row>
    <row r="2903" spans="53:54" x14ac:dyDescent="0.2">
      <c r="BA2903" s="581">
        <v>47736</v>
      </c>
      <c r="BB2903" s="582">
        <v>2030</v>
      </c>
    </row>
    <row r="2904" spans="53:54" x14ac:dyDescent="0.2">
      <c r="BA2904" s="581">
        <v>47737</v>
      </c>
      <c r="BB2904" s="582">
        <v>2030</v>
      </c>
    </row>
    <row r="2905" spans="53:54" x14ac:dyDescent="0.2">
      <c r="BA2905" s="581">
        <v>47738</v>
      </c>
      <c r="BB2905" s="582">
        <v>2030</v>
      </c>
    </row>
    <row r="2906" spans="53:54" x14ac:dyDescent="0.2">
      <c r="BA2906" s="581">
        <v>47739</v>
      </c>
      <c r="BB2906" s="582">
        <v>2030</v>
      </c>
    </row>
    <row r="2907" spans="53:54" x14ac:dyDescent="0.2">
      <c r="BA2907" s="581">
        <v>47740</v>
      </c>
      <c r="BB2907" s="582">
        <v>2030</v>
      </c>
    </row>
    <row r="2908" spans="53:54" x14ac:dyDescent="0.2">
      <c r="BA2908" s="581">
        <v>47741</v>
      </c>
      <c r="BB2908" s="582">
        <v>2030</v>
      </c>
    </row>
    <row r="2909" spans="53:54" x14ac:dyDescent="0.2">
      <c r="BA2909" s="581">
        <v>47742</v>
      </c>
      <c r="BB2909" s="582">
        <v>2030</v>
      </c>
    </row>
    <row r="2910" spans="53:54" x14ac:dyDescent="0.2">
      <c r="BA2910" s="581">
        <v>47743</v>
      </c>
      <c r="BB2910" s="582">
        <v>2030</v>
      </c>
    </row>
    <row r="2911" spans="53:54" x14ac:dyDescent="0.2">
      <c r="BA2911" s="581">
        <v>47744</v>
      </c>
      <c r="BB2911" s="582">
        <v>2030</v>
      </c>
    </row>
    <row r="2912" spans="53:54" x14ac:dyDescent="0.2">
      <c r="BA2912" s="581">
        <v>47745</v>
      </c>
      <c r="BB2912" s="582">
        <v>2030</v>
      </c>
    </row>
    <row r="2913" spans="53:54" x14ac:dyDescent="0.2">
      <c r="BA2913" s="581">
        <v>47746</v>
      </c>
      <c r="BB2913" s="582">
        <v>2030</v>
      </c>
    </row>
    <row r="2914" spans="53:54" x14ac:dyDescent="0.2">
      <c r="BA2914" s="581">
        <v>47747</v>
      </c>
      <c r="BB2914" s="582">
        <v>2030</v>
      </c>
    </row>
    <row r="2915" spans="53:54" x14ac:dyDescent="0.2">
      <c r="BA2915" s="581">
        <v>47748</v>
      </c>
      <c r="BB2915" s="582">
        <v>2030</v>
      </c>
    </row>
    <row r="2916" spans="53:54" x14ac:dyDescent="0.2">
      <c r="BA2916" s="581">
        <v>47749</v>
      </c>
      <c r="BB2916" s="582">
        <v>2030</v>
      </c>
    </row>
    <row r="2917" spans="53:54" x14ac:dyDescent="0.2">
      <c r="BA2917" s="581">
        <v>47750</v>
      </c>
      <c r="BB2917" s="582">
        <v>2030</v>
      </c>
    </row>
    <row r="2918" spans="53:54" x14ac:dyDescent="0.2">
      <c r="BA2918" s="581">
        <v>47751</v>
      </c>
      <c r="BB2918" s="582">
        <v>2030</v>
      </c>
    </row>
    <row r="2919" spans="53:54" x14ac:dyDescent="0.2">
      <c r="BA2919" s="581">
        <v>47752</v>
      </c>
      <c r="BB2919" s="582">
        <v>2030</v>
      </c>
    </row>
    <row r="2920" spans="53:54" x14ac:dyDescent="0.2">
      <c r="BA2920" s="581">
        <v>47753</v>
      </c>
      <c r="BB2920" s="582">
        <v>2030</v>
      </c>
    </row>
    <row r="2921" spans="53:54" x14ac:dyDescent="0.2">
      <c r="BA2921" s="581">
        <v>47754</v>
      </c>
      <c r="BB2921" s="582">
        <v>2030</v>
      </c>
    </row>
    <row r="2922" spans="53:54" x14ac:dyDescent="0.2">
      <c r="BA2922" s="581">
        <v>47755</v>
      </c>
      <c r="BB2922" s="582">
        <v>2030</v>
      </c>
    </row>
    <row r="2923" spans="53:54" x14ac:dyDescent="0.2">
      <c r="BA2923" s="581">
        <v>47756</v>
      </c>
      <c r="BB2923" s="582">
        <v>2030</v>
      </c>
    </row>
  </sheetData>
  <sheetProtection autoFilter="0"/>
  <autoFilter ref="B4:G204" xr:uid="{00000000-0009-0000-0000-00000D000000}">
    <filterColumn colId="0" showButton="0"/>
  </autoFilter>
  <customSheetViews>
    <customSheetView guid="{8AF28843-E91A-4B21-A4FE-1EF7FC4B25A2}">
      <pane ySplit="4" topLeftCell="A5" activePane="bottomLeft" state="frozen"/>
      <selection pane="bottomLeft" activeCell="B5" sqref="B5:C5"/>
      <pageMargins left="0.511811024" right="0.511811024" top="0.78740157499999996" bottom="0.78740157499999996" header="0.31496062000000002" footer="0.31496062000000002"/>
    </customSheetView>
  </customSheetViews>
  <mergeCells count="12">
    <mergeCell ref="V3:V4"/>
    <mergeCell ref="B1:G1"/>
    <mergeCell ref="G3:G4"/>
    <mergeCell ref="F3:F4"/>
    <mergeCell ref="E3:E4"/>
    <mergeCell ref="D3:D4"/>
    <mergeCell ref="C3:C4"/>
    <mergeCell ref="B3:B4"/>
    <mergeCell ref="M4:N4"/>
    <mergeCell ref="H1:V1"/>
    <mergeCell ref="D2:G2"/>
    <mergeCell ref="B2:C2"/>
  </mergeCells>
  <conditionalFormatting sqref="H4:N4">
    <cfRule type="containsText" dxfId="21" priority="2" operator="containsText" text="SIM">
      <formula>NOT(ISERROR(SEARCH("SIM",H4)))</formula>
    </cfRule>
    <cfRule type="containsText" dxfId="20" priority="5" operator="containsText" text="SIM">
      <formula>NOT(ISERROR(SEARCH("SIM",H4)))</formula>
    </cfRule>
    <cfRule type="containsText" dxfId="19" priority="8" operator="containsText" text="SIM">
      <formula>NOT(ISERROR(SEARCH("SIM",H4)))</formula>
    </cfRule>
    <cfRule type="containsText" dxfId="18" priority="17" operator="containsText" text="SIM">
      <formula>NOT(ISERROR(SEARCH("SIM",H4)))</formula>
    </cfRule>
  </conditionalFormatting>
  <conditionalFormatting sqref="H4:S4">
    <cfRule type="containsText" dxfId="17" priority="3" operator="containsText" text="NÃO">
      <formula>NOT(ISERROR(SEARCH("NÃO",H4)))</formula>
    </cfRule>
    <cfRule type="containsText" dxfId="16" priority="6" operator="containsText" text="NÃO">
      <formula>NOT(ISERROR(SEARCH("NÃO",H4)))</formula>
    </cfRule>
    <cfRule type="containsText" dxfId="15" priority="9" operator="containsText" text="NÃO">
      <formula>NOT(ISERROR(SEARCH("NÃO",H4)))</formula>
    </cfRule>
  </conditionalFormatting>
  <conditionalFormatting sqref="H4:U4">
    <cfRule type="containsText" dxfId="14" priority="18" operator="containsText" text="NÃO">
      <formula>NOT(ISERROR(SEARCH("NÃO",H4)))</formula>
    </cfRule>
  </conditionalFormatting>
  <conditionalFormatting sqref="H5:U304">
    <cfRule type="cellIs" dxfId="13" priority="16" operator="equal">
      <formula>0</formula>
    </cfRule>
    <cfRule type="cellIs" dxfId="12" priority="22" operator="equal">
      <formula>2%</formula>
    </cfRule>
  </conditionalFormatting>
  <conditionalFormatting sqref="O4:S4">
    <cfRule type="containsText" dxfId="11" priority="1" operator="containsText" text="SIM">
      <formula>NOT(ISERROR(SEARCH("SIM",O4)))</formula>
    </cfRule>
    <cfRule type="containsText" dxfId="10" priority="4" operator="containsText" text="SIM">
      <formula>NOT(ISERROR(SEARCH("SIM",O4)))</formula>
    </cfRule>
    <cfRule type="containsText" dxfId="9" priority="7" operator="containsText" text="SIM">
      <formula>NOT(ISERROR(SEARCH("SIM",O4)))</formula>
    </cfRule>
  </conditionalFormatting>
  <conditionalFormatting sqref="O4:U4">
    <cfRule type="containsText" dxfId="8" priority="15" operator="containsText" text="SIM">
      <formula>NOT(ISERROR(SEARCH("SIM",O4)))</formula>
    </cfRule>
  </conditionalFormatting>
  <conditionalFormatting sqref="O5:U304">
    <cfRule type="cellIs" dxfId="7" priority="21" operator="equal">
      <formula>0.01</formula>
    </cfRule>
  </conditionalFormatting>
  <dataValidations count="1">
    <dataValidation type="list" allowBlank="1" showInputMessage="1" showErrorMessage="1" sqref="H4:U4" xr:uid="{00000000-0002-0000-0D00-000000000000}">
      <formula1>$W$1:$W$2</formula1>
    </dataValidation>
  </dataValidations>
  <pageMargins left="0.511811024" right="0.511811024" top="0.78740157499999996" bottom="0.78740157499999996" header="0.31496062000000002" footer="0.31496062000000002"/>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111">
    <tabColor theme="1" tint="4.9989318521683403E-2"/>
  </sheetPr>
  <dimension ref="A1:Y302"/>
  <sheetViews>
    <sheetView workbookViewId="0">
      <pane ySplit="2" topLeftCell="A3" activePane="bottomLeft" state="frozen"/>
      <selection pane="bottomLeft" activeCell="E2" sqref="E2"/>
    </sheetView>
  </sheetViews>
  <sheetFormatPr defaultRowHeight="12.75" x14ac:dyDescent="0.2"/>
  <cols>
    <col min="1" max="1" width="6.140625" style="449" customWidth="1"/>
    <col min="2" max="4" width="35.7109375" style="471" customWidth="1"/>
    <col min="5" max="6" width="35.7109375" style="449" customWidth="1"/>
    <col min="7" max="11" width="9.140625" style="449"/>
    <col min="12" max="12" width="2.42578125" style="449" bestFit="1" customWidth="1"/>
    <col min="13" max="13" width="3.85546875" style="449" bestFit="1" customWidth="1"/>
    <col min="14" max="14" width="5" style="454" bestFit="1" customWidth="1"/>
    <col min="15" max="15" width="15.5703125" style="449" bestFit="1" customWidth="1"/>
    <col min="16" max="16" width="17" style="449" bestFit="1" customWidth="1"/>
    <col min="17" max="17" width="59.7109375" style="449" bestFit="1" customWidth="1"/>
    <col min="18" max="18" width="9.140625" style="449"/>
    <col min="19" max="19" width="9.5703125" style="449" bestFit="1" customWidth="1"/>
    <col min="20" max="20" width="10.42578125" style="454" customWidth="1"/>
    <col min="21" max="21" width="9.140625" style="449"/>
    <col min="22" max="22" width="13.140625" style="449" bestFit="1" customWidth="1"/>
    <col min="23" max="23" width="9.140625" style="449"/>
    <col min="24" max="25" width="9.140625" style="457"/>
    <col min="26" max="16384" width="9.140625" style="449"/>
  </cols>
  <sheetData>
    <row r="1" spans="1:22" ht="68.25" customHeight="1" thickBot="1" x14ac:dyDescent="0.3">
      <c r="B1" s="450" t="s">
        <v>2500</v>
      </c>
      <c r="C1" s="451" t="str">
        <f>IF(COUNTIF(A3:A202,1)=0,"",(COUNTIF(A3:A202,1)))</f>
        <v/>
      </c>
      <c r="D1" s="444"/>
      <c r="E1" s="452" t="s">
        <v>2501</v>
      </c>
      <c r="F1" s="453">
        <f>SUM(F3:F302)</f>
        <v>0</v>
      </c>
      <c r="P1" s="455" t="s">
        <v>162</v>
      </c>
      <c r="Q1" s="456" t="s">
        <v>163</v>
      </c>
    </row>
    <row r="2" spans="1:22" ht="46.5" customHeight="1" thickBot="1" x14ac:dyDescent="0.3">
      <c r="B2" s="458" t="s">
        <v>164</v>
      </c>
      <c r="C2" s="458" t="s">
        <v>24</v>
      </c>
      <c r="D2" s="458" t="s">
        <v>0</v>
      </c>
      <c r="E2" s="458" t="s">
        <v>2502</v>
      </c>
      <c r="F2" s="459" t="s">
        <v>437</v>
      </c>
      <c r="H2" s="460"/>
      <c r="P2" s="461" t="s">
        <v>165</v>
      </c>
      <c r="Q2" s="462" t="s">
        <v>166</v>
      </c>
      <c r="S2" s="463" t="s">
        <v>420</v>
      </c>
      <c r="T2" s="464" t="s">
        <v>421</v>
      </c>
      <c r="V2" s="465" t="s">
        <v>471</v>
      </c>
    </row>
    <row r="3" spans="1:22" ht="18.75" customHeight="1" thickBot="1" x14ac:dyDescent="0.3">
      <c r="A3" s="449">
        <f>IF(B3="",0,1)</f>
        <v>0</v>
      </c>
      <c r="B3" s="475" t="str">
        <f>IF(FROTA!B6="","",FROTA!B6)</f>
        <v/>
      </c>
      <c r="C3" s="476" t="str">
        <f>IF($B3="","",VLOOKUP(B3,FROTA!$B$5:$Z$305,25,0))</f>
        <v/>
      </c>
      <c r="D3" s="476" t="str">
        <f>IF($B3="","",VLOOKUP(B3,FROTA!$B$5:$Z$305,2,0))</f>
        <v/>
      </c>
      <c r="E3" s="477" t="str">
        <f>IF($B3="","",VLOOKUP(B3,RECEITAS!B4:D304,3,0))</f>
        <v/>
      </c>
      <c r="F3" s="478" t="str">
        <f>IF($B3="","",$E3*VLOOKUP($B3,MANUTENÇÃO!$B$3:$V$304,21,0))</f>
        <v/>
      </c>
      <c r="L3" s="215">
        <v>1</v>
      </c>
      <c r="M3" s="215">
        <v>2018</v>
      </c>
      <c r="N3" s="216">
        <v>80</v>
      </c>
      <c r="O3" s="216">
        <v>18</v>
      </c>
      <c r="P3" s="461" t="s">
        <v>167</v>
      </c>
      <c r="Q3" s="462" t="s">
        <v>168</v>
      </c>
      <c r="S3" s="466">
        <v>2.0316000000000001</v>
      </c>
      <c r="T3" s="467">
        <v>0.24</v>
      </c>
      <c r="V3" s="468">
        <v>4.01</v>
      </c>
    </row>
    <row r="4" spans="1:22" ht="18.75" customHeight="1" thickBot="1" x14ac:dyDescent="0.3">
      <c r="A4" s="449">
        <f t="shared" ref="A4:A67" si="0">IF(B4="",0,1)</f>
        <v>0</v>
      </c>
      <c r="B4" s="505" t="str">
        <f>IF(FROTA!B7="","",FROTA!B7)</f>
        <v/>
      </c>
      <c r="C4" s="506" t="str">
        <f>IF($B4="","",VLOOKUP(B4,FROTA!$B$5:$Z$305,25,0))</f>
        <v/>
      </c>
      <c r="D4" s="506" t="str">
        <f>IF($B4="","",VLOOKUP(B4,FROTA!$B$5:$Z$305,2,0))</f>
        <v/>
      </c>
      <c r="E4" s="507" t="str">
        <f>IF($B4="","",VLOOKUP(B4,RECEITAS!B5:D305,3,0))</f>
        <v/>
      </c>
      <c r="F4" s="508" t="str">
        <f>IF($B4="","",$E4*VLOOKUP($B4,MANUTENÇÃO!$B$3:$V$304,21,0))</f>
        <v/>
      </c>
      <c r="L4" s="215">
        <v>2</v>
      </c>
      <c r="M4" s="215">
        <v>2017</v>
      </c>
      <c r="N4" s="216">
        <v>80</v>
      </c>
      <c r="O4" s="216">
        <v>22</v>
      </c>
      <c r="P4" s="461" t="s">
        <v>169</v>
      </c>
      <c r="Q4" s="462" t="s">
        <v>170</v>
      </c>
      <c r="S4" s="469">
        <v>2020</v>
      </c>
      <c r="T4" s="467">
        <f>(SUM(S4*T3)/S3)*1.51</f>
        <v>360.33077377436501</v>
      </c>
      <c r="V4" s="468">
        <v>4</v>
      </c>
    </row>
    <row r="5" spans="1:22" ht="18.75" customHeight="1" thickBot="1" x14ac:dyDescent="0.3">
      <c r="A5" s="449">
        <f t="shared" si="0"/>
        <v>0</v>
      </c>
      <c r="B5" s="475" t="str">
        <f>IF(FROTA!B8="","",FROTA!B8)</f>
        <v/>
      </c>
      <c r="C5" s="476" t="str">
        <f>IF($B5="","",VLOOKUP(B5,FROTA!$B$5:$Z$305,25,0))</f>
        <v/>
      </c>
      <c r="D5" s="476" t="str">
        <f>IF($B5="","",VLOOKUP(B5,FROTA!$B$5:$Z$305,2,0))</f>
        <v/>
      </c>
      <c r="E5" s="477" t="str">
        <f>IF($B5="","",VLOOKUP(B5,RECEITAS!B6:D306,3,0))</f>
        <v/>
      </c>
      <c r="F5" s="478" t="str">
        <f>IF($B5="","",$E5*VLOOKUP($B5,MANUTENÇÃO!$B$3:$V$304,21,0))</f>
        <v/>
      </c>
      <c r="L5" s="215">
        <v>3</v>
      </c>
      <c r="M5" s="215">
        <v>2016</v>
      </c>
      <c r="N5" s="216">
        <v>80</v>
      </c>
      <c r="O5" s="216">
        <v>22</v>
      </c>
      <c r="P5" s="461" t="s">
        <v>171</v>
      </c>
      <c r="Q5" s="462" t="s">
        <v>172</v>
      </c>
      <c r="S5" s="469">
        <v>2019</v>
      </c>
      <c r="T5" s="467">
        <f>T4</f>
        <v>360.33077377436501</v>
      </c>
      <c r="V5" s="468">
        <v>3.99</v>
      </c>
    </row>
    <row r="6" spans="1:22" ht="18.75" customHeight="1" thickBot="1" x14ac:dyDescent="0.3">
      <c r="A6" s="449">
        <f t="shared" si="0"/>
        <v>0</v>
      </c>
      <c r="B6" s="505" t="str">
        <f>IF(FROTA!B9="","",FROTA!B9)</f>
        <v/>
      </c>
      <c r="C6" s="506" t="str">
        <f>IF($B6="","",VLOOKUP(B6,FROTA!$B$5:$Z$305,25,0))</f>
        <v/>
      </c>
      <c r="D6" s="506" t="str">
        <f>IF($B6="","",VLOOKUP(B6,FROTA!$B$5:$Z$305,2,0))</f>
        <v/>
      </c>
      <c r="E6" s="507" t="str">
        <f>IF($B6="","",VLOOKUP(B6,RECEITAS!B7:D307,3,0))</f>
        <v/>
      </c>
      <c r="F6" s="508" t="str">
        <f>IF($B6="","",$E6*VLOOKUP($B6,MANUTENÇÃO!$B$3:$V$304,21,0))</f>
        <v/>
      </c>
      <c r="L6" s="215">
        <v>4</v>
      </c>
      <c r="M6" s="215">
        <v>2015</v>
      </c>
      <c r="N6" s="216">
        <v>80</v>
      </c>
      <c r="O6" s="216">
        <v>29</v>
      </c>
      <c r="P6" s="461" t="s">
        <v>173</v>
      </c>
      <c r="Q6" s="462" t="s">
        <v>174</v>
      </c>
      <c r="S6" s="469">
        <v>2018</v>
      </c>
      <c r="T6" s="467">
        <f>T5-0.25%</f>
        <v>360.32827377436502</v>
      </c>
      <c r="V6" s="468">
        <v>3.98</v>
      </c>
    </row>
    <row r="7" spans="1:22" ht="18.75" customHeight="1" thickBot="1" x14ac:dyDescent="0.3">
      <c r="A7" s="449">
        <f t="shared" si="0"/>
        <v>0</v>
      </c>
      <c r="B7" s="475" t="str">
        <f>IF(FROTA!B10="","",FROTA!B10)</f>
        <v/>
      </c>
      <c r="C7" s="476" t="str">
        <f>IF($B7="","",VLOOKUP(B7,FROTA!$B$5:$Z$305,25,0))</f>
        <v/>
      </c>
      <c r="D7" s="476" t="str">
        <f>IF($B7="","",VLOOKUP(B7,FROTA!$B$5:$Z$305,2,0))</f>
        <v/>
      </c>
      <c r="E7" s="477" t="str">
        <f>IF($B7="","",VLOOKUP(B7,RECEITAS!B8:D308,3,0))</f>
        <v/>
      </c>
      <c r="F7" s="478" t="str">
        <f>IF($B7="","",$E7*VLOOKUP($B7,MANUTENÇÃO!$B$3:$V$304,21,0))</f>
        <v/>
      </c>
      <c r="L7" s="215">
        <v>5</v>
      </c>
      <c r="M7" s="215">
        <v>2014</v>
      </c>
      <c r="N7" s="216">
        <v>80</v>
      </c>
      <c r="O7" s="216">
        <v>29</v>
      </c>
      <c r="P7" s="461" t="s">
        <v>175</v>
      </c>
      <c r="Q7" s="462" t="s">
        <v>176</v>
      </c>
      <c r="S7" s="469">
        <v>2017</v>
      </c>
      <c r="T7" s="467">
        <f t="shared" ref="T7:T25" si="1">T6-0.25%</f>
        <v>360.32577377436502</v>
      </c>
      <c r="V7" s="468">
        <v>3.97</v>
      </c>
    </row>
    <row r="8" spans="1:22" ht="18.75" customHeight="1" x14ac:dyDescent="0.2">
      <c r="A8" s="449">
        <f t="shared" si="0"/>
        <v>0</v>
      </c>
      <c r="B8" s="505" t="str">
        <f>IF(FROTA!B11="","",FROTA!B11)</f>
        <v/>
      </c>
      <c r="C8" s="506" t="str">
        <f>IF($B8="","",VLOOKUP(B8,FROTA!$B$5:$Z$305,25,0))</f>
        <v/>
      </c>
      <c r="D8" s="506" t="str">
        <f>IF($B8="","",VLOOKUP(B8,FROTA!$B$5:$Z$305,2,0))</f>
        <v/>
      </c>
      <c r="E8" s="507" t="str">
        <f>IF($B8="","",VLOOKUP(B8,RECEITAS!B9:D309,3,0))</f>
        <v/>
      </c>
      <c r="F8" s="508" t="str">
        <f>IF($B8="","",$E8*VLOOKUP($B8,MANUTENÇÃO!$B$3:$V$304,21,0))</f>
        <v/>
      </c>
      <c r="L8" s="215">
        <v>6</v>
      </c>
      <c r="M8" s="215">
        <v>2013</v>
      </c>
      <c r="N8" s="216">
        <v>80</v>
      </c>
      <c r="O8" s="216">
        <v>29</v>
      </c>
      <c r="S8" s="469">
        <v>2016</v>
      </c>
      <c r="T8" s="467">
        <f t="shared" si="1"/>
        <v>360.32327377436502</v>
      </c>
      <c r="V8" s="468">
        <v>3.96</v>
      </c>
    </row>
    <row r="9" spans="1:22" ht="18.75" customHeight="1" x14ac:dyDescent="0.2">
      <c r="A9" s="449">
        <f t="shared" si="0"/>
        <v>0</v>
      </c>
      <c r="B9" s="475" t="str">
        <f>IF(FROTA!B12="","",FROTA!B12)</f>
        <v/>
      </c>
      <c r="C9" s="476" t="str">
        <f>IF($B9="","",VLOOKUP(B9,FROTA!$B$5:$Z$305,25,0))</f>
        <v/>
      </c>
      <c r="D9" s="476" t="str">
        <f>IF($B9="","",VLOOKUP(B9,FROTA!$B$5:$Z$305,2,0))</f>
        <v/>
      </c>
      <c r="E9" s="477" t="str">
        <f>IF($B9="","",VLOOKUP(B9,RECEITAS!B10:D310,3,0))</f>
        <v/>
      </c>
      <c r="F9" s="478" t="str">
        <f>IF($B9="","",$E9*VLOOKUP($B9,MANUTENÇÃO!$B$3:$V$304,21,0))</f>
        <v/>
      </c>
      <c r="L9" s="215">
        <v>7</v>
      </c>
      <c r="M9" s="215">
        <v>2012</v>
      </c>
      <c r="N9" s="216">
        <v>80</v>
      </c>
      <c r="O9" s="216">
        <v>29</v>
      </c>
      <c r="S9" s="469">
        <v>2015</v>
      </c>
      <c r="T9" s="467">
        <f t="shared" si="1"/>
        <v>360.32077377436502</v>
      </c>
      <c r="V9" s="468">
        <v>3.95</v>
      </c>
    </row>
    <row r="10" spans="1:22" ht="18.75" customHeight="1" x14ac:dyDescent="0.2">
      <c r="A10" s="449">
        <f t="shared" si="0"/>
        <v>0</v>
      </c>
      <c r="B10" s="505" t="str">
        <f>IF(FROTA!B13="","",FROTA!B13)</f>
        <v/>
      </c>
      <c r="C10" s="506" t="str">
        <f>IF($B10="","",VLOOKUP(B10,FROTA!$B$5:$Z$305,25,0))</f>
        <v/>
      </c>
      <c r="D10" s="506" t="str">
        <f>IF($B10="","",VLOOKUP(B10,FROTA!$B$5:$Z$305,2,0))</f>
        <v/>
      </c>
      <c r="E10" s="507" t="str">
        <f>IF($B10="","",VLOOKUP(B10,RECEITAS!B11:D311,3,0))</f>
        <v/>
      </c>
      <c r="F10" s="508" t="str">
        <f>IF($B10="","",$E10*VLOOKUP($B10,MANUTENÇÃO!$B$3:$V$304,21,0))</f>
        <v/>
      </c>
      <c r="L10" s="215">
        <v>8</v>
      </c>
      <c r="M10" s="215">
        <v>2011</v>
      </c>
      <c r="N10" s="216">
        <v>80</v>
      </c>
      <c r="O10" s="216">
        <v>39</v>
      </c>
      <c r="S10" s="469">
        <v>2014</v>
      </c>
      <c r="T10" s="467">
        <f t="shared" si="1"/>
        <v>360.31827377436503</v>
      </c>
      <c r="V10" s="468">
        <v>3.94</v>
      </c>
    </row>
    <row r="11" spans="1:22" ht="18.75" customHeight="1" x14ac:dyDescent="0.2">
      <c r="A11" s="449">
        <f t="shared" si="0"/>
        <v>0</v>
      </c>
      <c r="B11" s="475" t="str">
        <f>IF(FROTA!B14="","",FROTA!B14)</f>
        <v/>
      </c>
      <c r="C11" s="476" t="str">
        <f>IF($B11="","",VLOOKUP(B11,FROTA!$B$5:$Z$305,25,0))</f>
        <v/>
      </c>
      <c r="D11" s="476" t="str">
        <f>IF($B11="","",VLOOKUP(B11,FROTA!$B$5:$Z$305,2,0))</f>
        <v/>
      </c>
      <c r="E11" s="477" t="str">
        <f>IF($B11="","",VLOOKUP(B11,RECEITAS!B12:D312,3,0))</f>
        <v/>
      </c>
      <c r="F11" s="478" t="str">
        <f>IF($B11="","",$E11*VLOOKUP($B11,MANUTENÇÃO!$B$3:$V$304,21,0))</f>
        <v/>
      </c>
      <c r="L11" s="215">
        <v>9</v>
      </c>
      <c r="M11" s="215">
        <v>2010</v>
      </c>
      <c r="N11" s="216">
        <v>80</v>
      </c>
      <c r="O11" s="216">
        <v>39</v>
      </c>
      <c r="S11" s="469">
        <v>2013</v>
      </c>
      <c r="T11" s="467">
        <f t="shared" si="1"/>
        <v>360.31577377436503</v>
      </c>
      <c r="V11" s="468">
        <v>3.93</v>
      </c>
    </row>
    <row r="12" spans="1:22" ht="18.75" customHeight="1" x14ac:dyDescent="0.2">
      <c r="A12" s="449">
        <f t="shared" si="0"/>
        <v>0</v>
      </c>
      <c r="B12" s="505" t="str">
        <f>IF(FROTA!B15="","",FROTA!B15)</f>
        <v/>
      </c>
      <c r="C12" s="506" t="str">
        <f>IF($B12="","",VLOOKUP(B12,FROTA!$B$5:$Z$305,25,0))</f>
        <v/>
      </c>
      <c r="D12" s="506" t="str">
        <f>IF($B12="","",VLOOKUP(B12,FROTA!$B$5:$Z$305,2,0))</f>
        <v/>
      </c>
      <c r="E12" s="507" t="str">
        <f>IF($B12="","",VLOOKUP(B12,RECEITAS!B13:D313,3,0))</f>
        <v/>
      </c>
      <c r="F12" s="508" t="str">
        <f>IF($B12="","",$E12*VLOOKUP($B12,MANUTENÇÃO!$B$3:$V$304,21,0))</f>
        <v/>
      </c>
      <c r="L12" s="215">
        <v>10</v>
      </c>
      <c r="M12" s="215">
        <v>2009</v>
      </c>
      <c r="N12" s="216">
        <v>80</v>
      </c>
      <c r="O12" s="216">
        <v>39</v>
      </c>
      <c r="S12" s="469">
        <v>2012</v>
      </c>
      <c r="T12" s="467">
        <f t="shared" si="1"/>
        <v>360.31327377436503</v>
      </c>
      <c r="V12" s="468">
        <v>3.92</v>
      </c>
    </row>
    <row r="13" spans="1:22" ht="18.75" customHeight="1" x14ac:dyDescent="0.2">
      <c r="A13" s="449">
        <f t="shared" si="0"/>
        <v>0</v>
      </c>
      <c r="B13" s="475" t="str">
        <f>IF(FROTA!B16="","",FROTA!B16)</f>
        <v/>
      </c>
      <c r="C13" s="476" t="str">
        <f>IF($B13="","",VLOOKUP(B13,FROTA!$B$5:$Z$305,25,0))</f>
        <v/>
      </c>
      <c r="D13" s="476" t="str">
        <f>IF($B13="","",VLOOKUP(B13,FROTA!$B$5:$Z$305,2,0))</f>
        <v/>
      </c>
      <c r="E13" s="477" t="str">
        <f>IF($B13="","",VLOOKUP(B13,RECEITAS!B14:D314,3,0))</f>
        <v/>
      </c>
      <c r="F13" s="478" t="str">
        <f>IF($B13="","",$E13*VLOOKUP($B13,MANUTENÇÃO!$B$3:$V$304,21,0))</f>
        <v/>
      </c>
      <c r="L13" s="215">
        <v>11</v>
      </c>
      <c r="M13" s="215">
        <v>2008</v>
      </c>
      <c r="N13" s="216">
        <v>80</v>
      </c>
      <c r="O13" s="216">
        <v>39</v>
      </c>
      <c r="S13" s="469">
        <v>2011</v>
      </c>
      <c r="T13" s="467">
        <f t="shared" si="1"/>
        <v>360.31077377436503</v>
      </c>
      <c r="V13" s="468">
        <v>3.91</v>
      </c>
    </row>
    <row r="14" spans="1:22" ht="18.75" customHeight="1" x14ac:dyDescent="0.2">
      <c r="A14" s="449">
        <f t="shared" si="0"/>
        <v>0</v>
      </c>
      <c r="B14" s="505" t="str">
        <f>IF(FROTA!B17="","",FROTA!B17)</f>
        <v/>
      </c>
      <c r="C14" s="506" t="str">
        <f>IF($B14="","",VLOOKUP(B14,FROTA!$B$5:$Z$305,25,0))</f>
        <v/>
      </c>
      <c r="D14" s="506" t="str">
        <f>IF($B14="","",VLOOKUP(B14,FROTA!$B$5:$Z$305,2,0))</f>
        <v/>
      </c>
      <c r="E14" s="507" t="str">
        <f>IF($B14="","",VLOOKUP(B14,RECEITAS!B15:D315,3,0))</f>
        <v/>
      </c>
      <c r="F14" s="508" t="str">
        <f>IF($B14="","",$E14*VLOOKUP($B14,MANUTENÇÃO!$B$3:$V$304,21,0))</f>
        <v/>
      </c>
      <c r="L14" s="215">
        <v>12</v>
      </c>
      <c r="M14" s="215">
        <v>2007</v>
      </c>
      <c r="N14" s="216">
        <v>80</v>
      </c>
      <c r="O14" s="216">
        <v>39</v>
      </c>
      <c r="S14" s="469">
        <v>2010</v>
      </c>
      <c r="T14" s="467">
        <f t="shared" si="1"/>
        <v>360.30827377436503</v>
      </c>
      <c r="V14" s="468">
        <v>3.9</v>
      </c>
    </row>
    <row r="15" spans="1:22" ht="18.75" customHeight="1" x14ac:dyDescent="0.2">
      <c r="A15" s="449">
        <f t="shared" si="0"/>
        <v>0</v>
      </c>
      <c r="B15" s="475" t="str">
        <f>IF(FROTA!B18="","",FROTA!B18)</f>
        <v/>
      </c>
      <c r="C15" s="476" t="str">
        <f>IF($B15="","",VLOOKUP(B15,FROTA!$B$5:$Z$305,25,0))</f>
        <v/>
      </c>
      <c r="D15" s="476" t="str">
        <f>IF($B15="","",VLOOKUP(B15,FROTA!$B$5:$Z$305,2,0))</f>
        <v/>
      </c>
      <c r="E15" s="477" t="str">
        <f>IF($B15="","",VLOOKUP(B15,RECEITAS!B16:D316,3,0))</f>
        <v/>
      </c>
      <c r="F15" s="478" t="str">
        <f>IF($B15="","",$E15*VLOOKUP($B15,MANUTENÇÃO!$B$3:$V$304,21,0))</f>
        <v/>
      </c>
      <c r="L15" s="215">
        <v>13</v>
      </c>
      <c r="M15" s="215">
        <v>2006</v>
      </c>
      <c r="N15" s="216">
        <v>80</v>
      </c>
      <c r="O15" s="216">
        <v>52</v>
      </c>
      <c r="S15" s="469">
        <v>2009</v>
      </c>
      <c r="T15" s="467">
        <f t="shared" si="1"/>
        <v>360.30577377436504</v>
      </c>
      <c r="V15" s="468">
        <v>3.89</v>
      </c>
    </row>
    <row r="16" spans="1:22" ht="18.75" customHeight="1" x14ac:dyDescent="0.2">
      <c r="A16" s="449">
        <f t="shared" si="0"/>
        <v>0</v>
      </c>
      <c r="B16" s="505" t="str">
        <f>IF(FROTA!B19="","",FROTA!B19)</f>
        <v/>
      </c>
      <c r="C16" s="506" t="str">
        <f>IF($B16="","",VLOOKUP(B16,FROTA!$B$5:$Z$305,25,0))</f>
        <v/>
      </c>
      <c r="D16" s="506" t="str">
        <f>IF($B16="","",VLOOKUP(B16,FROTA!$B$5:$Z$305,2,0))</f>
        <v/>
      </c>
      <c r="E16" s="507" t="str">
        <f>IF($B16="","",VLOOKUP(B16,RECEITAS!B17:D317,3,0))</f>
        <v/>
      </c>
      <c r="F16" s="508" t="str">
        <f>IF($B16="","",$E16*VLOOKUP($B16,MANUTENÇÃO!$B$3:$V$304,21,0))</f>
        <v/>
      </c>
      <c r="L16" s="215">
        <v>14</v>
      </c>
      <c r="M16" s="215">
        <v>2005</v>
      </c>
      <c r="N16" s="216">
        <v>80</v>
      </c>
      <c r="O16" s="216">
        <v>52</v>
      </c>
      <c r="S16" s="469">
        <v>2008</v>
      </c>
      <c r="T16" s="467">
        <f t="shared" si="1"/>
        <v>360.30327377436504</v>
      </c>
      <c r="V16" s="468">
        <v>3.88</v>
      </c>
    </row>
    <row r="17" spans="1:22" ht="18.75" customHeight="1" x14ac:dyDescent="0.2">
      <c r="A17" s="449">
        <f t="shared" si="0"/>
        <v>0</v>
      </c>
      <c r="B17" s="475" t="str">
        <f>IF(FROTA!B20="","",FROTA!B20)</f>
        <v/>
      </c>
      <c r="C17" s="476" t="str">
        <f>IF($B17="","",VLOOKUP(B17,FROTA!$B$5:$Z$305,25,0))</f>
        <v/>
      </c>
      <c r="D17" s="476" t="str">
        <f>IF($B17="","",VLOOKUP(B17,FROTA!$B$5:$Z$305,2,0))</f>
        <v/>
      </c>
      <c r="E17" s="477" t="str">
        <f>IF($B17="","",VLOOKUP(B17,RECEITAS!B18:D318,3,0))</f>
        <v/>
      </c>
      <c r="F17" s="478" t="str">
        <f>IF($B17="","",$E17*VLOOKUP($B17,MANUTENÇÃO!$B$3:$V$304,21,0))</f>
        <v/>
      </c>
      <c r="L17" s="215">
        <v>15</v>
      </c>
      <c r="M17" s="215">
        <v>2004</v>
      </c>
      <c r="N17" s="216">
        <v>80</v>
      </c>
      <c r="O17" s="216">
        <v>52</v>
      </c>
      <c r="S17" s="469">
        <v>2007</v>
      </c>
      <c r="T17" s="467">
        <f t="shared" si="1"/>
        <v>360.30077377436504</v>
      </c>
      <c r="V17" s="468">
        <v>3.87</v>
      </c>
    </row>
    <row r="18" spans="1:22" ht="18.75" customHeight="1" x14ac:dyDescent="0.2">
      <c r="A18" s="449">
        <f t="shared" si="0"/>
        <v>0</v>
      </c>
      <c r="B18" s="505" t="str">
        <f>IF(FROTA!B21="","",FROTA!B21)</f>
        <v/>
      </c>
      <c r="C18" s="506" t="str">
        <f>IF($B18="","",VLOOKUP(B18,FROTA!$B$5:$Z$305,25,0))</f>
        <v/>
      </c>
      <c r="D18" s="506" t="str">
        <f>IF($B18="","",VLOOKUP(B18,FROTA!$B$5:$Z$305,2,0))</f>
        <v/>
      </c>
      <c r="E18" s="507" t="str">
        <f>IF($B18="","",VLOOKUP(B18,RECEITAS!B19:D319,3,0))</f>
        <v/>
      </c>
      <c r="F18" s="508" t="str">
        <f>IF($B18="","",$E18*VLOOKUP($B18,MANUTENÇÃO!$B$3:$V$304,21,0))</f>
        <v/>
      </c>
      <c r="L18" s="215">
        <v>16</v>
      </c>
      <c r="M18" s="215">
        <v>2003</v>
      </c>
      <c r="N18" s="216">
        <v>80</v>
      </c>
      <c r="O18" s="216">
        <v>52</v>
      </c>
      <c r="S18" s="469">
        <v>2006</v>
      </c>
      <c r="T18" s="467">
        <f t="shared" si="1"/>
        <v>360.29827377436504</v>
      </c>
      <c r="V18" s="468">
        <v>3.86</v>
      </c>
    </row>
    <row r="19" spans="1:22" ht="18.75" customHeight="1" x14ac:dyDescent="0.2">
      <c r="A19" s="449">
        <f t="shared" si="0"/>
        <v>0</v>
      </c>
      <c r="B19" s="475" t="str">
        <f>IF(FROTA!B22="","",FROTA!B22)</f>
        <v/>
      </c>
      <c r="C19" s="476" t="str">
        <f>IF($B19="","",VLOOKUP(B19,FROTA!$B$5:$Z$305,25,0))</f>
        <v/>
      </c>
      <c r="D19" s="476" t="str">
        <f>IF($B19="","",VLOOKUP(B19,FROTA!$B$5:$Z$305,2,0))</f>
        <v/>
      </c>
      <c r="E19" s="477" t="str">
        <f>IF($B19="","",VLOOKUP(B19,RECEITAS!B20:D320,3,0))</f>
        <v/>
      </c>
      <c r="F19" s="478" t="str">
        <f>IF($B19="","",$E19*VLOOKUP($B19,MANUTENÇÃO!$B$3:$V$304,21,0))</f>
        <v/>
      </c>
      <c r="L19" s="215">
        <v>17</v>
      </c>
      <c r="M19" s="215">
        <v>2002</v>
      </c>
      <c r="N19" s="216">
        <v>80</v>
      </c>
      <c r="O19" s="216">
        <v>52</v>
      </c>
      <c r="S19" s="469">
        <v>2005</v>
      </c>
      <c r="T19" s="467">
        <f t="shared" si="1"/>
        <v>360.29577377436505</v>
      </c>
      <c r="V19" s="468">
        <v>3.85</v>
      </c>
    </row>
    <row r="20" spans="1:22" ht="18.75" customHeight="1" x14ac:dyDescent="0.2">
      <c r="A20" s="449">
        <f t="shared" si="0"/>
        <v>0</v>
      </c>
      <c r="B20" s="505" t="str">
        <f>IF(FROTA!B23="","",FROTA!B23)</f>
        <v/>
      </c>
      <c r="C20" s="506" t="str">
        <f>IF($B20="","",VLOOKUP(B20,FROTA!$B$5:$Z$305,25,0))</f>
        <v/>
      </c>
      <c r="D20" s="506" t="str">
        <f>IF($B20="","",VLOOKUP(B20,FROTA!$B$5:$Z$305,2,0))</f>
        <v/>
      </c>
      <c r="E20" s="507" t="str">
        <f>IF($B20="","",VLOOKUP(B20,RECEITAS!B21:D321,3,0))</f>
        <v/>
      </c>
      <c r="F20" s="508" t="str">
        <f>IF($B20="","",$E20*VLOOKUP($B20,MANUTENÇÃO!$B$3:$V$304,21,0))</f>
        <v/>
      </c>
      <c r="L20" s="215">
        <v>18</v>
      </c>
      <c r="M20" s="215">
        <v>2001</v>
      </c>
      <c r="N20" s="216">
        <v>80</v>
      </c>
      <c r="O20" s="216">
        <v>65</v>
      </c>
      <c r="S20" s="469">
        <v>2004</v>
      </c>
      <c r="T20" s="467">
        <f t="shared" si="1"/>
        <v>360.29327377436505</v>
      </c>
      <c r="V20" s="468">
        <v>3.84</v>
      </c>
    </row>
    <row r="21" spans="1:22" ht="18.75" customHeight="1" x14ac:dyDescent="0.2">
      <c r="A21" s="449">
        <f t="shared" si="0"/>
        <v>0</v>
      </c>
      <c r="B21" s="475" t="str">
        <f>IF(FROTA!B24="","",FROTA!B24)</f>
        <v/>
      </c>
      <c r="C21" s="476" t="str">
        <f>IF($B21="","",VLOOKUP(B21,FROTA!$B$5:$Z$305,25,0))</f>
        <v/>
      </c>
      <c r="D21" s="476" t="str">
        <f>IF($B21="","",VLOOKUP(B21,FROTA!$B$5:$Z$305,2,0))</f>
        <v/>
      </c>
      <c r="E21" s="477" t="str">
        <f>IF($B21="","",VLOOKUP(B21,RECEITAS!B22:D322,3,0))</f>
        <v/>
      </c>
      <c r="F21" s="478" t="str">
        <f>IF($B21="","",$E21*VLOOKUP($B21,MANUTENÇÃO!$B$3:$V$304,21,0))</f>
        <v/>
      </c>
      <c r="L21" s="215">
        <v>19</v>
      </c>
      <c r="M21" s="215">
        <v>2000</v>
      </c>
      <c r="N21" s="216">
        <v>80</v>
      </c>
      <c r="O21" s="216">
        <v>65</v>
      </c>
      <c r="S21" s="469">
        <v>2003</v>
      </c>
      <c r="T21" s="467">
        <f t="shared" si="1"/>
        <v>360.29077377436505</v>
      </c>
      <c r="V21" s="468">
        <v>3.83</v>
      </c>
    </row>
    <row r="22" spans="1:22" ht="18.75" customHeight="1" x14ac:dyDescent="0.2">
      <c r="A22" s="449">
        <f t="shared" si="0"/>
        <v>0</v>
      </c>
      <c r="B22" s="505" t="str">
        <f>IF(FROTA!B25="","",FROTA!B25)</f>
        <v/>
      </c>
      <c r="C22" s="506" t="str">
        <f>IF($B22="","",VLOOKUP(B22,FROTA!$B$5:$Z$305,25,0))</f>
        <v/>
      </c>
      <c r="D22" s="506" t="str">
        <f>IF($B22="","",VLOOKUP(B22,FROTA!$B$5:$Z$305,2,0))</f>
        <v/>
      </c>
      <c r="E22" s="507" t="str">
        <f>IF($B22="","",VLOOKUP(B22,RECEITAS!B23:D323,3,0))</f>
        <v/>
      </c>
      <c r="F22" s="508" t="str">
        <f>IF($B22="","",$E22*VLOOKUP($B22,MANUTENÇÃO!$B$3:$V$304,21,0))</f>
        <v/>
      </c>
      <c r="L22" s="215">
        <v>20</v>
      </c>
      <c r="M22" s="215">
        <v>1999</v>
      </c>
      <c r="N22" s="216">
        <v>80</v>
      </c>
      <c r="O22" s="216">
        <v>65</v>
      </c>
      <c r="S22" s="469">
        <v>2002</v>
      </c>
      <c r="T22" s="467">
        <f t="shared" si="1"/>
        <v>360.28827377436505</v>
      </c>
      <c r="V22" s="468">
        <v>3.82</v>
      </c>
    </row>
    <row r="23" spans="1:22" ht="18.75" customHeight="1" x14ac:dyDescent="0.2">
      <c r="A23" s="449">
        <f t="shared" si="0"/>
        <v>0</v>
      </c>
      <c r="B23" s="475" t="str">
        <f>IF(FROTA!B26="","",FROTA!B26)</f>
        <v/>
      </c>
      <c r="C23" s="476" t="str">
        <f>IF($B23="","",VLOOKUP(B23,FROTA!$B$5:$Z$305,25,0))</f>
        <v/>
      </c>
      <c r="D23" s="476" t="str">
        <f>IF($B23="","",VLOOKUP(B23,FROTA!$B$5:$Z$305,2,0))</f>
        <v/>
      </c>
      <c r="E23" s="477" t="str">
        <f>IF($B23="","",VLOOKUP(B23,RECEITAS!B24:D324,3,0))</f>
        <v/>
      </c>
      <c r="F23" s="478" t="str">
        <f>IF($B23="","",$E23*VLOOKUP($B23,MANUTENÇÃO!$B$3:$V$304,21,0))</f>
        <v/>
      </c>
      <c r="L23" s="215">
        <v>21</v>
      </c>
      <c r="M23" s="215">
        <v>1998</v>
      </c>
      <c r="N23" s="216">
        <v>80</v>
      </c>
      <c r="O23" s="216">
        <v>65</v>
      </c>
      <c r="S23" s="469">
        <v>2001</v>
      </c>
      <c r="T23" s="467">
        <f t="shared" si="1"/>
        <v>360.28577377436505</v>
      </c>
      <c r="V23" s="468">
        <v>3.81</v>
      </c>
    </row>
    <row r="24" spans="1:22" ht="18.75" customHeight="1" x14ac:dyDescent="0.2">
      <c r="A24" s="449">
        <f t="shared" si="0"/>
        <v>0</v>
      </c>
      <c r="B24" s="505" t="str">
        <f>IF(FROTA!B27="","",FROTA!B27)</f>
        <v/>
      </c>
      <c r="C24" s="506" t="str">
        <f>IF($B24="","",VLOOKUP(B24,FROTA!$B$5:$Z$305,25,0))</f>
        <v/>
      </c>
      <c r="D24" s="506" t="str">
        <f>IF($B24="","",VLOOKUP(B24,FROTA!$B$5:$Z$305,2,0))</f>
        <v/>
      </c>
      <c r="E24" s="507" t="str">
        <f>IF($B24="","",VLOOKUP(B24,RECEITAS!B25:D325,3,0))</f>
        <v/>
      </c>
      <c r="F24" s="508" t="str">
        <f>IF($B24="","",$E24*VLOOKUP($B24,MANUTENÇÃO!$B$3:$V$304,21,0))</f>
        <v/>
      </c>
      <c r="L24" s="215">
        <v>22</v>
      </c>
      <c r="M24" s="215">
        <v>1997</v>
      </c>
      <c r="N24" s="216">
        <v>80</v>
      </c>
      <c r="O24" s="216">
        <v>65</v>
      </c>
      <c r="S24" s="469">
        <v>2000</v>
      </c>
      <c r="T24" s="467">
        <f t="shared" si="1"/>
        <v>360.28327377436506</v>
      </c>
      <c r="V24" s="468">
        <v>3.8</v>
      </c>
    </row>
    <row r="25" spans="1:22" ht="18.75" customHeight="1" x14ac:dyDescent="0.2">
      <c r="A25" s="449">
        <f t="shared" si="0"/>
        <v>0</v>
      </c>
      <c r="B25" s="475" t="str">
        <f>IF(FROTA!B28="","",FROTA!B28)</f>
        <v/>
      </c>
      <c r="C25" s="476" t="str">
        <f>IF($B25="","",VLOOKUP(B25,FROTA!$B$5:$Z$305,25,0))</f>
        <v/>
      </c>
      <c r="D25" s="476" t="str">
        <f>IF($B25="","",VLOOKUP(B25,FROTA!$B$5:$Z$305,2,0))</f>
        <v/>
      </c>
      <c r="E25" s="477" t="str">
        <f>IF($B25="","",VLOOKUP(B25,RECEITAS!B26:D326,3,0))</f>
        <v/>
      </c>
      <c r="F25" s="478" t="str">
        <f>IF($B25="","",$E25*VLOOKUP($B25,MANUTENÇÃO!$B$3:$V$304,21,0))</f>
        <v/>
      </c>
      <c r="L25" s="215">
        <v>23</v>
      </c>
      <c r="M25" s="215">
        <v>1996</v>
      </c>
      <c r="N25" s="216">
        <v>80</v>
      </c>
      <c r="O25" s="216">
        <v>65</v>
      </c>
      <c r="S25" s="469">
        <v>1999</v>
      </c>
      <c r="T25" s="467">
        <f t="shared" si="1"/>
        <v>360.28077377436506</v>
      </c>
      <c r="V25" s="468">
        <v>3.79</v>
      </c>
    </row>
    <row r="26" spans="1:22" ht="18.75" customHeight="1" x14ac:dyDescent="0.2">
      <c r="A26" s="449">
        <f t="shared" si="0"/>
        <v>0</v>
      </c>
      <c r="B26" s="505" t="str">
        <f>IF(FROTA!B29="","",FROTA!B29)</f>
        <v/>
      </c>
      <c r="C26" s="506" t="str">
        <f>IF($B26="","",VLOOKUP(B26,FROTA!$B$5:$Z$305,25,0))</f>
        <v/>
      </c>
      <c r="D26" s="506" t="str">
        <f>IF($B26="","",VLOOKUP(B26,FROTA!$B$5:$Z$305,2,0))</f>
        <v/>
      </c>
      <c r="E26" s="507" t="str">
        <f>IF($B26="","",VLOOKUP(B26,RECEITAS!B27:D327,3,0))</f>
        <v/>
      </c>
      <c r="F26" s="508" t="str">
        <f>IF($B26="","",$E26*VLOOKUP($B26,MANUTENÇÃO!$B$3:$V$304,21,0))</f>
        <v/>
      </c>
      <c r="L26" s="215">
        <v>24</v>
      </c>
      <c r="M26" s="215">
        <v>1995</v>
      </c>
      <c r="N26" s="216">
        <v>80</v>
      </c>
      <c r="O26" s="216">
        <v>65</v>
      </c>
      <c r="V26" s="468">
        <v>3.78</v>
      </c>
    </row>
    <row r="27" spans="1:22" ht="18.75" customHeight="1" x14ac:dyDescent="0.2">
      <c r="A27" s="449">
        <f t="shared" si="0"/>
        <v>0</v>
      </c>
      <c r="B27" s="475" t="str">
        <f>IF(FROTA!B30="","",FROTA!B30)</f>
        <v/>
      </c>
      <c r="C27" s="476" t="str">
        <f>IF($B27="","",VLOOKUP(B27,FROTA!$B$5:$Z$305,25,0))</f>
        <v/>
      </c>
      <c r="D27" s="476" t="str">
        <f>IF($B27="","",VLOOKUP(B27,FROTA!$B$5:$Z$305,2,0))</f>
        <v/>
      </c>
      <c r="E27" s="477" t="str">
        <f>IF($B27="","",VLOOKUP(B27,RECEITAS!B28:D328,3,0))</f>
        <v/>
      </c>
      <c r="F27" s="478" t="str">
        <f>IF($B27="","",$E27*VLOOKUP($B27,MANUTENÇÃO!$B$3:$V$304,21,0))</f>
        <v/>
      </c>
      <c r="L27" s="215">
        <v>25</v>
      </c>
      <c r="M27" s="215">
        <v>1994</v>
      </c>
      <c r="N27" s="216">
        <v>80</v>
      </c>
      <c r="O27" s="216">
        <v>65</v>
      </c>
      <c r="V27" s="468">
        <v>3.77</v>
      </c>
    </row>
    <row r="28" spans="1:22" ht="18.75" customHeight="1" x14ac:dyDescent="0.2">
      <c r="A28" s="449">
        <f t="shared" si="0"/>
        <v>0</v>
      </c>
      <c r="B28" s="505" t="str">
        <f>IF(FROTA!B31="","",FROTA!B31)</f>
        <v/>
      </c>
      <c r="C28" s="506" t="str">
        <f>IF($B28="","",VLOOKUP(B28,FROTA!$B$5:$Z$305,25,0))</f>
        <v/>
      </c>
      <c r="D28" s="506" t="str">
        <f>IF($B28="","",VLOOKUP(B28,FROTA!$B$5:$Z$305,2,0))</f>
        <v/>
      </c>
      <c r="E28" s="507" t="str">
        <f>IF($B28="","",VLOOKUP(B28,RECEITAS!B29:D329,3,0))</f>
        <v/>
      </c>
      <c r="F28" s="508" t="str">
        <f>IF($B28="","",$E28*VLOOKUP($B28,MANUTENÇÃO!$B$3:$V$304,21,0))</f>
        <v/>
      </c>
      <c r="L28" s="215">
        <v>26</v>
      </c>
      <c r="M28" s="215">
        <v>1993</v>
      </c>
      <c r="N28" s="216">
        <v>80</v>
      </c>
      <c r="O28" s="216">
        <v>65</v>
      </c>
      <c r="V28" s="468">
        <v>3.76</v>
      </c>
    </row>
    <row r="29" spans="1:22" ht="18.75" customHeight="1" x14ac:dyDescent="0.2">
      <c r="A29" s="449">
        <f t="shared" si="0"/>
        <v>0</v>
      </c>
      <c r="B29" s="475" t="str">
        <f>IF(FROTA!B32="","",FROTA!B32)</f>
        <v/>
      </c>
      <c r="C29" s="476" t="str">
        <f>IF($B29="","",VLOOKUP(B29,FROTA!$B$5:$Z$305,25,0))</f>
        <v/>
      </c>
      <c r="D29" s="476" t="str">
        <f>IF($B29="","",VLOOKUP(B29,FROTA!$B$5:$Z$305,2,0))</f>
        <v/>
      </c>
      <c r="E29" s="477" t="str">
        <f>IF($B29="","",VLOOKUP(B29,RECEITAS!B30:D330,3,0))</f>
        <v/>
      </c>
      <c r="F29" s="478" t="str">
        <f>IF($B29="","",$E29*VLOOKUP($B29,MANUTENÇÃO!$B$3:$V$304,21,0))</f>
        <v/>
      </c>
      <c r="L29" s="215">
        <v>27</v>
      </c>
      <c r="M29" s="215">
        <v>1992</v>
      </c>
      <c r="N29" s="216">
        <v>80</v>
      </c>
      <c r="O29" s="216">
        <v>65</v>
      </c>
      <c r="V29" s="468">
        <v>3.7500000000000102</v>
      </c>
    </row>
    <row r="30" spans="1:22" ht="18.75" customHeight="1" x14ac:dyDescent="0.2">
      <c r="A30" s="449">
        <f t="shared" si="0"/>
        <v>0</v>
      </c>
      <c r="B30" s="505" t="str">
        <f>IF(FROTA!B33="","",FROTA!B33)</f>
        <v/>
      </c>
      <c r="C30" s="506" t="str">
        <f>IF($B30="","",VLOOKUP(B30,FROTA!$B$5:$Z$305,25,0))</f>
        <v/>
      </c>
      <c r="D30" s="506" t="str">
        <f>IF($B30="","",VLOOKUP(B30,FROTA!$B$5:$Z$305,2,0))</f>
        <v/>
      </c>
      <c r="E30" s="507" t="str">
        <f>IF($B30="","",VLOOKUP(B30,RECEITAS!B31:D331,3,0))</f>
        <v/>
      </c>
      <c r="F30" s="508" t="str">
        <f>IF($B30="","",$E30*VLOOKUP($B30,MANUTENÇÃO!$B$3:$V$304,21,0))</f>
        <v/>
      </c>
      <c r="L30" s="215">
        <v>28</v>
      </c>
      <c r="M30" s="215">
        <v>1991</v>
      </c>
      <c r="N30" s="216">
        <v>80</v>
      </c>
      <c r="O30" s="216">
        <v>65</v>
      </c>
      <c r="V30" s="468">
        <v>3.74000000000001</v>
      </c>
    </row>
    <row r="31" spans="1:22" ht="18.75" customHeight="1" x14ac:dyDescent="0.2">
      <c r="A31" s="449">
        <f t="shared" si="0"/>
        <v>0</v>
      </c>
      <c r="B31" s="475" t="str">
        <f>IF(FROTA!B34="","",FROTA!B34)</f>
        <v/>
      </c>
      <c r="C31" s="476" t="str">
        <f>IF($B31="","",VLOOKUP(B31,FROTA!$B$5:$Z$305,25,0))</f>
        <v/>
      </c>
      <c r="D31" s="476" t="str">
        <f>IF($B31="","",VLOOKUP(B31,FROTA!$B$5:$Z$305,2,0))</f>
        <v/>
      </c>
      <c r="E31" s="477" t="str">
        <f>IF($B31="","",VLOOKUP(B31,RECEITAS!B32:D332,3,0))</f>
        <v/>
      </c>
      <c r="F31" s="478" t="str">
        <f>IF($B31="","",$E31*VLOOKUP($B31,MANUTENÇÃO!$B$3:$V$304,21,0))</f>
        <v/>
      </c>
      <c r="L31" s="215">
        <v>29</v>
      </c>
      <c r="M31" s="215">
        <v>1990</v>
      </c>
      <c r="N31" s="216">
        <v>80</v>
      </c>
      <c r="O31" s="216">
        <v>65</v>
      </c>
      <c r="V31" s="468">
        <v>3.7300000000000102</v>
      </c>
    </row>
    <row r="32" spans="1:22" ht="18.75" customHeight="1" x14ac:dyDescent="0.2">
      <c r="A32" s="449">
        <f t="shared" si="0"/>
        <v>0</v>
      </c>
      <c r="B32" s="505" t="str">
        <f>IF(FROTA!B35="","",FROTA!B35)</f>
        <v/>
      </c>
      <c r="C32" s="506" t="str">
        <f>IF($B32="","",VLOOKUP(B32,FROTA!$B$5:$Z$305,25,0))</f>
        <v/>
      </c>
      <c r="D32" s="506" t="str">
        <f>IF($B32="","",VLOOKUP(B32,FROTA!$B$5:$Z$305,2,0))</f>
        <v/>
      </c>
      <c r="E32" s="507" t="str">
        <f>IF($B32="","",VLOOKUP(B32,RECEITAS!B33:D333,3,0))</f>
        <v/>
      </c>
      <c r="F32" s="508" t="str">
        <f>IF($B32="","",$E32*VLOOKUP($B32,MANUTENÇÃO!$B$3:$V$304,21,0))</f>
        <v/>
      </c>
      <c r="M32" s="215">
        <v>1989</v>
      </c>
      <c r="N32" s="216">
        <v>80</v>
      </c>
      <c r="V32" s="468">
        <v>3.72000000000001</v>
      </c>
    </row>
    <row r="33" spans="1:22" ht="18.75" customHeight="1" x14ac:dyDescent="0.2">
      <c r="A33" s="449">
        <f t="shared" si="0"/>
        <v>0</v>
      </c>
      <c r="B33" s="475" t="str">
        <f>IF(FROTA!B36="","",FROTA!B36)</f>
        <v/>
      </c>
      <c r="C33" s="476" t="str">
        <f>IF($B33="","",VLOOKUP(B33,FROTA!$B$5:$Z$305,25,0))</f>
        <v/>
      </c>
      <c r="D33" s="476" t="str">
        <f>IF($B33="","",VLOOKUP(B33,FROTA!$B$5:$Z$305,2,0))</f>
        <v/>
      </c>
      <c r="E33" s="477" t="str">
        <f>IF($B33="","",VLOOKUP(B33,RECEITAS!B34:D334,3,0))</f>
        <v/>
      </c>
      <c r="F33" s="478" t="str">
        <f>IF($B33="","",$E33*VLOOKUP($B33,MANUTENÇÃO!$B$3:$V$304,21,0))</f>
        <v/>
      </c>
      <c r="M33" s="215">
        <v>1988</v>
      </c>
      <c r="N33" s="216">
        <v>80</v>
      </c>
      <c r="V33" s="468">
        <v>3.7100000000000102</v>
      </c>
    </row>
    <row r="34" spans="1:22" ht="18.75" customHeight="1" x14ac:dyDescent="0.2">
      <c r="A34" s="449">
        <f t="shared" si="0"/>
        <v>0</v>
      </c>
      <c r="B34" s="505" t="str">
        <f>IF(FROTA!B37="","",FROTA!B37)</f>
        <v/>
      </c>
      <c r="C34" s="506" t="str">
        <f>IF($B34="","",VLOOKUP(B34,FROTA!$B$5:$Z$305,25,0))</f>
        <v/>
      </c>
      <c r="D34" s="506" t="str">
        <f>IF($B34="","",VLOOKUP(B34,FROTA!$B$5:$Z$305,2,0))</f>
        <v/>
      </c>
      <c r="E34" s="507" t="str">
        <f>IF($B34="","",VLOOKUP(B34,RECEITAS!B35:D335,3,0))</f>
        <v/>
      </c>
      <c r="F34" s="508" t="str">
        <f>IF($B34="","",$E34*VLOOKUP($B34,MANUTENÇÃO!$B$3:$V$304,21,0))</f>
        <v/>
      </c>
      <c r="M34" s="215">
        <v>1987</v>
      </c>
      <c r="N34" s="216">
        <v>80</v>
      </c>
      <c r="V34" s="468">
        <v>3.7000000000000099</v>
      </c>
    </row>
    <row r="35" spans="1:22" ht="18.75" customHeight="1" x14ac:dyDescent="0.2">
      <c r="A35" s="449">
        <f t="shared" si="0"/>
        <v>0</v>
      </c>
      <c r="B35" s="475" t="str">
        <f>IF(FROTA!B38="","",FROTA!B38)</f>
        <v/>
      </c>
      <c r="C35" s="476" t="str">
        <f>IF($B35="","",VLOOKUP(B35,FROTA!$B$5:$Z$305,25,0))</f>
        <v/>
      </c>
      <c r="D35" s="476" t="str">
        <f>IF($B35="","",VLOOKUP(B35,FROTA!$B$5:$Z$305,2,0))</f>
        <v/>
      </c>
      <c r="E35" s="477" t="str">
        <f>IF($B35="","",VLOOKUP(B35,RECEITAS!B36:D336,3,0))</f>
        <v/>
      </c>
      <c r="F35" s="478" t="str">
        <f>IF($B35="","",$E35*VLOOKUP($B35,MANUTENÇÃO!$B$3:$V$304,21,0))</f>
        <v/>
      </c>
      <c r="M35" s="215">
        <v>1986</v>
      </c>
      <c r="N35" s="216">
        <v>80</v>
      </c>
      <c r="V35" s="468">
        <v>3.6900000000000102</v>
      </c>
    </row>
    <row r="36" spans="1:22" ht="18.75" customHeight="1" x14ac:dyDescent="0.2">
      <c r="A36" s="449">
        <f t="shared" si="0"/>
        <v>0</v>
      </c>
      <c r="B36" s="505" t="str">
        <f>IF(FROTA!B39="","",FROTA!B39)</f>
        <v/>
      </c>
      <c r="C36" s="506" t="str">
        <f>IF($B36="","",VLOOKUP(B36,FROTA!$B$5:$Z$305,25,0))</f>
        <v/>
      </c>
      <c r="D36" s="506" t="str">
        <f>IF($B36="","",VLOOKUP(B36,FROTA!$B$5:$Z$305,2,0))</f>
        <v/>
      </c>
      <c r="E36" s="507" t="str">
        <f>IF($B36="","",VLOOKUP(B36,RECEITAS!B37:D337,3,0))</f>
        <v/>
      </c>
      <c r="F36" s="508" t="str">
        <f>IF($B36="","",$E36*VLOOKUP($B36,MANUTENÇÃO!$B$3:$V$304,21,0))</f>
        <v/>
      </c>
      <c r="M36" s="215">
        <v>1985</v>
      </c>
      <c r="N36" s="216">
        <v>80</v>
      </c>
      <c r="V36" s="468">
        <v>3.6800000000000099</v>
      </c>
    </row>
    <row r="37" spans="1:22" ht="18.75" customHeight="1" thickBot="1" x14ac:dyDescent="0.25">
      <c r="A37" s="449">
        <f t="shared" si="0"/>
        <v>0</v>
      </c>
      <c r="B37" s="475" t="str">
        <f>IF(FROTA!B40="","",FROTA!B40)</f>
        <v/>
      </c>
      <c r="C37" s="476" t="str">
        <f>IF($B37="","",VLOOKUP(B37,FROTA!$B$5:$Z$305,25,0))</f>
        <v/>
      </c>
      <c r="D37" s="476" t="str">
        <f>IF($B37="","",VLOOKUP(B37,FROTA!$B$5:$Z$305,2,0))</f>
        <v/>
      </c>
      <c r="E37" s="477" t="str">
        <f>IF($B37="","",VLOOKUP(B37,RECEITAS!B38:D338,3,0))</f>
        <v/>
      </c>
      <c r="F37" s="478" t="str">
        <f>IF($B37="","",$E37*VLOOKUP($B37,MANUTENÇÃO!$B$3:$V$304,21,0))</f>
        <v/>
      </c>
      <c r="L37" s="217">
        <v>30</v>
      </c>
      <c r="M37" s="217">
        <v>1984</v>
      </c>
      <c r="N37" s="218">
        <v>80</v>
      </c>
      <c r="O37" s="218">
        <v>65</v>
      </c>
      <c r="P37" s="470"/>
      <c r="Q37" s="470"/>
      <c r="V37" s="468">
        <v>3.6700000000000101</v>
      </c>
    </row>
    <row r="38" spans="1:22" ht="18.75" customHeight="1" thickTop="1" x14ac:dyDescent="0.2">
      <c r="A38" s="449">
        <f t="shared" si="0"/>
        <v>0</v>
      </c>
      <c r="B38" s="505" t="str">
        <f>IF(FROTA!B41="","",FROTA!B41)</f>
        <v/>
      </c>
      <c r="C38" s="506" t="str">
        <f>IF($B38="","",VLOOKUP(B38,FROTA!$B$5:$Z$305,25,0))</f>
        <v/>
      </c>
      <c r="D38" s="506" t="str">
        <f>IF($B38="","",VLOOKUP(B38,FROTA!$B$5:$Z$305,2,0))</f>
        <v/>
      </c>
      <c r="E38" s="507" t="str">
        <f>IF($B38="","",VLOOKUP(B38,RECEITAS!B39:D339,3,0))</f>
        <v/>
      </c>
      <c r="F38" s="508" t="str">
        <f>IF($B38="","",$E38*VLOOKUP($B38,MANUTENÇÃO!$B$3:$V$304,21,0))</f>
        <v/>
      </c>
      <c r="V38" s="468">
        <v>3.6600000000000099</v>
      </c>
    </row>
    <row r="39" spans="1:22" ht="18.75" customHeight="1" x14ac:dyDescent="0.2">
      <c r="A39" s="449">
        <f t="shared" si="0"/>
        <v>0</v>
      </c>
      <c r="B39" s="475" t="str">
        <f>IF(FROTA!B42="","",FROTA!B42)</f>
        <v/>
      </c>
      <c r="C39" s="476" t="str">
        <f>IF($B39="","",VLOOKUP(B39,FROTA!$B$5:$Z$305,25,0))</f>
        <v/>
      </c>
      <c r="D39" s="476" t="str">
        <f>IF($B39="","",VLOOKUP(B39,FROTA!$B$5:$Z$305,2,0))</f>
        <v/>
      </c>
      <c r="E39" s="477" t="str">
        <f>IF($B39="","",VLOOKUP(B39,RECEITAS!B40:D340,3,0))</f>
        <v/>
      </c>
      <c r="F39" s="478" t="str">
        <f>IF($B39="","",$E39*VLOOKUP($B39,MANUTENÇÃO!$B$3:$V$304,21,0))</f>
        <v/>
      </c>
      <c r="V39" s="468">
        <v>3.6500000000000101</v>
      </c>
    </row>
    <row r="40" spans="1:22" ht="18.75" customHeight="1" x14ac:dyDescent="0.2">
      <c r="A40" s="449">
        <f t="shared" si="0"/>
        <v>0</v>
      </c>
      <c r="B40" s="505" t="str">
        <f>IF(FROTA!B43="","",FROTA!B43)</f>
        <v/>
      </c>
      <c r="C40" s="506" t="str">
        <f>IF($B40="","",VLOOKUP(B40,FROTA!$B$5:$Z$305,25,0))</f>
        <v/>
      </c>
      <c r="D40" s="506" t="str">
        <f>IF($B40="","",VLOOKUP(B40,FROTA!$B$5:$Z$305,2,0))</f>
        <v/>
      </c>
      <c r="E40" s="507" t="str">
        <f>IF($B40="","",VLOOKUP(B40,RECEITAS!B41:D341,3,0))</f>
        <v/>
      </c>
      <c r="F40" s="508" t="str">
        <f>IF($B40="","",$E40*VLOOKUP($B40,MANUTENÇÃO!$B$3:$V$304,21,0))</f>
        <v/>
      </c>
      <c r="V40" s="468">
        <v>3.6400000000000099</v>
      </c>
    </row>
    <row r="41" spans="1:22" ht="18.75" customHeight="1" x14ac:dyDescent="0.2">
      <c r="A41" s="449">
        <f t="shared" si="0"/>
        <v>0</v>
      </c>
      <c r="B41" s="475" t="str">
        <f>IF(FROTA!B44="","",FROTA!B44)</f>
        <v/>
      </c>
      <c r="C41" s="476" t="str">
        <f>IF($B41="","",VLOOKUP(B41,FROTA!$B$5:$Z$305,25,0))</f>
        <v/>
      </c>
      <c r="D41" s="476" t="str">
        <f>IF($B41="","",VLOOKUP(B41,FROTA!$B$5:$Z$305,2,0))</f>
        <v/>
      </c>
      <c r="E41" s="477" t="str">
        <f>IF($B41="","",VLOOKUP(B41,RECEITAS!B42:D342,3,0))</f>
        <v/>
      </c>
      <c r="F41" s="478" t="str">
        <f>IF($B41="","",$E41*VLOOKUP($B41,MANUTENÇÃO!$B$3:$V$304,21,0))</f>
        <v/>
      </c>
      <c r="V41" s="468">
        <v>3.6300000000000101</v>
      </c>
    </row>
    <row r="42" spans="1:22" ht="18.75" customHeight="1" x14ac:dyDescent="0.2">
      <c r="A42" s="449">
        <f t="shared" si="0"/>
        <v>0</v>
      </c>
      <c r="B42" s="505" t="str">
        <f>IF(FROTA!B45="","",FROTA!B45)</f>
        <v/>
      </c>
      <c r="C42" s="506" t="str">
        <f>IF($B42="","",VLOOKUP(B42,FROTA!$B$5:$Z$305,25,0))</f>
        <v/>
      </c>
      <c r="D42" s="506" t="str">
        <f>IF($B42="","",VLOOKUP(B42,FROTA!$B$5:$Z$305,2,0))</f>
        <v/>
      </c>
      <c r="E42" s="507" t="str">
        <f>IF($B42="","",VLOOKUP(B42,RECEITAS!B43:D343,3,0))</f>
        <v/>
      </c>
      <c r="F42" s="508" t="str">
        <f>IF($B42="","",$E42*VLOOKUP($B42,MANUTENÇÃO!$B$3:$V$304,21,0))</f>
        <v/>
      </c>
      <c r="V42" s="468">
        <v>3.6200000000000099</v>
      </c>
    </row>
    <row r="43" spans="1:22" ht="18.75" customHeight="1" x14ac:dyDescent="0.2">
      <c r="A43" s="449">
        <f t="shared" si="0"/>
        <v>0</v>
      </c>
      <c r="B43" s="475" t="str">
        <f>IF(FROTA!B46="","",FROTA!B46)</f>
        <v/>
      </c>
      <c r="C43" s="476" t="str">
        <f>IF($B43="","",VLOOKUP(B43,FROTA!$B$5:$Z$305,25,0))</f>
        <v/>
      </c>
      <c r="D43" s="476" t="str">
        <f>IF($B43="","",VLOOKUP(B43,FROTA!$B$5:$Z$305,2,0))</f>
        <v/>
      </c>
      <c r="E43" s="477" t="str">
        <f>IF($B43="","",VLOOKUP(B43,RECEITAS!B44:D344,3,0))</f>
        <v/>
      </c>
      <c r="F43" s="478" t="str">
        <f>IF($B43="","",$E43*VLOOKUP($B43,MANUTENÇÃO!$B$3:$V$304,21,0))</f>
        <v/>
      </c>
      <c r="V43" s="468">
        <v>3.6100000000000101</v>
      </c>
    </row>
    <row r="44" spans="1:22" ht="18.75" customHeight="1" x14ac:dyDescent="0.2">
      <c r="A44" s="449">
        <f t="shared" si="0"/>
        <v>0</v>
      </c>
      <c r="B44" s="505" t="str">
        <f>IF(FROTA!B47="","",FROTA!B47)</f>
        <v/>
      </c>
      <c r="C44" s="506" t="str">
        <f>IF($B44="","",VLOOKUP(B44,FROTA!$B$5:$Z$305,25,0))</f>
        <v/>
      </c>
      <c r="D44" s="506" t="str">
        <f>IF($B44="","",VLOOKUP(B44,FROTA!$B$5:$Z$305,2,0))</f>
        <v/>
      </c>
      <c r="E44" s="507" t="str">
        <f>IF($B44="","",VLOOKUP(B44,RECEITAS!B45:D345,3,0))</f>
        <v/>
      </c>
      <c r="F44" s="508" t="str">
        <f>IF($B44="","",$E44*VLOOKUP($B44,MANUTENÇÃO!$B$3:$V$304,21,0))</f>
        <v/>
      </c>
      <c r="V44" s="468">
        <v>3.6000000000000099</v>
      </c>
    </row>
    <row r="45" spans="1:22" ht="18.75" customHeight="1" x14ac:dyDescent="0.2">
      <c r="A45" s="449">
        <f t="shared" si="0"/>
        <v>0</v>
      </c>
      <c r="B45" s="475" t="str">
        <f>IF(FROTA!B48="","",FROTA!B48)</f>
        <v/>
      </c>
      <c r="C45" s="476" t="str">
        <f>IF($B45="","",VLOOKUP(B45,FROTA!$B$5:$Z$305,25,0))</f>
        <v/>
      </c>
      <c r="D45" s="476" t="str">
        <f>IF($B45="","",VLOOKUP(B45,FROTA!$B$5:$Z$305,2,0))</f>
        <v/>
      </c>
      <c r="E45" s="477" t="str">
        <f>IF($B45="","",VLOOKUP(B45,RECEITAS!B46:D346,3,0))</f>
        <v/>
      </c>
      <c r="F45" s="478" t="str">
        <f>IF($B45="","",$E45*VLOOKUP($B45,MANUTENÇÃO!$B$3:$V$304,21,0))</f>
        <v/>
      </c>
      <c r="V45" s="468">
        <v>3.5900000000000101</v>
      </c>
    </row>
    <row r="46" spans="1:22" ht="18.75" customHeight="1" x14ac:dyDescent="0.2">
      <c r="A46" s="449">
        <f t="shared" si="0"/>
        <v>0</v>
      </c>
      <c r="B46" s="505" t="str">
        <f>IF(FROTA!B49="","",FROTA!B49)</f>
        <v/>
      </c>
      <c r="C46" s="506" t="str">
        <f>IF($B46="","",VLOOKUP(B46,FROTA!$B$5:$Z$305,25,0))</f>
        <v/>
      </c>
      <c r="D46" s="506" t="str">
        <f>IF($B46="","",VLOOKUP(B46,FROTA!$B$5:$Z$305,2,0))</f>
        <v/>
      </c>
      <c r="E46" s="507" t="str">
        <f>IF($B46="","",VLOOKUP(B46,RECEITAS!B47:D347,3,0))</f>
        <v/>
      </c>
      <c r="F46" s="508" t="str">
        <f>IF($B46="","",$E46*VLOOKUP($B46,MANUTENÇÃO!$B$3:$V$304,21,0))</f>
        <v/>
      </c>
      <c r="V46" s="468">
        <v>3.5800000000000098</v>
      </c>
    </row>
    <row r="47" spans="1:22" ht="18.75" customHeight="1" x14ac:dyDescent="0.2">
      <c r="A47" s="449">
        <f t="shared" si="0"/>
        <v>0</v>
      </c>
      <c r="B47" s="475" t="str">
        <f>IF(FROTA!B50="","",FROTA!B50)</f>
        <v/>
      </c>
      <c r="C47" s="476" t="str">
        <f>IF($B47="","",VLOOKUP(B47,FROTA!$B$5:$Z$305,25,0))</f>
        <v/>
      </c>
      <c r="D47" s="476" t="str">
        <f>IF($B47="","",VLOOKUP(B47,FROTA!$B$5:$Z$305,2,0))</f>
        <v/>
      </c>
      <c r="E47" s="477" t="str">
        <f>IF($B47="","",VLOOKUP(B47,RECEITAS!B48:D348,3,0))</f>
        <v/>
      </c>
      <c r="F47" s="478" t="str">
        <f>IF($B47="","",$E47*VLOOKUP($B47,MANUTENÇÃO!$B$3:$V$304,21,0))</f>
        <v/>
      </c>
      <c r="V47" s="468">
        <v>3.5700000000000101</v>
      </c>
    </row>
    <row r="48" spans="1:22" ht="18.75" customHeight="1" x14ac:dyDescent="0.2">
      <c r="A48" s="449">
        <f t="shared" si="0"/>
        <v>0</v>
      </c>
      <c r="B48" s="505" t="str">
        <f>IF(FROTA!B51="","",FROTA!B51)</f>
        <v/>
      </c>
      <c r="C48" s="506" t="str">
        <f>IF($B48="","",VLOOKUP(B48,FROTA!$B$5:$Z$305,25,0))</f>
        <v/>
      </c>
      <c r="D48" s="506" t="str">
        <f>IF($B48="","",VLOOKUP(B48,FROTA!$B$5:$Z$305,2,0))</f>
        <v/>
      </c>
      <c r="E48" s="507" t="str">
        <f>IF($B48="","",VLOOKUP(B48,RECEITAS!B49:D349,3,0))</f>
        <v/>
      </c>
      <c r="F48" s="508" t="str">
        <f>IF($B48="","",$E48*VLOOKUP($B48,MANUTENÇÃO!$B$3:$V$304,21,0))</f>
        <v/>
      </c>
      <c r="V48" s="468">
        <v>3.5600000000000098</v>
      </c>
    </row>
    <row r="49" spans="1:22" ht="18.75" customHeight="1" x14ac:dyDescent="0.2">
      <c r="A49" s="449">
        <f t="shared" si="0"/>
        <v>0</v>
      </c>
      <c r="B49" s="475" t="str">
        <f>IF(FROTA!B52="","",FROTA!B52)</f>
        <v/>
      </c>
      <c r="C49" s="476" t="str">
        <f>IF($B49="","",VLOOKUP(B49,FROTA!$B$5:$Z$305,25,0))</f>
        <v/>
      </c>
      <c r="D49" s="476" t="str">
        <f>IF($B49="","",VLOOKUP(B49,FROTA!$B$5:$Z$305,2,0))</f>
        <v/>
      </c>
      <c r="E49" s="477" t="str">
        <f>IF($B49="","",VLOOKUP(B49,RECEITAS!B50:D350,3,0))</f>
        <v/>
      </c>
      <c r="F49" s="478" t="str">
        <f>IF($B49="","",$E49*VLOOKUP($B49,MANUTENÇÃO!$B$3:$V$304,21,0))</f>
        <v/>
      </c>
      <c r="V49" s="468">
        <v>3.55000000000001</v>
      </c>
    </row>
    <row r="50" spans="1:22" ht="18.75" customHeight="1" x14ac:dyDescent="0.2">
      <c r="A50" s="449">
        <f t="shared" si="0"/>
        <v>0</v>
      </c>
      <c r="B50" s="505" t="str">
        <f>IF(FROTA!B53="","",FROTA!B53)</f>
        <v/>
      </c>
      <c r="C50" s="506" t="str">
        <f>IF($B50="","",VLOOKUP(B50,FROTA!$B$5:$Z$305,25,0))</f>
        <v/>
      </c>
      <c r="D50" s="506" t="str">
        <f>IF($B50="","",VLOOKUP(B50,FROTA!$B$5:$Z$305,2,0))</f>
        <v/>
      </c>
      <c r="E50" s="507" t="str">
        <f>IF($B50="","",VLOOKUP(B50,RECEITAS!B51:D351,3,0))</f>
        <v/>
      </c>
      <c r="F50" s="508" t="str">
        <f>IF($B50="","",$E50*VLOOKUP($B50,MANUTENÇÃO!$B$3:$V$304,21,0))</f>
        <v/>
      </c>
      <c r="V50" s="468">
        <v>3.5400000000000098</v>
      </c>
    </row>
    <row r="51" spans="1:22" ht="18.75" customHeight="1" x14ac:dyDescent="0.2">
      <c r="A51" s="449">
        <f t="shared" si="0"/>
        <v>0</v>
      </c>
      <c r="B51" s="475" t="str">
        <f>IF(FROTA!B54="","",FROTA!B54)</f>
        <v/>
      </c>
      <c r="C51" s="476" t="str">
        <f>IF($B51="","",VLOOKUP(B51,FROTA!$B$5:$Z$305,25,0))</f>
        <v/>
      </c>
      <c r="D51" s="476" t="str">
        <f>IF($B51="","",VLOOKUP(B51,FROTA!$B$5:$Z$305,2,0))</f>
        <v/>
      </c>
      <c r="E51" s="477" t="str">
        <f>IF($B51="","",VLOOKUP(B51,RECEITAS!B52:D352,3,0))</f>
        <v/>
      </c>
      <c r="F51" s="478" t="str">
        <f>IF($B51="","",$E51*VLOOKUP($B51,MANUTENÇÃO!$B$3:$V$304,21,0))</f>
        <v/>
      </c>
      <c r="V51" s="468">
        <v>3.53000000000001</v>
      </c>
    </row>
    <row r="52" spans="1:22" ht="18.75" customHeight="1" x14ac:dyDescent="0.2">
      <c r="A52" s="449">
        <f t="shared" si="0"/>
        <v>0</v>
      </c>
      <c r="B52" s="505" t="str">
        <f>IF(FROTA!B55="","",FROTA!B55)</f>
        <v/>
      </c>
      <c r="C52" s="506" t="str">
        <f>IF($B52="","",VLOOKUP(B52,FROTA!$B$5:$Z$305,25,0))</f>
        <v/>
      </c>
      <c r="D52" s="506" t="str">
        <f>IF($B52="","",VLOOKUP(B52,FROTA!$B$5:$Z$305,2,0))</f>
        <v/>
      </c>
      <c r="E52" s="507" t="str">
        <f>IF($B52="","",VLOOKUP(B52,RECEITAS!B53:D353,3,0))</f>
        <v/>
      </c>
      <c r="F52" s="508" t="str">
        <f>IF($B52="","",$E52*VLOOKUP($B52,MANUTENÇÃO!$B$3:$V$304,21,0))</f>
        <v/>
      </c>
      <c r="V52" s="468">
        <v>3.5200000000000098</v>
      </c>
    </row>
    <row r="53" spans="1:22" ht="18.75" customHeight="1" x14ac:dyDescent="0.2">
      <c r="A53" s="449">
        <f t="shared" si="0"/>
        <v>0</v>
      </c>
      <c r="B53" s="475" t="str">
        <f>IF(FROTA!B56="","",FROTA!B56)</f>
        <v/>
      </c>
      <c r="C53" s="476" t="str">
        <f>IF($B53="","",VLOOKUP(B53,FROTA!$B$5:$Z$305,25,0))</f>
        <v/>
      </c>
      <c r="D53" s="476" t="str">
        <f>IF($B53="","",VLOOKUP(B53,FROTA!$B$5:$Z$305,2,0))</f>
        <v/>
      </c>
      <c r="E53" s="477" t="str">
        <f>IF($B53="","",VLOOKUP(B53,RECEITAS!B54:D354,3,0))</f>
        <v/>
      </c>
      <c r="F53" s="478" t="str">
        <f>IF($B53="","",$E53*VLOOKUP($B53,MANUTENÇÃO!$B$3:$V$304,21,0))</f>
        <v/>
      </c>
      <c r="V53" s="468">
        <v>3.51000000000001</v>
      </c>
    </row>
    <row r="54" spans="1:22" ht="18.75" customHeight="1" x14ac:dyDescent="0.2">
      <c r="A54" s="449">
        <f t="shared" si="0"/>
        <v>0</v>
      </c>
      <c r="B54" s="505" t="str">
        <f>IF(FROTA!B57="","",FROTA!B57)</f>
        <v/>
      </c>
      <c r="C54" s="506" t="str">
        <f>IF($B54="","",VLOOKUP(B54,FROTA!$B$5:$Z$305,25,0))</f>
        <v/>
      </c>
      <c r="D54" s="506" t="str">
        <f>IF($B54="","",VLOOKUP(B54,FROTA!$B$5:$Z$305,2,0))</f>
        <v/>
      </c>
      <c r="E54" s="507" t="str">
        <f>IF($B54="","",VLOOKUP(B54,RECEITAS!B55:D355,3,0))</f>
        <v/>
      </c>
      <c r="F54" s="508" t="str">
        <f>IF($B54="","",$E54*VLOOKUP($B54,MANUTENÇÃO!$B$3:$V$304,21,0))</f>
        <v/>
      </c>
      <c r="V54" s="468">
        <v>3.5000000000000102</v>
      </c>
    </row>
    <row r="55" spans="1:22" ht="18.75" customHeight="1" x14ac:dyDescent="0.2">
      <c r="A55" s="449">
        <f t="shared" si="0"/>
        <v>0</v>
      </c>
      <c r="B55" s="475" t="str">
        <f>IF(FROTA!B58="","",FROTA!B58)</f>
        <v/>
      </c>
      <c r="C55" s="476" t="str">
        <f>IF($B55="","",VLOOKUP(B55,FROTA!$B$5:$Z$305,25,0))</f>
        <v/>
      </c>
      <c r="D55" s="476" t="str">
        <f>IF($B55="","",VLOOKUP(B55,FROTA!$B$5:$Z$305,2,0))</f>
        <v/>
      </c>
      <c r="E55" s="477" t="str">
        <f>IF($B55="","",VLOOKUP(B55,RECEITAS!B56:D356,3,0))</f>
        <v/>
      </c>
      <c r="F55" s="478" t="str">
        <f>IF($B55="","",$E55*VLOOKUP($B55,MANUTENÇÃO!$B$3:$V$304,21,0))</f>
        <v/>
      </c>
      <c r="V55" s="468">
        <v>3.49000000000001</v>
      </c>
    </row>
    <row r="56" spans="1:22" ht="18.75" customHeight="1" x14ac:dyDescent="0.2">
      <c r="A56" s="449">
        <f t="shared" si="0"/>
        <v>0</v>
      </c>
      <c r="B56" s="505" t="str">
        <f>IF(FROTA!B59="","",FROTA!B59)</f>
        <v/>
      </c>
      <c r="C56" s="506" t="str">
        <f>IF($B56="","",VLOOKUP(B56,FROTA!$B$5:$Z$305,25,0))</f>
        <v/>
      </c>
      <c r="D56" s="506" t="str">
        <f>IF($B56="","",VLOOKUP(B56,FROTA!$B$5:$Z$305,2,0))</f>
        <v/>
      </c>
      <c r="E56" s="507" t="str">
        <f>IF($B56="","",VLOOKUP(B56,RECEITAS!B57:D357,3,0))</f>
        <v/>
      </c>
      <c r="F56" s="508" t="str">
        <f>IF($B56="","",$E56*VLOOKUP($B56,MANUTENÇÃO!$B$3:$V$304,21,0))</f>
        <v/>
      </c>
      <c r="V56" s="468">
        <v>3.4800000000000102</v>
      </c>
    </row>
    <row r="57" spans="1:22" ht="18.75" customHeight="1" x14ac:dyDescent="0.2">
      <c r="A57" s="449">
        <f t="shared" si="0"/>
        <v>0</v>
      </c>
      <c r="B57" s="475" t="str">
        <f>IF(FROTA!B60="","",FROTA!B60)</f>
        <v/>
      </c>
      <c r="C57" s="476" t="str">
        <f>IF($B57="","",VLOOKUP(B57,FROTA!$B$5:$Z$305,25,0))</f>
        <v/>
      </c>
      <c r="D57" s="476" t="str">
        <f>IF($B57="","",VLOOKUP(B57,FROTA!$B$5:$Z$305,2,0))</f>
        <v/>
      </c>
      <c r="E57" s="477" t="str">
        <f>IF($B57="","",VLOOKUP(B57,RECEITAS!B58:D358,3,0))</f>
        <v/>
      </c>
      <c r="F57" s="478" t="str">
        <f>IF($B57="","",$E57*VLOOKUP($B57,MANUTENÇÃO!$B$3:$V$304,21,0))</f>
        <v/>
      </c>
      <c r="V57" s="468">
        <v>3.47000000000001</v>
      </c>
    </row>
    <row r="58" spans="1:22" ht="18.75" customHeight="1" x14ac:dyDescent="0.2">
      <c r="A58" s="449">
        <f t="shared" si="0"/>
        <v>0</v>
      </c>
      <c r="B58" s="505" t="str">
        <f>IF(FROTA!B61="","",FROTA!B61)</f>
        <v/>
      </c>
      <c r="C58" s="506" t="str">
        <f>IF($B58="","",VLOOKUP(B58,FROTA!$B$5:$Z$305,25,0))</f>
        <v/>
      </c>
      <c r="D58" s="506" t="str">
        <f>IF($B58="","",VLOOKUP(B58,FROTA!$B$5:$Z$305,2,0))</f>
        <v/>
      </c>
      <c r="E58" s="507" t="str">
        <f>IF($B58="","",VLOOKUP(B58,RECEITAS!B59:D359,3,0))</f>
        <v/>
      </c>
      <c r="F58" s="508" t="str">
        <f>IF($B58="","",$E58*VLOOKUP($B58,MANUTENÇÃO!$B$3:$V$304,21,0))</f>
        <v/>
      </c>
      <c r="V58" s="468">
        <v>3.4600000000000102</v>
      </c>
    </row>
    <row r="59" spans="1:22" ht="18.75" customHeight="1" x14ac:dyDescent="0.2">
      <c r="A59" s="449">
        <f t="shared" si="0"/>
        <v>0</v>
      </c>
      <c r="B59" s="475" t="str">
        <f>IF(FROTA!B62="","",FROTA!B62)</f>
        <v/>
      </c>
      <c r="C59" s="476" t="str">
        <f>IF($B59="","",VLOOKUP(B59,FROTA!$B$5:$Z$305,25,0))</f>
        <v/>
      </c>
      <c r="D59" s="476" t="str">
        <f>IF($B59="","",VLOOKUP(B59,FROTA!$B$5:$Z$305,2,0))</f>
        <v/>
      </c>
      <c r="E59" s="477" t="str">
        <f>IF($B59="","",VLOOKUP(B59,RECEITAS!B60:D360,3,0))</f>
        <v/>
      </c>
      <c r="F59" s="478" t="str">
        <f>IF($B59="","",$E59*VLOOKUP($B59,MANUTENÇÃO!$B$3:$V$304,21,0))</f>
        <v/>
      </c>
      <c r="V59" s="468">
        <v>3.4500000000000099</v>
      </c>
    </row>
    <row r="60" spans="1:22" ht="18.75" customHeight="1" x14ac:dyDescent="0.2">
      <c r="A60" s="449">
        <f t="shared" si="0"/>
        <v>0</v>
      </c>
      <c r="B60" s="505" t="str">
        <f>IF(FROTA!B63="","",FROTA!B63)</f>
        <v/>
      </c>
      <c r="C60" s="506" t="str">
        <f>IF($B60="","",VLOOKUP(B60,FROTA!$B$5:$Z$305,25,0))</f>
        <v/>
      </c>
      <c r="D60" s="506" t="str">
        <f>IF($B60="","",VLOOKUP(B60,FROTA!$B$5:$Z$305,2,0))</f>
        <v/>
      </c>
      <c r="E60" s="507" t="str">
        <f>IF($B60="","",VLOOKUP(B60,RECEITAS!B61:D361,3,0))</f>
        <v/>
      </c>
      <c r="F60" s="508" t="str">
        <f>IF($B60="","",$E60*VLOOKUP($B60,MANUTENÇÃO!$B$3:$V$304,21,0))</f>
        <v/>
      </c>
      <c r="V60" s="468">
        <v>3.4400000000000102</v>
      </c>
    </row>
    <row r="61" spans="1:22" ht="18.75" customHeight="1" x14ac:dyDescent="0.2">
      <c r="A61" s="449">
        <f t="shared" si="0"/>
        <v>0</v>
      </c>
      <c r="B61" s="475" t="str">
        <f>IF(FROTA!B64="","",FROTA!B64)</f>
        <v/>
      </c>
      <c r="C61" s="476" t="str">
        <f>IF($B61="","",VLOOKUP(B61,FROTA!$B$5:$Z$305,25,0))</f>
        <v/>
      </c>
      <c r="D61" s="476" t="str">
        <f>IF($B61="","",VLOOKUP(B61,FROTA!$B$5:$Z$305,2,0))</f>
        <v/>
      </c>
      <c r="E61" s="477" t="str">
        <f>IF($B61="","",VLOOKUP(B61,RECEITAS!B62:D362,3,0))</f>
        <v/>
      </c>
      <c r="F61" s="478" t="str">
        <f>IF($B61="","",$E61*VLOOKUP($B61,MANUTENÇÃO!$B$3:$V$304,21,0))</f>
        <v/>
      </c>
      <c r="V61" s="468">
        <v>3.4300000000000099</v>
      </c>
    </row>
    <row r="62" spans="1:22" ht="18.75" customHeight="1" x14ac:dyDescent="0.2">
      <c r="A62" s="449">
        <f t="shared" si="0"/>
        <v>0</v>
      </c>
      <c r="B62" s="505" t="str">
        <f>IF(FROTA!B65="","",FROTA!B65)</f>
        <v/>
      </c>
      <c r="C62" s="506" t="str">
        <f>IF($B62="","",VLOOKUP(B62,FROTA!$B$5:$Z$305,25,0))</f>
        <v/>
      </c>
      <c r="D62" s="506" t="str">
        <f>IF($B62="","",VLOOKUP(B62,FROTA!$B$5:$Z$305,2,0))</f>
        <v/>
      </c>
      <c r="E62" s="507" t="str">
        <f>IF($B62="","",VLOOKUP(B62,RECEITAS!B63:D363,3,0))</f>
        <v/>
      </c>
      <c r="F62" s="508" t="str">
        <f>IF($B62="","",$E62*VLOOKUP($B62,MANUTENÇÃO!$B$3:$V$304,21,0))</f>
        <v/>
      </c>
      <c r="V62" s="468">
        <v>3.4200000000000101</v>
      </c>
    </row>
    <row r="63" spans="1:22" ht="18.75" customHeight="1" x14ac:dyDescent="0.2">
      <c r="A63" s="449">
        <f t="shared" si="0"/>
        <v>0</v>
      </c>
      <c r="B63" s="475" t="str">
        <f>IF(FROTA!B66="","",FROTA!B66)</f>
        <v/>
      </c>
      <c r="C63" s="476" t="str">
        <f>IF($B63="","",VLOOKUP(B63,FROTA!$B$5:$Z$305,25,0))</f>
        <v/>
      </c>
      <c r="D63" s="476" t="str">
        <f>IF($B63="","",VLOOKUP(B63,FROTA!$B$5:$Z$305,2,0))</f>
        <v/>
      </c>
      <c r="E63" s="477" t="str">
        <f>IF($B63="","",VLOOKUP(B63,RECEITAS!B64:D364,3,0))</f>
        <v/>
      </c>
      <c r="F63" s="478" t="str">
        <f>IF($B63="","",$E63*VLOOKUP($B63,MANUTENÇÃO!$B$3:$V$304,21,0))</f>
        <v/>
      </c>
      <c r="V63" s="468">
        <v>3.4100000000000099</v>
      </c>
    </row>
    <row r="64" spans="1:22" ht="18.75" customHeight="1" x14ac:dyDescent="0.2">
      <c r="A64" s="449">
        <f t="shared" si="0"/>
        <v>0</v>
      </c>
      <c r="B64" s="505" t="str">
        <f>IF(FROTA!B67="","",FROTA!B67)</f>
        <v/>
      </c>
      <c r="C64" s="506" t="str">
        <f>IF($B64="","",VLOOKUP(B64,FROTA!$B$5:$Z$305,25,0))</f>
        <v/>
      </c>
      <c r="D64" s="506" t="str">
        <f>IF($B64="","",VLOOKUP(B64,FROTA!$B$5:$Z$305,2,0))</f>
        <v/>
      </c>
      <c r="E64" s="507" t="str">
        <f>IF($B64="","",VLOOKUP(B64,RECEITAS!B65:D365,3,0))</f>
        <v/>
      </c>
      <c r="F64" s="508" t="str">
        <f>IF($B64="","",$E64*VLOOKUP($B64,MANUTENÇÃO!$B$3:$V$304,21,0))</f>
        <v/>
      </c>
      <c r="V64" s="468">
        <v>3.4000000000000101</v>
      </c>
    </row>
    <row r="65" spans="1:22" ht="18.75" customHeight="1" x14ac:dyDescent="0.2">
      <c r="A65" s="449">
        <f t="shared" si="0"/>
        <v>0</v>
      </c>
      <c r="B65" s="475" t="str">
        <f>IF(FROTA!B68="","",FROTA!B68)</f>
        <v/>
      </c>
      <c r="C65" s="476" t="str">
        <f>IF($B65="","",VLOOKUP(B65,FROTA!$B$5:$Z$305,25,0))</f>
        <v/>
      </c>
      <c r="D65" s="476" t="str">
        <f>IF($B65="","",VLOOKUP(B65,FROTA!$B$5:$Z$305,2,0))</f>
        <v/>
      </c>
      <c r="E65" s="477" t="str">
        <f>IF($B65="","",VLOOKUP(B65,RECEITAS!B66:D366,3,0))</f>
        <v/>
      </c>
      <c r="F65" s="478" t="str">
        <f>IF($B65="","",$E65*VLOOKUP($B65,MANUTENÇÃO!$B$3:$V$304,21,0))</f>
        <v/>
      </c>
      <c r="V65" s="468">
        <v>3.3900000000000099</v>
      </c>
    </row>
    <row r="66" spans="1:22" ht="18.75" customHeight="1" x14ac:dyDescent="0.2">
      <c r="A66" s="449">
        <f t="shared" si="0"/>
        <v>0</v>
      </c>
      <c r="B66" s="505" t="str">
        <f>IF(FROTA!B69="","",FROTA!B69)</f>
        <v/>
      </c>
      <c r="C66" s="506" t="str">
        <f>IF($B66="","",VLOOKUP(B66,FROTA!$B$5:$Z$305,25,0))</f>
        <v/>
      </c>
      <c r="D66" s="506" t="str">
        <f>IF($B66="","",VLOOKUP(B66,FROTA!$B$5:$Z$305,2,0))</f>
        <v/>
      </c>
      <c r="E66" s="507" t="str">
        <f>IF($B66="","",VLOOKUP(B66,RECEITAS!B67:D367,3,0))</f>
        <v/>
      </c>
      <c r="F66" s="508" t="str">
        <f>IF($B66="","",$E66*VLOOKUP($B66,MANUTENÇÃO!$B$3:$V$304,21,0))</f>
        <v/>
      </c>
      <c r="V66" s="468">
        <v>3.3800000000000101</v>
      </c>
    </row>
    <row r="67" spans="1:22" ht="18.75" customHeight="1" x14ac:dyDescent="0.2">
      <c r="A67" s="449">
        <f t="shared" si="0"/>
        <v>0</v>
      </c>
      <c r="B67" s="475" t="str">
        <f>IF(FROTA!B70="","",FROTA!B70)</f>
        <v/>
      </c>
      <c r="C67" s="476" t="str">
        <f>IF($B67="","",VLOOKUP(B67,FROTA!$B$5:$Z$305,25,0))</f>
        <v/>
      </c>
      <c r="D67" s="476" t="str">
        <f>IF($B67="","",VLOOKUP(B67,FROTA!$B$5:$Z$305,2,0))</f>
        <v/>
      </c>
      <c r="E67" s="477" t="str">
        <f>IF($B67="","",VLOOKUP(B67,RECEITAS!B68:D368,3,0))</f>
        <v/>
      </c>
      <c r="F67" s="478" t="str">
        <f>IF($B67="","",$E67*VLOOKUP($B67,MANUTENÇÃO!$B$3:$V$304,21,0))</f>
        <v/>
      </c>
      <c r="V67" s="468">
        <v>3.3700000000000099</v>
      </c>
    </row>
    <row r="68" spans="1:22" ht="18.75" customHeight="1" x14ac:dyDescent="0.2">
      <c r="A68" s="449">
        <f t="shared" ref="A68:A131" si="2">IF(B68="",0,1)</f>
        <v>0</v>
      </c>
      <c r="B68" s="505" t="str">
        <f>IF(FROTA!B71="","",FROTA!B71)</f>
        <v/>
      </c>
      <c r="C68" s="506" t="str">
        <f>IF($B68="","",VLOOKUP(B68,FROTA!$B$5:$Z$305,25,0))</f>
        <v/>
      </c>
      <c r="D68" s="506" t="str">
        <f>IF($B68="","",VLOOKUP(B68,FROTA!$B$5:$Z$305,2,0))</f>
        <v/>
      </c>
      <c r="E68" s="507" t="str">
        <f>IF($B68="","",VLOOKUP(B68,RECEITAS!B69:D369,3,0))</f>
        <v/>
      </c>
      <c r="F68" s="508" t="str">
        <f>IF($B68="","",$E68*VLOOKUP($B68,MANUTENÇÃO!$B$3:$V$304,21,0))</f>
        <v/>
      </c>
      <c r="V68" s="468">
        <v>3.3600000000000101</v>
      </c>
    </row>
    <row r="69" spans="1:22" ht="18.75" customHeight="1" x14ac:dyDescent="0.2">
      <c r="A69" s="449">
        <f t="shared" si="2"/>
        <v>0</v>
      </c>
      <c r="B69" s="475" t="str">
        <f>IF(FROTA!B72="","",FROTA!B72)</f>
        <v/>
      </c>
      <c r="C69" s="476" t="str">
        <f>IF($B69="","",VLOOKUP(B69,FROTA!$B$5:$Z$305,25,0))</f>
        <v/>
      </c>
      <c r="D69" s="476" t="str">
        <f>IF($B69="","",VLOOKUP(B69,FROTA!$B$5:$Z$305,2,0))</f>
        <v/>
      </c>
      <c r="E69" s="477" t="str">
        <f>IF($B69="","",VLOOKUP(B69,RECEITAS!B70:D370,3,0))</f>
        <v/>
      </c>
      <c r="F69" s="478" t="str">
        <f>IF($B69="","",$E69*VLOOKUP($B69,MANUTENÇÃO!$B$3:$V$304,21,0))</f>
        <v/>
      </c>
      <c r="V69" s="468">
        <v>3.3500000000000099</v>
      </c>
    </row>
    <row r="70" spans="1:22" ht="18.75" customHeight="1" x14ac:dyDescent="0.2">
      <c r="A70" s="449">
        <f t="shared" si="2"/>
        <v>0</v>
      </c>
      <c r="B70" s="505" t="str">
        <f>IF(FROTA!B73="","",FROTA!B73)</f>
        <v/>
      </c>
      <c r="C70" s="506" t="str">
        <f>IF($B70="","",VLOOKUP(B70,FROTA!$B$5:$Z$305,25,0))</f>
        <v/>
      </c>
      <c r="D70" s="506" t="str">
        <f>IF($B70="","",VLOOKUP(B70,FROTA!$B$5:$Z$305,2,0))</f>
        <v/>
      </c>
      <c r="E70" s="507" t="str">
        <f>IF($B70="","",VLOOKUP(B70,RECEITAS!B71:D371,3,0))</f>
        <v/>
      </c>
      <c r="F70" s="508" t="str">
        <f>IF($B70="","",$E70*VLOOKUP($B70,MANUTENÇÃO!$B$3:$V$304,21,0))</f>
        <v/>
      </c>
      <c r="V70" s="468">
        <v>3.3400000000000101</v>
      </c>
    </row>
    <row r="71" spans="1:22" ht="18.75" customHeight="1" x14ac:dyDescent="0.2">
      <c r="A71" s="449">
        <f t="shared" si="2"/>
        <v>0</v>
      </c>
      <c r="B71" s="475" t="str">
        <f>IF(FROTA!B74="","",FROTA!B74)</f>
        <v/>
      </c>
      <c r="C71" s="476" t="str">
        <f>IF($B71="","",VLOOKUP(B71,FROTA!$B$5:$Z$305,25,0))</f>
        <v/>
      </c>
      <c r="D71" s="476" t="str">
        <f>IF($B71="","",VLOOKUP(B71,FROTA!$B$5:$Z$305,2,0))</f>
        <v/>
      </c>
      <c r="E71" s="477" t="str">
        <f>IF($B71="","",VLOOKUP(B71,RECEITAS!B72:D372,3,0))</f>
        <v/>
      </c>
      <c r="F71" s="478" t="str">
        <f>IF($B71="","",$E71*VLOOKUP($B71,MANUTENÇÃO!$B$3:$V$304,21,0))</f>
        <v/>
      </c>
      <c r="V71" s="468">
        <v>3.3300000000000098</v>
      </c>
    </row>
    <row r="72" spans="1:22" ht="18.75" customHeight="1" x14ac:dyDescent="0.2">
      <c r="A72" s="449">
        <f t="shared" si="2"/>
        <v>0</v>
      </c>
      <c r="B72" s="505" t="str">
        <f>IF(FROTA!B75="","",FROTA!B75)</f>
        <v/>
      </c>
      <c r="C72" s="506" t="str">
        <f>IF($B72="","",VLOOKUP(B72,FROTA!$B$5:$Z$305,25,0))</f>
        <v/>
      </c>
      <c r="D72" s="506" t="str">
        <f>IF($B72="","",VLOOKUP(B72,FROTA!$B$5:$Z$305,2,0))</f>
        <v/>
      </c>
      <c r="E72" s="507" t="str">
        <f>IF($B72="","",VLOOKUP(B72,RECEITAS!B73:D373,3,0))</f>
        <v/>
      </c>
      <c r="F72" s="508" t="str">
        <f>IF($B72="","",$E72*VLOOKUP($B72,MANUTENÇÃO!$B$3:$V$304,21,0))</f>
        <v/>
      </c>
      <c r="V72" s="468">
        <v>3.3200000000000101</v>
      </c>
    </row>
    <row r="73" spans="1:22" ht="18.75" customHeight="1" x14ac:dyDescent="0.2">
      <c r="A73" s="449">
        <f t="shared" si="2"/>
        <v>0</v>
      </c>
      <c r="B73" s="475" t="str">
        <f>IF(FROTA!B76="","",FROTA!B76)</f>
        <v/>
      </c>
      <c r="C73" s="476" t="str">
        <f>IF($B73="","",VLOOKUP(B73,FROTA!$B$5:$Z$305,25,0))</f>
        <v/>
      </c>
      <c r="D73" s="476" t="str">
        <f>IF($B73="","",VLOOKUP(B73,FROTA!$B$5:$Z$305,2,0))</f>
        <v/>
      </c>
      <c r="E73" s="477" t="str">
        <f>IF($B73="","",VLOOKUP(B73,RECEITAS!B74:D374,3,0))</f>
        <v/>
      </c>
      <c r="F73" s="478" t="str">
        <f>IF($B73="","",$E73*VLOOKUP($B73,MANUTENÇÃO!$B$3:$V$304,21,0))</f>
        <v/>
      </c>
      <c r="V73" s="468">
        <v>3.3100000000000098</v>
      </c>
    </row>
    <row r="74" spans="1:22" ht="18.75" customHeight="1" x14ac:dyDescent="0.2">
      <c r="A74" s="449">
        <f t="shared" si="2"/>
        <v>0</v>
      </c>
      <c r="B74" s="505" t="str">
        <f>IF(FROTA!B77="","",FROTA!B77)</f>
        <v/>
      </c>
      <c r="C74" s="506" t="str">
        <f>IF($B74="","",VLOOKUP(B74,FROTA!$B$5:$Z$305,25,0))</f>
        <v/>
      </c>
      <c r="D74" s="506" t="str">
        <f>IF($B74="","",VLOOKUP(B74,FROTA!$B$5:$Z$305,2,0))</f>
        <v/>
      </c>
      <c r="E74" s="507" t="str">
        <f>IF($B74="","",VLOOKUP(B74,RECEITAS!B75:D375,3,0))</f>
        <v/>
      </c>
      <c r="F74" s="508" t="str">
        <f>IF($B74="","",$E74*VLOOKUP($B74,MANUTENÇÃO!$B$3:$V$304,21,0))</f>
        <v/>
      </c>
      <c r="V74" s="468">
        <v>3.30000000000001</v>
      </c>
    </row>
    <row r="75" spans="1:22" ht="18.75" customHeight="1" x14ac:dyDescent="0.2">
      <c r="A75" s="449">
        <f t="shared" si="2"/>
        <v>0</v>
      </c>
      <c r="B75" s="475" t="str">
        <f>IF(FROTA!B78="","",FROTA!B78)</f>
        <v/>
      </c>
      <c r="C75" s="476" t="str">
        <f>IF($B75="","",VLOOKUP(B75,FROTA!$B$5:$Z$305,25,0))</f>
        <v/>
      </c>
      <c r="D75" s="476" t="str">
        <f>IF($B75="","",VLOOKUP(B75,FROTA!$B$5:$Z$305,2,0))</f>
        <v/>
      </c>
      <c r="E75" s="477" t="str">
        <f>IF($B75="","",VLOOKUP(B75,RECEITAS!B76:D376,3,0))</f>
        <v/>
      </c>
      <c r="F75" s="478" t="str">
        <f>IF($B75="","",$E75*VLOOKUP($B75,MANUTENÇÃO!$B$3:$V$304,21,0))</f>
        <v/>
      </c>
      <c r="V75" s="468">
        <v>3.2900000000000098</v>
      </c>
    </row>
    <row r="76" spans="1:22" ht="18.75" customHeight="1" x14ac:dyDescent="0.2">
      <c r="A76" s="449">
        <f t="shared" si="2"/>
        <v>0</v>
      </c>
      <c r="B76" s="505" t="str">
        <f>IF(FROTA!B79="","",FROTA!B79)</f>
        <v/>
      </c>
      <c r="C76" s="506" t="str">
        <f>IF($B76="","",VLOOKUP(B76,FROTA!$B$5:$Z$305,25,0))</f>
        <v/>
      </c>
      <c r="D76" s="506" t="str">
        <f>IF($B76="","",VLOOKUP(B76,FROTA!$B$5:$Z$305,2,0))</f>
        <v/>
      </c>
      <c r="E76" s="507" t="str">
        <f>IF($B76="","",VLOOKUP(B76,RECEITAS!B77:D377,3,0))</f>
        <v/>
      </c>
      <c r="F76" s="508" t="str">
        <f>IF($B76="","",$E76*VLOOKUP($B76,MANUTENÇÃO!$B$3:$V$304,21,0))</f>
        <v/>
      </c>
      <c r="V76" s="468">
        <v>3.2800000000000198</v>
      </c>
    </row>
    <row r="77" spans="1:22" ht="18.75" customHeight="1" x14ac:dyDescent="0.2">
      <c r="A77" s="449">
        <f t="shared" si="2"/>
        <v>0</v>
      </c>
      <c r="B77" s="475" t="str">
        <f>IF(FROTA!B80="","",FROTA!B80)</f>
        <v/>
      </c>
      <c r="C77" s="476" t="str">
        <f>IF($B77="","",VLOOKUP(B77,FROTA!$B$5:$Z$305,25,0))</f>
        <v/>
      </c>
      <c r="D77" s="476" t="str">
        <f>IF($B77="","",VLOOKUP(B77,FROTA!$B$5:$Z$305,2,0))</f>
        <v/>
      </c>
      <c r="E77" s="477" t="str">
        <f>IF($B77="","",VLOOKUP(B77,RECEITAS!B78:D378,3,0))</f>
        <v/>
      </c>
      <c r="F77" s="478" t="str">
        <f>IF($B77="","",$E77*VLOOKUP($B77,MANUTENÇÃO!$B$3:$V$304,21,0))</f>
        <v/>
      </c>
      <c r="V77" s="468">
        <v>3.27000000000002</v>
      </c>
    </row>
    <row r="78" spans="1:22" ht="18.75" customHeight="1" x14ac:dyDescent="0.2">
      <c r="A78" s="449">
        <f t="shared" si="2"/>
        <v>0</v>
      </c>
      <c r="B78" s="505" t="str">
        <f>IF(FROTA!B81="","",FROTA!B81)</f>
        <v/>
      </c>
      <c r="C78" s="506" t="str">
        <f>IF($B78="","",VLOOKUP(B78,FROTA!$B$5:$Z$305,25,0))</f>
        <v/>
      </c>
      <c r="D78" s="506" t="str">
        <f>IF($B78="","",VLOOKUP(B78,FROTA!$B$5:$Z$305,2,0))</f>
        <v/>
      </c>
      <c r="E78" s="507" t="str">
        <f>IF($B78="","",VLOOKUP(B78,RECEITAS!B79:D379,3,0))</f>
        <v/>
      </c>
      <c r="F78" s="508" t="str">
        <f>IF($B78="","",$E78*VLOOKUP($B78,MANUTENÇÃO!$B$3:$V$304,21,0))</f>
        <v/>
      </c>
      <c r="V78" s="468">
        <v>3.2600000000000202</v>
      </c>
    </row>
    <row r="79" spans="1:22" ht="18.75" customHeight="1" x14ac:dyDescent="0.2">
      <c r="A79" s="449">
        <f t="shared" si="2"/>
        <v>0</v>
      </c>
      <c r="B79" s="475" t="str">
        <f>IF(FROTA!B82="","",FROTA!B82)</f>
        <v/>
      </c>
      <c r="C79" s="476" t="str">
        <f>IF($B79="","",VLOOKUP(B79,FROTA!$B$5:$Z$305,25,0))</f>
        <v/>
      </c>
      <c r="D79" s="476" t="str">
        <f>IF($B79="","",VLOOKUP(B79,FROTA!$B$5:$Z$305,2,0))</f>
        <v/>
      </c>
      <c r="E79" s="477" t="str">
        <f>IF($B79="","",VLOOKUP(B79,RECEITAS!B80:D380,3,0))</f>
        <v/>
      </c>
      <c r="F79" s="478" t="str">
        <f>IF($B79="","",$E79*VLOOKUP($B79,MANUTENÇÃO!$B$3:$V$304,21,0))</f>
        <v/>
      </c>
      <c r="V79" s="468">
        <v>3.25000000000002</v>
      </c>
    </row>
    <row r="80" spans="1:22" ht="18.75" customHeight="1" x14ac:dyDescent="0.2">
      <c r="A80" s="449">
        <f t="shared" si="2"/>
        <v>0</v>
      </c>
      <c r="B80" s="505" t="str">
        <f>IF(FROTA!B83="","",FROTA!B83)</f>
        <v/>
      </c>
      <c r="C80" s="506" t="str">
        <f>IF($B80="","",VLOOKUP(B80,FROTA!$B$5:$Z$305,25,0))</f>
        <v/>
      </c>
      <c r="D80" s="506" t="str">
        <f>IF($B80="","",VLOOKUP(B80,FROTA!$B$5:$Z$305,2,0))</f>
        <v/>
      </c>
      <c r="E80" s="507" t="str">
        <f>IF($B80="","",VLOOKUP(B80,RECEITAS!B81:D381,3,0))</f>
        <v/>
      </c>
      <c r="F80" s="508" t="str">
        <f>IF($B80="","",$E80*VLOOKUP($B80,MANUTENÇÃO!$B$3:$V$304,21,0))</f>
        <v/>
      </c>
      <c r="V80" s="468">
        <v>3.2400000000000202</v>
      </c>
    </row>
    <row r="81" spans="1:22" ht="18.75" customHeight="1" x14ac:dyDescent="0.2">
      <c r="A81" s="449">
        <f t="shared" si="2"/>
        <v>0</v>
      </c>
      <c r="B81" s="475" t="str">
        <f>IF(FROTA!B84="","",FROTA!B84)</f>
        <v/>
      </c>
      <c r="C81" s="476" t="str">
        <f>IF($B81="","",VLOOKUP(B81,FROTA!$B$5:$Z$305,25,0))</f>
        <v/>
      </c>
      <c r="D81" s="476" t="str">
        <f>IF($B81="","",VLOOKUP(B81,FROTA!$B$5:$Z$305,2,0))</f>
        <v/>
      </c>
      <c r="E81" s="477" t="str">
        <f>IF($B81="","",VLOOKUP(B81,RECEITAS!B82:D382,3,0))</f>
        <v/>
      </c>
      <c r="F81" s="478" t="str">
        <f>IF($B81="","",$E81*VLOOKUP($B81,MANUTENÇÃO!$B$3:$V$304,21,0))</f>
        <v/>
      </c>
      <c r="V81" s="468">
        <v>3.23000000000002</v>
      </c>
    </row>
    <row r="82" spans="1:22" ht="18.75" customHeight="1" x14ac:dyDescent="0.2">
      <c r="A82" s="449">
        <f t="shared" si="2"/>
        <v>0</v>
      </c>
      <c r="B82" s="505" t="str">
        <f>IF(FROTA!B85="","",FROTA!B85)</f>
        <v/>
      </c>
      <c r="C82" s="506" t="str">
        <f>IF($B82="","",VLOOKUP(B82,FROTA!$B$5:$Z$305,25,0))</f>
        <v/>
      </c>
      <c r="D82" s="506" t="str">
        <f>IF($B82="","",VLOOKUP(B82,FROTA!$B$5:$Z$305,2,0))</f>
        <v/>
      </c>
      <c r="E82" s="507" t="str">
        <f>IF($B82="","",VLOOKUP(B82,RECEITAS!B83:D383,3,0))</f>
        <v/>
      </c>
      <c r="F82" s="508" t="str">
        <f>IF($B82="","",$E82*VLOOKUP($B82,MANUTENÇÃO!$B$3:$V$304,21,0))</f>
        <v/>
      </c>
      <c r="V82" s="468">
        <v>3.2200000000000202</v>
      </c>
    </row>
    <row r="83" spans="1:22" ht="18.75" customHeight="1" x14ac:dyDescent="0.2">
      <c r="A83" s="449">
        <f t="shared" si="2"/>
        <v>0</v>
      </c>
      <c r="B83" s="475" t="str">
        <f>IF(FROTA!B86="","",FROTA!B86)</f>
        <v/>
      </c>
      <c r="C83" s="476" t="str">
        <f>IF($B83="","",VLOOKUP(B83,FROTA!$B$5:$Z$305,25,0))</f>
        <v/>
      </c>
      <c r="D83" s="476" t="str">
        <f>IF($B83="","",VLOOKUP(B83,FROTA!$B$5:$Z$305,2,0))</f>
        <v/>
      </c>
      <c r="E83" s="477" t="str">
        <f>IF($B83="","",VLOOKUP(B83,RECEITAS!B84:D384,3,0))</f>
        <v/>
      </c>
      <c r="F83" s="478" t="str">
        <f>IF($B83="","",$E83*VLOOKUP($B83,MANUTENÇÃO!$B$3:$V$304,21,0))</f>
        <v/>
      </c>
      <c r="V83" s="468">
        <v>3.2100000000000199</v>
      </c>
    </row>
    <row r="84" spans="1:22" ht="18.75" customHeight="1" x14ac:dyDescent="0.2">
      <c r="A84" s="449">
        <f t="shared" si="2"/>
        <v>0</v>
      </c>
      <c r="B84" s="505" t="str">
        <f>IF(FROTA!B87="","",FROTA!B87)</f>
        <v/>
      </c>
      <c r="C84" s="506" t="str">
        <f>IF($B84="","",VLOOKUP(B84,FROTA!$B$5:$Z$305,25,0))</f>
        <v/>
      </c>
      <c r="D84" s="506" t="str">
        <f>IF($B84="","",VLOOKUP(B84,FROTA!$B$5:$Z$305,2,0))</f>
        <v/>
      </c>
      <c r="E84" s="507" t="str">
        <f>IF($B84="","",VLOOKUP(B84,RECEITAS!B85:D385,3,0))</f>
        <v/>
      </c>
      <c r="F84" s="508" t="str">
        <f>IF($B84="","",$E84*VLOOKUP($B84,MANUTENÇÃO!$B$3:$V$304,21,0))</f>
        <v/>
      </c>
      <c r="V84" s="468">
        <v>3.2000000000000202</v>
      </c>
    </row>
    <row r="85" spans="1:22" ht="18.75" customHeight="1" x14ac:dyDescent="0.2">
      <c r="A85" s="449">
        <f t="shared" si="2"/>
        <v>0</v>
      </c>
      <c r="B85" s="475" t="str">
        <f>IF(FROTA!B88="","",FROTA!B88)</f>
        <v/>
      </c>
      <c r="C85" s="476" t="str">
        <f>IF($B85="","",VLOOKUP(B85,FROTA!$B$5:$Z$305,25,0))</f>
        <v/>
      </c>
      <c r="D85" s="476" t="str">
        <f>IF($B85="","",VLOOKUP(B85,FROTA!$B$5:$Z$305,2,0))</f>
        <v/>
      </c>
      <c r="E85" s="477" t="str">
        <f>IF($B85="","",VLOOKUP(B85,RECEITAS!B86:D386,3,0))</f>
        <v/>
      </c>
      <c r="F85" s="478" t="str">
        <f>IF($B85="","",$E85*VLOOKUP($B85,MANUTENÇÃO!$B$3:$V$304,21,0))</f>
        <v/>
      </c>
      <c r="V85" s="468">
        <v>3.1900000000000199</v>
      </c>
    </row>
    <row r="86" spans="1:22" ht="18.75" customHeight="1" x14ac:dyDescent="0.2">
      <c r="A86" s="449">
        <f t="shared" si="2"/>
        <v>0</v>
      </c>
      <c r="B86" s="505" t="str">
        <f>IF(FROTA!B89="","",FROTA!B89)</f>
        <v/>
      </c>
      <c r="C86" s="506" t="str">
        <f>IF($B86="","",VLOOKUP(B86,FROTA!$B$5:$Z$305,25,0))</f>
        <v/>
      </c>
      <c r="D86" s="506" t="str">
        <f>IF($B86="","",VLOOKUP(B86,FROTA!$B$5:$Z$305,2,0))</f>
        <v/>
      </c>
      <c r="E86" s="507" t="str">
        <f>IF($B86="","",VLOOKUP(B86,RECEITAS!B87:D387,3,0))</f>
        <v/>
      </c>
      <c r="F86" s="508" t="str">
        <f>IF($B86="","",$E86*VLOOKUP($B86,MANUTENÇÃO!$B$3:$V$304,21,0))</f>
        <v/>
      </c>
      <c r="V86" s="468">
        <v>3.1800000000000201</v>
      </c>
    </row>
    <row r="87" spans="1:22" ht="18.75" customHeight="1" x14ac:dyDescent="0.2">
      <c r="A87" s="449">
        <f t="shared" si="2"/>
        <v>0</v>
      </c>
      <c r="B87" s="475" t="str">
        <f>IF(FROTA!B90="","",FROTA!B90)</f>
        <v/>
      </c>
      <c r="C87" s="476" t="str">
        <f>IF($B87="","",VLOOKUP(B87,FROTA!$B$5:$Z$305,25,0))</f>
        <v/>
      </c>
      <c r="D87" s="476" t="str">
        <f>IF($B87="","",VLOOKUP(B87,FROTA!$B$5:$Z$305,2,0))</f>
        <v/>
      </c>
      <c r="E87" s="477" t="str">
        <f>IF($B87="","",VLOOKUP(B87,RECEITAS!B88:D388,3,0))</f>
        <v/>
      </c>
      <c r="F87" s="478" t="str">
        <f>IF($B87="","",$E87*VLOOKUP($B87,MANUTENÇÃO!$B$3:$V$304,21,0))</f>
        <v/>
      </c>
      <c r="V87" s="468">
        <v>3.1700000000000199</v>
      </c>
    </row>
    <row r="88" spans="1:22" ht="18.75" customHeight="1" x14ac:dyDescent="0.2">
      <c r="A88" s="449">
        <f t="shared" si="2"/>
        <v>0</v>
      </c>
      <c r="B88" s="505" t="str">
        <f>IF(FROTA!B91="","",FROTA!B91)</f>
        <v/>
      </c>
      <c r="C88" s="506" t="str">
        <f>IF($B88="","",VLOOKUP(B88,FROTA!$B$5:$Z$305,25,0))</f>
        <v/>
      </c>
      <c r="D88" s="506" t="str">
        <f>IF($B88="","",VLOOKUP(B88,FROTA!$B$5:$Z$305,2,0))</f>
        <v/>
      </c>
      <c r="E88" s="507" t="str">
        <f>IF($B88="","",VLOOKUP(B88,RECEITAS!B89:D389,3,0))</f>
        <v/>
      </c>
      <c r="F88" s="508" t="str">
        <f>IF($B88="","",$E88*VLOOKUP($B88,MANUTENÇÃO!$B$3:$V$304,21,0))</f>
        <v/>
      </c>
      <c r="V88" s="468">
        <v>3.1600000000000201</v>
      </c>
    </row>
    <row r="89" spans="1:22" ht="18.75" customHeight="1" x14ac:dyDescent="0.2">
      <c r="A89" s="449">
        <f t="shared" si="2"/>
        <v>0</v>
      </c>
      <c r="B89" s="475" t="str">
        <f>IF(FROTA!B92="","",FROTA!B92)</f>
        <v/>
      </c>
      <c r="C89" s="476" t="str">
        <f>IF($B89="","",VLOOKUP(B89,FROTA!$B$5:$Z$305,25,0))</f>
        <v/>
      </c>
      <c r="D89" s="476" t="str">
        <f>IF($B89="","",VLOOKUP(B89,FROTA!$B$5:$Z$305,2,0))</f>
        <v/>
      </c>
      <c r="E89" s="477" t="str">
        <f>IF($B89="","",VLOOKUP(B89,RECEITAS!B90:D390,3,0))</f>
        <v/>
      </c>
      <c r="F89" s="478" t="str">
        <f>IF($B89="","",$E89*VLOOKUP($B89,MANUTENÇÃO!$B$3:$V$304,21,0))</f>
        <v/>
      </c>
      <c r="V89" s="468">
        <v>3.1500000000000199</v>
      </c>
    </row>
    <row r="90" spans="1:22" ht="18.75" customHeight="1" x14ac:dyDescent="0.2">
      <c r="A90" s="449">
        <f t="shared" si="2"/>
        <v>0</v>
      </c>
      <c r="B90" s="505" t="str">
        <f>IF(FROTA!B93="","",FROTA!B93)</f>
        <v/>
      </c>
      <c r="C90" s="506" t="str">
        <f>IF($B90="","",VLOOKUP(B90,FROTA!$B$5:$Z$305,25,0))</f>
        <v/>
      </c>
      <c r="D90" s="506" t="str">
        <f>IF($B90="","",VLOOKUP(B90,FROTA!$B$5:$Z$305,2,0))</f>
        <v/>
      </c>
      <c r="E90" s="507" t="str">
        <f>IF($B90="","",VLOOKUP(B90,RECEITAS!B91:D391,3,0))</f>
        <v/>
      </c>
      <c r="F90" s="508" t="str">
        <f>IF($B90="","",$E90*VLOOKUP($B90,MANUTENÇÃO!$B$3:$V$304,21,0))</f>
        <v/>
      </c>
      <c r="V90" s="468">
        <v>3.1400000000000201</v>
      </c>
    </row>
    <row r="91" spans="1:22" ht="18.75" customHeight="1" x14ac:dyDescent="0.2">
      <c r="A91" s="449">
        <f t="shared" si="2"/>
        <v>0</v>
      </c>
      <c r="B91" s="475" t="str">
        <f>IF(FROTA!B94="","",FROTA!B94)</f>
        <v/>
      </c>
      <c r="C91" s="476" t="str">
        <f>IF($B91="","",VLOOKUP(B91,FROTA!$B$5:$Z$305,25,0))</f>
        <v/>
      </c>
      <c r="D91" s="476" t="str">
        <f>IF($B91="","",VLOOKUP(B91,FROTA!$B$5:$Z$305,2,0))</f>
        <v/>
      </c>
      <c r="E91" s="477" t="str">
        <f>IF($B91="","",VLOOKUP(B91,RECEITAS!B92:D392,3,0))</f>
        <v/>
      </c>
      <c r="F91" s="478" t="str">
        <f>IF($B91="","",$E91*VLOOKUP($B91,MANUTENÇÃO!$B$3:$V$304,21,0))</f>
        <v/>
      </c>
      <c r="V91" s="468">
        <v>3.1300000000000199</v>
      </c>
    </row>
    <row r="92" spans="1:22" ht="18.75" customHeight="1" x14ac:dyDescent="0.2">
      <c r="A92" s="449">
        <f t="shared" si="2"/>
        <v>0</v>
      </c>
      <c r="B92" s="505" t="str">
        <f>IF(FROTA!B95="","",FROTA!B95)</f>
        <v/>
      </c>
      <c r="C92" s="506" t="str">
        <f>IF($B92="","",VLOOKUP(B92,FROTA!$B$5:$Z$305,25,0))</f>
        <v/>
      </c>
      <c r="D92" s="506" t="str">
        <f>IF($B92="","",VLOOKUP(B92,FROTA!$B$5:$Z$305,2,0))</f>
        <v/>
      </c>
      <c r="E92" s="507" t="str">
        <f>IF($B92="","",VLOOKUP(B92,RECEITAS!B93:D393,3,0))</f>
        <v/>
      </c>
      <c r="F92" s="508" t="str">
        <f>IF($B92="","",$E92*VLOOKUP($B92,MANUTENÇÃO!$B$3:$V$304,21,0))</f>
        <v/>
      </c>
      <c r="V92" s="468">
        <v>3.1200000000000201</v>
      </c>
    </row>
    <row r="93" spans="1:22" ht="18.75" customHeight="1" x14ac:dyDescent="0.2">
      <c r="A93" s="449">
        <f t="shared" si="2"/>
        <v>0</v>
      </c>
      <c r="B93" s="475" t="str">
        <f>IF(FROTA!B96="","",FROTA!B96)</f>
        <v/>
      </c>
      <c r="C93" s="476" t="str">
        <f>IF($B93="","",VLOOKUP(B93,FROTA!$B$5:$Z$305,25,0))</f>
        <v/>
      </c>
      <c r="D93" s="476" t="str">
        <f>IF($B93="","",VLOOKUP(B93,FROTA!$B$5:$Z$305,2,0))</f>
        <v/>
      </c>
      <c r="E93" s="477" t="str">
        <f>IF($B93="","",VLOOKUP(B93,RECEITAS!B94:D394,3,0))</f>
        <v/>
      </c>
      <c r="F93" s="478" t="str">
        <f>IF($B93="","",$E93*VLOOKUP($B93,MANUTENÇÃO!$B$3:$V$304,21,0))</f>
        <v/>
      </c>
      <c r="V93" s="468">
        <v>3.1100000000000199</v>
      </c>
    </row>
    <row r="94" spans="1:22" ht="18.75" customHeight="1" x14ac:dyDescent="0.2">
      <c r="A94" s="449">
        <f t="shared" si="2"/>
        <v>0</v>
      </c>
      <c r="B94" s="505" t="str">
        <f>IF(FROTA!B97="","",FROTA!B97)</f>
        <v/>
      </c>
      <c r="C94" s="506" t="str">
        <f>IF($B94="","",VLOOKUP(B94,FROTA!$B$5:$Z$305,25,0))</f>
        <v/>
      </c>
      <c r="D94" s="506" t="str">
        <f>IF($B94="","",VLOOKUP(B94,FROTA!$B$5:$Z$305,2,0))</f>
        <v/>
      </c>
      <c r="E94" s="507" t="str">
        <f>IF($B94="","",VLOOKUP(B94,RECEITAS!B95:D395,3,0))</f>
        <v/>
      </c>
      <c r="F94" s="508" t="str">
        <f>IF($B94="","",$E94*VLOOKUP($B94,MANUTENÇÃO!$B$3:$V$304,21,0))</f>
        <v/>
      </c>
      <c r="V94" s="468">
        <v>3.1000000000000201</v>
      </c>
    </row>
    <row r="95" spans="1:22" ht="18.75" customHeight="1" x14ac:dyDescent="0.2">
      <c r="A95" s="449">
        <f t="shared" si="2"/>
        <v>0</v>
      </c>
      <c r="B95" s="475" t="str">
        <f>IF(FROTA!B98="","",FROTA!B98)</f>
        <v/>
      </c>
      <c r="C95" s="476" t="str">
        <f>IF($B95="","",VLOOKUP(B95,FROTA!$B$5:$Z$305,25,0))</f>
        <v/>
      </c>
      <c r="D95" s="476" t="str">
        <f>IF($B95="","",VLOOKUP(B95,FROTA!$B$5:$Z$305,2,0))</f>
        <v/>
      </c>
      <c r="E95" s="477" t="str">
        <f>IF($B95="","",VLOOKUP(B95,RECEITAS!B96:D396,3,0))</f>
        <v/>
      </c>
      <c r="F95" s="478" t="str">
        <f>IF($B95="","",$E95*VLOOKUP($B95,MANUTENÇÃO!$B$3:$V$304,21,0))</f>
        <v/>
      </c>
      <c r="V95" s="468">
        <v>3.0900000000000198</v>
      </c>
    </row>
    <row r="96" spans="1:22" ht="18.75" customHeight="1" x14ac:dyDescent="0.2">
      <c r="A96" s="449">
        <f t="shared" si="2"/>
        <v>0</v>
      </c>
      <c r="B96" s="505" t="str">
        <f>IF(FROTA!B99="","",FROTA!B99)</f>
        <v/>
      </c>
      <c r="C96" s="506" t="str">
        <f>IF($B96="","",VLOOKUP(B96,FROTA!$B$5:$Z$305,25,0))</f>
        <v/>
      </c>
      <c r="D96" s="506" t="str">
        <f>IF($B96="","",VLOOKUP(B96,FROTA!$B$5:$Z$305,2,0))</f>
        <v/>
      </c>
      <c r="E96" s="507" t="str">
        <f>IF($B96="","",VLOOKUP(B96,RECEITAS!B97:D397,3,0))</f>
        <v/>
      </c>
      <c r="F96" s="508" t="str">
        <f>IF($B96="","",$E96*VLOOKUP($B96,MANUTENÇÃO!$B$3:$V$304,21,0))</f>
        <v/>
      </c>
      <c r="V96" s="468">
        <v>3.0800000000000201</v>
      </c>
    </row>
    <row r="97" spans="1:22" ht="18.75" customHeight="1" x14ac:dyDescent="0.2">
      <c r="A97" s="449">
        <f t="shared" si="2"/>
        <v>0</v>
      </c>
      <c r="B97" s="475" t="str">
        <f>IF(FROTA!B100="","",FROTA!B100)</f>
        <v/>
      </c>
      <c r="C97" s="476" t="str">
        <f>IF($B97="","",VLOOKUP(B97,FROTA!$B$5:$Z$305,25,0))</f>
        <v/>
      </c>
      <c r="D97" s="476" t="str">
        <f>IF($B97="","",VLOOKUP(B97,FROTA!$B$5:$Z$305,2,0))</f>
        <v/>
      </c>
      <c r="E97" s="477" t="str">
        <f>IF($B97="","",VLOOKUP(B97,RECEITAS!B98:D398,3,0))</f>
        <v/>
      </c>
      <c r="F97" s="478" t="str">
        <f>IF($B97="","",$E97*VLOOKUP($B97,MANUTENÇÃO!$B$3:$V$304,21,0))</f>
        <v/>
      </c>
      <c r="V97" s="468">
        <v>3.0700000000000198</v>
      </c>
    </row>
    <row r="98" spans="1:22" ht="18.75" customHeight="1" x14ac:dyDescent="0.2">
      <c r="A98" s="449">
        <f t="shared" si="2"/>
        <v>0</v>
      </c>
      <c r="B98" s="505" t="str">
        <f>IF(FROTA!B101="","",FROTA!B101)</f>
        <v/>
      </c>
      <c r="C98" s="506" t="str">
        <f>IF($B98="","",VLOOKUP(B98,FROTA!$B$5:$Z$305,25,0))</f>
        <v/>
      </c>
      <c r="D98" s="506" t="str">
        <f>IF($B98="","",VLOOKUP(B98,FROTA!$B$5:$Z$305,2,0))</f>
        <v/>
      </c>
      <c r="E98" s="507" t="str">
        <f>IF($B98="","",VLOOKUP(B98,RECEITAS!B99:D399,3,0))</f>
        <v/>
      </c>
      <c r="F98" s="508" t="str">
        <f>IF($B98="","",$E98*VLOOKUP($B98,MANUTENÇÃO!$B$3:$V$304,21,0))</f>
        <v/>
      </c>
      <c r="V98" s="468">
        <v>3.06000000000002</v>
      </c>
    </row>
    <row r="99" spans="1:22" ht="18.75" customHeight="1" x14ac:dyDescent="0.2">
      <c r="A99" s="449">
        <f t="shared" si="2"/>
        <v>0</v>
      </c>
      <c r="B99" s="475" t="str">
        <f>IF(FROTA!B102="","",FROTA!B102)</f>
        <v/>
      </c>
      <c r="C99" s="476" t="str">
        <f>IF($B99="","",VLOOKUP(B99,FROTA!$B$5:$Z$305,25,0))</f>
        <v/>
      </c>
      <c r="D99" s="476" t="str">
        <f>IF($B99="","",VLOOKUP(B99,FROTA!$B$5:$Z$305,2,0))</f>
        <v/>
      </c>
      <c r="E99" s="477" t="str">
        <f>IF($B99="","",VLOOKUP(B99,RECEITAS!B100:D400,3,0))</f>
        <v/>
      </c>
      <c r="F99" s="478" t="str">
        <f>IF($B99="","",$E99*VLOOKUP($B99,MANUTENÇÃO!$B$3:$V$304,21,0))</f>
        <v/>
      </c>
      <c r="V99" s="468">
        <v>3.0500000000000198</v>
      </c>
    </row>
    <row r="100" spans="1:22" ht="18.75" customHeight="1" x14ac:dyDescent="0.2">
      <c r="A100" s="449">
        <f t="shared" si="2"/>
        <v>0</v>
      </c>
      <c r="B100" s="505" t="str">
        <f>IF(FROTA!B103="","",FROTA!B103)</f>
        <v/>
      </c>
      <c r="C100" s="506" t="str">
        <f>IF($B100="","",VLOOKUP(B100,FROTA!$B$5:$Z$305,25,0))</f>
        <v/>
      </c>
      <c r="D100" s="506" t="str">
        <f>IF($B100="","",VLOOKUP(B100,FROTA!$B$5:$Z$305,2,0))</f>
        <v/>
      </c>
      <c r="E100" s="507" t="str">
        <f>IF($B100="","",VLOOKUP(B100,RECEITAS!B101:D401,3,0))</f>
        <v/>
      </c>
      <c r="F100" s="508" t="str">
        <f>IF($B100="","",$E100*VLOOKUP($B100,MANUTENÇÃO!$B$3:$V$304,21,0))</f>
        <v/>
      </c>
      <c r="V100" s="468">
        <v>3.04000000000002</v>
      </c>
    </row>
    <row r="101" spans="1:22" ht="18.75" customHeight="1" x14ac:dyDescent="0.2">
      <c r="A101" s="449">
        <f t="shared" si="2"/>
        <v>0</v>
      </c>
      <c r="B101" s="475" t="str">
        <f>IF(FROTA!B104="","",FROTA!B104)</f>
        <v/>
      </c>
      <c r="C101" s="476" t="str">
        <f>IF($B101="","",VLOOKUP(B101,FROTA!$B$5:$Z$305,25,0))</f>
        <v/>
      </c>
      <c r="D101" s="476" t="str">
        <f>IF($B101="","",VLOOKUP(B101,FROTA!$B$5:$Z$305,2,0))</f>
        <v/>
      </c>
      <c r="E101" s="477" t="str">
        <f>IF($B101="","",VLOOKUP(B101,RECEITAS!B102:D402,3,0))</f>
        <v/>
      </c>
      <c r="F101" s="478" t="str">
        <f>IF($B101="","",$E101*VLOOKUP($B101,MANUTENÇÃO!$B$3:$V$304,21,0))</f>
        <v/>
      </c>
      <c r="V101" s="468">
        <v>3.0300000000000198</v>
      </c>
    </row>
    <row r="102" spans="1:22" ht="18.75" customHeight="1" x14ac:dyDescent="0.2">
      <c r="A102" s="449">
        <f t="shared" si="2"/>
        <v>0</v>
      </c>
      <c r="B102" s="505" t="str">
        <f>IF(FROTA!B105="","",FROTA!B105)</f>
        <v/>
      </c>
      <c r="C102" s="506" t="str">
        <f>IF($B102="","",VLOOKUP(B102,FROTA!$B$5:$Z$305,25,0))</f>
        <v/>
      </c>
      <c r="D102" s="506" t="str">
        <f>IF($B102="","",VLOOKUP(B102,FROTA!$B$5:$Z$305,2,0))</f>
        <v/>
      </c>
      <c r="E102" s="507" t="str">
        <f>IF($B102="","",VLOOKUP(B102,RECEITAS!B103:D403,3,0))</f>
        <v/>
      </c>
      <c r="F102" s="508" t="str">
        <f>IF($B102="","",$E102*VLOOKUP($B102,MANUTENÇÃO!$B$3:$V$304,21,0))</f>
        <v/>
      </c>
      <c r="V102" s="468">
        <v>3.02000000000002</v>
      </c>
    </row>
    <row r="103" spans="1:22" ht="18.75" customHeight="1" x14ac:dyDescent="0.2">
      <c r="A103" s="449">
        <f t="shared" si="2"/>
        <v>0</v>
      </c>
      <c r="B103" s="475" t="str">
        <f>IF(FROTA!B106="","",FROTA!B106)</f>
        <v/>
      </c>
      <c r="C103" s="476" t="str">
        <f>IF($B103="","",VLOOKUP(B103,FROTA!$B$5:$Z$305,25,0))</f>
        <v/>
      </c>
      <c r="D103" s="476" t="str">
        <f>IF($B103="","",VLOOKUP(B103,FROTA!$B$5:$Z$305,2,0))</f>
        <v/>
      </c>
      <c r="E103" s="477" t="str">
        <f>IF($B103="","",VLOOKUP(B103,RECEITAS!B104:D404,3,0))</f>
        <v/>
      </c>
      <c r="F103" s="478" t="str">
        <f>IF($B103="","",$E103*VLOOKUP($B103,MANUTENÇÃO!$B$3:$V$304,21,0))</f>
        <v/>
      </c>
      <c r="V103" s="468">
        <v>3.0100000000000202</v>
      </c>
    </row>
    <row r="104" spans="1:22" ht="18.75" customHeight="1" x14ac:dyDescent="0.2">
      <c r="A104" s="449">
        <f t="shared" si="2"/>
        <v>0</v>
      </c>
      <c r="B104" s="505" t="str">
        <f>IF(FROTA!B107="","",FROTA!B107)</f>
        <v/>
      </c>
      <c r="C104" s="506" t="str">
        <f>IF($B104="","",VLOOKUP(B104,FROTA!$B$5:$Z$305,25,0))</f>
        <v/>
      </c>
      <c r="D104" s="506" t="str">
        <f>IF($B104="","",VLOOKUP(B104,FROTA!$B$5:$Z$305,2,0))</f>
        <v/>
      </c>
      <c r="E104" s="507" t="str">
        <f>IF($B104="","",VLOOKUP(B104,RECEITAS!B105:D405,3,0))</f>
        <v/>
      </c>
      <c r="F104" s="508" t="str">
        <f>IF($B104="","",$E104*VLOOKUP($B104,MANUTENÇÃO!$B$3:$V$304,21,0))</f>
        <v/>
      </c>
      <c r="V104" s="468">
        <v>3.00000000000002</v>
      </c>
    </row>
    <row r="105" spans="1:22" ht="18.75" customHeight="1" x14ac:dyDescent="0.2">
      <c r="A105" s="449">
        <f t="shared" si="2"/>
        <v>0</v>
      </c>
      <c r="B105" s="475" t="str">
        <f>IF(FROTA!B108="","",FROTA!B108)</f>
        <v/>
      </c>
      <c r="C105" s="476" t="str">
        <f>IF($B105="","",VLOOKUP(B105,FROTA!$B$5:$Z$305,25,0))</f>
        <v/>
      </c>
      <c r="D105" s="476" t="str">
        <f>IF($B105="","",VLOOKUP(B105,FROTA!$B$5:$Z$305,2,0))</f>
        <v/>
      </c>
      <c r="E105" s="477" t="str">
        <f>IF($B105="","",VLOOKUP(B105,RECEITAS!B106:D406,3,0))</f>
        <v/>
      </c>
      <c r="F105" s="478" t="str">
        <f>IF($B105="","",$E105*VLOOKUP($B105,MANUTENÇÃO!$B$3:$V$304,21,0))</f>
        <v/>
      </c>
      <c r="V105" s="468">
        <v>2.9900000000000202</v>
      </c>
    </row>
    <row r="106" spans="1:22" ht="18.75" customHeight="1" x14ac:dyDescent="0.2">
      <c r="A106" s="449">
        <f t="shared" si="2"/>
        <v>0</v>
      </c>
      <c r="B106" s="505" t="str">
        <f>IF(FROTA!B109="","",FROTA!B109)</f>
        <v/>
      </c>
      <c r="C106" s="506" t="str">
        <f>IF($B106="","",VLOOKUP(B106,FROTA!$B$5:$Z$305,25,0))</f>
        <v/>
      </c>
      <c r="D106" s="506" t="str">
        <f>IF($B106="","",VLOOKUP(B106,FROTA!$B$5:$Z$305,2,0))</f>
        <v/>
      </c>
      <c r="E106" s="507" t="str">
        <f>IF($B106="","",VLOOKUP(B106,RECEITAS!B107:D407,3,0))</f>
        <v/>
      </c>
      <c r="F106" s="508" t="str">
        <f>IF($B106="","",$E106*VLOOKUP($B106,MANUTENÇÃO!$B$3:$V$304,21,0))</f>
        <v/>
      </c>
      <c r="V106" s="468">
        <v>2.98000000000002</v>
      </c>
    </row>
    <row r="107" spans="1:22" ht="18.75" customHeight="1" x14ac:dyDescent="0.2">
      <c r="A107" s="449">
        <f t="shared" si="2"/>
        <v>0</v>
      </c>
      <c r="B107" s="475" t="str">
        <f>IF(FROTA!B110="","",FROTA!B110)</f>
        <v/>
      </c>
      <c r="C107" s="476" t="str">
        <f>IF($B107="","",VLOOKUP(B107,FROTA!$B$5:$Z$305,25,0))</f>
        <v/>
      </c>
      <c r="D107" s="476" t="str">
        <f>IF($B107="","",VLOOKUP(B107,FROTA!$B$5:$Z$305,2,0))</f>
        <v/>
      </c>
      <c r="E107" s="477" t="str">
        <f>IF($B107="","",VLOOKUP(B107,RECEITAS!B108:D408,3,0))</f>
        <v/>
      </c>
      <c r="F107" s="478" t="str">
        <f>IF($B107="","",$E107*VLOOKUP($B107,MANUTENÇÃO!$B$3:$V$304,21,0))</f>
        <v/>
      </c>
      <c r="V107" s="468">
        <v>2.9700000000000202</v>
      </c>
    </row>
    <row r="108" spans="1:22" ht="18.75" customHeight="1" x14ac:dyDescent="0.2">
      <c r="A108" s="449">
        <f t="shared" si="2"/>
        <v>0</v>
      </c>
      <c r="B108" s="505" t="str">
        <f>IF(FROTA!B111="","",FROTA!B111)</f>
        <v/>
      </c>
      <c r="C108" s="506" t="str">
        <f>IF($B108="","",VLOOKUP(B108,FROTA!$B$5:$Z$305,25,0))</f>
        <v/>
      </c>
      <c r="D108" s="506" t="str">
        <f>IF($B108="","",VLOOKUP(B108,FROTA!$B$5:$Z$305,2,0))</f>
        <v/>
      </c>
      <c r="E108" s="507" t="str">
        <f>IF($B108="","",VLOOKUP(B108,RECEITAS!B109:D409,3,0))</f>
        <v/>
      </c>
      <c r="F108" s="508" t="str">
        <f>IF($B108="","",$E108*VLOOKUP($B108,MANUTENÇÃO!$B$3:$V$304,21,0))</f>
        <v/>
      </c>
      <c r="V108" s="468">
        <v>2.9600000000000199</v>
      </c>
    </row>
    <row r="109" spans="1:22" ht="18.75" customHeight="1" x14ac:dyDescent="0.2">
      <c r="A109" s="449">
        <f t="shared" si="2"/>
        <v>0</v>
      </c>
      <c r="B109" s="475" t="str">
        <f>IF(FROTA!B112="","",FROTA!B112)</f>
        <v/>
      </c>
      <c r="C109" s="476" t="str">
        <f>IF($B109="","",VLOOKUP(B109,FROTA!$B$5:$Z$305,25,0))</f>
        <v/>
      </c>
      <c r="D109" s="476" t="str">
        <f>IF($B109="","",VLOOKUP(B109,FROTA!$B$5:$Z$305,2,0))</f>
        <v/>
      </c>
      <c r="E109" s="477" t="str">
        <f>IF($B109="","",VLOOKUP(B109,RECEITAS!B110:D410,3,0))</f>
        <v/>
      </c>
      <c r="F109" s="478" t="str">
        <f>IF($B109="","",$E109*VLOOKUP($B109,MANUTENÇÃO!$B$3:$V$304,21,0))</f>
        <v/>
      </c>
      <c r="V109" s="468">
        <v>2.9500000000000202</v>
      </c>
    </row>
    <row r="110" spans="1:22" ht="18.75" customHeight="1" x14ac:dyDescent="0.2">
      <c r="A110" s="449">
        <f t="shared" si="2"/>
        <v>0</v>
      </c>
      <c r="B110" s="505" t="str">
        <f>IF(FROTA!B113="","",FROTA!B113)</f>
        <v/>
      </c>
      <c r="C110" s="506" t="str">
        <f>IF($B110="","",VLOOKUP(B110,FROTA!$B$5:$Z$305,25,0))</f>
        <v/>
      </c>
      <c r="D110" s="506" t="str">
        <f>IF($B110="","",VLOOKUP(B110,FROTA!$B$5:$Z$305,2,0))</f>
        <v/>
      </c>
      <c r="E110" s="507" t="str">
        <f>IF($B110="","",VLOOKUP(B110,RECEITAS!B111:D411,3,0))</f>
        <v/>
      </c>
      <c r="F110" s="508" t="str">
        <f>IF($B110="","",$E110*VLOOKUP($B110,MANUTENÇÃO!$B$3:$V$304,21,0))</f>
        <v/>
      </c>
      <c r="V110" s="468">
        <v>2.9400000000000199</v>
      </c>
    </row>
    <row r="111" spans="1:22" ht="18.75" customHeight="1" x14ac:dyDescent="0.2">
      <c r="A111" s="449">
        <f t="shared" si="2"/>
        <v>0</v>
      </c>
      <c r="B111" s="475" t="str">
        <f>IF(FROTA!B114="","",FROTA!B114)</f>
        <v/>
      </c>
      <c r="C111" s="476" t="str">
        <f>IF($B111="","",VLOOKUP(B111,FROTA!$B$5:$Z$305,25,0))</f>
        <v/>
      </c>
      <c r="D111" s="476" t="str">
        <f>IF($B111="","",VLOOKUP(B111,FROTA!$B$5:$Z$305,2,0))</f>
        <v/>
      </c>
      <c r="E111" s="477" t="str">
        <f>IF($B111="","",VLOOKUP(B111,RECEITAS!B112:D412,3,0))</f>
        <v/>
      </c>
      <c r="F111" s="478" t="str">
        <f>IF($B111="","",$E111*VLOOKUP($B111,MANUTENÇÃO!$B$3:$V$304,21,0))</f>
        <v/>
      </c>
      <c r="V111" s="468">
        <v>2.9300000000000201</v>
      </c>
    </row>
    <row r="112" spans="1:22" ht="18.75" customHeight="1" x14ac:dyDescent="0.2">
      <c r="A112" s="449">
        <f t="shared" si="2"/>
        <v>0</v>
      </c>
      <c r="B112" s="505" t="str">
        <f>IF(FROTA!B115="","",FROTA!B115)</f>
        <v/>
      </c>
      <c r="C112" s="506" t="str">
        <f>IF($B112="","",VLOOKUP(B112,FROTA!$B$5:$Z$305,25,0))</f>
        <v/>
      </c>
      <c r="D112" s="506" t="str">
        <f>IF($B112="","",VLOOKUP(B112,FROTA!$B$5:$Z$305,2,0))</f>
        <v/>
      </c>
      <c r="E112" s="507" t="str">
        <f>IF($B112="","",VLOOKUP(B112,RECEITAS!B113:D413,3,0))</f>
        <v/>
      </c>
      <c r="F112" s="508" t="str">
        <f>IF($B112="","",$E112*VLOOKUP($B112,MANUTENÇÃO!$B$3:$V$304,21,0))</f>
        <v/>
      </c>
      <c r="V112" s="468">
        <v>2.9200000000000199</v>
      </c>
    </row>
    <row r="113" spans="1:22" ht="18.75" customHeight="1" x14ac:dyDescent="0.2">
      <c r="A113" s="449">
        <f t="shared" si="2"/>
        <v>0</v>
      </c>
      <c r="B113" s="475" t="str">
        <f>IF(FROTA!B116="","",FROTA!B116)</f>
        <v/>
      </c>
      <c r="C113" s="476" t="str">
        <f>IF($B113="","",VLOOKUP(B113,FROTA!$B$5:$Z$305,25,0))</f>
        <v/>
      </c>
      <c r="D113" s="476" t="str">
        <f>IF($B113="","",VLOOKUP(B113,FROTA!$B$5:$Z$305,2,0))</f>
        <v/>
      </c>
      <c r="E113" s="477" t="str">
        <f>IF($B113="","",VLOOKUP(B113,RECEITAS!B114:D414,3,0))</f>
        <v/>
      </c>
      <c r="F113" s="478" t="str">
        <f>IF($B113="","",$E113*VLOOKUP($B113,MANUTENÇÃO!$B$3:$V$304,21,0))</f>
        <v/>
      </c>
      <c r="V113" s="468">
        <v>2.9100000000000201</v>
      </c>
    </row>
    <row r="114" spans="1:22" ht="18.75" customHeight="1" x14ac:dyDescent="0.2">
      <c r="A114" s="449">
        <f t="shared" si="2"/>
        <v>0</v>
      </c>
      <c r="B114" s="505" t="str">
        <f>IF(FROTA!B117="","",FROTA!B117)</f>
        <v/>
      </c>
      <c r="C114" s="506" t="str">
        <f>IF($B114="","",VLOOKUP(B114,FROTA!$B$5:$Z$305,25,0))</f>
        <v/>
      </c>
      <c r="D114" s="506" t="str">
        <f>IF($B114="","",VLOOKUP(B114,FROTA!$B$5:$Z$305,2,0))</f>
        <v/>
      </c>
      <c r="E114" s="507" t="str">
        <f>IF($B114="","",VLOOKUP(B114,RECEITAS!B115:D415,3,0))</f>
        <v/>
      </c>
      <c r="F114" s="508" t="str">
        <f>IF($B114="","",$E114*VLOOKUP($B114,MANUTENÇÃO!$B$3:$V$304,21,0))</f>
        <v/>
      </c>
      <c r="V114" s="468">
        <v>2.9000000000000199</v>
      </c>
    </row>
    <row r="115" spans="1:22" ht="18.75" customHeight="1" x14ac:dyDescent="0.2">
      <c r="A115" s="449">
        <f t="shared" si="2"/>
        <v>0</v>
      </c>
      <c r="B115" s="475" t="str">
        <f>IF(FROTA!B118="","",FROTA!B118)</f>
        <v/>
      </c>
      <c r="C115" s="476" t="str">
        <f>IF($B115="","",VLOOKUP(B115,FROTA!$B$5:$Z$305,25,0))</f>
        <v/>
      </c>
      <c r="D115" s="476" t="str">
        <f>IF($B115="","",VLOOKUP(B115,FROTA!$B$5:$Z$305,2,0))</f>
        <v/>
      </c>
      <c r="E115" s="477" t="str">
        <f>IF($B115="","",VLOOKUP(B115,RECEITAS!B116:D416,3,0))</f>
        <v/>
      </c>
      <c r="F115" s="478" t="str">
        <f>IF($B115="","",$E115*VLOOKUP($B115,MANUTENÇÃO!$B$3:$V$304,21,0))</f>
        <v/>
      </c>
    </row>
    <row r="116" spans="1:22" ht="18.75" customHeight="1" x14ac:dyDescent="0.2">
      <c r="A116" s="449">
        <f t="shared" si="2"/>
        <v>0</v>
      </c>
      <c r="B116" s="505" t="str">
        <f>IF(FROTA!B119="","",FROTA!B119)</f>
        <v/>
      </c>
      <c r="C116" s="506" t="str">
        <f>IF($B116="","",VLOOKUP(B116,FROTA!$B$5:$Z$305,25,0))</f>
        <v/>
      </c>
      <c r="D116" s="506" t="str">
        <f>IF($B116="","",VLOOKUP(B116,FROTA!$B$5:$Z$305,2,0))</f>
        <v/>
      </c>
      <c r="E116" s="507" t="str">
        <f>IF($B116="","",VLOOKUP(B116,RECEITAS!B117:D417,3,0))</f>
        <v/>
      </c>
      <c r="F116" s="508" t="str">
        <f>IF($B116="","",$E116*VLOOKUP($B116,MANUTENÇÃO!$B$3:$V$304,21,0))</f>
        <v/>
      </c>
    </row>
    <row r="117" spans="1:22" ht="18.75" customHeight="1" x14ac:dyDescent="0.2">
      <c r="A117" s="449">
        <f t="shared" si="2"/>
        <v>0</v>
      </c>
      <c r="B117" s="475" t="str">
        <f>IF(FROTA!B120="","",FROTA!B120)</f>
        <v/>
      </c>
      <c r="C117" s="476" t="str">
        <f>IF($B117="","",VLOOKUP(B117,FROTA!$B$5:$Z$305,25,0))</f>
        <v/>
      </c>
      <c r="D117" s="476" t="str">
        <f>IF($B117="","",VLOOKUP(B117,FROTA!$B$5:$Z$305,2,0))</f>
        <v/>
      </c>
      <c r="E117" s="477" t="str">
        <f>IF($B117="","",VLOOKUP(B117,RECEITAS!B118:D418,3,0))</f>
        <v/>
      </c>
      <c r="F117" s="478" t="str">
        <f>IF($B117="","",$E117*VLOOKUP($B117,MANUTENÇÃO!$B$3:$V$304,21,0))</f>
        <v/>
      </c>
    </row>
    <row r="118" spans="1:22" ht="18.75" customHeight="1" x14ac:dyDescent="0.2">
      <c r="A118" s="449">
        <f t="shared" si="2"/>
        <v>0</v>
      </c>
      <c r="B118" s="505" t="str">
        <f>IF(FROTA!B121="","",FROTA!B121)</f>
        <v/>
      </c>
      <c r="C118" s="506" t="str">
        <f>IF($B118="","",VLOOKUP(B118,FROTA!$B$5:$Z$305,25,0))</f>
        <v/>
      </c>
      <c r="D118" s="506" t="str">
        <f>IF($B118="","",VLOOKUP(B118,FROTA!$B$5:$Z$305,2,0))</f>
        <v/>
      </c>
      <c r="E118" s="507" t="str">
        <f>IF($B118="","",VLOOKUP(B118,RECEITAS!B119:D419,3,0))</f>
        <v/>
      </c>
      <c r="F118" s="508" t="str">
        <f>IF($B118="","",$E118*VLOOKUP($B118,MANUTENÇÃO!$B$3:$V$304,21,0))</f>
        <v/>
      </c>
    </row>
    <row r="119" spans="1:22" ht="18.75" customHeight="1" x14ac:dyDescent="0.2">
      <c r="A119" s="449">
        <f t="shared" si="2"/>
        <v>0</v>
      </c>
      <c r="B119" s="475" t="str">
        <f>IF(FROTA!B122="","",FROTA!B122)</f>
        <v/>
      </c>
      <c r="C119" s="476" t="str">
        <f>IF($B119="","",VLOOKUP(B119,FROTA!$B$5:$Z$305,25,0))</f>
        <v/>
      </c>
      <c r="D119" s="476" t="str">
        <f>IF($B119="","",VLOOKUP(B119,FROTA!$B$5:$Z$305,2,0))</f>
        <v/>
      </c>
      <c r="E119" s="477" t="str">
        <f>IF($B119="","",VLOOKUP(B119,RECEITAS!B120:D420,3,0))</f>
        <v/>
      </c>
      <c r="F119" s="478" t="str">
        <f>IF($B119="","",$E119*VLOOKUP($B119,MANUTENÇÃO!$B$3:$V$304,21,0))</f>
        <v/>
      </c>
    </row>
    <row r="120" spans="1:22" ht="18.75" customHeight="1" x14ac:dyDescent="0.2">
      <c r="A120" s="449">
        <f t="shared" si="2"/>
        <v>0</v>
      </c>
      <c r="B120" s="505" t="str">
        <f>IF(FROTA!B123="","",FROTA!B123)</f>
        <v/>
      </c>
      <c r="C120" s="506" t="str">
        <f>IF($B120="","",VLOOKUP(B120,FROTA!$B$5:$Z$305,25,0))</f>
        <v/>
      </c>
      <c r="D120" s="506" t="str">
        <f>IF($B120="","",VLOOKUP(B120,FROTA!$B$5:$Z$305,2,0))</f>
        <v/>
      </c>
      <c r="E120" s="507" t="str">
        <f>IF($B120="","",VLOOKUP(B120,RECEITAS!B121:D421,3,0))</f>
        <v/>
      </c>
      <c r="F120" s="508" t="str">
        <f>IF($B120="","",$E120*VLOOKUP($B120,MANUTENÇÃO!$B$3:$V$304,21,0))</f>
        <v/>
      </c>
    </row>
    <row r="121" spans="1:22" ht="18.75" customHeight="1" x14ac:dyDescent="0.2">
      <c r="A121" s="449">
        <f t="shared" si="2"/>
        <v>0</v>
      </c>
      <c r="B121" s="475" t="str">
        <f>IF(FROTA!B124="","",FROTA!B124)</f>
        <v/>
      </c>
      <c r="C121" s="476" t="str">
        <f>IF($B121="","",VLOOKUP(B121,FROTA!$B$5:$Z$305,25,0))</f>
        <v/>
      </c>
      <c r="D121" s="476" t="str">
        <f>IF($B121="","",VLOOKUP(B121,FROTA!$B$5:$Z$305,2,0))</f>
        <v/>
      </c>
      <c r="E121" s="477" t="str">
        <f>IF($B121="","",VLOOKUP(B121,RECEITAS!B122:D422,3,0))</f>
        <v/>
      </c>
      <c r="F121" s="478" t="str">
        <f>IF($B121="","",$E121*VLOOKUP($B121,MANUTENÇÃO!$B$3:$V$304,21,0))</f>
        <v/>
      </c>
    </row>
    <row r="122" spans="1:22" ht="18.75" customHeight="1" x14ac:dyDescent="0.2">
      <c r="A122" s="449">
        <f t="shared" si="2"/>
        <v>0</v>
      </c>
      <c r="B122" s="505" t="str">
        <f>IF(FROTA!B125="","",FROTA!B125)</f>
        <v/>
      </c>
      <c r="C122" s="506" t="str">
        <f>IF($B122="","",VLOOKUP(B122,FROTA!$B$5:$Z$305,25,0))</f>
        <v/>
      </c>
      <c r="D122" s="506" t="str">
        <f>IF($B122="","",VLOOKUP(B122,FROTA!$B$5:$Z$305,2,0))</f>
        <v/>
      </c>
      <c r="E122" s="507" t="str">
        <f>IF($B122="","",VLOOKUP(B122,RECEITAS!B123:D423,3,0))</f>
        <v/>
      </c>
      <c r="F122" s="508" t="str">
        <f>IF($B122="","",$E122*VLOOKUP($B122,MANUTENÇÃO!$B$3:$V$304,21,0))</f>
        <v/>
      </c>
    </row>
    <row r="123" spans="1:22" ht="18.75" customHeight="1" x14ac:dyDescent="0.2">
      <c r="A123" s="449">
        <f t="shared" si="2"/>
        <v>0</v>
      </c>
      <c r="B123" s="475" t="str">
        <f>IF(FROTA!B126="","",FROTA!B126)</f>
        <v/>
      </c>
      <c r="C123" s="476" t="str">
        <f>IF($B123="","",VLOOKUP(B123,FROTA!$B$5:$Z$305,25,0))</f>
        <v/>
      </c>
      <c r="D123" s="476" t="str">
        <f>IF($B123="","",VLOOKUP(B123,FROTA!$B$5:$Z$305,2,0))</f>
        <v/>
      </c>
      <c r="E123" s="477" t="str">
        <f>IF($B123="","",VLOOKUP(B123,RECEITAS!B124:D424,3,0))</f>
        <v/>
      </c>
      <c r="F123" s="478" t="str">
        <f>IF($B123="","",$E123*VLOOKUP($B123,MANUTENÇÃO!$B$3:$V$304,21,0))</f>
        <v/>
      </c>
    </row>
    <row r="124" spans="1:22" ht="18.75" customHeight="1" x14ac:dyDescent="0.2">
      <c r="A124" s="449">
        <f t="shared" si="2"/>
        <v>0</v>
      </c>
      <c r="B124" s="505" t="str">
        <f>IF(FROTA!B127="","",FROTA!B127)</f>
        <v/>
      </c>
      <c r="C124" s="506" t="str">
        <f>IF($B124="","",VLOOKUP(B124,FROTA!$B$5:$Z$305,25,0))</f>
        <v/>
      </c>
      <c r="D124" s="506" t="str">
        <f>IF($B124="","",VLOOKUP(B124,FROTA!$B$5:$Z$305,2,0))</f>
        <v/>
      </c>
      <c r="E124" s="507" t="str">
        <f>IF($B124="","",VLOOKUP(B124,RECEITAS!B125:D425,3,0))</f>
        <v/>
      </c>
      <c r="F124" s="508" t="str">
        <f>IF($B124="","",$E124*VLOOKUP($B124,MANUTENÇÃO!$B$3:$V$304,21,0))</f>
        <v/>
      </c>
    </row>
    <row r="125" spans="1:22" ht="18.75" customHeight="1" x14ac:dyDescent="0.2">
      <c r="A125" s="449">
        <f t="shared" si="2"/>
        <v>0</v>
      </c>
      <c r="B125" s="475" t="str">
        <f>IF(FROTA!B128="","",FROTA!B128)</f>
        <v/>
      </c>
      <c r="C125" s="476" t="str">
        <f>IF($B125="","",VLOOKUP(B125,FROTA!$B$5:$Z$305,25,0))</f>
        <v/>
      </c>
      <c r="D125" s="476" t="str">
        <f>IF($B125="","",VLOOKUP(B125,FROTA!$B$5:$Z$305,2,0))</f>
        <v/>
      </c>
      <c r="E125" s="477" t="str">
        <f>IF($B125="","",VLOOKUP(B125,RECEITAS!B126:D426,3,0))</f>
        <v/>
      </c>
      <c r="F125" s="478" t="str">
        <f>IF($B125="","",$E125*VLOOKUP($B125,MANUTENÇÃO!$B$3:$V$304,21,0))</f>
        <v/>
      </c>
    </row>
    <row r="126" spans="1:22" ht="18" x14ac:dyDescent="0.2">
      <c r="A126" s="449">
        <f t="shared" si="2"/>
        <v>0</v>
      </c>
      <c r="B126" s="505" t="str">
        <f>IF(FROTA!B129="","",FROTA!B129)</f>
        <v/>
      </c>
      <c r="C126" s="506" t="str">
        <f>IF($B126="","",VLOOKUP(B126,FROTA!$B$5:$Z$305,25,0))</f>
        <v/>
      </c>
      <c r="D126" s="506" t="str">
        <f>IF($B126="","",VLOOKUP(B126,FROTA!$B$5:$Z$305,2,0))</f>
        <v/>
      </c>
      <c r="E126" s="507" t="str">
        <f>IF($B126="","",VLOOKUP(B126,RECEITAS!B127:D427,3,0))</f>
        <v/>
      </c>
      <c r="F126" s="508" t="str">
        <f>IF($B126="","",$E126*VLOOKUP($B126,MANUTENÇÃO!$B$3:$V$304,21,0))</f>
        <v/>
      </c>
    </row>
    <row r="127" spans="1:22" ht="18" x14ac:dyDescent="0.2">
      <c r="A127" s="449">
        <f t="shared" si="2"/>
        <v>0</v>
      </c>
      <c r="B127" s="475" t="str">
        <f>IF(FROTA!B130="","",FROTA!B130)</f>
        <v/>
      </c>
      <c r="C127" s="476" t="str">
        <f>IF($B127="","",VLOOKUP(B127,FROTA!$B$5:$Z$305,25,0))</f>
        <v/>
      </c>
      <c r="D127" s="476" t="str">
        <f>IF($B127="","",VLOOKUP(B127,FROTA!$B$5:$Z$305,2,0))</f>
        <v/>
      </c>
      <c r="E127" s="477" t="str">
        <f>IF($B127="","",VLOOKUP(B127,RECEITAS!B128:D428,3,0))</f>
        <v/>
      </c>
      <c r="F127" s="478" t="str">
        <f>IF($B127="","",$E127*VLOOKUP($B127,MANUTENÇÃO!$B$3:$V$304,21,0))</f>
        <v/>
      </c>
    </row>
    <row r="128" spans="1:22" ht="18" x14ac:dyDescent="0.2">
      <c r="A128" s="449">
        <f t="shared" si="2"/>
        <v>0</v>
      </c>
      <c r="B128" s="505" t="str">
        <f>IF(FROTA!B131="","",FROTA!B131)</f>
        <v/>
      </c>
      <c r="C128" s="506" t="str">
        <f>IF($B128="","",VLOOKUP(B128,FROTA!$B$5:$Z$305,25,0))</f>
        <v/>
      </c>
      <c r="D128" s="506" t="str">
        <f>IF($B128="","",VLOOKUP(B128,FROTA!$B$5:$Z$305,2,0))</f>
        <v/>
      </c>
      <c r="E128" s="507" t="str">
        <f>IF($B128="","",VLOOKUP(B128,RECEITAS!B129:D429,3,0))</f>
        <v/>
      </c>
      <c r="F128" s="508" t="str">
        <f>IF($B128="","",$E128*VLOOKUP($B128,MANUTENÇÃO!$B$3:$V$304,21,0))</f>
        <v/>
      </c>
    </row>
    <row r="129" spans="1:6" ht="18" x14ac:dyDescent="0.2">
      <c r="A129" s="449">
        <f t="shared" si="2"/>
        <v>0</v>
      </c>
      <c r="B129" s="475" t="str">
        <f>IF(FROTA!B132="","",FROTA!B132)</f>
        <v/>
      </c>
      <c r="C129" s="476" t="str">
        <f>IF($B129="","",VLOOKUP(B129,FROTA!$B$5:$Z$305,25,0))</f>
        <v/>
      </c>
      <c r="D129" s="476" t="str">
        <f>IF($B129="","",VLOOKUP(B129,FROTA!$B$5:$Z$305,2,0))</f>
        <v/>
      </c>
      <c r="E129" s="477" t="str">
        <f>IF($B129="","",VLOOKUP(B129,RECEITAS!B130:D430,3,0))</f>
        <v/>
      </c>
      <c r="F129" s="478" t="str">
        <f>IF($B129="","",$E129*VLOOKUP($B129,MANUTENÇÃO!$B$3:$V$304,21,0))</f>
        <v/>
      </c>
    </row>
    <row r="130" spans="1:6" ht="18" x14ac:dyDescent="0.2">
      <c r="A130" s="449">
        <f t="shared" si="2"/>
        <v>0</v>
      </c>
      <c r="B130" s="505" t="str">
        <f>IF(FROTA!B133="","",FROTA!B133)</f>
        <v/>
      </c>
      <c r="C130" s="506" t="str">
        <f>IF($B130="","",VLOOKUP(B130,FROTA!$B$5:$Z$305,25,0))</f>
        <v/>
      </c>
      <c r="D130" s="506" t="str">
        <f>IF($B130="","",VLOOKUP(B130,FROTA!$B$5:$Z$305,2,0))</f>
        <v/>
      </c>
      <c r="E130" s="507" t="str">
        <f>IF($B130="","",VLOOKUP(B130,RECEITAS!B131:D431,3,0))</f>
        <v/>
      </c>
      <c r="F130" s="508" t="str">
        <f>IF($B130="","",$E130*VLOOKUP($B130,MANUTENÇÃO!$B$3:$V$304,21,0))</f>
        <v/>
      </c>
    </row>
    <row r="131" spans="1:6" ht="18" x14ac:dyDescent="0.2">
      <c r="A131" s="449">
        <f t="shared" si="2"/>
        <v>0</v>
      </c>
      <c r="B131" s="475" t="str">
        <f>IF(FROTA!B134="","",FROTA!B134)</f>
        <v/>
      </c>
      <c r="C131" s="476" t="str">
        <f>IF($B131="","",VLOOKUP(B131,FROTA!$B$5:$Z$305,25,0))</f>
        <v/>
      </c>
      <c r="D131" s="476" t="str">
        <f>IF($B131="","",VLOOKUP(B131,FROTA!$B$5:$Z$305,2,0))</f>
        <v/>
      </c>
      <c r="E131" s="477" t="str">
        <f>IF($B131="","",VLOOKUP(B131,RECEITAS!B132:D432,3,0))</f>
        <v/>
      </c>
      <c r="F131" s="478" t="str">
        <f>IF($B131="","",$E131*VLOOKUP($B131,MANUTENÇÃO!$B$3:$V$304,21,0))</f>
        <v/>
      </c>
    </row>
    <row r="132" spans="1:6" ht="18" x14ac:dyDescent="0.2">
      <c r="A132" s="449">
        <f t="shared" ref="A132:A195" si="3">IF(B132="",0,1)</f>
        <v>0</v>
      </c>
      <c r="B132" s="505" t="str">
        <f>IF(FROTA!B135="","",FROTA!B135)</f>
        <v/>
      </c>
      <c r="C132" s="506" t="str">
        <f>IF($B132="","",VLOOKUP(B132,FROTA!$B$5:$Z$305,25,0))</f>
        <v/>
      </c>
      <c r="D132" s="506" t="str">
        <f>IF($B132="","",VLOOKUP(B132,FROTA!$B$5:$Z$305,2,0))</f>
        <v/>
      </c>
      <c r="E132" s="507" t="str">
        <f>IF($B132="","",VLOOKUP(B132,RECEITAS!B133:D433,3,0))</f>
        <v/>
      </c>
      <c r="F132" s="508" t="str">
        <f>IF($B132="","",$E132*VLOOKUP($B132,MANUTENÇÃO!$B$3:$V$304,21,0))</f>
        <v/>
      </c>
    </row>
    <row r="133" spans="1:6" ht="18" x14ac:dyDescent="0.2">
      <c r="A133" s="449">
        <f t="shared" si="3"/>
        <v>0</v>
      </c>
      <c r="B133" s="475" t="str">
        <f>IF(FROTA!B136="","",FROTA!B136)</f>
        <v/>
      </c>
      <c r="C133" s="476" t="str">
        <f>IF($B133="","",VLOOKUP(B133,FROTA!$B$5:$Z$305,25,0))</f>
        <v/>
      </c>
      <c r="D133" s="476" t="str">
        <f>IF($B133="","",VLOOKUP(B133,FROTA!$B$5:$Z$305,2,0))</f>
        <v/>
      </c>
      <c r="E133" s="477" t="str">
        <f>IF($B133="","",VLOOKUP(B133,RECEITAS!B134:D434,3,0))</f>
        <v/>
      </c>
      <c r="F133" s="478" t="str">
        <f>IF($B133="","",$E133*VLOOKUP($B133,MANUTENÇÃO!$B$3:$V$304,21,0))</f>
        <v/>
      </c>
    </row>
    <row r="134" spans="1:6" ht="18" x14ac:dyDescent="0.2">
      <c r="A134" s="449">
        <f t="shared" si="3"/>
        <v>0</v>
      </c>
      <c r="B134" s="505" t="str">
        <f>IF(FROTA!B137="","",FROTA!B137)</f>
        <v/>
      </c>
      <c r="C134" s="506" t="str">
        <f>IF($B134="","",VLOOKUP(B134,FROTA!$B$5:$Z$305,25,0))</f>
        <v/>
      </c>
      <c r="D134" s="506" t="str">
        <f>IF($B134="","",VLOOKUP(B134,FROTA!$B$5:$Z$305,2,0))</f>
        <v/>
      </c>
      <c r="E134" s="507" t="str">
        <f>IF($B134="","",VLOOKUP(B134,RECEITAS!B135:D435,3,0))</f>
        <v/>
      </c>
      <c r="F134" s="508" t="str">
        <f>IF($B134="","",$E134*VLOOKUP($B134,MANUTENÇÃO!$B$3:$V$304,21,0))</f>
        <v/>
      </c>
    </row>
    <row r="135" spans="1:6" ht="18" x14ac:dyDescent="0.2">
      <c r="A135" s="449">
        <f t="shared" si="3"/>
        <v>0</v>
      </c>
      <c r="B135" s="475" t="str">
        <f>IF(FROTA!B138="","",FROTA!B138)</f>
        <v/>
      </c>
      <c r="C135" s="476" t="str">
        <f>IF($B135="","",VLOOKUP(B135,FROTA!$B$5:$Z$305,25,0))</f>
        <v/>
      </c>
      <c r="D135" s="476" t="str">
        <f>IF($B135="","",VLOOKUP(B135,FROTA!$B$5:$Z$305,2,0))</f>
        <v/>
      </c>
      <c r="E135" s="477" t="str">
        <f>IF($B135="","",VLOOKUP(B135,RECEITAS!B136:D436,3,0))</f>
        <v/>
      </c>
      <c r="F135" s="478" t="str">
        <f>IF($B135="","",$E135*VLOOKUP($B135,MANUTENÇÃO!$B$3:$V$304,21,0))</f>
        <v/>
      </c>
    </row>
    <row r="136" spans="1:6" ht="18" x14ac:dyDescent="0.2">
      <c r="A136" s="449">
        <f t="shared" si="3"/>
        <v>0</v>
      </c>
      <c r="B136" s="505" t="str">
        <f>IF(FROTA!B139="","",FROTA!B139)</f>
        <v/>
      </c>
      <c r="C136" s="506" t="str">
        <f>IF($B136="","",VLOOKUP(B136,FROTA!$B$5:$Z$305,25,0))</f>
        <v/>
      </c>
      <c r="D136" s="506" t="str">
        <f>IF($B136="","",VLOOKUP(B136,FROTA!$B$5:$Z$305,2,0))</f>
        <v/>
      </c>
      <c r="E136" s="507" t="str">
        <f>IF($B136="","",VLOOKUP(B136,RECEITAS!B137:D437,3,0))</f>
        <v/>
      </c>
      <c r="F136" s="508" t="str">
        <f>IF($B136="","",$E136*VLOOKUP($B136,MANUTENÇÃO!$B$3:$V$304,21,0))</f>
        <v/>
      </c>
    </row>
    <row r="137" spans="1:6" ht="18" x14ac:dyDescent="0.2">
      <c r="A137" s="449">
        <f t="shared" si="3"/>
        <v>0</v>
      </c>
      <c r="B137" s="475" t="str">
        <f>IF(FROTA!B140="","",FROTA!B140)</f>
        <v/>
      </c>
      <c r="C137" s="476" t="str">
        <f>IF($B137="","",VLOOKUP(B137,FROTA!$B$5:$Z$305,25,0))</f>
        <v/>
      </c>
      <c r="D137" s="476" t="str">
        <f>IF($B137="","",VLOOKUP(B137,FROTA!$B$5:$Z$305,2,0))</f>
        <v/>
      </c>
      <c r="E137" s="477" t="str">
        <f>IF($B137="","",VLOOKUP(B137,RECEITAS!B138:D438,3,0))</f>
        <v/>
      </c>
      <c r="F137" s="478" t="str">
        <f>IF($B137="","",$E137*VLOOKUP($B137,MANUTENÇÃO!$B$3:$V$304,21,0))</f>
        <v/>
      </c>
    </row>
    <row r="138" spans="1:6" ht="18" x14ac:dyDescent="0.2">
      <c r="A138" s="449">
        <f t="shared" si="3"/>
        <v>0</v>
      </c>
      <c r="B138" s="505" t="str">
        <f>IF(FROTA!B141="","",FROTA!B141)</f>
        <v/>
      </c>
      <c r="C138" s="506" t="str">
        <f>IF($B138="","",VLOOKUP(B138,FROTA!$B$5:$Z$305,25,0))</f>
        <v/>
      </c>
      <c r="D138" s="506" t="str">
        <f>IF($B138="","",VLOOKUP(B138,FROTA!$B$5:$Z$305,2,0))</f>
        <v/>
      </c>
      <c r="E138" s="507" t="str">
        <f>IF($B138="","",VLOOKUP(B138,RECEITAS!B139:D439,3,0))</f>
        <v/>
      </c>
      <c r="F138" s="508" t="str">
        <f>IF($B138="","",$E138*VLOOKUP($B138,MANUTENÇÃO!$B$3:$V$304,21,0))</f>
        <v/>
      </c>
    </row>
    <row r="139" spans="1:6" ht="18" x14ac:dyDescent="0.2">
      <c r="A139" s="449">
        <f t="shared" si="3"/>
        <v>0</v>
      </c>
      <c r="B139" s="475" t="str">
        <f>IF(FROTA!B142="","",FROTA!B142)</f>
        <v/>
      </c>
      <c r="C139" s="476" t="str">
        <f>IF($B139="","",VLOOKUP(B139,FROTA!$B$5:$Z$305,25,0))</f>
        <v/>
      </c>
      <c r="D139" s="476" t="str">
        <f>IF($B139="","",VLOOKUP(B139,FROTA!$B$5:$Z$305,2,0))</f>
        <v/>
      </c>
      <c r="E139" s="477" t="str">
        <f>IF($B139="","",VLOOKUP(B139,RECEITAS!B140:D440,3,0))</f>
        <v/>
      </c>
      <c r="F139" s="478" t="str">
        <f>IF($B139="","",$E139*VLOOKUP($B139,MANUTENÇÃO!$B$3:$V$304,21,0))</f>
        <v/>
      </c>
    </row>
    <row r="140" spans="1:6" ht="18" x14ac:dyDescent="0.2">
      <c r="A140" s="449">
        <f t="shared" si="3"/>
        <v>0</v>
      </c>
      <c r="B140" s="505" t="str">
        <f>IF(FROTA!B143="","",FROTA!B143)</f>
        <v/>
      </c>
      <c r="C140" s="506" t="str">
        <f>IF($B140="","",VLOOKUP(B140,FROTA!$B$5:$Z$305,25,0))</f>
        <v/>
      </c>
      <c r="D140" s="506" t="str">
        <f>IF($B140="","",VLOOKUP(B140,FROTA!$B$5:$Z$305,2,0))</f>
        <v/>
      </c>
      <c r="E140" s="507" t="str">
        <f>IF($B140="","",VLOOKUP(B140,RECEITAS!B141:D441,3,0))</f>
        <v/>
      </c>
      <c r="F140" s="508" t="str">
        <f>IF($B140="","",$E140*VLOOKUP($B140,MANUTENÇÃO!$B$3:$V$304,21,0))</f>
        <v/>
      </c>
    </row>
    <row r="141" spans="1:6" ht="18" x14ac:dyDescent="0.2">
      <c r="A141" s="449">
        <f t="shared" si="3"/>
        <v>0</v>
      </c>
      <c r="B141" s="475" t="str">
        <f>IF(FROTA!B144="","",FROTA!B144)</f>
        <v/>
      </c>
      <c r="C141" s="476" t="str">
        <f>IF($B141="","",VLOOKUP(B141,FROTA!$B$5:$Z$305,25,0))</f>
        <v/>
      </c>
      <c r="D141" s="476" t="str">
        <f>IF($B141="","",VLOOKUP(B141,FROTA!$B$5:$Z$305,2,0))</f>
        <v/>
      </c>
      <c r="E141" s="477" t="str">
        <f>IF($B141="","",VLOOKUP(B141,RECEITAS!B142:D442,3,0))</f>
        <v/>
      </c>
      <c r="F141" s="478" t="str">
        <f>IF($B141="","",$E141*VLOOKUP($B141,MANUTENÇÃO!$B$3:$V$304,21,0))</f>
        <v/>
      </c>
    </row>
    <row r="142" spans="1:6" ht="18" x14ac:dyDescent="0.2">
      <c r="A142" s="449">
        <f t="shared" si="3"/>
        <v>0</v>
      </c>
      <c r="B142" s="505" t="str">
        <f>IF(FROTA!B145="","",FROTA!B145)</f>
        <v/>
      </c>
      <c r="C142" s="506" t="str">
        <f>IF($B142="","",VLOOKUP(B142,FROTA!$B$5:$Z$305,25,0))</f>
        <v/>
      </c>
      <c r="D142" s="506" t="str">
        <f>IF($B142="","",VLOOKUP(B142,FROTA!$B$5:$Z$305,2,0))</f>
        <v/>
      </c>
      <c r="E142" s="507" t="str">
        <f>IF($B142="","",VLOOKUP(B142,RECEITAS!B143:D443,3,0))</f>
        <v/>
      </c>
      <c r="F142" s="508" t="str">
        <f>IF($B142="","",$E142*VLOOKUP($B142,MANUTENÇÃO!$B$3:$V$304,21,0))</f>
        <v/>
      </c>
    </row>
    <row r="143" spans="1:6" ht="18" x14ac:dyDescent="0.2">
      <c r="A143" s="449">
        <f t="shared" si="3"/>
        <v>0</v>
      </c>
      <c r="B143" s="475" t="str">
        <f>IF(FROTA!B146="","",FROTA!B146)</f>
        <v/>
      </c>
      <c r="C143" s="476" t="str">
        <f>IF($B143="","",VLOOKUP(B143,FROTA!$B$5:$Z$305,25,0))</f>
        <v/>
      </c>
      <c r="D143" s="476" t="str">
        <f>IF($B143="","",VLOOKUP(B143,FROTA!$B$5:$Z$305,2,0))</f>
        <v/>
      </c>
      <c r="E143" s="477" t="str">
        <f>IF($B143="","",VLOOKUP(B143,RECEITAS!B144:D444,3,0))</f>
        <v/>
      </c>
      <c r="F143" s="478" t="str">
        <f>IF($B143="","",$E143*VLOOKUP($B143,MANUTENÇÃO!$B$3:$V$304,21,0))</f>
        <v/>
      </c>
    </row>
    <row r="144" spans="1:6" ht="18" x14ac:dyDescent="0.2">
      <c r="A144" s="449">
        <f t="shared" si="3"/>
        <v>0</v>
      </c>
      <c r="B144" s="505" t="str">
        <f>IF(FROTA!B147="","",FROTA!B147)</f>
        <v/>
      </c>
      <c r="C144" s="506" t="str">
        <f>IF($B144="","",VLOOKUP(B144,FROTA!$B$5:$Z$305,25,0))</f>
        <v/>
      </c>
      <c r="D144" s="506" t="str">
        <f>IF($B144="","",VLOOKUP(B144,FROTA!$B$5:$Z$305,2,0))</f>
        <v/>
      </c>
      <c r="E144" s="507" t="str">
        <f>IF($B144="","",VLOOKUP(B144,RECEITAS!B145:D445,3,0))</f>
        <v/>
      </c>
      <c r="F144" s="508" t="str">
        <f>IF($B144="","",$E144*VLOOKUP($B144,MANUTENÇÃO!$B$3:$V$304,21,0))</f>
        <v/>
      </c>
    </row>
    <row r="145" spans="1:6" ht="18" x14ac:dyDescent="0.2">
      <c r="A145" s="449">
        <f t="shared" si="3"/>
        <v>0</v>
      </c>
      <c r="B145" s="475" t="str">
        <f>IF(FROTA!B148="","",FROTA!B148)</f>
        <v/>
      </c>
      <c r="C145" s="476" t="str">
        <f>IF($B145="","",VLOOKUP(B145,FROTA!$B$5:$Z$305,25,0))</f>
        <v/>
      </c>
      <c r="D145" s="476" t="str">
        <f>IF($B145="","",VLOOKUP(B145,FROTA!$B$5:$Z$305,2,0))</f>
        <v/>
      </c>
      <c r="E145" s="477" t="str">
        <f>IF($B145="","",VLOOKUP(B145,RECEITAS!B146:D446,3,0))</f>
        <v/>
      </c>
      <c r="F145" s="478" t="str">
        <f>IF($B145="","",$E145*VLOOKUP($B145,MANUTENÇÃO!$B$3:$V$304,21,0))</f>
        <v/>
      </c>
    </row>
    <row r="146" spans="1:6" ht="18" x14ac:dyDescent="0.2">
      <c r="A146" s="449">
        <f t="shared" si="3"/>
        <v>0</v>
      </c>
      <c r="B146" s="505" t="str">
        <f>IF(FROTA!B149="","",FROTA!B149)</f>
        <v/>
      </c>
      <c r="C146" s="506" t="str">
        <f>IF($B146="","",VLOOKUP(B146,FROTA!$B$5:$Z$305,25,0))</f>
        <v/>
      </c>
      <c r="D146" s="506" t="str">
        <f>IF($B146="","",VLOOKUP(B146,FROTA!$B$5:$Z$305,2,0))</f>
        <v/>
      </c>
      <c r="E146" s="507" t="str">
        <f>IF($B146="","",VLOOKUP(B146,RECEITAS!B147:D447,3,0))</f>
        <v/>
      </c>
      <c r="F146" s="508" t="str">
        <f>IF($B146="","",$E146*VLOOKUP($B146,MANUTENÇÃO!$B$3:$V$304,21,0))</f>
        <v/>
      </c>
    </row>
    <row r="147" spans="1:6" ht="18" x14ac:dyDescent="0.2">
      <c r="A147" s="449">
        <f t="shared" si="3"/>
        <v>0</v>
      </c>
      <c r="B147" s="475" t="str">
        <f>IF(FROTA!B150="","",FROTA!B150)</f>
        <v/>
      </c>
      <c r="C147" s="476" t="str">
        <f>IF($B147="","",VLOOKUP(B147,FROTA!$B$5:$Z$305,25,0))</f>
        <v/>
      </c>
      <c r="D147" s="476" t="str">
        <f>IF($B147="","",VLOOKUP(B147,FROTA!$B$5:$Z$305,2,0))</f>
        <v/>
      </c>
      <c r="E147" s="477" t="str">
        <f>IF($B147="","",VLOOKUP(B147,RECEITAS!B148:D448,3,0))</f>
        <v/>
      </c>
      <c r="F147" s="478" t="str">
        <f>IF($B147="","",$E147*VLOOKUP($B147,MANUTENÇÃO!$B$3:$V$304,21,0))</f>
        <v/>
      </c>
    </row>
    <row r="148" spans="1:6" ht="18" x14ac:dyDescent="0.2">
      <c r="A148" s="449">
        <f t="shared" si="3"/>
        <v>0</v>
      </c>
      <c r="B148" s="505" t="str">
        <f>IF(FROTA!B151="","",FROTA!B151)</f>
        <v/>
      </c>
      <c r="C148" s="506" t="str">
        <f>IF($B148="","",VLOOKUP(B148,FROTA!$B$5:$Z$305,25,0))</f>
        <v/>
      </c>
      <c r="D148" s="506" t="str">
        <f>IF($B148="","",VLOOKUP(B148,FROTA!$B$5:$Z$305,2,0))</f>
        <v/>
      </c>
      <c r="E148" s="507" t="str">
        <f>IF($B148="","",VLOOKUP(B148,RECEITAS!B149:D449,3,0))</f>
        <v/>
      </c>
      <c r="F148" s="508" t="str">
        <f>IF($B148="","",$E148*VLOOKUP($B148,MANUTENÇÃO!$B$3:$V$304,21,0))</f>
        <v/>
      </c>
    </row>
    <row r="149" spans="1:6" ht="18" x14ac:dyDescent="0.2">
      <c r="A149" s="449">
        <f t="shared" si="3"/>
        <v>0</v>
      </c>
      <c r="B149" s="475" t="str">
        <f>IF(FROTA!B152="","",FROTA!B152)</f>
        <v/>
      </c>
      <c r="C149" s="476" t="str">
        <f>IF($B149="","",VLOOKUP(B149,FROTA!$B$5:$Z$305,25,0))</f>
        <v/>
      </c>
      <c r="D149" s="476" t="str">
        <f>IF($B149="","",VLOOKUP(B149,FROTA!$B$5:$Z$305,2,0))</f>
        <v/>
      </c>
      <c r="E149" s="477" t="str">
        <f>IF($B149="","",VLOOKUP(B149,RECEITAS!B150:D450,3,0))</f>
        <v/>
      </c>
      <c r="F149" s="478" t="str">
        <f>IF($B149="","",$E149*VLOOKUP($B149,MANUTENÇÃO!$B$3:$V$304,21,0))</f>
        <v/>
      </c>
    </row>
    <row r="150" spans="1:6" ht="18" x14ac:dyDescent="0.2">
      <c r="A150" s="449">
        <f t="shared" si="3"/>
        <v>0</v>
      </c>
      <c r="B150" s="505" t="str">
        <f>IF(FROTA!B153="","",FROTA!B153)</f>
        <v/>
      </c>
      <c r="C150" s="506" t="str">
        <f>IF($B150="","",VLOOKUP(B150,FROTA!$B$5:$Z$305,25,0))</f>
        <v/>
      </c>
      <c r="D150" s="506" t="str">
        <f>IF($B150="","",VLOOKUP(B150,FROTA!$B$5:$Z$305,2,0))</f>
        <v/>
      </c>
      <c r="E150" s="507" t="str">
        <f>IF($B150="","",VLOOKUP(B150,RECEITAS!B151:D451,3,0))</f>
        <v/>
      </c>
      <c r="F150" s="508" t="str">
        <f>IF($B150="","",$E150*VLOOKUP($B150,MANUTENÇÃO!$B$3:$V$304,21,0))</f>
        <v/>
      </c>
    </row>
    <row r="151" spans="1:6" ht="18" x14ac:dyDescent="0.2">
      <c r="A151" s="449">
        <f t="shared" si="3"/>
        <v>0</v>
      </c>
      <c r="B151" s="475" t="str">
        <f>IF(FROTA!B154="","",FROTA!B154)</f>
        <v/>
      </c>
      <c r="C151" s="476" t="str">
        <f>IF($B151="","",VLOOKUP(B151,FROTA!$B$5:$Z$305,25,0))</f>
        <v/>
      </c>
      <c r="D151" s="476" t="str">
        <f>IF($B151="","",VLOOKUP(B151,FROTA!$B$5:$Z$305,2,0))</f>
        <v/>
      </c>
      <c r="E151" s="477" t="str">
        <f>IF($B151="","",VLOOKUP(B151,RECEITAS!B152:D452,3,0))</f>
        <v/>
      </c>
      <c r="F151" s="478" t="str">
        <f>IF($B151="","",$E151*VLOOKUP($B151,MANUTENÇÃO!$B$3:$V$304,21,0))</f>
        <v/>
      </c>
    </row>
    <row r="152" spans="1:6" ht="18" x14ac:dyDescent="0.2">
      <c r="A152" s="449">
        <f t="shared" si="3"/>
        <v>0</v>
      </c>
      <c r="B152" s="505" t="str">
        <f>IF(FROTA!B155="","",FROTA!B155)</f>
        <v/>
      </c>
      <c r="C152" s="506" t="str">
        <f>IF($B152="","",VLOOKUP(B152,FROTA!$B$5:$Z$305,25,0))</f>
        <v/>
      </c>
      <c r="D152" s="506" t="str">
        <f>IF($B152="","",VLOOKUP(B152,FROTA!$B$5:$Z$305,2,0))</f>
        <v/>
      </c>
      <c r="E152" s="507" t="str">
        <f>IF($B152="","",VLOOKUP(B152,RECEITAS!B153:D453,3,0))</f>
        <v/>
      </c>
      <c r="F152" s="508" t="str">
        <f>IF($B152="","",$E152*VLOOKUP($B152,MANUTENÇÃO!$B$3:$V$304,21,0))</f>
        <v/>
      </c>
    </row>
    <row r="153" spans="1:6" ht="18" x14ac:dyDescent="0.2">
      <c r="A153" s="449">
        <f t="shared" si="3"/>
        <v>0</v>
      </c>
      <c r="B153" s="475" t="str">
        <f>IF(FROTA!B156="","",FROTA!B156)</f>
        <v/>
      </c>
      <c r="C153" s="476" t="str">
        <f>IF($B153="","",VLOOKUP(B153,FROTA!$B$5:$Z$305,25,0))</f>
        <v/>
      </c>
      <c r="D153" s="476" t="str">
        <f>IF($B153="","",VLOOKUP(B153,FROTA!$B$5:$Z$305,2,0))</f>
        <v/>
      </c>
      <c r="E153" s="477" t="str">
        <f>IF($B153="","",VLOOKUP(B153,RECEITAS!B154:D454,3,0))</f>
        <v/>
      </c>
      <c r="F153" s="478" t="str">
        <f>IF($B153="","",$E153*VLOOKUP($B153,MANUTENÇÃO!$B$3:$V$304,21,0))</f>
        <v/>
      </c>
    </row>
    <row r="154" spans="1:6" ht="18" x14ac:dyDescent="0.2">
      <c r="A154" s="449">
        <f t="shared" si="3"/>
        <v>0</v>
      </c>
      <c r="B154" s="505" t="str">
        <f>IF(FROTA!B157="","",FROTA!B157)</f>
        <v/>
      </c>
      <c r="C154" s="506" t="str">
        <f>IF($B154="","",VLOOKUP(B154,FROTA!$B$5:$Z$305,25,0))</f>
        <v/>
      </c>
      <c r="D154" s="506" t="str">
        <f>IF($B154="","",VLOOKUP(B154,FROTA!$B$5:$Z$305,2,0))</f>
        <v/>
      </c>
      <c r="E154" s="507" t="str">
        <f>IF($B154="","",VLOOKUP(B154,RECEITAS!B155:D455,3,0))</f>
        <v/>
      </c>
      <c r="F154" s="508" t="str">
        <f>IF($B154="","",$E154*VLOOKUP($B154,MANUTENÇÃO!$B$3:$V$304,21,0))</f>
        <v/>
      </c>
    </row>
    <row r="155" spans="1:6" ht="18" x14ac:dyDescent="0.2">
      <c r="A155" s="449">
        <f t="shared" si="3"/>
        <v>0</v>
      </c>
      <c r="B155" s="475" t="str">
        <f>IF(FROTA!B158="","",FROTA!B158)</f>
        <v/>
      </c>
      <c r="C155" s="476" t="str">
        <f>IF($B155="","",VLOOKUP(B155,FROTA!$B$5:$Z$305,25,0))</f>
        <v/>
      </c>
      <c r="D155" s="476" t="str">
        <f>IF($B155="","",VLOOKUP(B155,FROTA!$B$5:$Z$305,2,0))</f>
        <v/>
      </c>
      <c r="E155" s="477" t="str">
        <f>IF($B155="","",VLOOKUP(B155,RECEITAS!B156:D456,3,0))</f>
        <v/>
      </c>
      <c r="F155" s="478" t="str">
        <f>IF($B155="","",$E155*VLOOKUP($B155,MANUTENÇÃO!$B$3:$V$304,21,0))</f>
        <v/>
      </c>
    </row>
    <row r="156" spans="1:6" ht="18" x14ac:dyDescent="0.2">
      <c r="A156" s="449">
        <f t="shared" si="3"/>
        <v>0</v>
      </c>
      <c r="B156" s="505" t="str">
        <f>IF(FROTA!B159="","",FROTA!B159)</f>
        <v/>
      </c>
      <c r="C156" s="506" t="str">
        <f>IF($B156="","",VLOOKUP(B156,FROTA!$B$5:$Z$305,25,0))</f>
        <v/>
      </c>
      <c r="D156" s="506" t="str">
        <f>IF($B156="","",VLOOKUP(B156,FROTA!$B$5:$Z$305,2,0))</f>
        <v/>
      </c>
      <c r="E156" s="507" t="str">
        <f>IF($B156="","",VLOOKUP(B156,RECEITAS!B157:D457,3,0))</f>
        <v/>
      </c>
      <c r="F156" s="508" t="str">
        <f>IF($B156="","",$E156*VLOOKUP($B156,MANUTENÇÃO!$B$3:$V$304,21,0))</f>
        <v/>
      </c>
    </row>
    <row r="157" spans="1:6" ht="18" x14ac:dyDescent="0.2">
      <c r="A157" s="449">
        <f t="shared" si="3"/>
        <v>0</v>
      </c>
      <c r="B157" s="475" t="str">
        <f>IF(FROTA!B160="","",FROTA!B160)</f>
        <v/>
      </c>
      <c r="C157" s="476" t="str">
        <f>IF($B157="","",VLOOKUP(B157,FROTA!$B$5:$Z$305,25,0))</f>
        <v/>
      </c>
      <c r="D157" s="476" t="str">
        <f>IF($B157="","",VLOOKUP(B157,FROTA!$B$5:$Z$305,2,0))</f>
        <v/>
      </c>
      <c r="E157" s="477" t="str">
        <f>IF($B157="","",VLOOKUP(B157,RECEITAS!B158:D458,3,0))</f>
        <v/>
      </c>
      <c r="F157" s="478" t="str">
        <f>IF($B157="","",$E157*VLOOKUP($B157,MANUTENÇÃO!$B$3:$V$304,21,0))</f>
        <v/>
      </c>
    </row>
    <row r="158" spans="1:6" ht="18" x14ac:dyDescent="0.2">
      <c r="A158" s="449">
        <f t="shared" si="3"/>
        <v>0</v>
      </c>
      <c r="B158" s="505" t="str">
        <f>IF(FROTA!B161="","",FROTA!B161)</f>
        <v/>
      </c>
      <c r="C158" s="506" t="str">
        <f>IF($B158="","",VLOOKUP(B158,FROTA!$B$5:$Z$305,25,0))</f>
        <v/>
      </c>
      <c r="D158" s="506" t="str">
        <f>IF($B158="","",VLOOKUP(B158,FROTA!$B$5:$Z$305,2,0))</f>
        <v/>
      </c>
      <c r="E158" s="507" t="str">
        <f>IF($B158="","",VLOOKUP(B158,RECEITAS!B159:D459,3,0))</f>
        <v/>
      </c>
      <c r="F158" s="508" t="str">
        <f>IF($B158="","",$E158*VLOOKUP($B158,MANUTENÇÃO!$B$3:$V$304,21,0))</f>
        <v/>
      </c>
    </row>
    <row r="159" spans="1:6" ht="18" x14ac:dyDescent="0.2">
      <c r="A159" s="449">
        <f t="shared" si="3"/>
        <v>0</v>
      </c>
      <c r="B159" s="475" t="str">
        <f>IF(FROTA!B162="","",FROTA!B162)</f>
        <v/>
      </c>
      <c r="C159" s="476" t="str">
        <f>IF($B159="","",VLOOKUP(B159,FROTA!$B$5:$Z$305,25,0))</f>
        <v/>
      </c>
      <c r="D159" s="476" t="str">
        <f>IF($B159="","",VLOOKUP(B159,FROTA!$B$5:$Z$305,2,0))</f>
        <v/>
      </c>
      <c r="E159" s="477" t="str">
        <f>IF($B159="","",VLOOKUP(B159,RECEITAS!B160:D460,3,0))</f>
        <v/>
      </c>
      <c r="F159" s="478" t="str">
        <f>IF($B159="","",$E159*VLOOKUP($B159,MANUTENÇÃO!$B$3:$V$304,21,0))</f>
        <v/>
      </c>
    </row>
    <row r="160" spans="1:6" ht="18" x14ac:dyDescent="0.2">
      <c r="A160" s="449">
        <f t="shared" si="3"/>
        <v>0</v>
      </c>
      <c r="B160" s="505" t="str">
        <f>IF(FROTA!B163="","",FROTA!B163)</f>
        <v/>
      </c>
      <c r="C160" s="506" t="str">
        <f>IF($B160="","",VLOOKUP(B160,FROTA!$B$5:$Z$305,25,0))</f>
        <v/>
      </c>
      <c r="D160" s="506" t="str">
        <f>IF($B160="","",VLOOKUP(B160,FROTA!$B$5:$Z$305,2,0))</f>
        <v/>
      </c>
      <c r="E160" s="507" t="str">
        <f>IF($B160="","",VLOOKUP(B160,RECEITAS!B161:D461,3,0))</f>
        <v/>
      </c>
      <c r="F160" s="508" t="str">
        <f>IF($B160="","",$E160*VLOOKUP($B160,MANUTENÇÃO!$B$3:$V$304,21,0))</f>
        <v/>
      </c>
    </row>
    <row r="161" spans="1:6" ht="18" x14ac:dyDescent="0.2">
      <c r="A161" s="449">
        <f t="shared" si="3"/>
        <v>0</v>
      </c>
      <c r="B161" s="475" t="str">
        <f>IF(FROTA!B164="","",FROTA!B164)</f>
        <v/>
      </c>
      <c r="C161" s="476" t="str">
        <f>IF($B161="","",VLOOKUP(B161,FROTA!$B$5:$Z$305,25,0))</f>
        <v/>
      </c>
      <c r="D161" s="476" t="str">
        <f>IF($B161="","",VLOOKUP(B161,FROTA!$B$5:$Z$305,2,0))</f>
        <v/>
      </c>
      <c r="E161" s="477" t="str">
        <f>IF($B161="","",VLOOKUP(B161,RECEITAS!B162:D462,3,0))</f>
        <v/>
      </c>
      <c r="F161" s="478" t="str">
        <f>IF($B161="","",$E161*VLOOKUP($B161,MANUTENÇÃO!$B$3:$V$304,21,0))</f>
        <v/>
      </c>
    </row>
    <row r="162" spans="1:6" ht="18" x14ac:dyDescent="0.2">
      <c r="A162" s="449">
        <f t="shared" si="3"/>
        <v>0</v>
      </c>
      <c r="B162" s="505" t="str">
        <f>IF(FROTA!B165="","",FROTA!B165)</f>
        <v/>
      </c>
      <c r="C162" s="506" t="str">
        <f>IF($B162="","",VLOOKUP(B162,FROTA!$B$5:$Z$305,25,0))</f>
        <v/>
      </c>
      <c r="D162" s="506" t="str">
        <f>IF($B162="","",VLOOKUP(B162,FROTA!$B$5:$Z$305,2,0))</f>
        <v/>
      </c>
      <c r="E162" s="507" t="str">
        <f>IF($B162="","",VLOOKUP(B162,RECEITAS!B163:D463,3,0))</f>
        <v/>
      </c>
      <c r="F162" s="508" t="str">
        <f>IF($B162="","",$E162*VLOOKUP($B162,MANUTENÇÃO!$B$3:$V$304,21,0))</f>
        <v/>
      </c>
    </row>
    <row r="163" spans="1:6" ht="18" x14ac:dyDescent="0.2">
      <c r="A163" s="449">
        <f t="shared" si="3"/>
        <v>0</v>
      </c>
      <c r="B163" s="475" t="str">
        <f>IF(FROTA!B166="","",FROTA!B166)</f>
        <v/>
      </c>
      <c r="C163" s="476" t="str">
        <f>IF($B163="","",VLOOKUP(B163,FROTA!$B$5:$Z$305,25,0))</f>
        <v/>
      </c>
      <c r="D163" s="476" t="str">
        <f>IF($B163="","",VLOOKUP(B163,FROTA!$B$5:$Z$305,2,0))</f>
        <v/>
      </c>
      <c r="E163" s="477" t="str">
        <f>IF($B163="","",VLOOKUP(B163,RECEITAS!B164:D464,3,0))</f>
        <v/>
      </c>
      <c r="F163" s="478" t="str">
        <f>IF($B163="","",$E163*VLOOKUP($B163,MANUTENÇÃO!$B$3:$V$304,21,0))</f>
        <v/>
      </c>
    </row>
    <row r="164" spans="1:6" ht="18" x14ac:dyDescent="0.2">
      <c r="A164" s="449">
        <f t="shared" si="3"/>
        <v>0</v>
      </c>
      <c r="B164" s="505" t="str">
        <f>IF(FROTA!B167="","",FROTA!B167)</f>
        <v/>
      </c>
      <c r="C164" s="506" t="str">
        <f>IF($B164="","",VLOOKUP(B164,FROTA!$B$5:$Z$305,25,0))</f>
        <v/>
      </c>
      <c r="D164" s="506" t="str">
        <f>IF($B164="","",VLOOKUP(B164,FROTA!$B$5:$Z$305,2,0))</f>
        <v/>
      </c>
      <c r="E164" s="507" t="str">
        <f>IF($B164="","",VLOOKUP(B164,RECEITAS!B165:D465,3,0))</f>
        <v/>
      </c>
      <c r="F164" s="508" t="str">
        <f>IF($B164="","",$E164*VLOOKUP($B164,MANUTENÇÃO!$B$3:$V$304,21,0))</f>
        <v/>
      </c>
    </row>
    <row r="165" spans="1:6" ht="18" x14ac:dyDescent="0.2">
      <c r="A165" s="449">
        <f t="shared" si="3"/>
        <v>0</v>
      </c>
      <c r="B165" s="475" t="str">
        <f>IF(FROTA!B168="","",FROTA!B168)</f>
        <v/>
      </c>
      <c r="C165" s="476" t="str">
        <f>IF($B165="","",VLOOKUP(B165,FROTA!$B$5:$Z$305,25,0))</f>
        <v/>
      </c>
      <c r="D165" s="476" t="str">
        <f>IF($B165="","",VLOOKUP(B165,FROTA!$B$5:$Z$305,2,0))</f>
        <v/>
      </c>
      <c r="E165" s="477" t="str">
        <f>IF($B165="","",VLOOKUP(B165,RECEITAS!B166:D466,3,0))</f>
        <v/>
      </c>
      <c r="F165" s="478" t="str">
        <f>IF($B165="","",$E165*VLOOKUP($B165,MANUTENÇÃO!$B$3:$V$304,21,0))</f>
        <v/>
      </c>
    </row>
    <row r="166" spans="1:6" ht="18" x14ac:dyDescent="0.2">
      <c r="A166" s="449">
        <f t="shared" si="3"/>
        <v>0</v>
      </c>
      <c r="B166" s="505" t="str">
        <f>IF(FROTA!B169="","",FROTA!B169)</f>
        <v/>
      </c>
      <c r="C166" s="506" t="str">
        <f>IF($B166="","",VLOOKUP(B166,FROTA!$B$5:$Z$305,25,0))</f>
        <v/>
      </c>
      <c r="D166" s="506" t="str">
        <f>IF($B166="","",VLOOKUP(B166,FROTA!$B$5:$Z$305,2,0))</f>
        <v/>
      </c>
      <c r="E166" s="507" t="str">
        <f>IF($B166="","",VLOOKUP(B166,RECEITAS!B167:D467,3,0))</f>
        <v/>
      </c>
      <c r="F166" s="508" t="str">
        <f>IF($B166="","",$E166*VLOOKUP($B166,MANUTENÇÃO!$B$3:$V$304,21,0))</f>
        <v/>
      </c>
    </row>
    <row r="167" spans="1:6" ht="18" x14ac:dyDescent="0.2">
      <c r="A167" s="449">
        <f t="shared" si="3"/>
        <v>0</v>
      </c>
      <c r="B167" s="475" t="str">
        <f>IF(FROTA!B170="","",FROTA!B170)</f>
        <v/>
      </c>
      <c r="C167" s="476" t="str">
        <f>IF($B167="","",VLOOKUP(B167,FROTA!$B$5:$Z$305,25,0))</f>
        <v/>
      </c>
      <c r="D167" s="476" t="str">
        <f>IF($B167="","",VLOOKUP(B167,FROTA!$B$5:$Z$305,2,0))</f>
        <v/>
      </c>
      <c r="E167" s="477" t="str">
        <f>IF($B167="","",VLOOKUP(B167,RECEITAS!B168:D468,3,0))</f>
        <v/>
      </c>
      <c r="F167" s="478" t="str">
        <f>IF($B167="","",$E167*VLOOKUP($B167,MANUTENÇÃO!$B$3:$V$304,21,0))</f>
        <v/>
      </c>
    </row>
    <row r="168" spans="1:6" ht="18" x14ac:dyDescent="0.2">
      <c r="A168" s="449">
        <f t="shared" si="3"/>
        <v>0</v>
      </c>
      <c r="B168" s="505" t="str">
        <f>IF(FROTA!B171="","",FROTA!B171)</f>
        <v/>
      </c>
      <c r="C168" s="506" t="str">
        <f>IF($B168="","",VLOOKUP(B168,FROTA!$B$5:$Z$305,25,0))</f>
        <v/>
      </c>
      <c r="D168" s="506" t="str">
        <f>IF($B168="","",VLOOKUP(B168,FROTA!$B$5:$Z$305,2,0))</f>
        <v/>
      </c>
      <c r="E168" s="507" t="str">
        <f>IF($B168="","",VLOOKUP(B168,RECEITAS!B169:D469,3,0))</f>
        <v/>
      </c>
      <c r="F168" s="508" t="str">
        <f>IF($B168="","",$E168*VLOOKUP($B168,MANUTENÇÃO!$B$3:$V$304,21,0))</f>
        <v/>
      </c>
    </row>
    <row r="169" spans="1:6" ht="18" x14ac:dyDescent="0.2">
      <c r="A169" s="449">
        <f t="shared" si="3"/>
        <v>0</v>
      </c>
      <c r="B169" s="475" t="str">
        <f>IF(FROTA!B172="","",FROTA!B172)</f>
        <v/>
      </c>
      <c r="C169" s="476" t="str">
        <f>IF($B169="","",VLOOKUP(B169,FROTA!$B$5:$Z$305,25,0))</f>
        <v/>
      </c>
      <c r="D169" s="476" t="str">
        <f>IF($B169="","",VLOOKUP(B169,FROTA!$B$5:$Z$305,2,0))</f>
        <v/>
      </c>
      <c r="E169" s="477" t="str">
        <f>IF($B169="","",VLOOKUP(B169,RECEITAS!B170:D470,3,0))</f>
        <v/>
      </c>
      <c r="F169" s="478" t="str">
        <f>IF($B169="","",$E169*VLOOKUP($B169,MANUTENÇÃO!$B$3:$V$304,21,0))</f>
        <v/>
      </c>
    </row>
    <row r="170" spans="1:6" ht="18" x14ac:dyDescent="0.2">
      <c r="A170" s="449">
        <f t="shared" si="3"/>
        <v>0</v>
      </c>
      <c r="B170" s="505" t="str">
        <f>IF(FROTA!B173="","",FROTA!B173)</f>
        <v/>
      </c>
      <c r="C170" s="506" t="str">
        <f>IF($B170="","",VLOOKUP(B170,FROTA!$B$5:$Z$305,25,0))</f>
        <v/>
      </c>
      <c r="D170" s="506" t="str">
        <f>IF($B170="","",VLOOKUP(B170,FROTA!$B$5:$Z$305,2,0))</f>
        <v/>
      </c>
      <c r="E170" s="507" t="str">
        <f>IF($B170="","",VLOOKUP(B170,RECEITAS!B171:D471,3,0))</f>
        <v/>
      </c>
      <c r="F170" s="508" t="str">
        <f>IF($B170="","",$E170*VLOOKUP($B170,MANUTENÇÃO!$B$3:$V$304,21,0))</f>
        <v/>
      </c>
    </row>
    <row r="171" spans="1:6" ht="18" x14ac:dyDescent="0.2">
      <c r="A171" s="449">
        <f t="shared" si="3"/>
        <v>0</v>
      </c>
      <c r="B171" s="475" t="str">
        <f>IF(FROTA!B174="","",FROTA!B174)</f>
        <v/>
      </c>
      <c r="C171" s="476" t="str">
        <f>IF($B171="","",VLOOKUP(B171,FROTA!$B$5:$Z$305,25,0))</f>
        <v/>
      </c>
      <c r="D171" s="476" t="str">
        <f>IF($B171="","",VLOOKUP(B171,FROTA!$B$5:$Z$305,2,0))</f>
        <v/>
      </c>
      <c r="E171" s="477" t="str">
        <f>IF($B171="","",VLOOKUP(B171,RECEITAS!B172:D472,3,0))</f>
        <v/>
      </c>
      <c r="F171" s="478" t="str">
        <f>IF($B171="","",$E171*VLOOKUP($B171,MANUTENÇÃO!$B$3:$V$304,21,0))</f>
        <v/>
      </c>
    </row>
    <row r="172" spans="1:6" ht="18" x14ac:dyDescent="0.2">
      <c r="A172" s="449">
        <f t="shared" si="3"/>
        <v>0</v>
      </c>
      <c r="B172" s="505" t="str">
        <f>IF(FROTA!B175="","",FROTA!B175)</f>
        <v/>
      </c>
      <c r="C172" s="506" t="str">
        <f>IF($B172="","",VLOOKUP(B172,FROTA!$B$5:$Z$305,25,0))</f>
        <v/>
      </c>
      <c r="D172" s="506" t="str">
        <f>IF($B172="","",VLOOKUP(B172,FROTA!$B$5:$Z$305,2,0))</f>
        <v/>
      </c>
      <c r="E172" s="507" t="str">
        <f>IF($B172="","",VLOOKUP(B172,RECEITAS!B173:D473,3,0))</f>
        <v/>
      </c>
      <c r="F172" s="508" t="str">
        <f>IF($B172="","",$E172*VLOOKUP($B172,MANUTENÇÃO!$B$3:$V$304,21,0))</f>
        <v/>
      </c>
    </row>
    <row r="173" spans="1:6" ht="18" x14ac:dyDescent="0.2">
      <c r="A173" s="449">
        <f t="shared" si="3"/>
        <v>0</v>
      </c>
      <c r="B173" s="475" t="str">
        <f>IF(FROTA!B176="","",FROTA!B176)</f>
        <v/>
      </c>
      <c r="C173" s="476" t="str">
        <f>IF($B173="","",VLOOKUP(B173,FROTA!$B$5:$Z$305,25,0))</f>
        <v/>
      </c>
      <c r="D173" s="476" t="str">
        <f>IF($B173="","",VLOOKUP(B173,FROTA!$B$5:$Z$305,2,0))</f>
        <v/>
      </c>
      <c r="E173" s="477" t="str">
        <f>IF($B173="","",VLOOKUP(B173,RECEITAS!B174:D474,3,0))</f>
        <v/>
      </c>
      <c r="F173" s="478" t="str">
        <f>IF($B173="","",$E173*VLOOKUP($B173,MANUTENÇÃO!$B$3:$V$304,21,0))</f>
        <v/>
      </c>
    </row>
    <row r="174" spans="1:6" ht="18" x14ac:dyDescent="0.2">
      <c r="A174" s="449">
        <f t="shared" si="3"/>
        <v>0</v>
      </c>
      <c r="B174" s="505" t="str">
        <f>IF(FROTA!B177="","",FROTA!B177)</f>
        <v/>
      </c>
      <c r="C174" s="506" t="str">
        <f>IF($B174="","",VLOOKUP(B174,FROTA!$B$5:$Z$305,25,0))</f>
        <v/>
      </c>
      <c r="D174" s="506" t="str">
        <f>IF($B174="","",VLOOKUP(B174,FROTA!$B$5:$Z$305,2,0))</f>
        <v/>
      </c>
      <c r="E174" s="507" t="str">
        <f>IF($B174="","",VLOOKUP(B174,RECEITAS!B175:D475,3,0))</f>
        <v/>
      </c>
      <c r="F174" s="508" t="str">
        <f>IF($B174="","",$E174*VLOOKUP($B174,MANUTENÇÃO!$B$3:$V$304,21,0))</f>
        <v/>
      </c>
    </row>
    <row r="175" spans="1:6" ht="18" x14ac:dyDescent="0.2">
      <c r="A175" s="449">
        <f t="shared" si="3"/>
        <v>0</v>
      </c>
      <c r="B175" s="475" t="str">
        <f>IF(FROTA!B178="","",FROTA!B178)</f>
        <v/>
      </c>
      <c r="C175" s="476" t="str">
        <f>IF($B175="","",VLOOKUP(B175,FROTA!$B$5:$Z$305,25,0))</f>
        <v/>
      </c>
      <c r="D175" s="476" t="str">
        <f>IF($B175="","",VLOOKUP(B175,FROTA!$B$5:$Z$305,2,0))</f>
        <v/>
      </c>
      <c r="E175" s="477" t="str">
        <f>IF($B175="","",VLOOKUP(B175,RECEITAS!B176:D476,3,0))</f>
        <v/>
      </c>
      <c r="F175" s="478" t="str">
        <f>IF($B175="","",$E175*VLOOKUP($B175,MANUTENÇÃO!$B$3:$V$304,21,0))</f>
        <v/>
      </c>
    </row>
    <row r="176" spans="1:6" ht="18" x14ac:dyDescent="0.2">
      <c r="A176" s="449">
        <f t="shared" si="3"/>
        <v>0</v>
      </c>
      <c r="B176" s="505" t="str">
        <f>IF(FROTA!B179="","",FROTA!B179)</f>
        <v/>
      </c>
      <c r="C176" s="506" t="str">
        <f>IF($B176="","",VLOOKUP(B176,FROTA!$B$5:$Z$305,25,0))</f>
        <v/>
      </c>
      <c r="D176" s="506" t="str">
        <f>IF($B176="","",VLOOKUP(B176,FROTA!$B$5:$Z$305,2,0))</f>
        <v/>
      </c>
      <c r="E176" s="507" t="str">
        <f>IF($B176="","",VLOOKUP(B176,RECEITAS!B177:D477,3,0))</f>
        <v/>
      </c>
      <c r="F176" s="508" t="str">
        <f>IF($B176="","",$E176*VLOOKUP($B176,MANUTENÇÃO!$B$3:$V$304,21,0))</f>
        <v/>
      </c>
    </row>
    <row r="177" spans="1:6" ht="18" x14ac:dyDescent="0.2">
      <c r="A177" s="449">
        <f t="shared" si="3"/>
        <v>0</v>
      </c>
      <c r="B177" s="475" t="str">
        <f>IF(FROTA!B180="","",FROTA!B180)</f>
        <v/>
      </c>
      <c r="C177" s="476" t="str">
        <f>IF($B177="","",VLOOKUP(B177,FROTA!$B$5:$Z$305,25,0))</f>
        <v/>
      </c>
      <c r="D177" s="476" t="str">
        <f>IF($B177="","",VLOOKUP(B177,FROTA!$B$5:$Z$305,2,0))</f>
        <v/>
      </c>
      <c r="E177" s="477" t="str">
        <f>IF($B177="","",VLOOKUP(B177,RECEITAS!B178:D478,3,0))</f>
        <v/>
      </c>
      <c r="F177" s="478" t="str">
        <f>IF($B177="","",$E177*VLOOKUP($B177,MANUTENÇÃO!$B$3:$V$304,21,0))</f>
        <v/>
      </c>
    </row>
    <row r="178" spans="1:6" ht="18" x14ac:dyDescent="0.2">
      <c r="A178" s="449">
        <f t="shared" si="3"/>
        <v>0</v>
      </c>
      <c r="B178" s="505" t="str">
        <f>IF(FROTA!B181="","",FROTA!B181)</f>
        <v/>
      </c>
      <c r="C178" s="506" t="str">
        <f>IF($B178="","",VLOOKUP(B178,FROTA!$B$5:$Z$305,25,0))</f>
        <v/>
      </c>
      <c r="D178" s="506" t="str">
        <f>IF($B178="","",VLOOKUP(B178,FROTA!$B$5:$Z$305,2,0))</f>
        <v/>
      </c>
      <c r="E178" s="507" t="str">
        <f>IF($B178="","",VLOOKUP(B178,RECEITAS!B179:D479,3,0))</f>
        <v/>
      </c>
      <c r="F178" s="508" t="str">
        <f>IF($B178="","",$E178*VLOOKUP($B178,MANUTENÇÃO!$B$3:$V$304,21,0))</f>
        <v/>
      </c>
    </row>
    <row r="179" spans="1:6" ht="18" x14ac:dyDescent="0.2">
      <c r="A179" s="449">
        <f t="shared" si="3"/>
        <v>0</v>
      </c>
      <c r="B179" s="475" t="str">
        <f>IF(FROTA!B182="","",FROTA!B182)</f>
        <v/>
      </c>
      <c r="C179" s="476" t="str">
        <f>IF($B179="","",VLOOKUP(B179,FROTA!$B$5:$Z$305,25,0))</f>
        <v/>
      </c>
      <c r="D179" s="476" t="str">
        <f>IF($B179="","",VLOOKUP(B179,FROTA!$B$5:$Z$305,2,0))</f>
        <v/>
      </c>
      <c r="E179" s="477" t="str">
        <f>IF($B179="","",VLOOKUP(B179,RECEITAS!B180:D480,3,0))</f>
        <v/>
      </c>
      <c r="F179" s="478" t="str">
        <f>IF($B179="","",$E179*VLOOKUP($B179,MANUTENÇÃO!$B$3:$V$304,21,0))</f>
        <v/>
      </c>
    </row>
    <row r="180" spans="1:6" ht="18" x14ac:dyDescent="0.2">
      <c r="A180" s="449">
        <f t="shared" si="3"/>
        <v>0</v>
      </c>
      <c r="B180" s="505" t="str">
        <f>IF(FROTA!B183="","",FROTA!B183)</f>
        <v/>
      </c>
      <c r="C180" s="506" t="str">
        <f>IF($B180="","",VLOOKUP(B180,FROTA!$B$5:$Z$305,25,0))</f>
        <v/>
      </c>
      <c r="D180" s="506" t="str">
        <f>IF($B180="","",VLOOKUP(B180,FROTA!$B$5:$Z$305,2,0))</f>
        <v/>
      </c>
      <c r="E180" s="507" t="str">
        <f>IF($B180="","",VLOOKUP(B180,RECEITAS!B181:D481,3,0))</f>
        <v/>
      </c>
      <c r="F180" s="508" t="str">
        <f>IF($B180="","",$E180*VLOOKUP($B180,MANUTENÇÃO!$B$3:$V$304,21,0))</f>
        <v/>
      </c>
    </row>
    <row r="181" spans="1:6" ht="18" x14ac:dyDescent="0.2">
      <c r="A181" s="449">
        <f t="shared" si="3"/>
        <v>0</v>
      </c>
      <c r="B181" s="475" t="str">
        <f>IF(FROTA!B184="","",FROTA!B184)</f>
        <v/>
      </c>
      <c r="C181" s="476" t="str">
        <f>IF($B181="","",VLOOKUP(B181,FROTA!$B$5:$Z$305,25,0))</f>
        <v/>
      </c>
      <c r="D181" s="476" t="str">
        <f>IF($B181="","",VLOOKUP(B181,FROTA!$B$5:$Z$305,2,0))</f>
        <v/>
      </c>
      <c r="E181" s="477" t="str">
        <f>IF($B181="","",VLOOKUP(B181,RECEITAS!B182:D482,3,0))</f>
        <v/>
      </c>
      <c r="F181" s="478" t="str">
        <f>IF($B181="","",$E181*VLOOKUP($B181,MANUTENÇÃO!$B$3:$V$304,21,0))</f>
        <v/>
      </c>
    </row>
    <row r="182" spans="1:6" ht="18" x14ac:dyDescent="0.2">
      <c r="A182" s="449">
        <f t="shared" si="3"/>
        <v>0</v>
      </c>
      <c r="B182" s="505" t="str">
        <f>IF(FROTA!B185="","",FROTA!B185)</f>
        <v/>
      </c>
      <c r="C182" s="506" t="str">
        <f>IF($B182="","",VLOOKUP(B182,FROTA!$B$5:$Z$305,25,0))</f>
        <v/>
      </c>
      <c r="D182" s="506" t="str">
        <f>IF($B182="","",VLOOKUP(B182,FROTA!$B$5:$Z$305,2,0))</f>
        <v/>
      </c>
      <c r="E182" s="507" t="str">
        <f>IF($B182="","",VLOOKUP(B182,RECEITAS!B183:D483,3,0))</f>
        <v/>
      </c>
      <c r="F182" s="508" t="str">
        <f>IF($B182="","",$E182*VLOOKUP($B182,MANUTENÇÃO!$B$3:$V$304,21,0))</f>
        <v/>
      </c>
    </row>
    <row r="183" spans="1:6" ht="18" x14ac:dyDescent="0.2">
      <c r="A183" s="449">
        <f t="shared" si="3"/>
        <v>0</v>
      </c>
      <c r="B183" s="475" t="str">
        <f>IF(FROTA!B186="","",FROTA!B186)</f>
        <v/>
      </c>
      <c r="C183" s="476" t="str">
        <f>IF($B183="","",VLOOKUP(B183,FROTA!$B$5:$Z$305,25,0))</f>
        <v/>
      </c>
      <c r="D183" s="476" t="str">
        <f>IF($B183="","",VLOOKUP(B183,FROTA!$B$5:$Z$305,2,0))</f>
        <v/>
      </c>
      <c r="E183" s="477" t="str">
        <f>IF($B183="","",VLOOKUP(B183,RECEITAS!B184:D484,3,0))</f>
        <v/>
      </c>
      <c r="F183" s="478" t="str">
        <f>IF($B183="","",$E183*VLOOKUP($B183,MANUTENÇÃO!$B$3:$V$304,21,0))</f>
        <v/>
      </c>
    </row>
    <row r="184" spans="1:6" ht="18" x14ac:dyDescent="0.2">
      <c r="A184" s="449">
        <f t="shared" si="3"/>
        <v>0</v>
      </c>
      <c r="B184" s="505" t="str">
        <f>IF(FROTA!B187="","",FROTA!B187)</f>
        <v/>
      </c>
      <c r="C184" s="506" t="str">
        <f>IF($B184="","",VLOOKUP(B184,FROTA!$B$5:$Z$305,25,0))</f>
        <v/>
      </c>
      <c r="D184" s="506" t="str">
        <f>IF($B184="","",VLOOKUP(B184,FROTA!$B$5:$Z$305,2,0))</f>
        <v/>
      </c>
      <c r="E184" s="507" t="str">
        <f>IF($B184="","",VLOOKUP(B184,RECEITAS!B185:D485,3,0))</f>
        <v/>
      </c>
      <c r="F184" s="508" t="str">
        <f>IF($B184="","",$E184*VLOOKUP($B184,MANUTENÇÃO!$B$3:$V$304,21,0))</f>
        <v/>
      </c>
    </row>
    <row r="185" spans="1:6" ht="18" x14ac:dyDescent="0.2">
      <c r="A185" s="449">
        <f t="shared" si="3"/>
        <v>0</v>
      </c>
      <c r="B185" s="475" t="str">
        <f>IF(FROTA!B188="","",FROTA!B188)</f>
        <v/>
      </c>
      <c r="C185" s="476" t="str">
        <f>IF($B185="","",VLOOKUP(B185,FROTA!$B$5:$Z$305,25,0))</f>
        <v/>
      </c>
      <c r="D185" s="476" t="str">
        <f>IF($B185="","",VLOOKUP(B185,FROTA!$B$5:$Z$305,2,0))</f>
        <v/>
      </c>
      <c r="E185" s="477" t="str">
        <f>IF($B185="","",VLOOKUP(B185,RECEITAS!B186:D486,3,0))</f>
        <v/>
      </c>
      <c r="F185" s="478" t="str">
        <f>IF($B185="","",$E185*VLOOKUP($B185,MANUTENÇÃO!$B$3:$V$304,21,0))</f>
        <v/>
      </c>
    </row>
    <row r="186" spans="1:6" ht="18" x14ac:dyDescent="0.2">
      <c r="A186" s="449">
        <f t="shared" si="3"/>
        <v>0</v>
      </c>
      <c r="B186" s="505" t="str">
        <f>IF(FROTA!B189="","",FROTA!B189)</f>
        <v/>
      </c>
      <c r="C186" s="506" t="str">
        <f>IF($B186="","",VLOOKUP(B186,FROTA!$B$5:$Z$305,25,0))</f>
        <v/>
      </c>
      <c r="D186" s="506" t="str">
        <f>IF($B186="","",VLOOKUP(B186,FROTA!$B$5:$Z$305,2,0))</f>
        <v/>
      </c>
      <c r="E186" s="507" t="str">
        <f>IF($B186="","",VLOOKUP(B186,RECEITAS!B187:D487,3,0))</f>
        <v/>
      </c>
      <c r="F186" s="508" t="str">
        <f>IF($B186="","",$E186*VLOOKUP($B186,MANUTENÇÃO!$B$3:$V$304,21,0))</f>
        <v/>
      </c>
    </row>
    <row r="187" spans="1:6" ht="18" x14ac:dyDescent="0.2">
      <c r="A187" s="449">
        <f t="shared" si="3"/>
        <v>0</v>
      </c>
      <c r="B187" s="475" t="str">
        <f>IF(FROTA!B190="","",FROTA!B190)</f>
        <v/>
      </c>
      <c r="C187" s="476" t="str">
        <f>IF($B187="","",VLOOKUP(B187,FROTA!$B$5:$Z$305,25,0))</f>
        <v/>
      </c>
      <c r="D187" s="476" t="str">
        <f>IF($B187="","",VLOOKUP(B187,FROTA!$B$5:$Z$305,2,0))</f>
        <v/>
      </c>
      <c r="E187" s="477" t="str">
        <f>IF($B187="","",VLOOKUP(B187,RECEITAS!B188:D488,3,0))</f>
        <v/>
      </c>
      <c r="F187" s="478" t="str">
        <f>IF($B187="","",$E187*VLOOKUP($B187,MANUTENÇÃO!$B$3:$V$304,21,0))</f>
        <v/>
      </c>
    </row>
    <row r="188" spans="1:6" ht="18" x14ac:dyDescent="0.2">
      <c r="A188" s="449">
        <f t="shared" si="3"/>
        <v>0</v>
      </c>
      <c r="B188" s="505" t="str">
        <f>IF(FROTA!B191="","",FROTA!B191)</f>
        <v/>
      </c>
      <c r="C188" s="506" t="str">
        <f>IF($B188="","",VLOOKUP(B188,FROTA!$B$5:$Z$305,25,0))</f>
        <v/>
      </c>
      <c r="D188" s="506" t="str">
        <f>IF($B188="","",VLOOKUP(B188,FROTA!$B$5:$Z$305,2,0))</f>
        <v/>
      </c>
      <c r="E188" s="507" t="str">
        <f>IF($B188="","",VLOOKUP(B188,RECEITAS!B189:D489,3,0))</f>
        <v/>
      </c>
      <c r="F188" s="508" t="str">
        <f>IF($B188="","",$E188*VLOOKUP($B188,MANUTENÇÃO!$B$3:$V$304,21,0))</f>
        <v/>
      </c>
    </row>
    <row r="189" spans="1:6" ht="18" x14ac:dyDescent="0.2">
      <c r="A189" s="449">
        <f t="shared" si="3"/>
        <v>0</v>
      </c>
      <c r="B189" s="475" t="str">
        <f>IF(FROTA!B192="","",FROTA!B192)</f>
        <v/>
      </c>
      <c r="C189" s="476" t="str">
        <f>IF($B189="","",VLOOKUP(B189,FROTA!$B$5:$Z$305,25,0))</f>
        <v/>
      </c>
      <c r="D189" s="476" t="str">
        <f>IF($B189="","",VLOOKUP(B189,FROTA!$B$5:$Z$305,2,0))</f>
        <v/>
      </c>
      <c r="E189" s="477" t="str">
        <f>IF($B189="","",VLOOKUP(B189,RECEITAS!B190:D490,3,0))</f>
        <v/>
      </c>
      <c r="F189" s="478" t="str">
        <f>IF($B189="","",$E189*VLOOKUP($B189,MANUTENÇÃO!$B$3:$V$304,21,0))</f>
        <v/>
      </c>
    </row>
    <row r="190" spans="1:6" ht="18" x14ac:dyDescent="0.2">
      <c r="A190" s="449">
        <f t="shared" si="3"/>
        <v>0</v>
      </c>
      <c r="B190" s="505" t="str">
        <f>IF(FROTA!B193="","",FROTA!B193)</f>
        <v/>
      </c>
      <c r="C190" s="506" t="str">
        <f>IF($B190="","",VLOOKUP(B190,FROTA!$B$5:$Z$305,25,0))</f>
        <v/>
      </c>
      <c r="D190" s="506" t="str">
        <f>IF($B190="","",VLOOKUP(B190,FROTA!$B$5:$Z$305,2,0))</f>
        <v/>
      </c>
      <c r="E190" s="507" t="str">
        <f>IF($B190="","",VLOOKUP(B190,RECEITAS!B191:D491,3,0))</f>
        <v/>
      </c>
      <c r="F190" s="508" t="str">
        <f>IF($B190="","",$E190*VLOOKUP($B190,MANUTENÇÃO!$B$3:$V$304,21,0))</f>
        <v/>
      </c>
    </row>
    <row r="191" spans="1:6" ht="18" x14ac:dyDescent="0.2">
      <c r="A191" s="449">
        <f t="shared" si="3"/>
        <v>0</v>
      </c>
      <c r="B191" s="475" t="str">
        <f>IF(FROTA!B194="","",FROTA!B194)</f>
        <v/>
      </c>
      <c r="C191" s="476" t="str">
        <f>IF($B191="","",VLOOKUP(B191,FROTA!$B$5:$Z$305,25,0))</f>
        <v/>
      </c>
      <c r="D191" s="476" t="str">
        <f>IF($B191="","",VLOOKUP(B191,FROTA!$B$5:$Z$305,2,0))</f>
        <v/>
      </c>
      <c r="E191" s="477" t="str">
        <f>IF($B191="","",VLOOKUP(B191,RECEITAS!B192:D492,3,0))</f>
        <v/>
      </c>
      <c r="F191" s="478" t="str">
        <f>IF($B191="","",$E191*VLOOKUP($B191,MANUTENÇÃO!$B$3:$V$304,21,0))</f>
        <v/>
      </c>
    </row>
    <row r="192" spans="1:6" ht="18" x14ac:dyDescent="0.2">
      <c r="A192" s="449">
        <f t="shared" si="3"/>
        <v>0</v>
      </c>
      <c r="B192" s="505" t="str">
        <f>IF(FROTA!B195="","",FROTA!B195)</f>
        <v/>
      </c>
      <c r="C192" s="506" t="str">
        <f>IF($B192="","",VLOOKUP(B192,FROTA!$B$5:$Z$305,25,0))</f>
        <v/>
      </c>
      <c r="D192" s="506" t="str">
        <f>IF($B192="","",VLOOKUP(B192,FROTA!$B$5:$Z$305,2,0))</f>
        <v/>
      </c>
      <c r="E192" s="507" t="str">
        <f>IF($B192="","",VLOOKUP(B192,RECEITAS!B193:D493,3,0))</f>
        <v/>
      </c>
      <c r="F192" s="508" t="str">
        <f>IF($B192="","",$E192*VLOOKUP($B192,MANUTENÇÃO!$B$3:$V$304,21,0))</f>
        <v/>
      </c>
    </row>
    <row r="193" spans="1:6" ht="18" x14ac:dyDescent="0.2">
      <c r="A193" s="449">
        <f t="shared" si="3"/>
        <v>0</v>
      </c>
      <c r="B193" s="475" t="str">
        <f>IF(FROTA!B196="","",FROTA!B196)</f>
        <v/>
      </c>
      <c r="C193" s="476" t="str">
        <f>IF($B193="","",VLOOKUP(B193,FROTA!$B$5:$Z$305,25,0))</f>
        <v/>
      </c>
      <c r="D193" s="476" t="str">
        <f>IF($B193="","",VLOOKUP(B193,FROTA!$B$5:$Z$305,2,0))</f>
        <v/>
      </c>
      <c r="E193" s="477" t="str">
        <f>IF($B193="","",VLOOKUP(B193,RECEITAS!B194:D494,3,0))</f>
        <v/>
      </c>
      <c r="F193" s="478" t="str">
        <f>IF($B193="","",$E193*VLOOKUP($B193,MANUTENÇÃO!$B$3:$V$304,21,0))</f>
        <v/>
      </c>
    </row>
    <row r="194" spans="1:6" ht="18" x14ac:dyDescent="0.2">
      <c r="A194" s="449">
        <f t="shared" si="3"/>
        <v>0</v>
      </c>
      <c r="B194" s="505" t="str">
        <f>IF(FROTA!B197="","",FROTA!B197)</f>
        <v/>
      </c>
      <c r="C194" s="506" t="str">
        <f>IF($B194="","",VLOOKUP(B194,FROTA!$B$5:$Z$305,25,0))</f>
        <v/>
      </c>
      <c r="D194" s="506" t="str">
        <f>IF($B194="","",VLOOKUP(B194,FROTA!$B$5:$Z$305,2,0))</f>
        <v/>
      </c>
      <c r="E194" s="507" t="str">
        <f>IF($B194="","",VLOOKUP(B194,RECEITAS!B195:D495,3,0))</f>
        <v/>
      </c>
      <c r="F194" s="508" t="str">
        <f>IF($B194="","",$E194*VLOOKUP($B194,MANUTENÇÃO!$B$3:$V$304,21,0))</f>
        <v/>
      </c>
    </row>
    <row r="195" spans="1:6" ht="18" x14ac:dyDescent="0.2">
      <c r="A195" s="449">
        <f t="shared" si="3"/>
        <v>0</v>
      </c>
      <c r="B195" s="475" t="str">
        <f>IF(FROTA!B198="","",FROTA!B198)</f>
        <v/>
      </c>
      <c r="C195" s="476" t="str">
        <f>IF($B195="","",VLOOKUP(B195,FROTA!$B$5:$Z$305,25,0))</f>
        <v/>
      </c>
      <c r="D195" s="476" t="str">
        <f>IF($B195="","",VLOOKUP(B195,FROTA!$B$5:$Z$305,2,0))</f>
        <v/>
      </c>
      <c r="E195" s="477" t="str">
        <f>IF($B195="","",VLOOKUP(B195,RECEITAS!B196:D496,3,0))</f>
        <v/>
      </c>
      <c r="F195" s="478" t="str">
        <f>IF($B195="","",$E195*VLOOKUP($B195,MANUTENÇÃO!$B$3:$V$304,21,0))</f>
        <v/>
      </c>
    </row>
    <row r="196" spans="1:6" ht="18" x14ac:dyDescent="0.2">
      <c r="A196" s="449">
        <f t="shared" ref="A196:A202" si="4">IF(B196="",0,1)</f>
        <v>0</v>
      </c>
      <c r="B196" s="505" t="str">
        <f>IF(FROTA!B199="","",FROTA!B199)</f>
        <v/>
      </c>
      <c r="C196" s="506" t="str">
        <f>IF($B196="","",VLOOKUP(B196,FROTA!$B$5:$Z$305,25,0))</f>
        <v/>
      </c>
      <c r="D196" s="506" t="str">
        <f>IF($B196="","",VLOOKUP(B196,FROTA!$B$5:$Z$305,2,0))</f>
        <v/>
      </c>
      <c r="E196" s="507" t="str">
        <f>IF($B196="","",VLOOKUP(B196,RECEITAS!B197:D497,3,0))</f>
        <v/>
      </c>
      <c r="F196" s="508" t="str">
        <f>IF($B196="","",$E196*VLOOKUP($B196,MANUTENÇÃO!$B$3:$V$304,21,0))</f>
        <v/>
      </c>
    </row>
    <row r="197" spans="1:6" ht="18" x14ac:dyDescent="0.2">
      <c r="A197" s="449">
        <f t="shared" si="4"/>
        <v>0</v>
      </c>
      <c r="B197" s="475" t="str">
        <f>IF(FROTA!B200="","",FROTA!B200)</f>
        <v/>
      </c>
      <c r="C197" s="476" t="str">
        <f>IF($B197="","",VLOOKUP(B197,FROTA!$B$5:$Z$305,25,0))</f>
        <v/>
      </c>
      <c r="D197" s="476" t="str">
        <f>IF($B197="","",VLOOKUP(B197,FROTA!$B$5:$Z$305,2,0))</f>
        <v/>
      </c>
      <c r="E197" s="477" t="str">
        <f>IF($B197="","",VLOOKUP(B197,RECEITAS!B198:D498,3,0))</f>
        <v/>
      </c>
      <c r="F197" s="478" t="str">
        <f>IF($B197="","",$E197*VLOOKUP($B197,MANUTENÇÃO!$B$3:$V$304,21,0))</f>
        <v/>
      </c>
    </row>
    <row r="198" spans="1:6" ht="18" x14ac:dyDescent="0.2">
      <c r="A198" s="449">
        <f t="shared" si="4"/>
        <v>0</v>
      </c>
      <c r="B198" s="505" t="str">
        <f>IF(FROTA!B201="","",FROTA!B201)</f>
        <v/>
      </c>
      <c r="C198" s="506" t="str">
        <f>IF($B198="","",VLOOKUP(B198,FROTA!$B$5:$Z$305,25,0))</f>
        <v/>
      </c>
      <c r="D198" s="506" t="str">
        <f>IF($B198="","",VLOOKUP(B198,FROTA!$B$5:$Z$305,2,0))</f>
        <v/>
      </c>
      <c r="E198" s="507" t="str">
        <f>IF($B198="","",VLOOKUP(B198,RECEITAS!B199:D499,3,0))</f>
        <v/>
      </c>
      <c r="F198" s="508" t="str">
        <f>IF($B198="","",$E198*VLOOKUP($B198,MANUTENÇÃO!$B$3:$V$304,21,0))</f>
        <v/>
      </c>
    </row>
    <row r="199" spans="1:6" ht="18" x14ac:dyDescent="0.2">
      <c r="A199" s="449">
        <f t="shared" si="4"/>
        <v>0</v>
      </c>
      <c r="B199" s="475" t="str">
        <f>IF(FROTA!B202="","",FROTA!B202)</f>
        <v/>
      </c>
      <c r="C199" s="476" t="str">
        <f>IF($B199="","",VLOOKUP(B199,FROTA!$B$5:$Z$305,25,0))</f>
        <v/>
      </c>
      <c r="D199" s="476" t="str">
        <f>IF($B199="","",VLOOKUP(B199,FROTA!$B$5:$Z$305,2,0))</f>
        <v/>
      </c>
      <c r="E199" s="477" t="str">
        <f>IF($B199="","",VLOOKUP(B199,RECEITAS!B200:D500,3,0))</f>
        <v/>
      </c>
      <c r="F199" s="478" t="str">
        <f>IF($B199="","",$E199*VLOOKUP($B199,MANUTENÇÃO!$B$3:$V$304,21,0))</f>
        <v/>
      </c>
    </row>
    <row r="200" spans="1:6" ht="18" x14ac:dyDescent="0.2">
      <c r="A200" s="449">
        <f t="shared" si="4"/>
        <v>0</v>
      </c>
      <c r="B200" s="505" t="str">
        <f>IF(FROTA!B203="","",FROTA!B203)</f>
        <v/>
      </c>
      <c r="C200" s="506" t="str">
        <f>IF($B200="","",VLOOKUP(B200,FROTA!$B$5:$Z$305,25,0))</f>
        <v/>
      </c>
      <c r="D200" s="506" t="str">
        <f>IF($B200="","",VLOOKUP(B200,FROTA!$B$5:$Z$305,2,0))</f>
        <v/>
      </c>
      <c r="E200" s="507" t="str">
        <f>IF($B200="","",VLOOKUP(B200,RECEITAS!B201:D501,3,0))</f>
        <v/>
      </c>
      <c r="F200" s="508" t="str">
        <f>IF($B200="","",$E200*VLOOKUP($B200,MANUTENÇÃO!$B$3:$V$304,21,0))</f>
        <v/>
      </c>
    </row>
    <row r="201" spans="1:6" ht="18" x14ac:dyDescent="0.2">
      <c r="A201" s="449">
        <f t="shared" si="4"/>
        <v>0</v>
      </c>
      <c r="B201" s="475" t="str">
        <f>IF(FROTA!B204="","",FROTA!B204)</f>
        <v/>
      </c>
      <c r="C201" s="476" t="str">
        <f>IF($B201="","",VLOOKUP(B201,FROTA!$B$5:$Z$305,25,0))</f>
        <v/>
      </c>
      <c r="D201" s="476" t="str">
        <f>IF($B201="","",VLOOKUP(B201,FROTA!$B$5:$Z$305,2,0))</f>
        <v/>
      </c>
      <c r="E201" s="477" t="str">
        <f>IF($B201="","",VLOOKUP(B201,RECEITAS!B202:D502,3,0))</f>
        <v/>
      </c>
      <c r="F201" s="478" t="str">
        <f>IF($B201="","",$E201*VLOOKUP($B201,MANUTENÇÃO!$B$3:$V$304,21,0))</f>
        <v/>
      </c>
    </row>
    <row r="202" spans="1:6" ht="18" x14ac:dyDescent="0.2">
      <c r="A202" s="449">
        <f t="shared" si="4"/>
        <v>0</v>
      </c>
      <c r="B202" s="505" t="str">
        <f>IF(FROTA!B205="","",FROTA!B205)</f>
        <v/>
      </c>
      <c r="C202" s="506" t="str">
        <f>IF($B202="","",VLOOKUP(B202,FROTA!$B$5:$Z$305,25,0))</f>
        <v/>
      </c>
      <c r="D202" s="506" t="str">
        <f>IF($B202="","",VLOOKUP(B202,FROTA!$B$5:$Z$305,2,0))</f>
        <v/>
      </c>
      <c r="E202" s="507" t="str">
        <f>IF($B202="","",VLOOKUP(B202,RECEITAS!B203:D503,3,0))</f>
        <v/>
      </c>
      <c r="F202" s="508" t="str">
        <f>IF($B202="","",$E202*VLOOKUP($B202,MANUTENÇÃO!$B$3:$V$304,21,0))</f>
        <v/>
      </c>
    </row>
    <row r="203" spans="1:6" ht="18" x14ac:dyDescent="0.2">
      <c r="B203" s="475" t="str">
        <f>IF(FROTA!B206="","",FROTA!B206)</f>
        <v/>
      </c>
      <c r="C203" s="476" t="str">
        <f>IF($B203="","",VLOOKUP(B203,FROTA!$B$5:$Z$305,25,0))</f>
        <v/>
      </c>
      <c r="D203" s="476" t="str">
        <f>IF($B203="","",VLOOKUP(B203,FROTA!$B$5:$Z$305,2,0))</f>
        <v/>
      </c>
      <c r="E203" s="477" t="str">
        <f>IF($B203="","",VLOOKUP(B203,RECEITAS!B204:D504,3,0))</f>
        <v/>
      </c>
      <c r="F203" s="478" t="str">
        <f>IF($B203="","",$E203*VLOOKUP($B203,MANUTENÇÃO!$B$3:$V$304,21,0))</f>
        <v/>
      </c>
    </row>
    <row r="204" spans="1:6" ht="18" x14ac:dyDescent="0.2">
      <c r="B204" s="505" t="str">
        <f>IF(FROTA!B207="","",FROTA!B207)</f>
        <v/>
      </c>
      <c r="C204" s="506" t="str">
        <f>IF($B204="","",VLOOKUP(B204,FROTA!$B$5:$Z$305,25,0))</f>
        <v/>
      </c>
      <c r="D204" s="506" t="str">
        <f>IF($B204="","",VLOOKUP(B204,FROTA!$B$5:$Z$305,2,0))</f>
        <v/>
      </c>
      <c r="E204" s="507" t="str">
        <f>IF($B204="","",VLOOKUP(B204,RECEITAS!B205:D505,3,0))</f>
        <v/>
      </c>
      <c r="F204" s="508" t="str">
        <f>IF($B204="","",$E204*VLOOKUP($B204,MANUTENÇÃO!$B$3:$V$304,21,0))</f>
        <v/>
      </c>
    </row>
    <row r="205" spans="1:6" ht="18" x14ac:dyDescent="0.2">
      <c r="B205" s="475" t="str">
        <f>IF(FROTA!B208="","",FROTA!B208)</f>
        <v/>
      </c>
      <c r="C205" s="476" t="str">
        <f>IF($B205="","",VLOOKUP(B205,FROTA!$B$5:$Z$305,25,0))</f>
        <v/>
      </c>
      <c r="D205" s="476" t="str">
        <f>IF($B205="","",VLOOKUP(B205,FROTA!$B$5:$Z$305,2,0))</f>
        <v/>
      </c>
      <c r="E205" s="477" t="str">
        <f>IF($B205="","",VLOOKUP(B205,RECEITAS!B206:D506,3,0))</f>
        <v/>
      </c>
      <c r="F205" s="478" t="str">
        <f>IF($B205="","",$E205*VLOOKUP($B205,MANUTENÇÃO!$B$3:$V$304,21,0))</f>
        <v/>
      </c>
    </row>
    <row r="206" spans="1:6" ht="18" x14ac:dyDescent="0.2">
      <c r="B206" s="505" t="str">
        <f>IF(FROTA!B209="","",FROTA!B209)</f>
        <v/>
      </c>
      <c r="C206" s="506" t="str">
        <f>IF($B206="","",VLOOKUP(B206,FROTA!$B$5:$Z$305,25,0))</f>
        <v/>
      </c>
      <c r="D206" s="506" t="str">
        <f>IF($B206="","",VLOOKUP(B206,FROTA!$B$5:$Z$305,2,0))</f>
        <v/>
      </c>
      <c r="E206" s="507" t="str">
        <f>IF($B206="","",VLOOKUP(B206,RECEITAS!B207:D507,3,0))</f>
        <v/>
      </c>
      <c r="F206" s="508" t="str">
        <f>IF($B206="","",$E206*VLOOKUP($B206,MANUTENÇÃO!$B$3:$V$304,21,0))</f>
        <v/>
      </c>
    </row>
    <row r="207" spans="1:6" ht="18" x14ac:dyDescent="0.2">
      <c r="B207" s="475" t="str">
        <f>IF(FROTA!B210="","",FROTA!B210)</f>
        <v/>
      </c>
      <c r="C207" s="476" t="str">
        <f>IF($B207="","",VLOOKUP(B207,FROTA!$B$5:$Z$305,25,0))</f>
        <v/>
      </c>
      <c r="D207" s="476" t="str">
        <f>IF($B207="","",VLOOKUP(B207,FROTA!$B$5:$Z$305,2,0))</f>
        <v/>
      </c>
      <c r="E207" s="477" t="str">
        <f>IF($B207="","",VLOOKUP(B207,RECEITAS!B208:D508,3,0))</f>
        <v/>
      </c>
      <c r="F207" s="478" t="str">
        <f>IF($B207="","",$E207*VLOOKUP($B207,MANUTENÇÃO!$B$3:$V$304,21,0))</f>
        <v/>
      </c>
    </row>
    <row r="208" spans="1:6" ht="18" x14ac:dyDescent="0.2">
      <c r="B208" s="505" t="str">
        <f>IF(FROTA!B211="","",FROTA!B211)</f>
        <v/>
      </c>
      <c r="C208" s="506" t="str">
        <f>IF($B208="","",VLOOKUP(B208,FROTA!$B$5:$Z$305,25,0))</f>
        <v/>
      </c>
      <c r="D208" s="506" t="str">
        <f>IF($B208="","",VLOOKUP(B208,FROTA!$B$5:$Z$305,2,0))</f>
        <v/>
      </c>
      <c r="E208" s="507" t="str">
        <f>IF($B208="","",VLOOKUP(B208,RECEITAS!B209:D509,3,0))</f>
        <v/>
      </c>
      <c r="F208" s="508" t="str">
        <f>IF($B208="","",$E208*VLOOKUP($B208,MANUTENÇÃO!$B$3:$V$304,21,0))</f>
        <v/>
      </c>
    </row>
    <row r="209" spans="2:6" ht="18" x14ac:dyDescent="0.2">
      <c r="B209" s="475" t="str">
        <f>IF(FROTA!B212="","",FROTA!B212)</f>
        <v/>
      </c>
      <c r="C209" s="476" t="str">
        <f>IF($B209="","",VLOOKUP(B209,FROTA!$B$5:$Z$305,25,0))</f>
        <v/>
      </c>
      <c r="D209" s="476" t="str">
        <f>IF($B209="","",VLOOKUP(B209,FROTA!$B$5:$Z$305,2,0))</f>
        <v/>
      </c>
      <c r="E209" s="477" t="str">
        <f>IF($B209="","",VLOOKUP(B209,RECEITAS!B210:D510,3,0))</f>
        <v/>
      </c>
      <c r="F209" s="478" t="str">
        <f>IF($B209="","",$E209*VLOOKUP($B209,MANUTENÇÃO!$B$3:$V$304,21,0))</f>
        <v/>
      </c>
    </row>
    <row r="210" spans="2:6" ht="18" x14ac:dyDescent="0.2">
      <c r="B210" s="505" t="str">
        <f>IF(FROTA!B213="","",FROTA!B213)</f>
        <v/>
      </c>
      <c r="C210" s="506" t="str">
        <f>IF($B210="","",VLOOKUP(B210,FROTA!$B$5:$Z$305,25,0))</f>
        <v/>
      </c>
      <c r="D210" s="506" t="str">
        <f>IF($B210="","",VLOOKUP(B210,FROTA!$B$5:$Z$305,2,0))</f>
        <v/>
      </c>
      <c r="E210" s="507" t="str">
        <f>IF($B210="","",VLOOKUP(B210,RECEITAS!B211:D511,3,0))</f>
        <v/>
      </c>
      <c r="F210" s="508" t="str">
        <f>IF($B210="","",$E210*VLOOKUP($B210,MANUTENÇÃO!$B$3:$V$304,21,0))</f>
        <v/>
      </c>
    </row>
    <row r="211" spans="2:6" ht="18" x14ac:dyDescent="0.2">
      <c r="B211" s="475" t="str">
        <f>IF(FROTA!B214="","",FROTA!B214)</f>
        <v/>
      </c>
      <c r="C211" s="476" t="str">
        <f>IF($B211="","",VLOOKUP(B211,FROTA!$B$5:$Z$305,25,0))</f>
        <v/>
      </c>
      <c r="D211" s="476" t="str">
        <f>IF($B211="","",VLOOKUP(B211,FROTA!$B$5:$Z$305,2,0))</f>
        <v/>
      </c>
      <c r="E211" s="477" t="str">
        <f>IF($B211="","",VLOOKUP(B211,RECEITAS!B212:D512,3,0))</f>
        <v/>
      </c>
      <c r="F211" s="478" t="str">
        <f>IF($B211="","",$E211*VLOOKUP($B211,MANUTENÇÃO!$B$3:$V$304,21,0))</f>
        <v/>
      </c>
    </row>
    <row r="212" spans="2:6" ht="18" x14ac:dyDescent="0.2">
      <c r="B212" s="505" t="str">
        <f>IF(FROTA!B215="","",FROTA!B215)</f>
        <v/>
      </c>
      <c r="C212" s="506" t="str">
        <f>IF($B212="","",VLOOKUP(B212,FROTA!$B$5:$Z$305,25,0))</f>
        <v/>
      </c>
      <c r="D212" s="506" t="str">
        <f>IF($B212="","",VLOOKUP(B212,FROTA!$B$5:$Z$305,2,0))</f>
        <v/>
      </c>
      <c r="E212" s="507" t="str">
        <f>IF($B212="","",VLOOKUP(B212,RECEITAS!B213:D513,3,0))</f>
        <v/>
      </c>
      <c r="F212" s="508" t="str">
        <f>IF($B212="","",$E212*VLOOKUP($B212,MANUTENÇÃO!$B$3:$V$304,21,0))</f>
        <v/>
      </c>
    </row>
    <row r="213" spans="2:6" ht="18" x14ac:dyDescent="0.2">
      <c r="B213" s="475" t="str">
        <f>IF(FROTA!B216="","",FROTA!B216)</f>
        <v/>
      </c>
      <c r="C213" s="476" t="str">
        <f>IF($B213="","",VLOOKUP(B213,FROTA!$B$5:$Z$305,25,0))</f>
        <v/>
      </c>
      <c r="D213" s="476" t="str">
        <f>IF($B213="","",VLOOKUP(B213,FROTA!$B$5:$Z$305,2,0))</f>
        <v/>
      </c>
      <c r="E213" s="477" t="str">
        <f>IF($B213="","",VLOOKUP(B213,RECEITAS!B214:D514,3,0))</f>
        <v/>
      </c>
      <c r="F213" s="478" t="str">
        <f>IF($B213="","",$E213*VLOOKUP($B213,MANUTENÇÃO!$B$3:$V$304,21,0))</f>
        <v/>
      </c>
    </row>
    <row r="214" spans="2:6" ht="18" x14ac:dyDescent="0.2">
      <c r="B214" s="505" t="str">
        <f>IF(FROTA!B217="","",FROTA!B217)</f>
        <v/>
      </c>
      <c r="C214" s="506" t="str">
        <f>IF($B214="","",VLOOKUP(B214,FROTA!$B$5:$Z$305,25,0))</f>
        <v/>
      </c>
      <c r="D214" s="506" t="str">
        <f>IF($B214="","",VLOOKUP(B214,FROTA!$B$5:$Z$305,2,0))</f>
        <v/>
      </c>
      <c r="E214" s="507" t="str">
        <f>IF($B214="","",VLOOKUP(B214,RECEITAS!B215:D515,3,0))</f>
        <v/>
      </c>
      <c r="F214" s="508" t="str">
        <f>IF($B214="","",$E214*VLOOKUP($B214,MANUTENÇÃO!$B$3:$V$304,21,0))</f>
        <v/>
      </c>
    </row>
    <row r="215" spans="2:6" ht="18" x14ac:dyDescent="0.2">
      <c r="B215" s="475" t="str">
        <f>IF(FROTA!B218="","",FROTA!B218)</f>
        <v/>
      </c>
      <c r="C215" s="476" t="str">
        <f>IF($B215="","",VLOOKUP(B215,FROTA!$B$5:$Z$305,25,0))</f>
        <v/>
      </c>
      <c r="D215" s="476" t="str">
        <f>IF($B215="","",VLOOKUP(B215,FROTA!$B$5:$Z$305,2,0))</f>
        <v/>
      </c>
      <c r="E215" s="477" t="str">
        <f>IF($B215="","",VLOOKUP(B215,RECEITAS!B216:D516,3,0))</f>
        <v/>
      </c>
      <c r="F215" s="478" t="str">
        <f>IF($B215="","",$E215*VLOOKUP($B215,MANUTENÇÃO!$B$3:$V$304,21,0))</f>
        <v/>
      </c>
    </row>
    <row r="216" spans="2:6" ht="18" x14ac:dyDescent="0.2">
      <c r="B216" s="505" t="str">
        <f>IF(FROTA!B219="","",FROTA!B219)</f>
        <v/>
      </c>
      <c r="C216" s="506" t="str">
        <f>IF($B216="","",VLOOKUP(B216,FROTA!$B$5:$Z$305,25,0))</f>
        <v/>
      </c>
      <c r="D216" s="506" t="str">
        <f>IF($B216="","",VLOOKUP(B216,FROTA!$B$5:$Z$305,2,0))</f>
        <v/>
      </c>
      <c r="E216" s="507" t="str">
        <f>IF($B216="","",VLOOKUP(B216,RECEITAS!B217:D517,3,0))</f>
        <v/>
      </c>
      <c r="F216" s="508" t="str">
        <f>IF($B216="","",$E216*VLOOKUP($B216,MANUTENÇÃO!$B$3:$V$304,21,0))</f>
        <v/>
      </c>
    </row>
    <row r="217" spans="2:6" ht="18" x14ac:dyDescent="0.2">
      <c r="B217" s="475" t="str">
        <f>IF(FROTA!B220="","",FROTA!B220)</f>
        <v/>
      </c>
      <c r="C217" s="476" t="str">
        <f>IF($B217="","",VLOOKUP(B217,FROTA!$B$5:$Z$305,25,0))</f>
        <v/>
      </c>
      <c r="D217" s="476" t="str">
        <f>IF($B217="","",VLOOKUP(B217,FROTA!$B$5:$Z$305,2,0))</f>
        <v/>
      </c>
      <c r="E217" s="477" t="str">
        <f>IF($B217="","",VLOOKUP(B217,RECEITAS!B218:D518,3,0))</f>
        <v/>
      </c>
      <c r="F217" s="478" t="str">
        <f>IF($B217="","",$E217*VLOOKUP($B217,MANUTENÇÃO!$B$3:$V$304,21,0))</f>
        <v/>
      </c>
    </row>
    <row r="218" spans="2:6" ht="18" x14ac:dyDescent="0.2">
      <c r="B218" s="505" t="str">
        <f>IF(FROTA!B221="","",FROTA!B221)</f>
        <v/>
      </c>
      <c r="C218" s="506" t="str">
        <f>IF($B218="","",VLOOKUP(B218,FROTA!$B$5:$Z$305,25,0))</f>
        <v/>
      </c>
      <c r="D218" s="506" t="str">
        <f>IF($B218="","",VLOOKUP(B218,FROTA!$B$5:$Z$305,2,0))</f>
        <v/>
      </c>
      <c r="E218" s="507" t="str">
        <f>IF($B218="","",VLOOKUP(B218,RECEITAS!B219:D519,3,0))</f>
        <v/>
      </c>
      <c r="F218" s="508" t="str">
        <f>IF($B218="","",$E218*VLOOKUP($B218,MANUTENÇÃO!$B$3:$V$304,21,0))</f>
        <v/>
      </c>
    </row>
    <row r="219" spans="2:6" ht="18" x14ac:dyDescent="0.2">
      <c r="B219" s="475" t="str">
        <f>IF(FROTA!B222="","",FROTA!B222)</f>
        <v/>
      </c>
      <c r="C219" s="476" t="str">
        <f>IF($B219="","",VLOOKUP(B219,FROTA!$B$5:$Z$305,25,0))</f>
        <v/>
      </c>
      <c r="D219" s="476" t="str">
        <f>IF($B219="","",VLOOKUP(B219,FROTA!$B$5:$Z$305,2,0))</f>
        <v/>
      </c>
      <c r="E219" s="477" t="str">
        <f>IF($B219="","",VLOOKUP(B219,RECEITAS!B220:D520,3,0))</f>
        <v/>
      </c>
      <c r="F219" s="478" t="str">
        <f>IF($B219="","",$E219*VLOOKUP($B219,MANUTENÇÃO!$B$3:$V$304,21,0))</f>
        <v/>
      </c>
    </row>
    <row r="220" spans="2:6" ht="18" x14ac:dyDescent="0.2">
      <c r="B220" s="505" t="str">
        <f>IF(FROTA!B223="","",FROTA!B223)</f>
        <v/>
      </c>
      <c r="C220" s="506" t="str">
        <f>IF($B220="","",VLOOKUP(B220,FROTA!$B$5:$Z$305,25,0))</f>
        <v/>
      </c>
      <c r="D220" s="506" t="str">
        <f>IF($B220="","",VLOOKUP(B220,FROTA!$B$5:$Z$305,2,0))</f>
        <v/>
      </c>
      <c r="E220" s="507" t="str">
        <f>IF($B220="","",VLOOKUP(B220,RECEITAS!B221:D521,3,0))</f>
        <v/>
      </c>
      <c r="F220" s="508" t="str">
        <f>IF($B220="","",$E220*VLOOKUP($B220,MANUTENÇÃO!$B$3:$V$304,21,0))</f>
        <v/>
      </c>
    </row>
    <row r="221" spans="2:6" ht="18" x14ac:dyDescent="0.2">
      <c r="B221" s="475" t="str">
        <f>IF(FROTA!B224="","",FROTA!B224)</f>
        <v/>
      </c>
      <c r="C221" s="476" t="str">
        <f>IF($B221="","",VLOOKUP(B221,FROTA!$B$5:$Z$305,25,0))</f>
        <v/>
      </c>
      <c r="D221" s="476" t="str">
        <f>IF($B221="","",VLOOKUP(B221,FROTA!$B$5:$Z$305,2,0))</f>
        <v/>
      </c>
      <c r="E221" s="477" t="str">
        <f>IF($B221="","",VLOOKUP(B221,RECEITAS!B222:D522,3,0))</f>
        <v/>
      </c>
      <c r="F221" s="478" t="str">
        <f>IF($B221="","",$E221*VLOOKUP($B221,MANUTENÇÃO!$B$3:$V$304,21,0))</f>
        <v/>
      </c>
    </row>
    <row r="222" spans="2:6" ht="18" x14ac:dyDescent="0.2">
      <c r="B222" s="505" t="str">
        <f>IF(FROTA!B225="","",FROTA!B225)</f>
        <v/>
      </c>
      <c r="C222" s="506" t="str">
        <f>IF($B222="","",VLOOKUP(B222,FROTA!$B$5:$Z$305,25,0))</f>
        <v/>
      </c>
      <c r="D222" s="506" t="str">
        <f>IF($B222="","",VLOOKUP(B222,FROTA!$B$5:$Z$305,2,0))</f>
        <v/>
      </c>
      <c r="E222" s="507" t="str">
        <f>IF($B222="","",VLOOKUP(B222,RECEITAS!B223:D523,3,0))</f>
        <v/>
      </c>
      <c r="F222" s="508" t="str">
        <f>IF($B222="","",$E222*VLOOKUP($B222,MANUTENÇÃO!$B$3:$V$304,21,0))</f>
        <v/>
      </c>
    </row>
    <row r="223" spans="2:6" ht="18" x14ac:dyDescent="0.2">
      <c r="B223" s="475" t="str">
        <f>IF(FROTA!B226="","",FROTA!B226)</f>
        <v/>
      </c>
      <c r="C223" s="476" t="str">
        <f>IF($B223="","",VLOOKUP(B223,FROTA!$B$5:$Z$305,25,0))</f>
        <v/>
      </c>
      <c r="D223" s="476" t="str">
        <f>IF($B223="","",VLOOKUP(B223,FROTA!$B$5:$Z$305,2,0))</f>
        <v/>
      </c>
      <c r="E223" s="477" t="str">
        <f>IF($B223="","",VLOOKUP(B223,RECEITAS!B224:D524,3,0))</f>
        <v/>
      </c>
      <c r="F223" s="478" t="str">
        <f>IF($B223="","",$E223*VLOOKUP($B223,MANUTENÇÃO!$B$3:$V$304,21,0))</f>
        <v/>
      </c>
    </row>
    <row r="224" spans="2:6" ht="18" x14ac:dyDescent="0.2">
      <c r="B224" s="505" t="str">
        <f>IF(FROTA!B227="","",FROTA!B227)</f>
        <v/>
      </c>
      <c r="C224" s="506" t="str">
        <f>IF($B224="","",VLOOKUP(B224,FROTA!$B$5:$Z$305,25,0))</f>
        <v/>
      </c>
      <c r="D224" s="506" t="str">
        <f>IF($B224="","",VLOOKUP(B224,FROTA!$B$5:$Z$305,2,0))</f>
        <v/>
      </c>
      <c r="E224" s="507" t="str">
        <f>IF($B224="","",VLOOKUP(B224,RECEITAS!B225:D525,3,0))</f>
        <v/>
      </c>
      <c r="F224" s="508" t="str">
        <f>IF($B224="","",$E224*VLOOKUP($B224,MANUTENÇÃO!$B$3:$V$304,21,0))</f>
        <v/>
      </c>
    </row>
    <row r="225" spans="2:6" ht="18" x14ac:dyDescent="0.2">
      <c r="B225" s="475" t="str">
        <f>IF(FROTA!B228="","",FROTA!B228)</f>
        <v/>
      </c>
      <c r="C225" s="476" t="str">
        <f>IF($B225="","",VLOOKUP(B225,FROTA!$B$5:$Z$305,25,0))</f>
        <v/>
      </c>
      <c r="D225" s="476" t="str">
        <f>IF($B225="","",VLOOKUP(B225,FROTA!$B$5:$Z$305,2,0))</f>
        <v/>
      </c>
      <c r="E225" s="477" t="str">
        <f>IF($B225="","",VLOOKUP(B225,RECEITAS!B226:D526,3,0))</f>
        <v/>
      </c>
      <c r="F225" s="478" t="str">
        <f>IF($B225="","",$E225*VLOOKUP($B225,MANUTENÇÃO!$B$3:$V$304,21,0))</f>
        <v/>
      </c>
    </row>
    <row r="226" spans="2:6" ht="18" x14ac:dyDescent="0.2">
      <c r="B226" s="505" t="str">
        <f>IF(FROTA!B229="","",FROTA!B229)</f>
        <v/>
      </c>
      <c r="C226" s="506" t="str">
        <f>IF($B226="","",VLOOKUP(B226,FROTA!$B$5:$Z$305,25,0))</f>
        <v/>
      </c>
      <c r="D226" s="506" t="str">
        <f>IF($B226="","",VLOOKUP(B226,FROTA!$B$5:$Z$305,2,0))</f>
        <v/>
      </c>
      <c r="E226" s="507" t="str">
        <f>IF($B226="","",VLOOKUP(B226,RECEITAS!B227:D527,3,0))</f>
        <v/>
      </c>
      <c r="F226" s="508" t="str">
        <f>IF($B226="","",$E226*VLOOKUP($B226,MANUTENÇÃO!$B$3:$V$304,21,0))</f>
        <v/>
      </c>
    </row>
    <row r="227" spans="2:6" ht="18" x14ac:dyDescent="0.2">
      <c r="B227" s="475" t="str">
        <f>IF(FROTA!B230="","",FROTA!B230)</f>
        <v/>
      </c>
      <c r="C227" s="476" t="str">
        <f>IF($B227="","",VLOOKUP(B227,FROTA!$B$5:$Z$305,25,0))</f>
        <v/>
      </c>
      <c r="D227" s="476" t="str">
        <f>IF($B227="","",VLOOKUP(B227,FROTA!$B$5:$Z$305,2,0))</f>
        <v/>
      </c>
      <c r="E227" s="477" t="str">
        <f>IF($B227="","",VLOOKUP(B227,RECEITAS!B228:D528,3,0))</f>
        <v/>
      </c>
      <c r="F227" s="478" t="str">
        <f>IF($B227="","",$E227*VLOOKUP($B227,MANUTENÇÃO!$B$3:$V$304,21,0))</f>
        <v/>
      </c>
    </row>
    <row r="228" spans="2:6" ht="18" x14ac:dyDescent="0.2">
      <c r="B228" s="505" t="str">
        <f>IF(FROTA!B231="","",FROTA!B231)</f>
        <v/>
      </c>
      <c r="C228" s="506" t="str">
        <f>IF($B228="","",VLOOKUP(B228,FROTA!$B$5:$Z$305,25,0))</f>
        <v/>
      </c>
      <c r="D228" s="506" t="str">
        <f>IF($B228="","",VLOOKUP(B228,FROTA!$B$5:$Z$305,2,0))</f>
        <v/>
      </c>
      <c r="E228" s="507" t="str">
        <f>IF($B228="","",VLOOKUP(B228,RECEITAS!B229:D529,3,0))</f>
        <v/>
      </c>
      <c r="F228" s="508" t="str">
        <f>IF($B228="","",$E228*VLOOKUP($B228,MANUTENÇÃO!$B$3:$V$304,21,0))</f>
        <v/>
      </c>
    </row>
    <row r="229" spans="2:6" ht="18" x14ac:dyDescent="0.2">
      <c r="B229" s="475" t="str">
        <f>IF(FROTA!B232="","",FROTA!B232)</f>
        <v/>
      </c>
      <c r="C229" s="476" t="str">
        <f>IF($B229="","",VLOOKUP(B229,FROTA!$B$5:$Z$305,25,0))</f>
        <v/>
      </c>
      <c r="D229" s="476" t="str">
        <f>IF($B229="","",VLOOKUP(B229,FROTA!$B$5:$Z$305,2,0))</f>
        <v/>
      </c>
      <c r="E229" s="477" t="str">
        <f>IF($B229="","",VLOOKUP(B229,RECEITAS!B230:D530,3,0))</f>
        <v/>
      </c>
      <c r="F229" s="478" t="str">
        <f>IF($B229="","",$E229*VLOOKUP($B229,MANUTENÇÃO!$B$3:$V$304,21,0))</f>
        <v/>
      </c>
    </row>
    <row r="230" spans="2:6" ht="18" x14ac:dyDescent="0.2">
      <c r="B230" s="505" t="str">
        <f>IF(FROTA!B233="","",FROTA!B233)</f>
        <v/>
      </c>
      <c r="C230" s="506" t="str">
        <f>IF($B230="","",VLOOKUP(B230,FROTA!$B$5:$Z$305,25,0))</f>
        <v/>
      </c>
      <c r="D230" s="506" t="str">
        <f>IF($B230="","",VLOOKUP(B230,FROTA!$B$5:$Z$305,2,0))</f>
        <v/>
      </c>
      <c r="E230" s="507" t="str">
        <f>IF($B230="","",VLOOKUP(B230,RECEITAS!B231:D531,3,0))</f>
        <v/>
      </c>
      <c r="F230" s="508" t="str">
        <f>IF($B230="","",$E230*VLOOKUP($B230,MANUTENÇÃO!$B$3:$V$304,21,0))</f>
        <v/>
      </c>
    </row>
    <row r="231" spans="2:6" ht="18" x14ac:dyDescent="0.2">
      <c r="B231" s="475" t="str">
        <f>IF(FROTA!B234="","",FROTA!B234)</f>
        <v/>
      </c>
      <c r="C231" s="476" t="str">
        <f>IF($B231="","",VLOOKUP(B231,FROTA!$B$5:$Z$305,25,0))</f>
        <v/>
      </c>
      <c r="D231" s="476" t="str">
        <f>IF($B231="","",VLOOKUP(B231,FROTA!$B$5:$Z$305,2,0))</f>
        <v/>
      </c>
      <c r="E231" s="477" t="str">
        <f>IF($B231="","",VLOOKUP(B231,RECEITAS!B232:D532,3,0))</f>
        <v/>
      </c>
      <c r="F231" s="478" t="str">
        <f>IF($B231="","",$E231*VLOOKUP($B231,MANUTENÇÃO!$B$3:$V$304,21,0))</f>
        <v/>
      </c>
    </row>
    <row r="232" spans="2:6" ht="18" x14ac:dyDescent="0.2">
      <c r="B232" s="505" t="str">
        <f>IF(FROTA!B235="","",FROTA!B235)</f>
        <v/>
      </c>
      <c r="C232" s="506" t="str">
        <f>IF($B232="","",VLOOKUP(B232,FROTA!$B$5:$Z$305,25,0))</f>
        <v/>
      </c>
      <c r="D232" s="506" t="str">
        <f>IF($B232="","",VLOOKUP(B232,FROTA!$B$5:$Z$305,2,0))</f>
        <v/>
      </c>
      <c r="E232" s="507" t="str">
        <f>IF($B232="","",VLOOKUP(B232,RECEITAS!B233:D533,3,0))</f>
        <v/>
      </c>
      <c r="F232" s="508" t="str">
        <f>IF($B232="","",$E232*VLOOKUP($B232,MANUTENÇÃO!$B$3:$V$304,21,0))</f>
        <v/>
      </c>
    </row>
    <row r="233" spans="2:6" ht="18" x14ac:dyDescent="0.2">
      <c r="B233" s="475" t="str">
        <f>IF(FROTA!B236="","",FROTA!B236)</f>
        <v/>
      </c>
      <c r="C233" s="476" t="str">
        <f>IF($B233="","",VLOOKUP(B233,FROTA!$B$5:$Z$305,25,0))</f>
        <v/>
      </c>
      <c r="D233" s="476" t="str">
        <f>IF($B233="","",VLOOKUP(B233,FROTA!$B$5:$Z$305,2,0))</f>
        <v/>
      </c>
      <c r="E233" s="477" t="str">
        <f>IF($B233="","",VLOOKUP(B233,RECEITAS!B234:D534,3,0))</f>
        <v/>
      </c>
      <c r="F233" s="478" t="str">
        <f>IF($B233="","",$E233*VLOOKUP($B233,MANUTENÇÃO!$B$3:$V$304,21,0))</f>
        <v/>
      </c>
    </row>
    <row r="234" spans="2:6" ht="18" x14ac:dyDescent="0.2">
      <c r="B234" s="505" t="str">
        <f>IF(FROTA!B237="","",FROTA!B237)</f>
        <v/>
      </c>
      <c r="C234" s="506" t="str">
        <f>IF($B234="","",VLOOKUP(B234,FROTA!$B$5:$Z$305,25,0))</f>
        <v/>
      </c>
      <c r="D234" s="506" t="str">
        <f>IF($B234="","",VLOOKUP(B234,FROTA!$B$5:$Z$305,2,0))</f>
        <v/>
      </c>
      <c r="E234" s="507" t="str">
        <f>IF($B234="","",VLOOKUP(B234,RECEITAS!B235:D535,3,0))</f>
        <v/>
      </c>
      <c r="F234" s="508" t="str">
        <f>IF($B234="","",$E234*VLOOKUP($B234,MANUTENÇÃO!$B$3:$V$304,21,0))</f>
        <v/>
      </c>
    </row>
    <row r="235" spans="2:6" ht="18" x14ac:dyDescent="0.2">
      <c r="B235" s="475" t="str">
        <f>IF(FROTA!B238="","",FROTA!B238)</f>
        <v/>
      </c>
      <c r="C235" s="476" t="str">
        <f>IF($B235="","",VLOOKUP(B235,FROTA!$B$5:$Z$305,25,0))</f>
        <v/>
      </c>
      <c r="D235" s="476" t="str">
        <f>IF($B235="","",VLOOKUP(B235,FROTA!$B$5:$Z$305,2,0))</f>
        <v/>
      </c>
      <c r="E235" s="477" t="str">
        <f>IF($B235="","",VLOOKUP(B235,RECEITAS!B236:D536,3,0))</f>
        <v/>
      </c>
      <c r="F235" s="478" t="str">
        <f>IF($B235="","",$E235*VLOOKUP($B235,MANUTENÇÃO!$B$3:$V$304,21,0))</f>
        <v/>
      </c>
    </row>
    <row r="236" spans="2:6" ht="18" x14ac:dyDescent="0.2">
      <c r="B236" s="505" t="str">
        <f>IF(FROTA!B239="","",FROTA!B239)</f>
        <v/>
      </c>
      <c r="C236" s="506" t="str">
        <f>IF($B236="","",VLOOKUP(B236,FROTA!$B$5:$Z$305,25,0))</f>
        <v/>
      </c>
      <c r="D236" s="506" t="str">
        <f>IF($B236="","",VLOOKUP(B236,FROTA!$B$5:$Z$305,2,0))</f>
        <v/>
      </c>
      <c r="E236" s="507" t="str">
        <f>IF($B236="","",VLOOKUP(B236,RECEITAS!B237:D537,3,0))</f>
        <v/>
      </c>
      <c r="F236" s="508" t="str">
        <f>IF($B236="","",$E236*VLOOKUP($B236,MANUTENÇÃO!$B$3:$V$304,21,0))</f>
        <v/>
      </c>
    </row>
    <row r="237" spans="2:6" ht="18" x14ac:dyDescent="0.2">
      <c r="B237" s="475" t="str">
        <f>IF(FROTA!B240="","",FROTA!B240)</f>
        <v/>
      </c>
      <c r="C237" s="476" t="str">
        <f>IF($B237="","",VLOOKUP(B237,FROTA!$B$5:$Z$305,25,0))</f>
        <v/>
      </c>
      <c r="D237" s="476" t="str">
        <f>IF($B237="","",VLOOKUP(B237,FROTA!$B$5:$Z$305,2,0))</f>
        <v/>
      </c>
      <c r="E237" s="477" t="str">
        <f>IF($B237="","",VLOOKUP(B237,RECEITAS!B238:D538,3,0))</f>
        <v/>
      </c>
      <c r="F237" s="478" t="str">
        <f>IF($B237="","",$E237*VLOOKUP($B237,MANUTENÇÃO!$B$3:$V$304,21,0))</f>
        <v/>
      </c>
    </row>
    <row r="238" spans="2:6" ht="18" x14ac:dyDescent="0.2">
      <c r="B238" s="505" t="str">
        <f>IF(FROTA!B241="","",FROTA!B241)</f>
        <v/>
      </c>
      <c r="C238" s="506" t="str">
        <f>IF($B238="","",VLOOKUP(B238,FROTA!$B$5:$Z$305,25,0))</f>
        <v/>
      </c>
      <c r="D238" s="506" t="str">
        <f>IF($B238="","",VLOOKUP(B238,FROTA!$B$5:$Z$305,2,0))</f>
        <v/>
      </c>
      <c r="E238" s="507" t="str">
        <f>IF($B238="","",VLOOKUP(B238,RECEITAS!B239:D539,3,0))</f>
        <v/>
      </c>
      <c r="F238" s="508" t="str">
        <f>IF($B238="","",$E238*VLOOKUP($B238,MANUTENÇÃO!$B$3:$V$304,21,0))</f>
        <v/>
      </c>
    </row>
    <row r="239" spans="2:6" ht="18" x14ac:dyDescent="0.2">
      <c r="B239" s="475" t="str">
        <f>IF(FROTA!B242="","",FROTA!B242)</f>
        <v/>
      </c>
      <c r="C239" s="476" t="str">
        <f>IF($B239="","",VLOOKUP(B239,FROTA!$B$5:$Z$305,25,0))</f>
        <v/>
      </c>
      <c r="D239" s="476" t="str">
        <f>IF($B239="","",VLOOKUP(B239,FROTA!$B$5:$Z$305,2,0))</f>
        <v/>
      </c>
      <c r="E239" s="477" t="str">
        <f>IF($B239="","",VLOOKUP(B239,RECEITAS!B240:D540,3,0))</f>
        <v/>
      </c>
      <c r="F239" s="478" t="str">
        <f>IF($B239="","",$E239*VLOOKUP($B239,MANUTENÇÃO!$B$3:$V$304,21,0))</f>
        <v/>
      </c>
    </row>
    <row r="240" spans="2:6" ht="18" x14ac:dyDescent="0.2">
      <c r="B240" s="505" t="str">
        <f>IF(FROTA!B243="","",FROTA!B243)</f>
        <v/>
      </c>
      <c r="C240" s="506" t="str">
        <f>IF($B240="","",VLOOKUP(B240,FROTA!$B$5:$Z$305,25,0))</f>
        <v/>
      </c>
      <c r="D240" s="506" t="str">
        <f>IF($B240="","",VLOOKUP(B240,FROTA!$B$5:$Z$305,2,0))</f>
        <v/>
      </c>
      <c r="E240" s="507" t="str">
        <f>IF($B240="","",VLOOKUP(B240,RECEITAS!B241:D541,3,0))</f>
        <v/>
      </c>
      <c r="F240" s="508" t="str">
        <f>IF($B240="","",$E240*VLOOKUP($B240,MANUTENÇÃO!$B$3:$V$304,21,0))</f>
        <v/>
      </c>
    </row>
    <row r="241" spans="2:6" ht="18" x14ac:dyDescent="0.2">
      <c r="B241" s="475" t="str">
        <f>IF(FROTA!B244="","",FROTA!B244)</f>
        <v/>
      </c>
      <c r="C241" s="476" t="str">
        <f>IF($B241="","",VLOOKUP(B241,FROTA!$B$5:$Z$305,25,0))</f>
        <v/>
      </c>
      <c r="D241" s="476" t="str">
        <f>IF($B241="","",VLOOKUP(B241,FROTA!$B$5:$Z$305,2,0))</f>
        <v/>
      </c>
      <c r="E241" s="477" t="str">
        <f>IF($B241="","",VLOOKUP(B241,RECEITAS!B242:D542,3,0))</f>
        <v/>
      </c>
      <c r="F241" s="478" t="str">
        <f>IF($B241="","",$E241*VLOOKUP($B241,MANUTENÇÃO!$B$3:$V$304,21,0))</f>
        <v/>
      </c>
    </row>
    <row r="242" spans="2:6" ht="18" x14ac:dyDescent="0.2">
      <c r="B242" s="505" t="str">
        <f>IF(FROTA!B245="","",FROTA!B245)</f>
        <v/>
      </c>
      <c r="C242" s="506" t="str">
        <f>IF($B242="","",VLOOKUP(B242,FROTA!$B$5:$Z$305,25,0))</f>
        <v/>
      </c>
      <c r="D242" s="506" t="str">
        <f>IF($B242="","",VLOOKUP(B242,FROTA!$B$5:$Z$305,2,0))</f>
        <v/>
      </c>
      <c r="E242" s="507" t="str">
        <f>IF($B242="","",VLOOKUP(B242,RECEITAS!B243:D543,3,0))</f>
        <v/>
      </c>
      <c r="F242" s="508" t="str">
        <f>IF($B242="","",$E242*VLOOKUP($B242,MANUTENÇÃO!$B$3:$V$304,21,0))</f>
        <v/>
      </c>
    </row>
    <row r="243" spans="2:6" ht="18" x14ac:dyDescent="0.2">
      <c r="B243" s="475" t="str">
        <f>IF(FROTA!B246="","",FROTA!B246)</f>
        <v/>
      </c>
      <c r="C243" s="476" t="str">
        <f>IF($B243="","",VLOOKUP(B243,FROTA!$B$5:$Z$305,25,0))</f>
        <v/>
      </c>
      <c r="D243" s="476" t="str">
        <f>IF($B243="","",VLOOKUP(B243,FROTA!$B$5:$Z$305,2,0))</f>
        <v/>
      </c>
      <c r="E243" s="477" t="str">
        <f>IF($B243="","",VLOOKUP(B243,RECEITAS!B244:D544,3,0))</f>
        <v/>
      </c>
      <c r="F243" s="478" t="str">
        <f>IF($B243="","",$E243*VLOOKUP($B243,MANUTENÇÃO!$B$3:$V$304,21,0))</f>
        <v/>
      </c>
    </row>
    <row r="244" spans="2:6" ht="18" x14ac:dyDescent="0.2">
      <c r="B244" s="505" t="str">
        <f>IF(FROTA!B247="","",FROTA!B247)</f>
        <v/>
      </c>
      <c r="C244" s="506" t="str">
        <f>IF($B244="","",VLOOKUP(B244,FROTA!$B$5:$Z$305,25,0))</f>
        <v/>
      </c>
      <c r="D244" s="506" t="str">
        <f>IF($B244="","",VLOOKUP(B244,FROTA!$B$5:$Z$305,2,0))</f>
        <v/>
      </c>
      <c r="E244" s="507" t="str">
        <f>IF($B244="","",VLOOKUP(B244,RECEITAS!B245:D545,3,0))</f>
        <v/>
      </c>
      <c r="F244" s="508" t="str">
        <f>IF($B244="","",$E244*VLOOKUP($B244,MANUTENÇÃO!$B$3:$V$304,21,0))</f>
        <v/>
      </c>
    </row>
    <row r="245" spans="2:6" ht="18" x14ac:dyDescent="0.2">
      <c r="B245" s="475" t="str">
        <f>IF(FROTA!B248="","",FROTA!B248)</f>
        <v/>
      </c>
      <c r="C245" s="476" t="str">
        <f>IF($B245="","",VLOOKUP(B245,FROTA!$B$5:$Z$305,25,0))</f>
        <v/>
      </c>
      <c r="D245" s="476" t="str">
        <f>IF($B245="","",VLOOKUP(B245,FROTA!$B$5:$Z$305,2,0))</f>
        <v/>
      </c>
      <c r="E245" s="477" t="str">
        <f>IF($B245="","",VLOOKUP(B245,RECEITAS!B246:D546,3,0))</f>
        <v/>
      </c>
      <c r="F245" s="478" t="str">
        <f>IF($B245="","",$E245*VLOOKUP($B245,MANUTENÇÃO!$B$3:$V$304,21,0))</f>
        <v/>
      </c>
    </row>
    <row r="246" spans="2:6" ht="18" x14ac:dyDescent="0.2">
      <c r="B246" s="505" t="str">
        <f>IF(FROTA!B249="","",FROTA!B249)</f>
        <v/>
      </c>
      <c r="C246" s="506" t="str">
        <f>IF($B246="","",VLOOKUP(B246,FROTA!$B$5:$Z$305,25,0))</f>
        <v/>
      </c>
      <c r="D246" s="506" t="str">
        <f>IF($B246="","",VLOOKUP(B246,FROTA!$B$5:$Z$305,2,0))</f>
        <v/>
      </c>
      <c r="E246" s="507" t="str">
        <f>IF($B246="","",VLOOKUP(B246,RECEITAS!B247:D547,3,0))</f>
        <v/>
      </c>
      <c r="F246" s="508" t="str">
        <f>IF($B246="","",$E246*VLOOKUP($B246,MANUTENÇÃO!$B$3:$V$304,21,0))</f>
        <v/>
      </c>
    </row>
    <row r="247" spans="2:6" ht="18" x14ac:dyDescent="0.2">
      <c r="B247" s="475" t="str">
        <f>IF(FROTA!B250="","",FROTA!B250)</f>
        <v/>
      </c>
      <c r="C247" s="476" t="str">
        <f>IF($B247="","",VLOOKUP(B247,FROTA!$B$5:$Z$305,25,0))</f>
        <v/>
      </c>
      <c r="D247" s="476" t="str">
        <f>IF($B247="","",VLOOKUP(B247,FROTA!$B$5:$Z$305,2,0))</f>
        <v/>
      </c>
      <c r="E247" s="477" t="str">
        <f>IF($B247="","",VLOOKUP(B247,RECEITAS!B248:D548,3,0))</f>
        <v/>
      </c>
      <c r="F247" s="478" t="str">
        <f>IF($B247="","",$E247*VLOOKUP($B247,MANUTENÇÃO!$B$3:$V$304,21,0))</f>
        <v/>
      </c>
    </row>
    <row r="248" spans="2:6" ht="18" x14ac:dyDescent="0.2">
      <c r="B248" s="505" t="str">
        <f>IF(FROTA!B251="","",FROTA!B251)</f>
        <v/>
      </c>
      <c r="C248" s="506" t="str">
        <f>IF($B248="","",VLOOKUP(B248,FROTA!$B$5:$Z$305,25,0))</f>
        <v/>
      </c>
      <c r="D248" s="506" t="str">
        <f>IF($B248="","",VLOOKUP(B248,FROTA!$B$5:$Z$305,2,0))</f>
        <v/>
      </c>
      <c r="E248" s="507" t="str">
        <f>IF($B248="","",VLOOKUP(B248,RECEITAS!B249:D549,3,0))</f>
        <v/>
      </c>
      <c r="F248" s="508" t="str">
        <f>IF($B248="","",$E248*VLOOKUP($B248,MANUTENÇÃO!$B$3:$V$304,21,0))</f>
        <v/>
      </c>
    </row>
    <row r="249" spans="2:6" ht="18" x14ac:dyDescent="0.2">
      <c r="B249" s="475" t="str">
        <f>IF(FROTA!B252="","",FROTA!B252)</f>
        <v/>
      </c>
      <c r="C249" s="476" t="str">
        <f>IF($B249="","",VLOOKUP(B249,FROTA!$B$5:$Z$305,25,0))</f>
        <v/>
      </c>
      <c r="D249" s="476" t="str">
        <f>IF($B249="","",VLOOKUP(B249,FROTA!$B$5:$Z$305,2,0))</f>
        <v/>
      </c>
      <c r="E249" s="477" t="str">
        <f>IF($B249="","",VLOOKUP(B249,RECEITAS!B250:D550,3,0))</f>
        <v/>
      </c>
      <c r="F249" s="478" t="str">
        <f>IF($B249="","",$E249*VLOOKUP($B249,MANUTENÇÃO!$B$3:$V$304,21,0))</f>
        <v/>
      </c>
    </row>
    <row r="250" spans="2:6" ht="18" x14ac:dyDescent="0.2">
      <c r="B250" s="505" t="str">
        <f>IF(FROTA!B253="","",FROTA!B253)</f>
        <v/>
      </c>
      <c r="C250" s="506" t="str">
        <f>IF($B250="","",VLOOKUP(B250,FROTA!$B$5:$Z$305,25,0))</f>
        <v/>
      </c>
      <c r="D250" s="506" t="str">
        <f>IF($B250="","",VLOOKUP(B250,FROTA!$B$5:$Z$305,2,0))</f>
        <v/>
      </c>
      <c r="E250" s="507" t="str">
        <f>IF($B250="","",VLOOKUP(B250,RECEITAS!B251:D551,3,0))</f>
        <v/>
      </c>
      <c r="F250" s="508" t="str">
        <f>IF($B250="","",$E250*VLOOKUP($B250,MANUTENÇÃO!$B$3:$V$304,21,0))</f>
        <v/>
      </c>
    </row>
    <row r="251" spans="2:6" ht="18" x14ac:dyDescent="0.2">
      <c r="B251" s="475" t="str">
        <f>IF(FROTA!B254="","",FROTA!B254)</f>
        <v/>
      </c>
      <c r="C251" s="476" t="str">
        <f>IF($B251="","",VLOOKUP(B251,FROTA!$B$5:$Z$305,25,0))</f>
        <v/>
      </c>
      <c r="D251" s="476" t="str">
        <f>IF($B251="","",VLOOKUP(B251,FROTA!$B$5:$Z$305,2,0))</f>
        <v/>
      </c>
      <c r="E251" s="477" t="str">
        <f>IF($B251="","",VLOOKUP(B251,RECEITAS!B252:D552,3,0))</f>
        <v/>
      </c>
      <c r="F251" s="478" t="str">
        <f>IF($B251="","",$E251*VLOOKUP($B251,MANUTENÇÃO!$B$3:$V$304,21,0))</f>
        <v/>
      </c>
    </row>
    <row r="252" spans="2:6" ht="18" x14ac:dyDescent="0.2">
      <c r="B252" s="505" t="str">
        <f>IF(FROTA!B255="","",FROTA!B255)</f>
        <v/>
      </c>
      <c r="C252" s="506" t="str">
        <f>IF($B252="","",VLOOKUP(B252,FROTA!$B$5:$Z$305,25,0))</f>
        <v/>
      </c>
      <c r="D252" s="506" t="str">
        <f>IF($B252="","",VLOOKUP(B252,FROTA!$B$5:$Z$305,2,0))</f>
        <v/>
      </c>
      <c r="E252" s="507" t="str">
        <f>IF($B252="","",VLOOKUP(B252,RECEITAS!B253:D553,3,0))</f>
        <v/>
      </c>
      <c r="F252" s="508" t="str">
        <f>IF($B252="","",$E252*VLOOKUP($B252,MANUTENÇÃO!$B$3:$V$304,21,0))</f>
        <v/>
      </c>
    </row>
    <row r="253" spans="2:6" ht="18" x14ac:dyDescent="0.2">
      <c r="B253" s="475" t="str">
        <f>IF(FROTA!B256="","",FROTA!B256)</f>
        <v/>
      </c>
      <c r="C253" s="476" t="str">
        <f>IF($B253="","",VLOOKUP(B253,FROTA!$B$5:$Z$305,25,0))</f>
        <v/>
      </c>
      <c r="D253" s="476" t="str">
        <f>IF($B253="","",VLOOKUP(B253,FROTA!$B$5:$Z$305,2,0))</f>
        <v/>
      </c>
      <c r="E253" s="477" t="str">
        <f>IF($B253="","",VLOOKUP(B253,RECEITAS!B254:D554,3,0))</f>
        <v/>
      </c>
      <c r="F253" s="478" t="str">
        <f>IF($B253="","",$E253*VLOOKUP($B253,MANUTENÇÃO!$B$3:$V$304,21,0))</f>
        <v/>
      </c>
    </row>
    <row r="254" spans="2:6" ht="18" x14ac:dyDescent="0.2">
      <c r="B254" s="505" t="str">
        <f>IF(FROTA!B257="","",FROTA!B257)</f>
        <v/>
      </c>
      <c r="C254" s="506" t="str">
        <f>IF($B254="","",VLOOKUP(B254,FROTA!$B$5:$Z$305,25,0))</f>
        <v/>
      </c>
      <c r="D254" s="506" t="str">
        <f>IF($B254="","",VLOOKUP(B254,FROTA!$B$5:$Z$305,2,0))</f>
        <v/>
      </c>
      <c r="E254" s="507" t="str">
        <f>IF($B254="","",VLOOKUP(B254,RECEITAS!B255:D555,3,0))</f>
        <v/>
      </c>
      <c r="F254" s="508" t="str">
        <f>IF($B254="","",$E254*VLOOKUP($B254,MANUTENÇÃO!$B$3:$V$304,21,0))</f>
        <v/>
      </c>
    </row>
    <row r="255" spans="2:6" ht="18" x14ac:dyDescent="0.2">
      <c r="B255" s="475" t="str">
        <f>IF(FROTA!B258="","",FROTA!B258)</f>
        <v/>
      </c>
      <c r="C255" s="476" t="str">
        <f>IF($B255="","",VLOOKUP(B255,FROTA!$B$5:$Z$305,25,0))</f>
        <v/>
      </c>
      <c r="D255" s="476" t="str">
        <f>IF($B255="","",VLOOKUP(B255,FROTA!$B$5:$Z$305,2,0))</f>
        <v/>
      </c>
      <c r="E255" s="477" t="str">
        <f>IF($B255="","",VLOOKUP(B255,RECEITAS!B256:D556,3,0))</f>
        <v/>
      </c>
      <c r="F255" s="478" t="str">
        <f>IF($B255="","",$E255*VLOOKUP($B255,MANUTENÇÃO!$B$3:$V$304,21,0))</f>
        <v/>
      </c>
    </row>
    <row r="256" spans="2:6" ht="18" x14ac:dyDescent="0.2">
      <c r="B256" s="505" t="str">
        <f>IF(FROTA!B259="","",FROTA!B259)</f>
        <v/>
      </c>
      <c r="C256" s="506" t="str">
        <f>IF($B256="","",VLOOKUP(B256,FROTA!$B$5:$Z$305,25,0))</f>
        <v/>
      </c>
      <c r="D256" s="506" t="str">
        <f>IF($B256="","",VLOOKUP(B256,FROTA!$B$5:$Z$305,2,0))</f>
        <v/>
      </c>
      <c r="E256" s="507" t="str">
        <f>IF($B256="","",VLOOKUP(B256,RECEITAS!B257:D557,3,0))</f>
        <v/>
      </c>
      <c r="F256" s="508" t="str">
        <f>IF($B256="","",$E256*VLOOKUP($B256,MANUTENÇÃO!$B$3:$V$304,21,0))</f>
        <v/>
      </c>
    </row>
    <row r="257" spans="2:6" ht="18" x14ac:dyDescent="0.2">
      <c r="B257" s="475" t="str">
        <f>IF(FROTA!B260="","",FROTA!B260)</f>
        <v/>
      </c>
      <c r="C257" s="476" t="str">
        <f>IF($B257="","",VLOOKUP(B257,FROTA!$B$5:$Z$305,25,0))</f>
        <v/>
      </c>
      <c r="D257" s="476" t="str">
        <f>IF($B257="","",VLOOKUP(B257,FROTA!$B$5:$Z$305,2,0))</f>
        <v/>
      </c>
      <c r="E257" s="477" t="str">
        <f>IF($B257="","",VLOOKUP(B257,RECEITAS!B258:D558,3,0))</f>
        <v/>
      </c>
      <c r="F257" s="478" t="str">
        <f>IF($B257="","",$E257*VLOOKUP($B257,MANUTENÇÃO!$B$3:$V$304,21,0))</f>
        <v/>
      </c>
    </row>
    <row r="258" spans="2:6" ht="18" x14ac:dyDescent="0.2">
      <c r="B258" s="505" t="str">
        <f>IF(FROTA!B261="","",FROTA!B261)</f>
        <v/>
      </c>
      <c r="C258" s="506" t="str">
        <f>IF($B258="","",VLOOKUP(B258,FROTA!$B$5:$Z$305,25,0))</f>
        <v/>
      </c>
      <c r="D258" s="506" t="str">
        <f>IF($B258="","",VLOOKUP(B258,FROTA!$B$5:$Z$305,2,0))</f>
        <v/>
      </c>
      <c r="E258" s="507" t="str">
        <f>IF($B258="","",VLOOKUP(B258,RECEITAS!B259:D559,3,0))</f>
        <v/>
      </c>
      <c r="F258" s="508" t="str">
        <f>IF($B258="","",$E258*VLOOKUP($B258,MANUTENÇÃO!$B$3:$V$304,21,0))</f>
        <v/>
      </c>
    </row>
    <row r="259" spans="2:6" ht="18" x14ac:dyDescent="0.2">
      <c r="B259" s="475" t="str">
        <f>IF(FROTA!B262="","",FROTA!B262)</f>
        <v/>
      </c>
      <c r="C259" s="476" t="str">
        <f>IF($B259="","",VLOOKUP(B259,FROTA!$B$5:$Z$305,25,0))</f>
        <v/>
      </c>
      <c r="D259" s="476" t="str">
        <f>IF($B259="","",VLOOKUP(B259,FROTA!$B$5:$Z$305,2,0))</f>
        <v/>
      </c>
      <c r="E259" s="477" t="str">
        <f>IF($B259="","",VLOOKUP(B259,RECEITAS!B260:D560,3,0))</f>
        <v/>
      </c>
      <c r="F259" s="478" t="str">
        <f>IF($B259="","",$E259*VLOOKUP($B259,MANUTENÇÃO!$B$3:$V$304,21,0))</f>
        <v/>
      </c>
    </row>
    <row r="260" spans="2:6" ht="18" x14ac:dyDescent="0.2">
      <c r="B260" s="505" t="str">
        <f>IF(FROTA!B263="","",FROTA!B263)</f>
        <v/>
      </c>
      <c r="C260" s="506" t="str">
        <f>IF($B260="","",VLOOKUP(B260,FROTA!$B$5:$Z$305,25,0))</f>
        <v/>
      </c>
      <c r="D260" s="506" t="str">
        <f>IF($B260="","",VLOOKUP(B260,FROTA!$B$5:$Z$305,2,0))</f>
        <v/>
      </c>
      <c r="E260" s="507" t="str">
        <f>IF($B260="","",VLOOKUP(B260,RECEITAS!B261:D561,3,0))</f>
        <v/>
      </c>
      <c r="F260" s="508" t="str">
        <f>IF($B260="","",$E260*VLOOKUP($B260,MANUTENÇÃO!$B$3:$V$304,21,0))</f>
        <v/>
      </c>
    </row>
    <row r="261" spans="2:6" ht="18" x14ac:dyDescent="0.2">
      <c r="B261" s="475" t="str">
        <f>IF(FROTA!B264="","",FROTA!B264)</f>
        <v/>
      </c>
      <c r="C261" s="476" t="str">
        <f>IF($B261="","",VLOOKUP(B261,FROTA!$B$5:$Z$305,25,0))</f>
        <v/>
      </c>
      <c r="D261" s="476" t="str">
        <f>IF($B261="","",VLOOKUP(B261,FROTA!$B$5:$Z$305,2,0))</f>
        <v/>
      </c>
      <c r="E261" s="477" t="str">
        <f>IF($B261="","",VLOOKUP(B261,RECEITAS!B262:D562,3,0))</f>
        <v/>
      </c>
      <c r="F261" s="478" t="str">
        <f>IF($B261="","",$E261*VLOOKUP($B261,MANUTENÇÃO!$B$3:$V$304,21,0))</f>
        <v/>
      </c>
    </row>
    <row r="262" spans="2:6" ht="18" x14ac:dyDescent="0.2">
      <c r="B262" s="505" t="str">
        <f>IF(FROTA!B265="","",FROTA!B265)</f>
        <v/>
      </c>
      <c r="C262" s="506" t="str">
        <f>IF($B262="","",VLOOKUP(B262,FROTA!$B$5:$Z$305,25,0))</f>
        <v/>
      </c>
      <c r="D262" s="506" t="str">
        <f>IF($B262="","",VLOOKUP(B262,FROTA!$B$5:$Z$305,2,0))</f>
        <v/>
      </c>
      <c r="E262" s="507" t="str">
        <f>IF($B262="","",VLOOKUP(B262,RECEITAS!B263:D563,3,0))</f>
        <v/>
      </c>
      <c r="F262" s="508" t="str">
        <f>IF($B262="","",$E262*VLOOKUP($B262,MANUTENÇÃO!$B$3:$V$304,21,0))</f>
        <v/>
      </c>
    </row>
    <row r="263" spans="2:6" ht="18" x14ac:dyDescent="0.2">
      <c r="B263" s="475" t="str">
        <f>IF(FROTA!B266="","",FROTA!B266)</f>
        <v/>
      </c>
      <c r="C263" s="476" t="str">
        <f>IF($B263="","",VLOOKUP(B263,FROTA!$B$5:$Z$305,25,0))</f>
        <v/>
      </c>
      <c r="D263" s="476" t="str">
        <f>IF($B263="","",VLOOKUP(B263,FROTA!$B$5:$Z$305,2,0))</f>
        <v/>
      </c>
      <c r="E263" s="477" t="str">
        <f>IF($B263="","",VLOOKUP(B263,RECEITAS!B264:D564,3,0))</f>
        <v/>
      </c>
      <c r="F263" s="478" t="str">
        <f>IF($B263="","",$E263*VLOOKUP($B263,MANUTENÇÃO!$B$3:$V$304,21,0))</f>
        <v/>
      </c>
    </row>
    <row r="264" spans="2:6" ht="18" x14ac:dyDescent="0.2">
      <c r="B264" s="505" t="str">
        <f>IF(FROTA!B267="","",FROTA!B267)</f>
        <v/>
      </c>
      <c r="C264" s="506" t="str">
        <f>IF($B264="","",VLOOKUP(B264,FROTA!$B$5:$Z$305,25,0))</f>
        <v/>
      </c>
      <c r="D264" s="506" t="str">
        <f>IF($B264="","",VLOOKUP(B264,FROTA!$B$5:$Z$305,2,0))</f>
        <v/>
      </c>
      <c r="E264" s="507" t="str">
        <f>IF($B264="","",VLOOKUP(B264,RECEITAS!B265:D565,3,0))</f>
        <v/>
      </c>
      <c r="F264" s="508" t="str">
        <f>IF($B264="","",$E264*VLOOKUP($B264,MANUTENÇÃO!$B$3:$V$304,21,0))</f>
        <v/>
      </c>
    </row>
    <row r="265" spans="2:6" ht="18" x14ac:dyDescent="0.2">
      <c r="B265" s="475" t="str">
        <f>IF(FROTA!B268="","",FROTA!B268)</f>
        <v/>
      </c>
      <c r="C265" s="476" t="str">
        <f>IF($B265="","",VLOOKUP(B265,FROTA!$B$5:$Z$305,25,0))</f>
        <v/>
      </c>
      <c r="D265" s="476" t="str">
        <f>IF($B265="","",VLOOKUP(B265,FROTA!$B$5:$Z$305,2,0))</f>
        <v/>
      </c>
      <c r="E265" s="477" t="str">
        <f>IF($B265="","",VLOOKUP(B265,RECEITAS!B266:D566,3,0))</f>
        <v/>
      </c>
      <c r="F265" s="478" t="str">
        <f>IF($B265="","",$E265*VLOOKUP($B265,MANUTENÇÃO!$B$3:$V$304,21,0))</f>
        <v/>
      </c>
    </row>
    <row r="266" spans="2:6" ht="18" x14ac:dyDescent="0.2">
      <c r="B266" s="505" t="str">
        <f>IF(FROTA!B269="","",FROTA!B269)</f>
        <v/>
      </c>
      <c r="C266" s="506" t="str">
        <f>IF($B266="","",VLOOKUP(B266,FROTA!$B$5:$Z$305,25,0))</f>
        <v/>
      </c>
      <c r="D266" s="506" t="str">
        <f>IF($B266="","",VLOOKUP(B266,FROTA!$B$5:$Z$305,2,0))</f>
        <v/>
      </c>
      <c r="E266" s="507" t="str">
        <f>IF($B266="","",VLOOKUP(B266,RECEITAS!B267:D567,3,0))</f>
        <v/>
      </c>
      <c r="F266" s="508" t="str">
        <f>IF($B266="","",$E266*VLOOKUP($B266,MANUTENÇÃO!$B$3:$V$304,21,0))</f>
        <v/>
      </c>
    </row>
    <row r="267" spans="2:6" ht="18" x14ac:dyDescent="0.2">
      <c r="B267" s="475" t="str">
        <f>IF(FROTA!B270="","",FROTA!B270)</f>
        <v/>
      </c>
      <c r="C267" s="476" t="str">
        <f>IF($B267="","",VLOOKUP(B267,FROTA!$B$5:$Z$305,25,0))</f>
        <v/>
      </c>
      <c r="D267" s="476" t="str">
        <f>IF($B267="","",VLOOKUP(B267,FROTA!$B$5:$Z$305,2,0))</f>
        <v/>
      </c>
      <c r="E267" s="477" t="str">
        <f>IF($B267="","",VLOOKUP(B267,RECEITAS!B268:D568,3,0))</f>
        <v/>
      </c>
      <c r="F267" s="478" t="str">
        <f>IF($B267="","",$E267*VLOOKUP($B267,MANUTENÇÃO!$B$3:$V$304,21,0))</f>
        <v/>
      </c>
    </row>
    <row r="268" spans="2:6" ht="18" x14ac:dyDescent="0.2">
      <c r="B268" s="505" t="str">
        <f>IF(FROTA!B271="","",FROTA!B271)</f>
        <v/>
      </c>
      <c r="C268" s="506" t="str">
        <f>IF($B268="","",VLOOKUP(B268,FROTA!$B$5:$Z$305,25,0))</f>
        <v/>
      </c>
      <c r="D268" s="506" t="str">
        <f>IF($B268="","",VLOOKUP(B268,FROTA!$B$5:$Z$305,2,0))</f>
        <v/>
      </c>
      <c r="E268" s="507" t="str">
        <f>IF($B268="","",VLOOKUP(B268,RECEITAS!B269:D569,3,0))</f>
        <v/>
      </c>
      <c r="F268" s="508" t="str">
        <f>IF($B268="","",$E268*VLOOKUP($B268,MANUTENÇÃO!$B$3:$V$304,21,0))</f>
        <v/>
      </c>
    </row>
    <row r="269" spans="2:6" ht="18" x14ac:dyDescent="0.2">
      <c r="B269" s="475" t="str">
        <f>IF(FROTA!B272="","",FROTA!B272)</f>
        <v/>
      </c>
      <c r="C269" s="476" t="str">
        <f>IF($B269="","",VLOOKUP(B269,FROTA!$B$5:$Z$305,25,0))</f>
        <v/>
      </c>
      <c r="D269" s="476" t="str">
        <f>IF($B269="","",VLOOKUP(B269,FROTA!$B$5:$Z$305,2,0))</f>
        <v/>
      </c>
      <c r="E269" s="477" t="str">
        <f>IF($B269="","",VLOOKUP(B269,RECEITAS!B270:D570,3,0))</f>
        <v/>
      </c>
      <c r="F269" s="478" t="str">
        <f>IF($B269="","",$E269*VLOOKUP($B269,MANUTENÇÃO!$B$3:$V$304,21,0))</f>
        <v/>
      </c>
    </row>
    <row r="270" spans="2:6" ht="18" x14ac:dyDescent="0.2">
      <c r="B270" s="505" t="str">
        <f>IF(FROTA!B273="","",FROTA!B273)</f>
        <v/>
      </c>
      <c r="C270" s="506" t="str">
        <f>IF($B270="","",VLOOKUP(B270,FROTA!$B$5:$Z$305,25,0))</f>
        <v/>
      </c>
      <c r="D270" s="506" t="str">
        <f>IF($B270="","",VLOOKUP(B270,FROTA!$B$5:$Z$305,2,0))</f>
        <v/>
      </c>
      <c r="E270" s="507" t="str">
        <f>IF($B270="","",VLOOKUP(B270,RECEITAS!B271:D571,3,0))</f>
        <v/>
      </c>
      <c r="F270" s="508" t="str">
        <f>IF($B270="","",$E270*VLOOKUP($B270,MANUTENÇÃO!$B$3:$V$304,21,0))</f>
        <v/>
      </c>
    </row>
    <row r="271" spans="2:6" ht="18" x14ac:dyDescent="0.2">
      <c r="B271" s="475" t="str">
        <f>IF(FROTA!B274="","",FROTA!B274)</f>
        <v/>
      </c>
      <c r="C271" s="476" t="str">
        <f>IF($B271="","",VLOOKUP(B271,FROTA!$B$5:$Z$305,25,0))</f>
        <v/>
      </c>
      <c r="D271" s="476" t="str">
        <f>IF($B271="","",VLOOKUP(B271,FROTA!$B$5:$Z$305,2,0))</f>
        <v/>
      </c>
      <c r="E271" s="477" t="str">
        <f>IF($B271="","",VLOOKUP(B271,RECEITAS!B272:D572,3,0))</f>
        <v/>
      </c>
      <c r="F271" s="478" t="str">
        <f>IF($B271="","",$E271*VLOOKUP($B271,MANUTENÇÃO!$B$3:$V$304,21,0))</f>
        <v/>
      </c>
    </row>
    <row r="272" spans="2:6" ht="18" x14ac:dyDescent="0.2">
      <c r="B272" s="505" t="str">
        <f>IF(FROTA!B275="","",FROTA!B275)</f>
        <v/>
      </c>
      <c r="C272" s="506" t="str">
        <f>IF($B272="","",VLOOKUP(B272,FROTA!$B$5:$Z$305,25,0))</f>
        <v/>
      </c>
      <c r="D272" s="506" t="str">
        <f>IF($B272="","",VLOOKUP(B272,FROTA!$B$5:$Z$305,2,0))</f>
        <v/>
      </c>
      <c r="E272" s="507" t="str">
        <f>IF($B272="","",VLOOKUP(B272,RECEITAS!B273:D573,3,0))</f>
        <v/>
      </c>
      <c r="F272" s="508" t="str">
        <f>IF($B272="","",$E272*VLOOKUP($B272,MANUTENÇÃO!$B$3:$V$304,21,0))</f>
        <v/>
      </c>
    </row>
    <row r="273" spans="2:6" ht="18" x14ac:dyDescent="0.2">
      <c r="B273" s="475" t="str">
        <f>IF(FROTA!B276="","",FROTA!B276)</f>
        <v/>
      </c>
      <c r="C273" s="476" t="str">
        <f>IF($B273="","",VLOOKUP(B273,FROTA!$B$5:$Z$305,25,0))</f>
        <v/>
      </c>
      <c r="D273" s="476" t="str">
        <f>IF($B273="","",VLOOKUP(B273,FROTA!$B$5:$Z$305,2,0))</f>
        <v/>
      </c>
      <c r="E273" s="477" t="str">
        <f>IF($B273="","",VLOOKUP(B273,RECEITAS!B274:D574,3,0))</f>
        <v/>
      </c>
      <c r="F273" s="478" t="str">
        <f>IF($B273="","",$E273*VLOOKUP($B273,MANUTENÇÃO!$B$3:$V$304,21,0))</f>
        <v/>
      </c>
    </row>
    <row r="274" spans="2:6" ht="18" x14ac:dyDescent="0.2">
      <c r="B274" s="505" t="str">
        <f>IF(FROTA!B277="","",FROTA!B277)</f>
        <v/>
      </c>
      <c r="C274" s="506" t="str">
        <f>IF($B274="","",VLOOKUP(B274,FROTA!$B$5:$Z$305,25,0))</f>
        <v/>
      </c>
      <c r="D274" s="506" t="str">
        <f>IF($B274="","",VLOOKUP(B274,FROTA!$B$5:$Z$305,2,0))</f>
        <v/>
      </c>
      <c r="E274" s="507" t="str">
        <f>IF($B274="","",VLOOKUP(B274,RECEITAS!B275:D575,3,0))</f>
        <v/>
      </c>
      <c r="F274" s="508" t="str">
        <f>IF($B274="","",$E274*VLOOKUP($B274,MANUTENÇÃO!$B$3:$V$304,21,0))</f>
        <v/>
      </c>
    </row>
    <row r="275" spans="2:6" ht="18" x14ac:dyDescent="0.2">
      <c r="B275" s="475" t="str">
        <f>IF(FROTA!B278="","",FROTA!B278)</f>
        <v/>
      </c>
      <c r="C275" s="476" t="str">
        <f>IF($B275="","",VLOOKUP(B275,FROTA!$B$5:$Z$305,25,0))</f>
        <v/>
      </c>
      <c r="D275" s="476" t="str">
        <f>IF($B275="","",VLOOKUP(B275,FROTA!$B$5:$Z$305,2,0))</f>
        <v/>
      </c>
      <c r="E275" s="477" t="str">
        <f>IF($B275="","",VLOOKUP(B275,RECEITAS!B276:D576,3,0))</f>
        <v/>
      </c>
      <c r="F275" s="478" t="str">
        <f>IF($B275="","",$E275*VLOOKUP($B275,MANUTENÇÃO!$B$3:$V$304,21,0))</f>
        <v/>
      </c>
    </row>
    <row r="276" spans="2:6" ht="18" x14ac:dyDescent="0.2">
      <c r="B276" s="505" t="str">
        <f>IF(FROTA!B279="","",FROTA!B279)</f>
        <v/>
      </c>
      <c r="C276" s="506" t="str">
        <f>IF($B276="","",VLOOKUP(B276,FROTA!$B$5:$Z$305,25,0))</f>
        <v/>
      </c>
      <c r="D276" s="506" t="str">
        <f>IF($B276="","",VLOOKUP(B276,FROTA!$B$5:$Z$305,2,0))</f>
        <v/>
      </c>
      <c r="E276" s="507" t="str">
        <f>IF($B276="","",VLOOKUP(B276,RECEITAS!B277:D577,3,0))</f>
        <v/>
      </c>
      <c r="F276" s="508" t="str">
        <f>IF($B276="","",$E276*VLOOKUP($B276,MANUTENÇÃO!$B$3:$V$304,21,0))</f>
        <v/>
      </c>
    </row>
    <row r="277" spans="2:6" ht="18" x14ac:dyDescent="0.2">
      <c r="B277" s="475" t="str">
        <f>IF(FROTA!B280="","",FROTA!B280)</f>
        <v/>
      </c>
      <c r="C277" s="476" t="str">
        <f>IF($B277="","",VLOOKUP(B277,FROTA!$B$5:$Z$305,25,0))</f>
        <v/>
      </c>
      <c r="D277" s="476" t="str">
        <f>IF($B277="","",VLOOKUP(B277,FROTA!$B$5:$Z$305,2,0))</f>
        <v/>
      </c>
      <c r="E277" s="477" t="str">
        <f>IF($B277="","",VLOOKUP(B277,RECEITAS!B278:D578,3,0))</f>
        <v/>
      </c>
      <c r="F277" s="478" t="str">
        <f>IF($B277="","",$E277*VLOOKUP($B277,MANUTENÇÃO!$B$3:$V$304,21,0))</f>
        <v/>
      </c>
    </row>
    <row r="278" spans="2:6" ht="18" x14ac:dyDescent="0.2">
      <c r="B278" s="505" t="str">
        <f>IF(FROTA!B281="","",FROTA!B281)</f>
        <v/>
      </c>
      <c r="C278" s="506" t="str">
        <f>IF($B278="","",VLOOKUP(B278,FROTA!$B$5:$Z$305,25,0))</f>
        <v/>
      </c>
      <c r="D278" s="506" t="str">
        <f>IF($B278="","",VLOOKUP(B278,FROTA!$B$5:$Z$305,2,0))</f>
        <v/>
      </c>
      <c r="E278" s="507" t="str">
        <f>IF($B278="","",VLOOKUP(B278,RECEITAS!B279:D579,3,0))</f>
        <v/>
      </c>
      <c r="F278" s="508" t="str">
        <f>IF($B278="","",$E278*VLOOKUP($B278,MANUTENÇÃO!$B$3:$V$304,21,0))</f>
        <v/>
      </c>
    </row>
    <row r="279" spans="2:6" ht="18" x14ac:dyDescent="0.2">
      <c r="B279" s="475" t="str">
        <f>IF(FROTA!B282="","",FROTA!B282)</f>
        <v/>
      </c>
      <c r="C279" s="476" t="str">
        <f>IF($B279="","",VLOOKUP(B279,FROTA!$B$5:$Z$305,25,0))</f>
        <v/>
      </c>
      <c r="D279" s="476" t="str">
        <f>IF($B279="","",VLOOKUP(B279,FROTA!$B$5:$Z$305,2,0))</f>
        <v/>
      </c>
      <c r="E279" s="477" t="str">
        <f>IF($B279="","",VLOOKUP(B279,RECEITAS!B280:D580,3,0))</f>
        <v/>
      </c>
      <c r="F279" s="478" t="str">
        <f>IF($B279="","",$E279*VLOOKUP($B279,MANUTENÇÃO!$B$3:$V$304,21,0))</f>
        <v/>
      </c>
    </row>
    <row r="280" spans="2:6" ht="18" x14ac:dyDescent="0.2">
      <c r="B280" s="505" t="str">
        <f>IF(FROTA!B283="","",FROTA!B283)</f>
        <v/>
      </c>
      <c r="C280" s="506" t="str">
        <f>IF($B280="","",VLOOKUP(B280,FROTA!$B$5:$Z$305,25,0))</f>
        <v/>
      </c>
      <c r="D280" s="506" t="str">
        <f>IF($B280="","",VLOOKUP(B280,FROTA!$B$5:$Z$305,2,0))</f>
        <v/>
      </c>
      <c r="E280" s="507" t="str">
        <f>IF($B280="","",VLOOKUP(B280,RECEITAS!B281:D581,3,0))</f>
        <v/>
      </c>
      <c r="F280" s="508" t="str">
        <f>IF($B280="","",$E280*VLOOKUP($B280,MANUTENÇÃO!$B$3:$V$304,21,0))</f>
        <v/>
      </c>
    </row>
    <row r="281" spans="2:6" ht="18" x14ac:dyDescent="0.2">
      <c r="B281" s="475" t="str">
        <f>IF(FROTA!B284="","",FROTA!B284)</f>
        <v/>
      </c>
      <c r="C281" s="476" t="str">
        <f>IF($B281="","",VLOOKUP(B281,FROTA!$B$5:$Z$305,25,0))</f>
        <v/>
      </c>
      <c r="D281" s="476" t="str">
        <f>IF($B281="","",VLOOKUP(B281,FROTA!$B$5:$Z$305,2,0))</f>
        <v/>
      </c>
      <c r="E281" s="477" t="str">
        <f>IF($B281="","",VLOOKUP(B281,RECEITAS!B282:D582,3,0))</f>
        <v/>
      </c>
      <c r="F281" s="478" t="str">
        <f>IF($B281="","",$E281*VLOOKUP($B281,MANUTENÇÃO!$B$3:$V$304,21,0))</f>
        <v/>
      </c>
    </row>
    <row r="282" spans="2:6" ht="18" x14ac:dyDescent="0.2">
      <c r="B282" s="505" t="str">
        <f>IF(FROTA!B285="","",FROTA!B285)</f>
        <v/>
      </c>
      <c r="C282" s="506" t="str">
        <f>IF($B282="","",VLOOKUP(B282,FROTA!$B$5:$Z$305,25,0))</f>
        <v/>
      </c>
      <c r="D282" s="506" t="str">
        <f>IF($B282="","",VLOOKUP(B282,FROTA!$B$5:$Z$305,2,0))</f>
        <v/>
      </c>
      <c r="E282" s="507" t="str">
        <f>IF($B282="","",VLOOKUP(B282,RECEITAS!B283:D583,3,0))</f>
        <v/>
      </c>
      <c r="F282" s="508" t="str">
        <f>IF($B282="","",$E282*VLOOKUP($B282,MANUTENÇÃO!$B$3:$V$304,21,0))</f>
        <v/>
      </c>
    </row>
    <row r="283" spans="2:6" ht="18" x14ac:dyDescent="0.2">
      <c r="B283" s="475" t="str">
        <f>IF(FROTA!B286="","",FROTA!B286)</f>
        <v/>
      </c>
      <c r="C283" s="476" t="str">
        <f>IF($B283="","",VLOOKUP(B283,FROTA!$B$5:$Z$305,25,0))</f>
        <v/>
      </c>
      <c r="D283" s="476" t="str">
        <f>IF($B283="","",VLOOKUP(B283,FROTA!$B$5:$Z$305,2,0))</f>
        <v/>
      </c>
      <c r="E283" s="477" t="str">
        <f>IF($B283="","",VLOOKUP(B283,RECEITAS!B284:D584,3,0))</f>
        <v/>
      </c>
      <c r="F283" s="478" t="str">
        <f>IF($B283="","",$E283*VLOOKUP($B283,MANUTENÇÃO!$B$3:$V$304,21,0))</f>
        <v/>
      </c>
    </row>
    <row r="284" spans="2:6" ht="18" x14ac:dyDescent="0.2">
      <c r="B284" s="505" t="str">
        <f>IF(FROTA!B287="","",FROTA!B287)</f>
        <v/>
      </c>
      <c r="C284" s="506" t="str">
        <f>IF($B284="","",VLOOKUP(B284,FROTA!$B$5:$Z$305,25,0))</f>
        <v/>
      </c>
      <c r="D284" s="506" t="str">
        <f>IF($B284="","",VLOOKUP(B284,FROTA!$B$5:$Z$305,2,0))</f>
        <v/>
      </c>
      <c r="E284" s="507" t="str">
        <f>IF($B284="","",VLOOKUP(B284,RECEITAS!B285:D585,3,0))</f>
        <v/>
      </c>
      <c r="F284" s="508" t="str">
        <f>IF($B284="","",$E284*VLOOKUP($B284,MANUTENÇÃO!$B$3:$V$304,21,0))</f>
        <v/>
      </c>
    </row>
    <row r="285" spans="2:6" ht="18" x14ac:dyDescent="0.2">
      <c r="B285" s="475" t="str">
        <f>IF(FROTA!B288="","",FROTA!B288)</f>
        <v/>
      </c>
      <c r="C285" s="476" t="str">
        <f>IF($B285="","",VLOOKUP(B285,FROTA!$B$5:$Z$305,25,0))</f>
        <v/>
      </c>
      <c r="D285" s="476" t="str">
        <f>IF($B285="","",VLOOKUP(B285,FROTA!$B$5:$Z$305,2,0))</f>
        <v/>
      </c>
      <c r="E285" s="477" t="str">
        <f>IF($B285="","",VLOOKUP(B285,RECEITAS!B286:D586,3,0))</f>
        <v/>
      </c>
      <c r="F285" s="478" t="str">
        <f>IF($B285="","",$E285*VLOOKUP($B285,MANUTENÇÃO!$B$3:$V$304,21,0))</f>
        <v/>
      </c>
    </row>
    <row r="286" spans="2:6" ht="18" x14ac:dyDescent="0.2">
      <c r="B286" s="505" t="str">
        <f>IF(FROTA!B289="","",FROTA!B289)</f>
        <v/>
      </c>
      <c r="C286" s="506" t="str">
        <f>IF($B286="","",VLOOKUP(B286,FROTA!$B$5:$Z$305,25,0))</f>
        <v/>
      </c>
      <c r="D286" s="506" t="str">
        <f>IF($B286="","",VLOOKUP(B286,FROTA!$B$5:$Z$305,2,0))</f>
        <v/>
      </c>
      <c r="E286" s="507" t="str">
        <f>IF($B286="","",VLOOKUP(B286,RECEITAS!B287:D587,3,0))</f>
        <v/>
      </c>
      <c r="F286" s="508" t="str">
        <f>IF($B286="","",$E286*VLOOKUP($B286,MANUTENÇÃO!$B$3:$V$304,21,0))</f>
        <v/>
      </c>
    </row>
    <row r="287" spans="2:6" ht="18" x14ac:dyDescent="0.2">
      <c r="B287" s="475" t="str">
        <f>IF(FROTA!B290="","",FROTA!B290)</f>
        <v/>
      </c>
      <c r="C287" s="476" t="str">
        <f>IF($B287="","",VLOOKUP(B287,FROTA!$B$5:$Z$305,25,0))</f>
        <v/>
      </c>
      <c r="D287" s="476" t="str">
        <f>IF($B287="","",VLOOKUP(B287,FROTA!$B$5:$Z$305,2,0))</f>
        <v/>
      </c>
      <c r="E287" s="477" t="str">
        <f>IF($B287="","",VLOOKUP(B287,RECEITAS!B288:D588,3,0))</f>
        <v/>
      </c>
      <c r="F287" s="478" t="str">
        <f>IF($B287="","",$E287*VLOOKUP($B287,MANUTENÇÃO!$B$3:$V$304,21,0))</f>
        <v/>
      </c>
    </row>
    <row r="288" spans="2:6" ht="18" x14ac:dyDescent="0.2">
      <c r="B288" s="505" t="str">
        <f>IF(FROTA!B291="","",FROTA!B291)</f>
        <v/>
      </c>
      <c r="C288" s="506" t="str">
        <f>IF($B288="","",VLOOKUP(B288,FROTA!$B$5:$Z$305,25,0))</f>
        <v/>
      </c>
      <c r="D288" s="506" t="str">
        <f>IF($B288="","",VLOOKUP(B288,FROTA!$B$5:$Z$305,2,0))</f>
        <v/>
      </c>
      <c r="E288" s="507" t="str">
        <f>IF($B288="","",VLOOKUP(B288,RECEITAS!B289:D589,3,0))</f>
        <v/>
      </c>
      <c r="F288" s="508" t="str">
        <f>IF($B288="","",$E288*VLOOKUP($B288,MANUTENÇÃO!$B$3:$V$304,21,0))</f>
        <v/>
      </c>
    </row>
    <row r="289" spans="2:6" ht="18" x14ac:dyDescent="0.2">
      <c r="B289" s="475" t="str">
        <f>IF(FROTA!B292="","",FROTA!B292)</f>
        <v/>
      </c>
      <c r="C289" s="476" t="str">
        <f>IF($B289="","",VLOOKUP(B289,FROTA!$B$5:$Z$305,25,0))</f>
        <v/>
      </c>
      <c r="D289" s="476" t="str">
        <f>IF($B289="","",VLOOKUP(B289,FROTA!$B$5:$Z$305,2,0))</f>
        <v/>
      </c>
      <c r="E289" s="477" t="str">
        <f>IF($B289="","",VLOOKUP(B289,RECEITAS!B290:D590,3,0))</f>
        <v/>
      </c>
      <c r="F289" s="478" t="str">
        <f>IF($B289="","",$E289*VLOOKUP($B289,MANUTENÇÃO!$B$3:$V$304,21,0))</f>
        <v/>
      </c>
    </row>
    <row r="290" spans="2:6" ht="18" x14ac:dyDescent="0.2">
      <c r="B290" s="505" t="str">
        <f>IF(FROTA!B293="","",FROTA!B293)</f>
        <v/>
      </c>
      <c r="C290" s="506" t="str">
        <f>IF($B290="","",VLOOKUP(B290,FROTA!$B$5:$Z$305,25,0))</f>
        <v/>
      </c>
      <c r="D290" s="506" t="str">
        <f>IF($B290="","",VLOOKUP(B290,FROTA!$B$5:$Z$305,2,0))</f>
        <v/>
      </c>
      <c r="E290" s="507" t="str">
        <f>IF($B290="","",VLOOKUP(B290,RECEITAS!B291:D591,3,0))</f>
        <v/>
      </c>
      <c r="F290" s="508" t="str">
        <f>IF($B290="","",$E290*VLOOKUP($B290,MANUTENÇÃO!$B$3:$V$304,21,0))</f>
        <v/>
      </c>
    </row>
    <row r="291" spans="2:6" ht="18" x14ac:dyDescent="0.2">
      <c r="B291" s="475" t="str">
        <f>IF(FROTA!B294="","",FROTA!B294)</f>
        <v/>
      </c>
      <c r="C291" s="476" t="str">
        <f>IF($B291="","",VLOOKUP(B291,FROTA!$B$5:$Z$305,25,0))</f>
        <v/>
      </c>
      <c r="D291" s="476" t="str">
        <f>IF($B291="","",VLOOKUP(B291,FROTA!$B$5:$Z$305,2,0))</f>
        <v/>
      </c>
      <c r="E291" s="477" t="str">
        <f>IF($B291="","",VLOOKUP(B291,RECEITAS!B292:D592,3,0))</f>
        <v/>
      </c>
      <c r="F291" s="478" t="str">
        <f>IF($B291="","",$E291*VLOOKUP($B291,MANUTENÇÃO!$B$3:$V$304,21,0))</f>
        <v/>
      </c>
    </row>
    <row r="292" spans="2:6" ht="18" x14ac:dyDescent="0.2">
      <c r="B292" s="505" t="str">
        <f>IF(FROTA!B295="","",FROTA!B295)</f>
        <v/>
      </c>
      <c r="C292" s="506" t="str">
        <f>IF($B292="","",VLOOKUP(B292,FROTA!$B$5:$Z$305,25,0))</f>
        <v/>
      </c>
      <c r="D292" s="506" t="str">
        <f>IF($B292="","",VLOOKUP(B292,FROTA!$B$5:$Z$305,2,0))</f>
        <v/>
      </c>
      <c r="E292" s="507" t="str">
        <f>IF($B292="","",VLOOKUP(B292,RECEITAS!B293:D593,3,0))</f>
        <v/>
      </c>
      <c r="F292" s="508" t="str">
        <f>IF($B292="","",$E292*VLOOKUP($B292,MANUTENÇÃO!$B$3:$V$304,21,0))</f>
        <v/>
      </c>
    </row>
    <row r="293" spans="2:6" ht="18" x14ac:dyDescent="0.2">
      <c r="B293" s="475" t="str">
        <f>IF(FROTA!B296="","",FROTA!B296)</f>
        <v/>
      </c>
      <c r="C293" s="476" t="str">
        <f>IF($B293="","",VLOOKUP(B293,FROTA!$B$5:$Z$305,25,0))</f>
        <v/>
      </c>
      <c r="D293" s="476" t="str">
        <f>IF($B293="","",VLOOKUP(B293,FROTA!$B$5:$Z$305,2,0))</f>
        <v/>
      </c>
      <c r="E293" s="477" t="str">
        <f>IF($B293="","",VLOOKUP(B293,RECEITAS!B294:D594,3,0))</f>
        <v/>
      </c>
      <c r="F293" s="478" t="str">
        <f>IF($B293="","",$E293*VLOOKUP($B293,MANUTENÇÃO!$B$3:$V$304,21,0))</f>
        <v/>
      </c>
    </row>
    <row r="294" spans="2:6" ht="18" x14ac:dyDescent="0.2">
      <c r="B294" s="505" t="str">
        <f>IF(FROTA!B297="","",FROTA!B297)</f>
        <v/>
      </c>
      <c r="C294" s="506" t="str">
        <f>IF($B294="","",VLOOKUP(B294,FROTA!$B$5:$Z$305,25,0))</f>
        <v/>
      </c>
      <c r="D294" s="506" t="str">
        <f>IF($B294="","",VLOOKUP(B294,FROTA!$B$5:$Z$305,2,0))</f>
        <v/>
      </c>
      <c r="E294" s="507" t="str">
        <f>IF($B294="","",VLOOKUP(B294,RECEITAS!B295:D595,3,0))</f>
        <v/>
      </c>
      <c r="F294" s="508" t="str">
        <f>IF($B294="","",$E294*VLOOKUP($B294,MANUTENÇÃO!$B$3:$V$304,21,0))</f>
        <v/>
      </c>
    </row>
    <row r="295" spans="2:6" ht="18" x14ac:dyDescent="0.2">
      <c r="B295" s="475" t="str">
        <f>IF(FROTA!B298="","",FROTA!B298)</f>
        <v/>
      </c>
      <c r="C295" s="476" t="str">
        <f>IF($B295="","",VLOOKUP(B295,FROTA!$B$5:$Z$305,25,0))</f>
        <v/>
      </c>
      <c r="D295" s="476" t="str">
        <f>IF($B295="","",VLOOKUP(B295,FROTA!$B$5:$Z$305,2,0))</f>
        <v/>
      </c>
      <c r="E295" s="477" t="str">
        <f>IF($B295="","",VLOOKUP(B295,RECEITAS!B296:D596,3,0))</f>
        <v/>
      </c>
      <c r="F295" s="478" t="str">
        <f>IF($B295="","",$E295*VLOOKUP($B295,MANUTENÇÃO!$B$3:$V$304,21,0))</f>
        <v/>
      </c>
    </row>
    <row r="296" spans="2:6" ht="18" x14ac:dyDescent="0.2">
      <c r="B296" s="505" t="str">
        <f>IF(FROTA!B299="","",FROTA!B299)</f>
        <v/>
      </c>
      <c r="C296" s="506" t="str">
        <f>IF($B296="","",VLOOKUP(B296,FROTA!$B$5:$Z$305,25,0))</f>
        <v/>
      </c>
      <c r="D296" s="506" t="str">
        <f>IF($B296="","",VLOOKUP(B296,FROTA!$B$5:$Z$305,2,0))</f>
        <v/>
      </c>
      <c r="E296" s="507" t="str">
        <f>IF($B296="","",VLOOKUP(B296,RECEITAS!B297:D597,3,0))</f>
        <v/>
      </c>
      <c r="F296" s="508" t="str">
        <f>IF($B296="","",$E296*VLOOKUP($B296,MANUTENÇÃO!$B$3:$V$304,21,0))</f>
        <v/>
      </c>
    </row>
    <row r="297" spans="2:6" ht="18" x14ac:dyDescent="0.2">
      <c r="B297" s="475" t="str">
        <f>IF(FROTA!B300="","",FROTA!B300)</f>
        <v/>
      </c>
      <c r="C297" s="476" t="str">
        <f>IF($B297="","",VLOOKUP(B297,FROTA!$B$5:$Z$305,25,0))</f>
        <v/>
      </c>
      <c r="D297" s="476" t="str">
        <f>IF($B297="","",VLOOKUP(B297,FROTA!$B$5:$Z$305,2,0))</f>
        <v/>
      </c>
      <c r="E297" s="477" t="str">
        <f>IF($B297="","",VLOOKUP(B297,RECEITAS!B298:D598,3,0))</f>
        <v/>
      </c>
      <c r="F297" s="478" t="str">
        <f>IF($B297="","",$E297*VLOOKUP($B297,MANUTENÇÃO!$B$3:$V$304,21,0))</f>
        <v/>
      </c>
    </row>
    <row r="298" spans="2:6" ht="18" x14ac:dyDescent="0.2">
      <c r="B298" s="505" t="str">
        <f>IF(FROTA!B301="","",FROTA!B301)</f>
        <v/>
      </c>
      <c r="C298" s="506" t="str">
        <f>IF($B298="","",VLOOKUP(B298,FROTA!$B$5:$Z$305,25,0))</f>
        <v/>
      </c>
      <c r="D298" s="506" t="str">
        <f>IF($B298="","",VLOOKUP(B298,FROTA!$B$5:$Z$305,2,0))</f>
        <v/>
      </c>
      <c r="E298" s="507" t="str">
        <f>IF($B298="","",VLOOKUP(B298,RECEITAS!B299:D599,3,0))</f>
        <v/>
      </c>
      <c r="F298" s="508" t="str">
        <f>IF($B298="","",$E298*VLOOKUP($B298,MANUTENÇÃO!$B$3:$V$304,21,0))</f>
        <v/>
      </c>
    </row>
    <row r="299" spans="2:6" ht="18" x14ac:dyDescent="0.2">
      <c r="B299" s="475" t="str">
        <f>IF(FROTA!B302="","",FROTA!B302)</f>
        <v/>
      </c>
      <c r="C299" s="476" t="str">
        <f>IF($B299="","",VLOOKUP(B299,FROTA!$B$5:$Z$305,25,0))</f>
        <v/>
      </c>
      <c r="D299" s="476" t="str">
        <f>IF($B299="","",VLOOKUP(B299,FROTA!$B$5:$Z$305,2,0))</f>
        <v/>
      </c>
      <c r="E299" s="477" t="str">
        <f>IF($B299="","",VLOOKUP(B299,RECEITAS!B300:D600,3,0))</f>
        <v/>
      </c>
      <c r="F299" s="478" t="str">
        <f>IF($B299="","",$E299*VLOOKUP($B299,MANUTENÇÃO!$B$3:$V$304,21,0))</f>
        <v/>
      </c>
    </row>
    <row r="300" spans="2:6" ht="18" x14ac:dyDescent="0.2">
      <c r="B300" s="505" t="str">
        <f>IF(FROTA!B303="","",FROTA!B303)</f>
        <v/>
      </c>
      <c r="C300" s="506" t="str">
        <f>IF($B300="","",VLOOKUP(B300,FROTA!$B$5:$Z$305,25,0))</f>
        <v/>
      </c>
      <c r="D300" s="506" t="str">
        <f>IF($B300="","",VLOOKUP(B300,FROTA!$B$5:$Z$305,2,0))</f>
        <v/>
      </c>
      <c r="E300" s="507" t="str">
        <f>IF($B300="","",VLOOKUP(B300,RECEITAS!B301:D601,3,0))</f>
        <v/>
      </c>
      <c r="F300" s="508" t="str">
        <f>IF($B300="","",$E300*VLOOKUP($B300,MANUTENÇÃO!$B$3:$V$304,21,0))</f>
        <v/>
      </c>
    </row>
    <row r="301" spans="2:6" ht="18" x14ac:dyDescent="0.2">
      <c r="B301" s="475" t="str">
        <f>IF(FROTA!B304="","",FROTA!B304)</f>
        <v/>
      </c>
      <c r="C301" s="476" t="str">
        <f>IF($B301="","",VLOOKUP(B301,FROTA!$B$5:$Z$305,25,0))</f>
        <v/>
      </c>
      <c r="D301" s="476" t="str">
        <f>IF($B301="","",VLOOKUP(B301,FROTA!$B$5:$Z$305,2,0))</f>
        <v/>
      </c>
      <c r="E301" s="477" t="str">
        <f>IF($B301="","",VLOOKUP(B301,RECEITAS!B302:D602,3,0))</f>
        <v/>
      </c>
      <c r="F301" s="478" t="str">
        <f>IF($B301="","",$E301*VLOOKUP($B301,MANUTENÇÃO!$B$3:$V$304,21,0))</f>
        <v/>
      </c>
    </row>
    <row r="302" spans="2:6" ht="18" x14ac:dyDescent="0.2">
      <c r="B302" s="505" t="str">
        <f>IF(FROTA!B305="","",FROTA!B305)</f>
        <v/>
      </c>
      <c r="C302" s="506" t="str">
        <f>IF($B302="","",VLOOKUP(B302,FROTA!$B$5:$Z$305,25,0))</f>
        <v/>
      </c>
      <c r="D302" s="506" t="str">
        <f>IF($B302="","",VLOOKUP(B302,FROTA!$B$5:$Z$305,2,0))</f>
        <v/>
      </c>
      <c r="E302" s="507" t="str">
        <f>IF($B302="","",VLOOKUP(B302,RECEITAS!B303:D603,3,0))</f>
        <v/>
      </c>
      <c r="F302" s="508" t="str">
        <f>IF($B302="","",$E302*VLOOKUP($B302,MANUTENÇÃO!$B$3:$V$304,21,0))</f>
        <v/>
      </c>
    </row>
  </sheetData>
  <sheetProtection algorithmName="SHA-512" hashValue="Xi4xRiPxSAiwazSQj1OQvFjk7PVgDhfRCETX57x8a592pfN6l6j8ytFFgh+oCAqujp6mPM0LZk7gmg1zfH3HOg==" saltValue="LyxS4EgZr4MPSkxZrdav4A==" spinCount="100000" sheet="1" objects="1" scenarios="1" autoFilter="0"/>
  <autoFilter ref="B2:F2" xr:uid="{00000000-0009-0000-0000-00000E000000}"/>
  <conditionalFormatting sqref="F303:F305">
    <cfRule type="colorScale" priority="1">
      <colorScale>
        <cfvo type="min"/>
        <cfvo type="percentile" val="50"/>
        <cfvo type="max"/>
        <color rgb="FF63BE7B"/>
        <color rgb="FFFFEB84"/>
        <color rgb="FFF8696B"/>
      </colorScale>
    </cfRule>
    <cfRule type="colorScale" priority="4">
      <colorScale>
        <cfvo type="min"/>
        <cfvo type="percentile" val="50"/>
        <cfvo type="max"/>
        <color rgb="FF63BE7B"/>
        <color rgb="FFFFEB84"/>
        <color rgb="FFF8696B"/>
      </colorScale>
    </cfRule>
  </conditionalFormatting>
  <pageMargins left="0.511811024" right="0.511811024" top="0.78740157499999996" bottom="0.78740157499999996" header="0.31496062000000002" footer="0.31496062000000002"/>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13">
    <tabColor rgb="FF00FF00"/>
  </sheetPr>
  <dimension ref="B1:AH92"/>
  <sheetViews>
    <sheetView zoomScale="95" zoomScaleNormal="95" workbookViewId="0">
      <pane ySplit="9" topLeftCell="A37" activePane="bottomLeft" state="frozen"/>
      <selection pane="bottomLeft" activeCell="E78" sqref="E78"/>
    </sheetView>
  </sheetViews>
  <sheetFormatPr defaultRowHeight="15" x14ac:dyDescent="0.2"/>
  <cols>
    <col min="1" max="1" width="3.85546875" style="258" customWidth="1"/>
    <col min="2" max="2" width="8.7109375" style="258" customWidth="1"/>
    <col min="3" max="4" width="21.5703125" style="258" customWidth="1"/>
    <col min="5" max="5" width="16" style="258" customWidth="1"/>
    <col min="6" max="6" width="17.140625" style="258" customWidth="1"/>
    <col min="7" max="11" width="14.28515625" style="258" customWidth="1"/>
    <col min="12" max="12" width="19.85546875" style="258" bestFit="1" customWidth="1"/>
    <col min="13" max="13" width="14.85546875" style="259" bestFit="1" customWidth="1"/>
    <col min="14" max="14" width="14.28515625" style="259" customWidth="1"/>
    <col min="15" max="15" width="9.140625" style="259"/>
    <col min="16" max="16" width="10.28515625" style="260" bestFit="1" customWidth="1"/>
    <col min="17" max="17" width="17.7109375" style="260" bestFit="1" customWidth="1"/>
    <col min="18" max="18" width="13.7109375" style="260" bestFit="1" customWidth="1"/>
    <col min="19" max="19" width="14" style="260" bestFit="1" customWidth="1"/>
    <col min="20" max="20" width="13.7109375" style="261" bestFit="1" customWidth="1"/>
    <col min="21" max="21" width="19.42578125" style="262" bestFit="1" customWidth="1"/>
    <col min="22" max="22" width="13.7109375" style="260" bestFit="1" customWidth="1"/>
    <col min="23" max="23" width="19.5703125" style="260" bestFit="1" customWidth="1"/>
    <col min="24" max="24" width="14.7109375" style="260" bestFit="1" customWidth="1"/>
    <col min="25" max="25" width="12.85546875" style="260" bestFit="1" customWidth="1"/>
    <col min="26" max="26" width="25.5703125" style="260" bestFit="1" customWidth="1"/>
    <col min="27" max="27" width="23" style="260" bestFit="1" customWidth="1"/>
    <col min="28" max="28" width="19.5703125" style="260" bestFit="1" customWidth="1"/>
    <col min="29" max="29" width="17.28515625" style="260" bestFit="1" customWidth="1"/>
    <col min="30" max="30" width="12.7109375" style="260" bestFit="1" customWidth="1"/>
    <col min="31" max="34" width="9.140625" style="259"/>
    <col min="35" max="16384" width="9.140625" style="258"/>
  </cols>
  <sheetData>
    <row r="1" spans="2:30" ht="6.75" customHeight="1" thickBot="1" x14ac:dyDescent="0.25"/>
    <row r="2" spans="2:30" ht="16.5" customHeight="1" x14ac:dyDescent="0.2">
      <c r="B2" s="793" t="s">
        <v>87</v>
      </c>
      <c r="C2" s="793"/>
      <c r="D2" s="793"/>
      <c r="E2" s="793"/>
      <c r="F2" s="793"/>
      <c r="G2" s="845" t="str">
        <f>IF(F91="","",K25)</f>
        <v/>
      </c>
      <c r="H2" s="845"/>
      <c r="I2" s="845"/>
      <c r="J2" s="832" t="str">
        <f>IF(G2="","",(SUM(G2:I8)))</f>
        <v/>
      </c>
      <c r="K2" s="833"/>
      <c r="L2" s="834"/>
    </row>
    <row r="3" spans="2:30" ht="16.5" customHeight="1" x14ac:dyDescent="0.2">
      <c r="B3" s="793" t="s">
        <v>88</v>
      </c>
      <c r="C3" s="793"/>
      <c r="D3" s="793"/>
      <c r="E3" s="793"/>
      <c r="F3" s="793"/>
      <c r="G3" s="841" t="str">
        <f>IF(F91="","",K91)</f>
        <v/>
      </c>
      <c r="H3" s="841"/>
      <c r="I3" s="841"/>
      <c r="J3" s="835"/>
      <c r="K3" s="836"/>
      <c r="L3" s="837"/>
    </row>
    <row r="4" spans="2:30" ht="16.5" customHeight="1" x14ac:dyDescent="0.2">
      <c r="B4" s="793" t="s">
        <v>214</v>
      </c>
      <c r="C4" s="793"/>
      <c r="D4" s="793"/>
      <c r="E4" s="793"/>
      <c r="F4" s="793"/>
      <c r="G4" s="841" t="str">
        <f>IF($G$3="","",$G$3*0.25)</f>
        <v/>
      </c>
      <c r="H4" s="841"/>
      <c r="I4" s="841"/>
      <c r="J4" s="835"/>
      <c r="K4" s="836"/>
      <c r="L4" s="837"/>
    </row>
    <row r="5" spans="2:30" ht="16.5" customHeight="1" x14ac:dyDescent="0.2">
      <c r="B5" s="793" t="s">
        <v>215</v>
      </c>
      <c r="C5" s="793"/>
      <c r="D5" s="793"/>
      <c r="E5" s="793"/>
      <c r="F5" s="793"/>
      <c r="G5" s="841" t="str">
        <f>IF($G$3="","",$G$3*0.1)</f>
        <v/>
      </c>
      <c r="H5" s="841"/>
      <c r="I5" s="841"/>
      <c r="J5" s="835"/>
      <c r="K5" s="836"/>
      <c r="L5" s="837"/>
    </row>
    <row r="6" spans="2:30" ht="16.5" customHeight="1" x14ac:dyDescent="0.2">
      <c r="B6" s="793" t="s">
        <v>383</v>
      </c>
      <c r="C6" s="793"/>
      <c r="D6" s="793"/>
      <c r="E6" s="793"/>
      <c r="F6" s="793"/>
      <c r="G6" s="841" t="str">
        <f>IF(G2="","",SUM(K32:L36,K38:L47,K50:L62,K66:L77,K80:L83,K85:L86,K88:L89)/12)</f>
        <v/>
      </c>
      <c r="H6" s="841"/>
      <c r="I6" s="841"/>
      <c r="J6" s="835"/>
      <c r="K6" s="836"/>
      <c r="L6" s="837"/>
    </row>
    <row r="7" spans="2:30" ht="16.5" customHeight="1" x14ac:dyDescent="0.2">
      <c r="B7" s="793" t="s">
        <v>384</v>
      </c>
      <c r="C7" s="793"/>
      <c r="D7" s="793"/>
      <c r="E7" s="793"/>
      <c r="F7" s="793"/>
      <c r="G7" s="841" t="str">
        <f>IF(G2="","",SUM(K91/12))</f>
        <v/>
      </c>
      <c r="H7" s="841"/>
      <c r="I7" s="841"/>
      <c r="J7" s="835"/>
      <c r="K7" s="836"/>
      <c r="L7" s="837"/>
    </row>
    <row r="8" spans="2:30" ht="16.5" customHeight="1" thickBot="1" x14ac:dyDescent="0.25">
      <c r="B8" s="793" t="s">
        <v>385</v>
      </c>
      <c r="C8" s="793"/>
      <c r="D8" s="793"/>
      <c r="E8" s="793"/>
      <c r="F8" s="793"/>
      <c r="G8" s="841" t="str">
        <f>IF(G2="","",SUM(K32:L36,K38:L47,K50:L62,K66:L77,K80:L83,K85:L86,K88:L89)*0.4)</f>
        <v/>
      </c>
      <c r="H8" s="841"/>
      <c r="I8" s="841"/>
      <c r="J8" s="838"/>
      <c r="K8" s="839"/>
      <c r="L8" s="840"/>
    </row>
    <row r="9" spans="2:30" ht="6.75" customHeight="1" x14ac:dyDescent="0.2">
      <c r="M9" s="258"/>
    </row>
    <row r="10" spans="2:30" ht="21" customHeight="1" thickBot="1" x14ac:dyDescent="0.25">
      <c r="B10" s="830" t="s">
        <v>212</v>
      </c>
      <c r="C10" s="831"/>
      <c r="D10" s="831"/>
      <c r="E10" s="831"/>
      <c r="F10" s="831"/>
      <c r="G10" s="831"/>
      <c r="H10" s="831"/>
      <c r="I10" s="831"/>
      <c r="J10" s="831"/>
      <c r="K10" s="831"/>
      <c r="L10" s="831"/>
    </row>
    <row r="11" spans="2:30" ht="18.75" customHeight="1" x14ac:dyDescent="0.2">
      <c r="B11" s="794" t="s">
        <v>89</v>
      </c>
      <c r="C11" s="795"/>
      <c r="D11" s="795"/>
      <c r="E11" s="795"/>
      <c r="F11" s="795"/>
      <c r="G11" s="795"/>
      <c r="H11" s="795"/>
      <c r="I11" s="795"/>
      <c r="J11" s="795"/>
      <c r="K11" s="795"/>
      <c r="L11" s="796"/>
      <c r="T11" s="267">
        <v>50</v>
      </c>
      <c r="U11" s="326">
        <v>12500</v>
      </c>
    </row>
    <row r="12" spans="2:30" ht="18.75" customHeight="1" x14ac:dyDescent="0.2">
      <c r="B12" s="797"/>
      <c r="C12" s="798"/>
      <c r="D12" s="798"/>
      <c r="E12" s="798"/>
      <c r="F12" s="798"/>
      <c r="G12" s="798"/>
      <c r="H12" s="798"/>
      <c r="I12" s="798"/>
      <c r="J12" s="798"/>
      <c r="K12" s="798"/>
      <c r="L12" s="799"/>
      <c r="Q12" s="268"/>
      <c r="R12" s="268"/>
      <c r="S12" s="268"/>
      <c r="T12" s="267">
        <v>75</v>
      </c>
      <c r="U12" s="327">
        <f>SUM($U$11*2)*0.95</f>
        <v>23750</v>
      </c>
      <c r="V12" s="268"/>
      <c r="W12" s="268"/>
      <c r="X12" s="268"/>
      <c r="Y12" s="268"/>
      <c r="Z12" s="268"/>
      <c r="AA12" s="268"/>
      <c r="AB12" s="268"/>
      <c r="AC12" s="268"/>
      <c r="AD12" s="268"/>
    </row>
    <row r="13" spans="2:30" ht="18.75" customHeight="1" x14ac:dyDescent="0.2">
      <c r="B13" s="58"/>
      <c r="C13" s="800" t="s">
        <v>96</v>
      </c>
      <c r="D13" s="801"/>
      <c r="E13" s="801"/>
      <c r="F13" s="801"/>
      <c r="G13" s="801"/>
      <c r="H13" s="801"/>
      <c r="I13" s="801"/>
      <c r="J13" s="801"/>
      <c r="K13" s="801"/>
      <c r="L13" s="802"/>
      <c r="M13" s="269"/>
      <c r="N13" s="269"/>
      <c r="O13" s="269"/>
      <c r="Q13" s="264"/>
      <c r="R13" s="264"/>
      <c r="S13" s="264"/>
      <c r="T13" s="267">
        <v>100</v>
      </c>
      <c r="U13" s="327">
        <f>SUM($U$11*3)*0.95</f>
        <v>35625</v>
      </c>
      <c r="V13" s="264"/>
      <c r="W13" s="264"/>
      <c r="X13" s="264"/>
      <c r="Y13" s="264"/>
      <c r="Z13" s="264"/>
      <c r="AA13" s="264"/>
      <c r="AB13" s="264"/>
      <c r="AC13" s="264"/>
      <c r="AD13" s="264"/>
    </row>
    <row r="14" spans="2:30" ht="18" customHeight="1" x14ac:dyDescent="0.2">
      <c r="B14" s="67" t="s">
        <v>97</v>
      </c>
      <c r="C14" s="803" t="s">
        <v>90</v>
      </c>
      <c r="D14" s="803"/>
      <c r="E14" s="803"/>
      <c r="F14" s="803"/>
      <c r="G14" s="803"/>
      <c r="H14" s="803"/>
      <c r="I14" s="803"/>
      <c r="J14" s="803"/>
      <c r="K14" s="803"/>
      <c r="L14" s="190" t="str">
        <f>IF(FROTA!AB2="","",IF(FROTA!AT3="Situação:  PRÓPRIA",0,VLOOKUP(FROTA!AC4,'DESP. ADM.'!T11:U22,2,0)))</f>
        <v/>
      </c>
      <c r="M14" s="270"/>
      <c r="N14" s="269"/>
      <c r="O14" s="269"/>
      <c r="Q14" s="264"/>
      <c r="R14" s="264"/>
      <c r="S14" s="264"/>
      <c r="T14" s="267">
        <v>125</v>
      </c>
      <c r="U14" s="327">
        <f>SUM($U$11*4)*0.95</f>
        <v>47500</v>
      </c>
      <c r="V14" s="264"/>
      <c r="W14" s="264"/>
      <c r="X14" s="264"/>
      <c r="Y14" s="264"/>
      <c r="Z14" s="264"/>
      <c r="AA14" s="264"/>
      <c r="AB14" s="264"/>
      <c r="AC14" s="264"/>
      <c r="AD14" s="264"/>
    </row>
    <row r="15" spans="2:30" ht="18" customHeight="1" x14ac:dyDescent="0.2">
      <c r="B15" s="59" t="s">
        <v>98</v>
      </c>
      <c r="C15" s="804" t="s">
        <v>240</v>
      </c>
      <c r="D15" s="804"/>
      <c r="E15" s="804"/>
      <c r="F15" s="804"/>
      <c r="G15" s="804"/>
      <c r="H15" s="804"/>
      <c r="I15" s="804"/>
      <c r="J15" s="804"/>
      <c r="K15" s="804"/>
      <c r="L15" s="188" t="str">
        <f>IF(L14="","",FROTA!AG2*185)</f>
        <v/>
      </c>
      <c r="M15" s="269"/>
      <c r="N15" s="269"/>
      <c r="O15" s="269"/>
      <c r="Q15" s="264"/>
      <c r="R15" s="264"/>
      <c r="S15" s="264"/>
      <c r="T15" s="267">
        <v>150</v>
      </c>
      <c r="U15" s="327">
        <f>SUM($U$11*5)*0.95</f>
        <v>59375</v>
      </c>
      <c r="V15" s="264"/>
      <c r="W15" s="264"/>
      <c r="X15" s="264"/>
      <c r="Y15" s="264"/>
      <c r="Z15" s="264"/>
      <c r="AA15" s="264"/>
      <c r="AB15" s="264"/>
      <c r="AC15" s="264"/>
      <c r="AD15" s="264"/>
    </row>
    <row r="16" spans="2:30" ht="18" customHeight="1" x14ac:dyDescent="0.2">
      <c r="B16" s="59" t="s">
        <v>99</v>
      </c>
      <c r="C16" s="804" t="s">
        <v>91</v>
      </c>
      <c r="D16" s="804"/>
      <c r="E16" s="804"/>
      <c r="F16" s="804"/>
      <c r="G16" s="804"/>
      <c r="H16" s="804"/>
      <c r="I16" s="804"/>
      <c r="J16" s="804"/>
      <c r="K16" s="804"/>
      <c r="L16" s="188" t="str">
        <f>IF(L15="","",L15*2.5)</f>
        <v/>
      </c>
      <c r="M16" s="269"/>
      <c r="N16" s="269"/>
      <c r="O16" s="269"/>
      <c r="Q16" s="264"/>
      <c r="R16" s="264"/>
      <c r="S16" s="264"/>
      <c r="T16" s="267">
        <v>175</v>
      </c>
      <c r="U16" s="327">
        <f>SUM($U$11*6)*0.95</f>
        <v>71250</v>
      </c>
      <c r="V16" s="264"/>
      <c r="W16" s="264"/>
      <c r="X16" s="264"/>
      <c r="Y16" s="264"/>
      <c r="Z16" s="264"/>
      <c r="AA16" s="264"/>
      <c r="AB16" s="264"/>
      <c r="AC16" s="264"/>
      <c r="AD16" s="264"/>
    </row>
    <row r="17" spans="2:30" ht="18" customHeight="1" x14ac:dyDescent="0.2">
      <c r="B17" s="59" t="s">
        <v>100</v>
      </c>
      <c r="C17" s="804" t="s">
        <v>92</v>
      </c>
      <c r="D17" s="804"/>
      <c r="E17" s="804"/>
      <c r="F17" s="804"/>
      <c r="G17" s="804"/>
      <c r="H17" s="804"/>
      <c r="I17" s="804"/>
      <c r="J17" s="804"/>
      <c r="K17" s="804"/>
      <c r="L17" s="188" t="str">
        <f>IF(L16="","",L16*1.87)</f>
        <v/>
      </c>
      <c r="M17" s="269"/>
      <c r="N17" s="269"/>
      <c r="O17" s="269"/>
      <c r="Q17" s="264"/>
      <c r="R17" s="264"/>
      <c r="S17" s="264"/>
      <c r="T17" s="267">
        <v>200</v>
      </c>
      <c r="U17" s="327">
        <f>SUM($U$11*7)*0.95</f>
        <v>83125</v>
      </c>
      <c r="V17" s="264"/>
      <c r="W17" s="264"/>
      <c r="X17" s="264"/>
      <c r="Y17" s="264"/>
      <c r="Z17" s="264"/>
      <c r="AA17" s="264"/>
      <c r="AB17" s="264"/>
      <c r="AC17" s="264"/>
      <c r="AD17" s="264"/>
    </row>
    <row r="18" spans="2:30" ht="18" customHeight="1" x14ac:dyDescent="0.2">
      <c r="B18" s="59" t="s">
        <v>101</v>
      </c>
      <c r="C18" s="804" t="s">
        <v>93</v>
      </c>
      <c r="D18" s="804"/>
      <c r="E18" s="804"/>
      <c r="F18" s="804"/>
      <c r="G18" s="804"/>
      <c r="H18" s="804"/>
      <c r="I18" s="804"/>
      <c r="J18" s="804"/>
      <c r="K18" s="804"/>
      <c r="L18" s="188" t="str">
        <f>IF(L17="","",L17*0.075)</f>
        <v/>
      </c>
      <c r="M18" s="269"/>
      <c r="N18" s="269"/>
      <c r="O18" s="269"/>
      <c r="Q18" s="264"/>
      <c r="R18" s="264"/>
      <c r="S18" s="264"/>
      <c r="T18" s="267">
        <v>225</v>
      </c>
      <c r="U18" s="327">
        <f>SUM($U$11*8)*0.95</f>
        <v>95000</v>
      </c>
      <c r="V18" s="264"/>
      <c r="W18" s="264"/>
      <c r="X18" s="264"/>
      <c r="Y18" s="264"/>
      <c r="Z18" s="264"/>
      <c r="AA18" s="264"/>
      <c r="AB18" s="264"/>
      <c r="AC18" s="264"/>
      <c r="AD18" s="264"/>
    </row>
    <row r="19" spans="2:30" ht="18" customHeight="1" x14ac:dyDescent="0.2">
      <c r="B19" s="59" t="s">
        <v>102</v>
      </c>
      <c r="C19" s="804" t="s">
        <v>94</v>
      </c>
      <c r="D19" s="804"/>
      <c r="E19" s="804"/>
      <c r="F19" s="804"/>
      <c r="G19" s="804"/>
      <c r="H19" s="804"/>
      <c r="I19" s="804"/>
      <c r="J19" s="804"/>
      <c r="K19" s="804"/>
      <c r="L19" s="188" t="str">
        <f>IF(L18="","",L18*2.2)</f>
        <v/>
      </c>
      <c r="M19" s="269"/>
      <c r="N19" s="269"/>
      <c r="O19" s="269"/>
      <c r="Q19" s="264"/>
      <c r="R19" s="264"/>
      <c r="S19" s="264"/>
      <c r="T19" s="267">
        <v>250</v>
      </c>
      <c r="U19" s="327">
        <f>SUM($U$11*9)*0.95</f>
        <v>106875</v>
      </c>
      <c r="V19" s="264"/>
      <c r="W19" s="264"/>
      <c r="X19" s="264"/>
      <c r="Y19" s="264"/>
      <c r="Z19" s="264"/>
      <c r="AA19" s="264"/>
      <c r="AB19" s="264"/>
      <c r="AC19" s="264"/>
      <c r="AD19" s="264"/>
    </row>
    <row r="20" spans="2:30" ht="18" customHeight="1" x14ac:dyDescent="0.2">
      <c r="B20" s="59" t="s">
        <v>103</v>
      </c>
      <c r="C20" s="804" t="s">
        <v>95</v>
      </c>
      <c r="D20" s="804"/>
      <c r="E20" s="804"/>
      <c r="F20" s="804"/>
      <c r="G20" s="804"/>
      <c r="H20" s="804"/>
      <c r="I20" s="804"/>
      <c r="J20" s="804"/>
      <c r="K20" s="804"/>
      <c r="L20" s="188" t="str">
        <f>IF(L19="","",L19*0.55)</f>
        <v/>
      </c>
      <c r="M20" s="269"/>
      <c r="Q20" s="264"/>
      <c r="R20" s="264"/>
      <c r="S20" s="264"/>
      <c r="T20" s="267">
        <v>275</v>
      </c>
      <c r="U20" s="327">
        <f>SUM($U$11*10)*0.95</f>
        <v>118750</v>
      </c>
      <c r="V20" s="264"/>
      <c r="W20" s="264"/>
      <c r="X20" s="264"/>
      <c r="Y20" s="264"/>
      <c r="Z20" s="264"/>
      <c r="AA20" s="264"/>
      <c r="AB20" s="264"/>
      <c r="AC20" s="264"/>
      <c r="AD20" s="264"/>
    </row>
    <row r="21" spans="2:30" ht="18" customHeight="1" x14ac:dyDescent="0.2">
      <c r="B21" s="59" t="s">
        <v>104</v>
      </c>
      <c r="C21" s="804" t="s">
        <v>457</v>
      </c>
      <c r="D21" s="804"/>
      <c r="E21" s="804"/>
      <c r="F21" s="804"/>
      <c r="G21" s="804"/>
      <c r="H21" s="804"/>
      <c r="I21" s="804"/>
      <c r="J21" s="804"/>
      <c r="K21" s="804"/>
      <c r="L21" s="188" t="str">
        <f>IF(L20="","",L20*1.25)</f>
        <v/>
      </c>
      <c r="M21" s="269"/>
      <c r="Q21" s="264"/>
      <c r="R21" s="264"/>
      <c r="S21" s="264"/>
      <c r="T21" s="267">
        <v>300</v>
      </c>
      <c r="U21" s="327">
        <f>SUM($U$11*11)*0.95</f>
        <v>130625</v>
      </c>
      <c r="V21" s="264"/>
      <c r="W21" s="264"/>
      <c r="X21" s="264"/>
      <c r="Y21" s="264"/>
      <c r="Z21" s="264"/>
      <c r="AA21" s="264"/>
      <c r="AB21" s="264"/>
      <c r="AC21" s="264"/>
      <c r="AD21" s="264"/>
    </row>
    <row r="22" spans="2:30" ht="18" customHeight="1" x14ac:dyDescent="0.2">
      <c r="B22" s="59" t="s">
        <v>131</v>
      </c>
      <c r="C22" s="804" t="s">
        <v>105</v>
      </c>
      <c r="D22" s="804"/>
      <c r="E22" s="804"/>
      <c r="F22" s="804"/>
      <c r="G22" s="804"/>
      <c r="H22" s="804"/>
      <c r="I22" s="804"/>
      <c r="J22" s="804"/>
      <c r="K22" s="804"/>
      <c r="L22" s="188" t="str">
        <f>IF(L21="","",L21*0.1)</f>
        <v/>
      </c>
      <c r="M22" s="269"/>
      <c r="Q22" s="264"/>
      <c r="R22" s="264"/>
      <c r="S22" s="264"/>
      <c r="T22" s="265"/>
      <c r="U22" s="266"/>
      <c r="V22" s="264"/>
      <c r="W22" s="264"/>
      <c r="X22" s="264"/>
      <c r="Y22" s="264"/>
      <c r="Z22" s="264"/>
      <c r="AA22" s="264"/>
      <c r="AB22" s="264"/>
      <c r="AC22" s="264"/>
      <c r="AD22" s="264"/>
    </row>
    <row r="23" spans="2:30" ht="18" customHeight="1" thickBot="1" x14ac:dyDescent="0.25">
      <c r="B23" s="66" t="s">
        <v>386</v>
      </c>
      <c r="C23" s="842" t="s">
        <v>387</v>
      </c>
      <c r="D23" s="843"/>
      <c r="E23" s="843"/>
      <c r="F23" s="843"/>
      <c r="G23" s="843"/>
      <c r="H23" s="843"/>
      <c r="I23" s="843"/>
      <c r="J23" s="843"/>
      <c r="K23" s="844"/>
      <c r="L23" s="189" t="str">
        <f>IF(L22="","",COUNTIF(FROTA!AG6:AG305,"Sim")*100)</f>
        <v/>
      </c>
      <c r="M23" s="269"/>
      <c r="Q23" s="264"/>
      <c r="R23" s="264"/>
      <c r="S23" s="264"/>
      <c r="T23" s="265"/>
      <c r="U23" s="266"/>
      <c r="V23" s="264"/>
      <c r="W23" s="264"/>
      <c r="X23" s="264"/>
      <c r="Y23" s="264"/>
      <c r="Z23" s="264"/>
      <c r="AA23" s="264"/>
      <c r="AB23" s="264"/>
      <c r="AC23" s="264"/>
      <c r="AD23" s="264"/>
    </row>
    <row r="24" spans="2:30" ht="6" customHeight="1" thickBot="1" x14ac:dyDescent="0.25">
      <c r="L24" s="263"/>
      <c r="Q24" s="264"/>
      <c r="R24" s="264"/>
      <c r="S24" s="264"/>
      <c r="T24" s="265"/>
      <c r="U24" s="266"/>
      <c r="V24" s="264"/>
      <c r="W24" s="264"/>
      <c r="X24" s="264"/>
      <c r="Y24" s="264"/>
      <c r="Z24" s="264"/>
      <c r="AA24" s="264"/>
      <c r="AB24" s="264"/>
      <c r="AC24" s="264"/>
      <c r="AD24" s="264"/>
    </row>
    <row r="25" spans="2:30" ht="15.75" thickBot="1" x14ac:dyDescent="0.25">
      <c r="G25" s="846" t="s">
        <v>87</v>
      </c>
      <c r="H25" s="847"/>
      <c r="I25" s="847"/>
      <c r="J25" s="848"/>
      <c r="K25" s="849">
        <f>SUM(L14:L23)</f>
        <v>0</v>
      </c>
      <c r="L25" s="850"/>
      <c r="Q25" s="264"/>
      <c r="R25" s="264"/>
      <c r="S25" s="264"/>
      <c r="T25" s="265"/>
      <c r="U25" s="266"/>
      <c r="V25" s="264"/>
      <c r="W25" s="264"/>
      <c r="X25" s="264"/>
      <c r="Y25" s="264"/>
      <c r="Z25" s="264"/>
      <c r="AA25" s="264"/>
      <c r="AB25" s="264"/>
      <c r="AC25" s="264"/>
      <c r="AD25" s="264"/>
    </row>
    <row r="26" spans="2:30" ht="9" customHeight="1" thickBot="1" x14ac:dyDescent="0.25">
      <c r="L26" s="263"/>
      <c r="Q26" s="264"/>
      <c r="R26" s="264"/>
      <c r="S26" s="264"/>
      <c r="T26" s="265"/>
      <c r="U26" s="266"/>
      <c r="V26" s="264"/>
      <c r="W26" s="264"/>
      <c r="X26" s="264"/>
      <c r="Y26" s="264"/>
      <c r="Z26" s="264"/>
      <c r="AA26" s="264"/>
      <c r="AB26" s="264"/>
      <c r="AC26" s="264"/>
      <c r="AD26" s="264"/>
    </row>
    <row r="27" spans="2:30" ht="18.75" customHeight="1" x14ac:dyDescent="0.2">
      <c r="B27" s="806" t="s">
        <v>106</v>
      </c>
      <c r="C27" s="807"/>
      <c r="D27" s="807"/>
      <c r="E27" s="807"/>
      <c r="F27" s="807"/>
      <c r="G27" s="807"/>
      <c r="H27" s="807"/>
      <c r="I27" s="807"/>
      <c r="J27" s="807"/>
      <c r="K27" s="807"/>
      <c r="L27" s="808"/>
      <c r="Q27" s="264"/>
      <c r="R27" s="264"/>
      <c r="S27" s="264"/>
      <c r="T27" s="265"/>
      <c r="U27" s="266"/>
      <c r="V27" s="264"/>
      <c r="W27" s="264"/>
      <c r="X27" s="264"/>
      <c r="Y27" s="264"/>
      <c r="Z27" s="264"/>
      <c r="AA27" s="264"/>
      <c r="AB27" s="264"/>
      <c r="AC27" s="264"/>
      <c r="AD27" s="264"/>
    </row>
    <row r="28" spans="2:30" ht="18.75" customHeight="1" thickBot="1" x14ac:dyDescent="0.25">
      <c r="B28" s="809"/>
      <c r="C28" s="810"/>
      <c r="D28" s="810"/>
      <c r="E28" s="810"/>
      <c r="F28" s="810"/>
      <c r="G28" s="810"/>
      <c r="H28" s="810"/>
      <c r="I28" s="810"/>
      <c r="J28" s="810"/>
      <c r="K28" s="810"/>
      <c r="L28" s="811"/>
      <c r="Q28" s="264"/>
      <c r="R28" s="264"/>
      <c r="S28" s="264"/>
      <c r="T28" s="265"/>
      <c r="U28" s="266"/>
      <c r="V28" s="264"/>
      <c r="W28" s="264"/>
      <c r="X28" s="264"/>
      <c r="Y28" s="264"/>
      <c r="Z28" s="264"/>
      <c r="AA28" s="264"/>
      <c r="AB28" s="264"/>
      <c r="AC28" s="264"/>
      <c r="AD28" s="264"/>
    </row>
    <row r="29" spans="2:30" ht="18.75" customHeight="1" x14ac:dyDescent="0.2">
      <c r="B29" s="812" t="s">
        <v>107</v>
      </c>
      <c r="C29" s="812" t="s">
        <v>108</v>
      </c>
      <c r="D29" s="814"/>
      <c r="E29" s="853" t="s">
        <v>425</v>
      </c>
      <c r="F29" s="816" t="s">
        <v>424</v>
      </c>
      <c r="G29" s="818" t="s">
        <v>109</v>
      </c>
      <c r="H29" s="816" t="s">
        <v>254</v>
      </c>
      <c r="I29" s="818" t="s">
        <v>110</v>
      </c>
      <c r="J29" s="816" t="s">
        <v>111</v>
      </c>
      <c r="K29" s="826" t="s">
        <v>112</v>
      </c>
      <c r="L29" s="827"/>
      <c r="Q29" s="264"/>
      <c r="R29" s="264"/>
      <c r="S29" s="264"/>
      <c r="T29" s="265"/>
      <c r="U29" s="266"/>
      <c r="V29" s="264"/>
      <c r="W29" s="264"/>
      <c r="X29" s="264"/>
      <c r="Y29" s="264"/>
      <c r="Z29" s="264"/>
      <c r="AA29" s="264"/>
      <c r="AB29" s="264"/>
      <c r="AC29" s="264"/>
      <c r="AD29" s="264"/>
    </row>
    <row r="30" spans="2:30" ht="18.75" customHeight="1" thickBot="1" x14ac:dyDescent="0.25">
      <c r="B30" s="813"/>
      <c r="C30" s="813"/>
      <c r="D30" s="815"/>
      <c r="E30" s="854"/>
      <c r="F30" s="817"/>
      <c r="G30" s="819"/>
      <c r="H30" s="817"/>
      <c r="I30" s="819"/>
      <c r="J30" s="817"/>
      <c r="K30" s="828"/>
      <c r="L30" s="829"/>
      <c r="Q30" s="264"/>
      <c r="R30" s="264"/>
      <c r="S30" s="264"/>
      <c r="T30" s="265"/>
      <c r="U30" s="266"/>
      <c r="V30" s="264"/>
      <c r="W30" s="264"/>
      <c r="X30" s="264"/>
      <c r="Y30" s="264"/>
      <c r="Z30" s="264"/>
      <c r="AA30" s="264"/>
      <c r="AB30" s="264"/>
      <c r="AC30" s="264"/>
      <c r="AD30" s="264"/>
    </row>
    <row r="31" spans="2:30" ht="18.75" customHeight="1" x14ac:dyDescent="0.2">
      <c r="B31" s="54" t="s">
        <v>113</v>
      </c>
      <c r="C31" s="55"/>
      <c r="D31" s="55"/>
      <c r="E31" s="55"/>
      <c r="F31" s="55"/>
      <c r="G31" s="55"/>
      <c r="H31" s="55"/>
      <c r="I31" s="55"/>
      <c r="J31" s="55"/>
      <c r="K31" s="55"/>
      <c r="L31" s="56"/>
      <c r="Q31" s="264"/>
      <c r="R31" s="264"/>
      <c r="S31" s="264"/>
      <c r="T31" s="265"/>
      <c r="U31" s="266"/>
      <c r="V31" s="264"/>
      <c r="W31" s="264"/>
      <c r="X31" s="264"/>
      <c r="Y31" s="264"/>
      <c r="Z31" s="264"/>
      <c r="AA31" s="264"/>
      <c r="AB31" s="264"/>
      <c r="AC31" s="264"/>
      <c r="AD31" s="264"/>
    </row>
    <row r="32" spans="2:30" ht="18.75" customHeight="1" x14ac:dyDescent="0.2">
      <c r="B32" s="121" t="s">
        <v>114</v>
      </c>
      <c r="C32" s="805" t="s">
        <v>426</v>
      </c>
      <c r="D32" s="805"/>
      <c r="E32" s="234" t="str">
        <f>IF(PERFIL!$B$5="","",1)</f>
        <v/>
      </c>
      <c r="F32" s="299" t="str">
        <f>E32</f>
        <v/>
      </c>
      <c r="G32" s="68">
        <v>1</v>
      </c>
      <c r="H32" s="68">
        <v>8</v>
      </c>
      <c r="I32" s="50">
        <v>7843.6440694079993</v>
      </c>
      <c r="J32" s="51">
        <v>8235.8262728783993</v>
      </c>
      <c r="K32" s="782" t="str">
        <f>IF(F32="","",F32*J32)</f>
        <v/>
      </c>
      <c r="L32" s="783"/>
      <c r="M32" s="545"/>
      <c r="N32" s="269"/>
      <c r="Q32" s="264"/>
      <c r="R32" s="264"/>
      <c r="S32" s="264"/>
      <c r="T32" s="265"/>
      <c r="U32" s="266"/>
      <c r="V32" s="264"/>
      <c r="W32" s="264"/>
      <c r="X32" s="264"/>
      <c r="Y32" s="264"/>
      <c r="Z32" s="264"/>
      <c r="AA32" s="264"/>
      <c r="AB32" s="264"/>
      <c r="AC32" s="264"/>
      <c r="AD32" s="264"/>
    </row>
    <row r="33" spans="2:30" ht="18.75" customHeight="1" x14ac:dyDescent="0.2">
      <c r="B33" s="227" t="s">
        <v>427</v>
      </c>
      <c r="C33" s="228"/>
      <c r="D33" s="228"/>
      <c r="E33" s="228"/>
      <c r="F33" s="525"/>
      <c r="G33" s="228"/>
      <c r="H33" s="228"/>
      <c r="I33" s="228"/>
      <c r="J33" s="228"/>
      <c r="K33" s="228"/>
      <c r="L33" s="229"/>
      <c r="M33" s="545"/>
      <c r="N33" s="269"/>
      <c r="Q33" s="264"/>
      <c r="R33" s="264"/>
      <c r="S33" s="264"/>
      <c r="T33" s="265"/>
      <c r="U33" s="266"/>
      <c r="V33" s="264"/>
      <c r="W33" s="264"/>
      <c r="X33" s="264"/>
      <c r="Y33" s="264"/>
      <c r="Z33" s="264"/>
      <c r="AA33" s="264"/>
      <c r="AB33" s="264"/>
      <c r="AC33" s="264"/>
      <c r="AD33" s="264"/>
    </row>
    <row r="34" spans="2:30" ht="18.75" customHeight="1" x14ac:dyDescent="0.2">
      <c r="B34" s="121">
        <f>B32+1</f>
        <v>2</v>
      </c>
      <c r="C34" s="805" t="s">
        <v>428</v>
      </c>
      <c r="D34" s="805"/>
      <c r="E34" s="234" t="str">
        <f>IF(PERFIL!$B$5="","",1)</f>
        <v/>
      </c>
      <c r="F34" s="299" t="str">
        <f>E34</f>
        <v/>
      </c>
      <c r="G34" s="68">
        <v>1</v>
      </c>
      <c r="H34" s="68">
        <v>8</v>
      </c>
      <c r="I34" s="50">
        <v>4575.459040488</v>
      </c>
      <c r="J34" s="51">
        <v>4804.2319925124002</v>
      </c>
      <c r="K34" s="782" t="str">
        <f>IF(F34="","",F34*J34)</f>
        <v/>
      </c>
      <c r="L34" s="783"/>
      <c r="M34" s="545"/>
      <c r="N34" s="269"/>
      <c r="Q34" s="264"/>
      <c r="R34" s="264"/>
      <c r="S34" s="264"/>
      <c r="T34" s="265"/>
      <c r="U34" s="266"/>
      <c r="V34" s="264"/>
      <c r="W34" s="264"/>
      <c r="X34" s="264"/>
      <c r="Y34" s="264"/>
      <c r="Z34" s="264"/>
      <c r="AA34" s="264"/>
      <c r="AB34" s="264"/>
      <c r="AC34" s="264"/>
      <c r="AD34" s="264"/>
    </row>
    <row r="35" spans="2:30" ht="18.75" customHeight="1" x14ac:dyDescent="0.2">
      <c r="B35" s="121">
        <f>B34+1</f>
        <v>3</v>
      </c>
      <c r="C35" s="805" t="s">
        <v>429</v>
      </c>
      <c r="D35" s="805"/>
      <c r="E35" s="234" t="str">
        <f>IF(PERFIL!$B$5="","",1)</f>
        <v/>
      </c>
      <c r="F35" s="299" t="str">
        <f>E35</f>
        <v/>
      </c>
      <c r="G35" s="68">
        <v>1</v>
      </c>
      <c r="H35" s="68">
        <v>8</v>
      </c>
      <c r="I35" s="50">
        <v>4575.459040488</v>
      </c>
      <c r="J35" s="51">
        <v>4804.2319925124002</v>
      </c>
      <c r="K35" s="782" t="str">
        <f>IF(F35="","",F35*J35)</f>
        <v/>
      </c>
      <c r="L35" s="783"/>
      <c r="M35" s="545"/>
      <c r="N35" s="269"/>
      <c r="Q35" s="264"/>
      <c r="R35" s="264"/>
      <c r="S35" s="264"/>
      <c r="T35" s="265"/>
      <c r="U35" s="266"/>
      <c r="V35" s="264"/>
      <c r="W35" s="264"/>
      <c r="X35" s="264"/>
      <c r="Y35" s="264"/>
      <c r="Z35" s="264"/>
      <c r="AA35" s="264"/>
      <c r="AB35" s="264"/>
      <c r="AC35" s="264"/>
      <c r="AD35" s="264"/>
    </row>
    <row r="36" spans="2:30" ht="18.75" customHeight="1" x14ac:dyDescent="0.2">
      <c r="B36" s="121">
        <f>B35+1</f>
        <v>4</v>
      </c>
      <c r="C36" s="805" t="s">
        <v>430</v>
      </c>
      <c r="D36" s="805"/>
      <c r="E36" s="234" t="str">
        <f>IF(PERFIL!$B$5="","",1)</f>
        <v/>
      </c>
      <c r="F36" s="299" t="str">
        <f>E36</f>
        <v/>
      </c>
      <c r="G36" s="68">
        <v>1</v>
      </c>
      <c r="H36" s="68">
        <v>8</v>
      </c>
      <c r="I36" s="50">
        <v>4575.459040488</v>
      </c>
      <c r="J36" s="51">
        <v>4804.2319925124002</v>
      </c>
      <c r="K36" s="782" t="str">
        <f>IF(F36="","",F36*J36)</f>
        <v/>
      </c>
      <c r="L36" s="783"/>
      <c r="M36" s="545"/>
      <c r="N36" s="269"/>
      <c r="Q36" s="264"/>
      <c r="R36" s="264"/>
      <c r="S36" s="264"/>
      <c r="T36" s="265"/>
      <c r="U36" s="266"/>
      <c r="V36" s="264"/>
      <c r="W36" s="264"/>
      <c r="X36" s="264"/>
      <c r="Y36" s="264"/>
      <c r="Z36" s="264"/>
      <c r="AA36" s="264"/>
      <c r="AB36" s="264"/>
      <c r="AC36" s="264"/>
      <c r="AD36" s="264"/>
    </row>
    <row r="37" spans="2:30" ht="18.75" customHeight="1" x14ac:dyDescent="0.2">
      <c r="B37" s="122" t="s">
        <v>115</v>
      </c>
      <c r="C37" s="52"/>
      <c r="D37" s="52"/>
      <c r="E37" s="52"/>
      <c r="F37" s="526"/>
      <c r="G37" s="52"/>
      <c r="H37" s="52"/>
      <c r="I37" s="52"/>
      <c r="J37" s="52"/>
      <c r="K37" s="52"/>
      <c r="L37" s="53"/>
      <c r="M37" s="545"/>
      <c r="N37" s="269"/>
      <c r="Q37" s="264"/>
      <c r="R37" s="264"/>
      <c r="S37" s="264"/>
      <c r="T37" s="265"/>
      <c r="U37" s="266"/>
      <c r="V37" s="264"/>
      <c r="W37" s="264"/>
      <c r="X37" s="264"/>
      <c r="Y37" s="264"/>
      <c r="Z37" s="264"/>
      <c r="AA37" s="264"/>
      <c r="AB37" s="264"/>
      <c r="AC37" s="264"/>
      <c r="AD37" s="264"/>
    </row>
    <row r="38" spans="2:30" ht="18.75" customHeight="1" x14ac:dyDescent="0.2">
      <c r="B38" s="121">
        <f>B36+1</f>
        <v>5</v>
      </c>
      <c r="C38" s="805" t="s">
        <v>116</v>
      </c>
      <c r="D38" s="805"/>
      <c r="E38" s="234" t="str">
        <f>IF(PERFIL!$B$5="","",3)</f>
        <v/>
      </c>
      <c r="F38" s="299" t="str">
        <f>E38</f>
        <v/>
      </c>
      <c r="G38" s="68">
        <v>2</v>
      </c>
      <c r="H38" s="68">
        <v>8</v>
      </c>
      <c r="I38" s="50">
        <v>4183.2768370176</v>
      </c>
      <c r="J38" s="51">
        <v>4392.4406788684801</v>
      </c>
      <c r="K38" s="782" t="str">
        <f t="shared" ref="K38:K43" si="0">IF(F38="","",F38*J38)</f>
        <v/>
      </c>
      <c r="L38" s="783"/>
      <c r="M38" s="545"/>
      <c r="N38" s="269"/>
      <c r="Q38" s="264"/>
      <c r="R38" s="264"/>
      <c r="S38" s="264"/>
      <c r="T38" s="265"/>
      <c r="U38" s="266"/>
      <c r="V38" s="264"/>
      <c r="W38" s="264"/>
      <c r="X38" s="264"/>
      <c r="Y38" s="264"/>
      <c r="Z38" s="264"/>
      <c r="AA38" s="264"/>
      <c r="AB38" s="264"/>
      <c r="AC38" s="264"/>
      <c r="AD38" s="264"/>
    </row>
    <row r="39" spans="2:30" ht="18.75" customHeight="1" x14ac:dyDescent="0.2">
      <c r="B39" s="121">
        <f>B38+1</f>
        <v>6</v>
      </c>
      <c r="C39" s="805" t="s">
        <v>117</v>
      </c>
      <c r="D39" s="805"/>
      <c r="E39" s="234" t="str">
        <f>IF(PERFIL!$B$5="","",SUBTOTAL(9,PERFIL!$A$5:$A$20))</f>
        <v/>
      </c>
      <c r="F39" s="299" t="str">
        <f>E39</f>
        <v/>
      </c>
      <c r="G39" s="68">
        <v>2</v>
      </c>
      <c r="H39" s="68">
        <v>8</v>
      </c>
      <c r="I39" s="50">
        <v>2745.2754242927999</v>
      </c>
      <c r="J39" s="51">
        <v>2882.5391955074401</v>
      </c>
      <c r="K39" s="782" t="str">
        <f t="shared" si="0"/>
        <v/>
      </c>
      <c r="L39" s="783"/>
      <c r="M39" s="545"/>
      <c r="N39" s="269"/>
      <c r="Q39" s="264"/>
      <c r="R39" s="264"/>
      <c r="S39" s="264"/>
      <c r="T39" s="265"/>
      <c r="U39" s="266"/>
      <c r="V39" s="264"/>
      <c r="W39" s="264"/>
      <c r="X39" s="264"/>
      <c r="Y39" s="264"/>
      <c r="Z39" s="264"/>
      <c r="AA39" s="264"/>
      <c r="AB39" s="264"/>
      <c r="AC39" s="264"/>
      <c r="AD39" s="264"/>
    </row>
    <row r="40" spans="2:30" ht="18.75" customHeight="1" x14ac:dyDescent="0.2">
      <c r="B40" s="121">
        <f t="shared" ref="B40:B47" si="1">B39+1</f>
        <v>7</v>
      </c>
      <c r="C40" s="805" t="s">
        <v>118</v>
      </c>
      <c r="D40" s="805"/>
      <c r="E40" s="235" t="str">
        <f>IF(E39="","",E39*2)</f>
        <v/>
      </c>
      <c r="F40" s="300" t="str">
        <f>E40</f>
        <v/>
      </c>
      <c r="G40" s="68">
        <v>2</v>
      </c>
      <c r="H40" s="68">
        <v>8</v>
      </c>
      <c r="I40" s="50">
        <v>2548.9088433597599</v>
      </c>
      <c r="J40" s="51">
        <v>2676.3542855277478</v>
      </c>
      <c r="K40" s="782" t="str">
        <f t="shared" si="0"/>
        <v/>
      </c>
      <c r="L40" s="783"/>
      <c r="M40" s="545"/>
      <c r="N40" s="269"/>
      <c r="Q40" s="264"/>
      <c r="R40" s="264"/>
      <c r="S40" s="264"/>
      <c r="T40" s="265"/>
      <c r="U40" s="266"/>
      <c r="V40" s="264"/>
      <c r="W40" s="264"/>
      <c r="X40" s="264"/>
      <c r="Y40" s="264"/>
      <c r="Z40" s="264"/>
      <c r="AA40" s="264"/>
      <c r="AB40" s="264"/>
      <c r="AC40" s="264"/>
      <c r="AD40" s="264"/>
    </row>
    <row r="41" spans="2:30" ht="18.75" customHeight="1" x14ac:dyDescent="0.2">
      <c r="B41" s="121">
        <f t="shared" si="1"/>
        <v>8</v>
      </c>
      <c r="C41" s="787" t="s">
        <v>119</v>
      </c>
      <c r="D41" s="789"/>
      <c r="E41" s="235" t="str">
        <f>IF(PERFIL!C3="","",SUM(SUMIF(PERFIL!$E$5:$E$20,FROTA!BI13,PERFIL!$K$5:$K$20),SUMIF(PERFIL!$E$5:$E$20,FROTA!BJ13,PERFIL!$K$5:$K$20),SUMIF(PERFIL!$E$5:$E$20,FROTA!BK13,PERFIL!$K$5:$K$20))*2)</f>
        <v/>
      </c>
      <c r="F41" s="301" t="str">
        <f>E41</f>
        <v/>
      </c>
      <c r="G41" s="68">
        <v>2</v>
      </c>
      <c r="H41" s="68" t="s">
        <v>253</v>
      </c>
      <c r="I41" s="50">
        <v>3268.1850289200001</v>
      </c>
      <c r="J41" s="51">
        <v>3431.5942803660005</v>
      </c>
      <c r="K41" s="782" t="str">
        <f t="shared" si="0"/>
        <v/>
      </c>
      <c r="L41" s="783"/>
      <c r="M41" s="545"/>
      <c r="N41" s="269"/>
      <c r="Q41" s="264"/>
      <c r="R41" s="264"/>
      <c r="S41" s="264"/>
      <c r="T41" s="265"/>
      <c r="U41" s="266"/>
      <c r="V41" s="264"/>
      <c r="W41" s="264"/>
      <c r="X41" s="264"/>
      <c r="Y41" s="264"/>
      <c r="Z41" s="264"/>
      <c r="AA41" s="264"/>
      <c r="AB41" s="264"/>
      <c r="AC41" s="264"/>
      <c r="AD41" s="264"/>
    </row>
    <row r="42" spans="2:30" ht="18.75" customHeight="1" x14ac:dyDescent="0.2">
      <c r="B42" s="121">
        <f t="shared" si="1"/>
        <v>9</v>
      </c>
      <c r="C42" s="787" t="s">
        <v>120</v>
      </c>
      <c r="D42" s="789"/>
      <c r="E42" s="235" t="str">
        <f>IF(SUM(PERFIL!I5:I20)=0,"",(SUM(PERFIL!I5:I20)*2)-E41)</f>
        <v/>
      </c>
      <c r="F42" s="301" t="str">
        <f>E42</f>
        <v/>
      </c>
      <c r="G42" s="68">
        <v>2</v>
      </c>
      <c r="H42" s="68" t="s">
        <v>253</v>
      </c>
      <c r="I42" s="50">
        <v>3006.7302266064003</v>
      </c>
      <c r="J42" s="51">
        <v>3157.0667379367205</v>
      </c>
      <c r="K42" s="782" t="str">
        <f t="shared" si="0"/>
        <v/>
      </c>
      <c r="L42" s="783"/>
      <c r="M42" s="545"/>
      <c r="N42" s="269"/>
      <c r="Q42" s="264"/>
      <c r="R42" s="264"/>
      <c r="S42" s="264"/>
      <c r="T42" s="265"/>
      <c r="U42" s="266"/>
      <c r="V42" s="264"/>
      <c r="W42" s="264"/>
      <c r="X42" s="264"/>
      <c r="Y42" s="264"/>
      <c r="Z42" s="264"/>
      <c r="AA42" s="264"/>
      <c r="AB42" s="264"/>
      <c r="AC42" s="264"/>
      <c r="AD42" s="264"/>
    </row>
    <row r="43" spans="2:30" ht="18.75" customHeight="1" x14ac:dyDescent="0.2">
      <c r="B43" s="121">
        <f t="shared" si="1"/>
        <v>10</v>
      </c>
      <c r="C43" s="787" t="s">
        <v>121</v>
      </c>
      <c r="D43" s="788"/>
      <c r="E43" s="789"/>
      <c r="F43" s="300"/>
      <c r="G43" s="68">
        <v>2</v>
      </c>
      <c r="H43" s="68" t="s">
        <v>253</v>
      </c>
      <c r="I43" s="50">
        <v>2614.5480231359998</v>
      </c>
      <c r="J43" s="51">
        <v>2745.2754242927999</v>
      </c>
      <c r="K43" s="782" t="str">
        <f t="shared" si="0"/>
        <v/>
      </c>
      <c r="L43" s="783"/>
      <c r="M43" s="545"/>
      <c r="N43" s="269"/>
      <c r="Q43" s="264"/>
      <c r="R43" s="264"/>
      <c r="S43" s="264"/>
      <c r="T43" s="265"/>
      <c r="U43" s="266"/>
      <c r="V43" s="264"/>
      <c r="W43" s="264"/>
      <c r="X43" s="264"/>
      <c r="Y43" s="264"/>
      <c r="Z43" s="264"/>
      <c r="AA43" s="264"/>
      <c r="AB43" s="264"/>
      <c r="AC43" s="264"/>
      <c r="AD43" s="264"/>
    </row>
    <row r="44" spans="2:30" ht="18.75" customHeight="1" x14ac:dyDescent="0.2">
      <c r="B44" s="121">
        <f t="shared" si="1"/>
        <v>11</v>
      </c>
      <c r="C44" s="790" t="s">
        <v>252</v>
      </c>
      <c r="D44" s="791"/>
      <c r="E44" s="792"/>
      <c r="F44" s="301"/>
      <c r="G44" s="68">
        <v>2</v>
      </c>
      <c r="H44" s="68" t="s">
        <v>253</v>
      </c>
      <c r="I44" s="98">
        <v>3791.0946335472004</v>
      </c>
      <c r="J44" s="51">
        <v>3980.6493652245604</v>
      </c>
      <c r="K44" s="782" t="str">
        <f>IF(F44="","",F44*J44)</f>
        <v/>
      </c>
      <c r="L44" s="783"/>
      <c r="M44" s="545"/>
      <c r="N44" s="269"/>
      <c r="Q44" s="264"/>
      <c r="R44" s="264"/>
      <c r="S44" s="264"/>
      <c r="T44" s="265"/>
      <c r="U44" s="266"/>
      <c r="V44" s="264"/>
      <c r="W44" s="264"/>
      <c r="X44" s="264"/>
      <c r="Y44" s="264"/>
      <c r="Z44" s="264"/>
      <c r="AA44" s="264"/>
      <c r="AB44" s="264"/>
      <c r="AC44" s="264"/>
      <c r="AD44" s="264"/>
    </row>
    <row r="45" spans="2:30" ht="18.75" customHeight="1" x14ac:dyDescent="0.2">
      <c r="B45" s="121">
        <f t="shared" si="1"/>
        <v>12</v>
      </c>
      <c r="C45" s="787" t="s">
        <v>122</v>
      </c>
      <c r="D45" s="788"/>
      <c r="E45" s="235" t="str">
        <f>IF(E42="","",ROUNDDOWN(SUM(E42*0.05),0))</f>
        <v/>
      </c>
      <c r="F45" s="300" t="str">
        <f>E45</f>
        <v/>
      </c>
      <c r="G45" s="68">
        <v>2</v>
      </c>
      <c r="H45" s="68" t="s">
        <v>253</v>
      </c>
      <c r="I45" s="50">
        <v>2353.0932208224003</v>
      </c>
      <c r="J45" s="51">
        <v>2470.7478818635204</v>
      </c>
      <c r="K45" s="782" t="str">
        <f>IF(F45="","",F45*J45)</f>
        <v/>
      </c>
      <c r="L45" s="783"/>
      <c r="M45" s="545"/>
      <c r="N45" s="269"/>
      <c r="Q45" s="264"/>
      <c r="R45" s="264"/>
      <c r="S45" s="264"/>
      <c r="T45" s="265"/>
      <c r="U45" s="266"/>
      <c r="V45" s="264"/>
      <c r="W45" s="264"/>
      <c r="X45" s="264"/>
      <c r="Y45" s="264"/>
      <c r="Z45" s="264"/>
      <c r="AA45" s="264"/>
      <c r="AB45" s="264"/>
      <c r="AC45" s="264"/>
      <c r="AD45" s="264"/>
    </row>
    <row r="46" spans="2:30" ht="18.75" customHeight="1" x14ac:dyDescent="0.2">
      <c r="B46" s="121">
        <f t="shared" si="1"/>
        <v>13</v>
      </c>
      <c r="C46" s="787" t="s">
        <v>123</v>
      </c>
      <c r="D46" s="788"/>
      <c r="E46" s="235" t="str">
        <f>IF(E42="","",SUM(E41:E42))</f>
        <v/>
      </c>
      <c r="F46" s="301" t="str">
        <f>E46</f>
        <v/>
      </c>
      <c r="G46" s="68">
        <v>2</v>
      </c>
      <c r="H46" s="68" t="s">
        <v>253</v>
      </c>
      <c r="I46" s="50">
        <v>2091.6384185088</v>
      </c>
      <c r="J46" s="51">
        <v>2196.22033943424</v>
      </c>
      <c r="K46" s="855" t="str">
        <f>IF(F46="","",F46*J46)</f>
        <v/>
      </c>
      <c r="L46" s="857"/>
      <c r="M46" s="545"/>
      <c r="N46" s="269"/>
      <c r="Q46" s="264"/>
      <c r="R46" s="264"/>
      <c r="S46" s="264"/>
      <c r="T46" s="265"/>
      <c r="U46" s="266"/>
      <c r="V46" s="264"/>
      <c r="W46" s="264"/>
      <c r="X46" s="264"/>
      <c r="Y46" s="264"/>
      <c r="Z46" s="264"/>
      <c r="AA46" s="264"/>
      <c r="AB46" s="264"/>
      <c r="AC46" s="264"/>
      <c r="AD46" s="264"/>
    </row>
    <row r="47" spans="2:30" ht="18.75" customHeight="1" x14ac:dyDescent="0.2">
      <c r="B47" s="121">
        <f t="shared" si="1"/>
        <v>14</v>
      </c>
      <c r="C47" s="787" t="s">
        <v>124</v>
      </c>
      <c r="D47" s="788"/>
      <c r="E47" s="235" t="str">
        <f>IF(E45="","",E45)</f>
        <v/>
      </c>
      <c r="F47" s="300" t="str">
        <f>E47</f>
        <v/>
      </c>
      <c r="G47" s="68">
        <v>2</v>
      </c>
      <c r="H47" s="68" t="s">
        <v>253</v>
      </c>
      <c r="I47" s="50">
        <v>1699.4562150383999</v>
      </c>
      <c r="J47" s="51">
        <v>1784.4290257903201</v>
      </c>
      <c r="K47" s="855" t="str">
        <f>IF(F47="","",F47*J47)</f>
        <v/>
      </c>
      <c r="L47" s="856"/>
      <c r="M47" s="545"/>
      <c r="N47" s="269"/>
      <c r="Q47" s="264"/>
      <c r="R47" s="264"/>
      <c r="S47" s="264"/>
      <c r="T47" s="265"/>
      <c r="U47" s="266"/>
      <c r="V47" s="264"/>
      <c r="W47" s="264"/>
      <c r="X47" s="264"/>
      <c r="Y47" s="264"/>
      <c r="Z47" s="264"/>
      <c r="AA47" s="264"/>
      <c r="AB47" s="264"/>
      <c r="AC47" s="264"/>
      <c r="AD47" s="264"/>
    </row>
    <row r="48" spans="2:30" ht="18.75" customHeight="1" x14ac:dyDescent="0.2">
      <c r="B48" s="288"/>
      <c r="C48" s="288"/>
      <c r="D48" s="288"/>
      <c r="E48" s="288"/>
      <c r="F48" s="527"/>
      <c r="G48" s="288"/>
      <c r="H48" s="552" t="s">
        <v>267</v>
      </c>
      <c r="I48" s="288"/>
      <c r="J48" s="553"/>
      <c r="K48" s="851">
        <f>IF(SUM(F41:F44)="","",(SUM(K40:L45,K46:L47)/240)*10)</f>
        <v>0</v>
      </c>
      <c r="L48" s="852"/>
      <c r="M48" s="545"/>
      <c r="N48" s="269"/>
      <c r="Q48" s="264"/>
      <c r="R48" s="264"/>
      <c r="S48" s="264"/>
      <c r="T48" s="265"/>
      <c r="U48" s="266"/>
      <c r="V48" s="264"/>
      <c r="W48" s="264"/>
      <c r="X48" s="264"/>
      <c r="Y48" s="264"/>
      <c r="Z48" s="264"/>
      <c r="AA48" s="264"/>
      <c r="AB48" s="264"/>
      <c r="AC48" s="264"/>
      <c r="AD48" s="264"/>
    </row>
    <row r="49" spans="2:30" ht="18.75" customHeight="1" x14ac:dyDescent="0.2">
      <c r="B49" s="122" t="s">
        <v>125</v>
      </c>
      <c r="C49" s="52"/>
      <c r="D49" s="52"/>
      <c r="E49" s="52"/>
      <c r="F49" s="528"/>
      <c r="G49" s="52"/>
      <c r="H49" s="52"/>
      <c r="I49" s="52"/>
      <c r="J49" s="52">
        <v>0</v>
      </c>
      <c r="K49" s="52"/>
      <c r="L49" s="53"/>
      <c r="M49" s="545"/>
      <c r="N49" s="269"/>
      <c r="Q49" s="264"/>
      <c r="R49" s="264"/>
      <c r="S49" s="264"/>
      <c r="T49" s="265"/>
      <c r="U49" s="266"/>
      <c r="V49" s="264"/>
      <c r="W49" s="264"/>
      <c r="X49" s="264"/>
      <c r="Y49" s="264"/>
      <c r="Z49" s="264"/>
      <c r="AA49" s="264"/>
      <c r="AB49" s="264"/>
      <c r="AC49" s="264"/>
      <c r="AD49" s="264"/>
    </row>
    <row r="50" spans="2:30" ht="18.75" customHeight="1" x14ac:dyDescent="0.2">
      <c r="B50" s="121">
        <v>15</v>
      </c>
      <c r="C50" s="784" t="s">
        <v>126</v>
      </c>
      <c r="D50" s="785"/>
      <c r="E50" s="236" t="str">
        <f>IF(PERFIL!C3="","",IF(FROTA!$AG$2="","",ROUNDDOWN((FROTA!$AG$2/15),0)))</f>
        <v/>
      </c>
      <c r="F50" s="300" t="str">
        <f>E50</f>
        <v/>
      </c>
      <c r="G50" s="68">
        <v>2</v>
      </c>
      <c r="H50" s="68">
        <v>8</v>
      </c>
      <c r="I50" s="50">
        <v>2222.3658196656002</v>
      </c>
      <c r="J50" s="51">
        <v>2333.4841106488802</v>
      </c>
      <c r="K50" s="782" t="str">
        <f t="shared" ref="K50:K62" si="2">IF(F50="","",F50*J50)</f>
        <v/>
      </c>
      <c r="L50" s="783"/>
      <c r="M50" s="545"/>
      <c r="N50" s="269"/>
      <c r="Q50" s="264"/>
      <c r="R50" s="264"/>
      <c r="S50" s="264"/>
      <c r="T50" s="265"/>
      <c r="U50" s="266"/>
      <c r="V50" s="264"/>
      <c r="W50" s="264"/>
      <c r="X50" s="264"/>
      <c r="Y50" s="264"/>
      <c r="Z50" s="264"/>
      <c r="AA50" s="264"/>
      <c r="AB50" s="264"/>
      <c r="AC50" s="264"/>
      <c r="AD50" s="264"/>
    </row>
    <row r="51" spans="2:30" ht="18.75" customHeight="1" x14ac:dyDescent="0.2">
      <c r="B51" s="121">
        <f t="shared" ref="B51:B64" si="3">B50+1</f>
        <v>16</v>
      </c>
      <c r="C51" s="784" t="s">
        <v>127</v>
      </c>
      <c r="D51" s="785"/>
      <c r="E51" s="236" t="str">
        <f>IF(PERFIL!C3="","",IF(FROTA!$AG$2="",1,ROUNDDOWN((E50*1.5),0)))</f>
        <v/>
      </c>
      <c r="F51" s="300" t="str">
        <f>E51</f>
        <v/>
      </c>
      <c r="G51" s="68">
        <v>2</v>
      </c>
      <c r="H51" s="68">
        <v>8</v>
      </c>
      <c r="I51" s="50">
        <v>1568.7288138816</v>
      </c>
      <c r="J51" s="51">
        <v>1647.1652545756801</v>
      </c>
      <c r="K51" s="782" t="str">
        <f t="shared" si="2"/>
        <v/>
      </c>
      <c r="L51" s="783"/>
      <c r="M51" s="545"/>
      <c r="N51" s="269"/>
      <c r="Q51" s="264"/>
      <c r="R51" s="264"/>
      <c r="S51" s="264"/>
      <c r="T51" s="265"/>
      <c r="U51" s="266"/>
      <c r="V51" s="264"/>
      <c r="W51" s="264"/>
      <c r="X51" s="264"/>
      <c r="Y51" s="264"/>
      <c r="Z51" s="264"/>
      <c r="AA51" s="264"/>
      <c r="AB51" s="264"/>
      <c r="AC51" s="264"/>
      <c r="AD51" s="264"/>
    </row>
    <row r="52" spans="2:30" ht="18.75" customHeight="1" x14ac:dyDescent="0.2">
      <c r="B52" s="121">
        <f t="shared" si="3"/>
        <v>17</v>
      </c>
      <c r="C52" s="784" t="s">
        <v>128</v>
      </c>
      <c r="D52" s="785"/>
      <c r="E52" s="236" t="str">
        <f>IF(PERFIL!C3="","",IF(FROTA!$AG$2="",1,E50))</f>
        <v/>
      </c>
      <c r="F52" s="300" t="str">
        <f t="shared" ref="F52:F64" si="4">E52</f>
        <v/>
      </c>
      <c r="G52" s="68">
        <v>2</v>
      </c>
      <c r="H52" s="68">
        <v>8</v>
      </c>
      <c r="I52" s="50">
        <v>1895.5473167736002</v>
      </c>
      <c r="J52" s="51">
        <v>1990.3246826122802</v>
      </c>
      <c r="K52" s="782" t="str">
        <f t="shared" si="2"/>
        <v/>
      </c>
      <c r="L52" s="783"/>
      <c r="M52" s="545"/>
      <c r="N52" s="269"/>
      <c r="Q52" s="264"/>
      <c r="R52" s="264"/>
      <c r="S52" s="264"/>
      <c r="T52" s="265"/>
      <c r="U52" s="266"/>
      <c r="V52" s="264"/>
      <c r="W52" s="264"/>
      <c r="X52" s="264"/>
      <c r="Y52" s="264"/>
      <c r="Z52" s="264"/>
      <c r="AA52" s="264"/>
      <c r="AB52" s="264"/>
      <c r="AC52" s="264"/>
      <c r="AD52" s="264"/>
    </row>
    <row r="53" spans="2:30" ht="18.75" customHeight="1" x14ac:dyDescent="0.2">
      <c r="B53" s="121">
        <f t="shared" si="3"/>
        <v>18</v>
      </c>
      <c r="C53" s="784" t="s">
        <v>129</v>
      </c>
      <c r="D53" s="785"/>
      <c r="E53" s="236" t="str">
        <f>IF(PERFIL!C3="","",IF(FROTA!$AG$2="","1",E51))</f>
        <v/>
      </c>
      <c r="F53" s="300" t="str">
        <f t="shared" si="4"/>
        <v/>
      </c>
      <c r="G53" s="68">
        <v>2</v>
      </c>
      <c r="H53" s="68">
        <v>8</v>
      </c>
      <c r="I53" s="50">
        <v>1372.6377121464</v>
      </c>
      <c r="J53" s="51">
        <v>1441.2695977537201</v>
      </c>
      <c r="K53" s="782" t="str">
        <f t="shared" si="2"/>
        <v/>
      </c>
      <c r="L53" s="783"/>
      <c r="M53" s="545"/>
      <c r="N53" s="269"/>
      <c r="Q53" s="264"/>
      <c r="R53" s="264"/>
      <c r="S53" s="264"/>
      <c r="T53" s="265"/>
      <c r="U53" s="266"/>
      <c r="V53" s="264"/>
      <c r="W53" s="264"/>
      <c r="X53" s="264"/>
      <c r="Y53" s="264"/>
      <c r="Z53" s="264"/>
      <c r="AA53" s="264"/>
      <c r="AB53" s="264"/>
      <c r="AC53" s="264"/>
      <c r="AD53" s="264"/>
    </row>
    <row r="54" spans="2:30" ht="18.75" customHeight="1" x14ac:dyDescent="0.2">
      <c r="B54" s="121">
        <f t="shared" si="3"/>
        <v>19</v>
      </c>
      <c r="C54" s="784" t="s">
        <v>247</v>
      </c>
      <c r="D54" s="785"/>
      <c r="E54" s="236" t="str">
        <f>IF(PERFIL!C3="","",IF(FROTA!$AG$2="",1,IF(ROUNDDOWN((FROTA!$AG$2/30),0)&lt;1,1,ROUNDDOWN((FROTA!$AG$2/30),0))))</f>
        <v/>
      </c>
      <c r="F54" s="300" t="str">
        <f t="shared" si="4"/>
        <v/>
      </c>
      <c r="G54" s="68">
        <v>3</v>
      </c>
      <c r="H54" s="68">
        <v>8</v>
      </c>
      <c r="I54" s="50">
        <v>2157.0021190872003</v>
      </c>
      <c r="J54" s="51">
        <v>2264.8522250415604</v>
      </c>
      <c r="K54" s="782" t="str">
        <f>IF(F54="","",F54*J54)</f>
        <v/>
      </c>
      <c r="L54" s="783"/>
      <c r="M54" s="545"/>
      <c r="N54" s="269"/>
      <c r="Q54" s="264"/>
      <c r="R54" s="264"/>
      <c r="S54" s="264"/>
      <c r="T54" s="265"/>
      <c r="U54" s="266"/>
      <c r="V54" s="264"/>
      <c r="W54" s="264"/>
      <c r="X54" s="264"/>
      <c r="Y54" s="264"/>
      <c r="Z54" s="264"/>
      <c r="AA54" s="264"/>
      <c r="AB54" s="264"/>
      <c r="AC54" s="264"/>
      <c r="AD54" s="264"/>
    </row>
    <row r="55" spans="2:30" ht="18.75" customHeight="1" x14ac:dyDescent="0.2">
      <c r="B55" s="121">
        <f t="shared" si="3"/>
        <v>20</v>
      </c>
      <c r="C55" s="784" t="s">
        <v>130</v>
      </c>
      <c r="D55" s="785"/>
      <c r="E55" s="236" t="str">
        <f>IF(PERFIL!C3="","",IF(FROTA!$AG$2="",1,IF(ROUNDDOWN(E50/1.9,0)&lt;1,1,ROUNDDOWN(E50/1.9,0))))</f>
        <v/>
      </c>
      <c r="F55" s="300" t="str">
        <f t="shared" si="4"/>
        <v/>
      </c>
      <c r="G55" s="68">
        <v>2</v>
      </c>
      <c r="H55" s="68">
        <v>8</v>
      </c>
      <c r="I55" s="50">
        <v>2222.3658196656002</v>
      </c>
      <c r="J55" s="51">
        <v>2333.4841106488802</v>
      </c>
      <c r="K55" s="782" t="str">
        <f t="shared" si="2"/>
        <v/>
      </c>
      <c r="L55" s="783"/>
      <c r="M55" s="545"/>
      <c r="N55" s="269"/>
      <c r="Q55" s="264"/>
      <c r="R55" s="264"/>
      <c r="S55" s="264"/>
      <c r="T55" s="265"/>
      <c r="U55" s="266"/>
      <c r="V55" s="264"/>
      <c r="W55" s="264"/>
      <c r="X55" s="264"/>
      <c r="Y55" s="264"/>
      <c r="Z55" s="264"/>
      <c r="AA55" s="264"/>
      <c r="AB55" s="264"/>
      <c r="AC55" s="264"/>
      <c r="AD55" s="264"/>
    </row>
    <row r="56" spans="2:30" ht="18.75" customHeight="1" x14ac:dyDescent="0.2">
      <c r="B56" s="121">
        <f t="shared" si="3"/>
        <v>21</v>
      </c>
      <c r="C56" s="784" t="s">
        <v>132</v>
      </c>
      <c r="D56" s="785"/>
      <c r="E56" s="236" t="str">
        <f>IF(PERFIL!C3="","",IF(FROTA!$AG$2="",1,ROUNDDOWN((E55*1.5),0)))</f>
        <v/>
      </c>
      <c r="F56" s="300" t="str">
        <f t="shared" si="4"/>
        <v/>
      </c>
      <c r="G56" s="68">
        <v>2</v>
      </c>
      <c r="H56" s="68">
        <v>8</v>
      </c>
      <c r="I56" s="50">
        <v>1503.3651133032001</v>
      </c>
      <c r="J56" s="51">
        <v>1578.5333689683603</v>
      </c>
      <c r="K56" s="782" t="str">
        <f t="shared" si="2"/>
        <v/>
      </c>
      <c r="L56" s="783"/>
      <c r="M56" s="545"/>
      <c r="N56" s="269"/>
      <c r="Q56" s="264"/>
      <c r="R56" s="264"/>
      <c r="S56" s="264"/>
      <c r="T56" s="265"/>
      <c r="U56" s="266"/>
      <c r="V56" s="264"/>
      <c r="W56" s="264"/>
      <c r="X56" s="264"/>
      <c r="Y56" s="264"/>
      <c r="Z56" s="264"/>
      <c r="AA56" s="264"/>
      <c r="AB56" s="264"/>
      <c r="AC56" s="264"/>
      <c r="AD56" s="264"/>
    </row>
    <row r="57" spans="2:30" ht="18.75" customHeight="1" x14ac:dyDescent="0.2">
      <c r="B57" s="121">
        <f t="shared" si="3"/>
        <v>22</v>
      </c>
      <c r="C57" s="784" t="s">
        <v>133</v>
      </c>
      <c r="D57" s="785"/>
      <c r="E57" s="236" t="str">
        <f>IF(PERFIL!C3="","",IF(FROTA!AG2="","1",IF(ROUNDDOWN(E52*0.8,0)&lt;1,1,ROUNDDOWN(E52*0.8,0))))</f>
        <v/>
      </c>
      <c r="F57" s="300" t="str">
        <f t="shared" si="4"/>
        <v/>
      </c>
      <c r="G57" s="68">
        <v>2</v>
      </c>
      <c r="H57" s="68">
        <v>8</v>
      </c>
      <c r="I57" s="50">
        <v>1830.1836161952001</v>
      </c>
      <c r="J57" s="51">
        <v>1921.6927970049601</v>
      </c>
      <c r="K57" s="782" t="str">
        <f t="shared" si="2"/>
        <v/>
      </c>
      <c r="L57" s="783"/>
      <c r="M57" s="545"/>
      <c r="N57" s="269"/>
      <c r="Q57" s="264"/>
      <c r="R57" s="264"/>
      <c r="S57" s="264"/>
      <c r="T57" s="265"/>
      <c r="U57" s="266"/>
      <c r="V57" s="264"/>
      <c r="W57" s="264"/>
      <c r="X57" s="264"/>
      <c r="Y57" s="264"/>
      <c r="Z57" s="264"/>
      <c r="AA57" s="264"/>
      <c r="AB57" s="264"/>
      <c r="AC57" s="264"/>
      <c r="AD57" s="264"/>
    </row>
    <row r="58" spans="2:30" ht="18.75" customHeight="1" x14ac:dyDescent="0.2">
      <c r="B58" s="121">
        <f t="shared" si="3"/>
        <v>23</v>
      </c>
      <c r="C58" s="784" t="s">
        <v>134</v>
      </c>
      <c r="D58" s="785"/>
      <c r="E58" s="236" t="str">
        <f>IF(PERFIL!C5="","",IF(FROTA!AG2="",1,IF(ROUNDDOWN((E57*1.5),0)&lt;1,1,ROUNDDOWN((E57*1.5),0))))</f>
        <v/>
      </c>
      <c r="F58" s="300" t="str">
        <f t="shared" si="4"/>
        <v/>
      </c>
      <c r="G58" s="68">
        <v>2</v>
      </c>
      <c r="H58" s="68">
        <v>8</v>
      </c>
      <c r="I58" s="50">
        <v>1307.2740115679999</v>
      </c>
      <c r="J58" s="51">
        <v>1372.6377121464</v>
      </c>
      <c r="K58" s="782" t="str">
        <f t="shared" si="2"/>
        <v/>
      </c>
      <c r="L58" s="783"/>
      <c r="M58" s="545"/>
      <c r="N58" s="269"/>
      <c r="Q58" s="264"/>
      <c r="R58" s="264"/>
      <c r="S58" s="264"/>
      <c r="T58" s="265"/>
      <c r="U58" s="266"/>
      <c r="V58" s="264"/>
      <c r="W58" s="264"/>
      <c r="X58" s="264"/>
      <c r="Y58" s="264"/>
      <c r="Z58" s="264"/>
      <c r="AA58" s="264"/>
      <c r="AB58" s="264"/>
      <c r="AC58" s="264"/>
      <c r="AD58" s="264"/>
    </row>
    <row r="59" spans="2:30" ht="18.75" customHeight="1" x14ac:dyDescent="0.2">
      <c r="B59" s="121">
        <f t="shared" si="3"/>
        <v>24</v>
      </c>
      <c r="C59" s="784" t="s">
        <v>135</v>
      </c>
      <c r="D59" s="785"/>
      <c r="E59" s="236" t="str">
        <f>IF(PERFIL!$C3="","",E57)</f>
        <v/>
      </c>
      <c r="F59" s="300" t="str">
        <f t="shared" si="4"/>
        <v/>
      </c>
      <c r="G59" s="68">
        <v>2</v>
      </c>
      <c r="H59" s="68">
        <v>8</v>
      </c>
      <c r="I59" s="50">
        <v>1764.8199156168</v>
      </c>
      <c r="J59" s="51">
        <v>1853.06091139764</v>
      </c>
      <c r="K59" s="782" t="str">
        <f t="shared" si="2"/>
        <v/>
      </c>
      <c r="L59" s="783"/>
      <c r="M59" s="545"/>
      <c r="N59" s="269"/>
      <c r="Q59" s="264"/>
      <c r="R59" s="264"/>
      <c r="S59" s="264"/>
      <c r="T59" s="265"/>
      <c r="U59" s="266"/>
      <c r="V59" s="264"/>
      <c r="W59" s="264"/>
      <c r="X59" s="264"/>
      <c r="Y59" s="264"/>
      <c r="Z59" s="264"/>
      <c r="AA59" s="264"/>
      <c r="AB59" s="264"/>
      <c r="AC59" s="264"/>
      <c r="AD59" s="264"/>
    </row>
    <row r="60" spans="2:30" ht="18.75" customHeight="1" x14ac:dyDescent="0.2">
      <c r="B60" s="121">
        <f t="shared" si="3"/>
        <v>25</v>
      </c>
      <c r="C60" s="784" t="s">
        <v>136</v>
      </c>
      <c r="D60" s="785"/>
      <c r="E60" s="236" t="str">
        <f>IF(PERFIL!$C3="","",E58)</f>
        <v/>
      </c>
      <c r="F60" s="300" t="str">
        <f t="shared" si="4"/>
        <v/>
      </c>
      <c r="G60" s="68">
        <v>2</v>
      </c>
      <c r="H60" s="68">
        <v>8</v>
      </c>
      <c r="I60" s="50">
        <v>1241.9103109896</v>
      </c>
      <c r="J60" s="51">
        <v>1304.0058265390801</v>
      </c>
      <c r="K60" s="782" t="str">
        <f t="shared" si="2"/>
        <v/>
      </c>
      <c r="L60" s="783"/>
      <c r="M60" s="545"/>
      <c r="N60" s="269"/>
      <c r="Q60" s="264"/>
      <c r="R60" s="264"/>
      <c r="S60" s="264"/>
      <c r="T60" s="265"/>
      <c r="U60" s="266"/>
      <c r="V60" s="264"/>
      <c r="W60" s="264"/>
      <c r="X60" s="264"/>
      <c r="Y60" s="264"/>
      <c r="Z60" s="264"/>
      <c r="AA60" s="264"/>
      <c r="AB60" s="264"/>
      <c r="AC60" s="264"/>
      <c r="AD60" s="264"/>
    </row>
    <row r="61" spans="2:30" ht="18.75" customHeight="1" x14ac:dyDescent="0.2">
      <c r="B61" s="121">
        <f t="shared" si="3"/>
        <v>26</v>
      </c>
      <c r="C61" s="784" t="s">
        <v>137</v>
      </c>
      <c r="D61" s="785"/>
      <c r="E61" s="236" t="str">
        <f>IF(PERFIL!$C3="","",E53)</f>
        <v/>
      </c>
      <c r="F61" s="300" t="str">
        <f t="shared" si="4"/>
        <v/>
      </c>
      <c r="G61" s="68">
        <v>2</v>
      </c>
      <c r="H61" s="68">
        <v>7</v>
      </c>
      <c r="I61" s="50">
        <v>1224.9164643696001</v>
      </c>
      <c r="J61" s="51">
        <v>1286.1622875880803</v>
      </c>
      <c r="K61" s="782" t="str">
        <f t="shared" si="2"/>
        <v/>
      </c>
      <c r="L61" s="783"/>
      <c r="M61" s="545"/>
      <c r="N61" s="269"/>
      <c r="Q61" s="264"/>
      <c r="R61" s="264"/>
      <c r="S61" s="264"/>
      <c r="T61" s="265"/>
      <c r="U61" s="266"/>
      <c r="V61" s="264"/>
      <c r="W61" s="264"/>
      <c r="X61" s="264"/>
      <c r="Y61" s="264"/>
      <c r="Z61" s="264"/>
      <c r="AA61" s="264"/>
      <c r="AB61" s="264"/>
      <c r="AC61" s="264"/>
      <c r="AD61" s="264"/>
    </row>
    <row r="62" spans="2:30" ht="18.75" customHeight="1" x14ac:dyDescent="0.2">
      <c r="B62" s="121">
        <f t="shared" si="3"/>
        <v>27</v>
      </c>
      <c r="C62" s="784" t="s">
        <v>138</v>
      </c>
      <c r="D62" s="785"/>
      <c r="E62" s="236" t="str">
        <f>IF(PERFIL!$C3="","",E59)</f>
        <v/>
      </c>
      <c r="F62" s="300" t="str">
        <f t="shared" si="4"/>
        <v/>
      </c>
      <c r="G62" s="68">
        <v>2</v>
      </c>
      <c r="H62" s="68">
        <v>7</v>
      </c>
      <c r="I62" s="50">
        <v>1224.9164643696001</v>
      </c>
      <c r="J62" s="51">
        <v>1286.1622875880803</v>
      </c>
      <c r="K62" s="782" t="str">
        <f t="shared" si="2"/>
        <v/>
      </c>
      <c r="L62" s="783"/>
      <c r="M62" s="545"/>
      <c r="N62" s="269"/>
      <c r="Q62" s="264"/>
      <c r="R62" s="264"/>
      <c r="S62" s="264"/>
      <c r="T62" s="265"/>
      <c r="U62" s="266"/>
      <c r="V62" s="264"/>
      <c r="W62" s="264"/>
      <c r="X62" s="264"/>
      <c r="Y62" s="264"/>
      <c r="Z62" s="264"/>
      <c r="AA62" s="264"/>
      <c r="AB62" s="264"/>
      <c r="AC62" s="264"/>
      <c r="AD62" s="264"/>
    </row>
    <row r="63" spans="2:30" ht="18.75" customHeight="1" x14ac:dyDescent="0.2">
      <c r="B63" s="121">
        <f t="shared" si="3"/>
        <v>28</v>
      </c>
      <c r="C63" s="784" t="s">
        <v>432</v>
      </c>
      <c r="D63" s="785"/>
      <c r="E63" s="236" t="str">
        <f>IF(PERFIL!$C3="","",E61)</f>
        <v/>
      </c>
      <c r="F63" s="300" t="str">
        <f t="shared" si="4"/>
        <v/>
      </c>
      <c r="G63" s="68">
        <v>2</v>
      </c>
      <c r="H63" s="68">
        <v>7</v>
      </c>
      <c r="I63" s="50">
        <v>1224.9164643696001</v>
      </c>
      <c r="J63" s="51">
        <v>1286.1622875880803</v>
      </c>
      <c r="K63" s="782" t="str">
        <f>IF(F63="","",F63*J63)</f>
        <v/>
      </c>
      <c r="L63" s="783"/>
      <c r="M63" s="545"/>
      <c r="N63" s="269"/>
      <c r="Q63" s="264"/>
      <c r="R63" s="264"/>
      <c r="S63" s="264"/>
      <c r="T63" s="265"/>
      <c r="U63" s="266"/>
      <c r="V63" s="264"/>
      <c r="W63" s="264"/>
      <c r="X63" s="264"/>
      <c r="Y63" s="264"/>
      <c r="Z63" s="264"/>
      <c r="AA63" s="264"/>
      <c r="AB63" s="264"/>
      <c r="AC63" s="264"/>
      <c r="AD63" s="264"/>
    </row>
    <row r="64" spans="2:30" ht="18.75" customHeight="1" x14ac:dyDescent="0.2">
      <c r="B64" s="231">
        <f t="shared" si="3"/>
        <v>29</v>
      </c>
      <c r="C64" s="786" t="s">
        <v>433</v>
      </c>
      <c r="D64" s="786"/>
      <c r="E64" s="237" t="str">
        <f>IF(PERFIL!C3="","",IF(FROTA!AG2="",1,IF(ROUNDDOWN(SUM('DESP. ADM.'!E50:E62)*0.05,0)&lt;1,1,ROUNDDOWN(SUM('DESP. ADM.'!E50:E62)*0.05,0))))</f>
        <v/>
      </c>
      <c r="F64" s="300" t="str">
        <f t="shared" si="4"/>
        <v/>
      </c>
      <c r="G64" s="230">
        <v>2</v>
      </c>
      <c r="H64" s="230">
        <v>7</v>
      </c>
      <c r="I64" s="50">
        <v>1224.9164643696001</v>
      </c>
      <c r="J64" s="51">
        <v>1286.1622875880803</v>
      </c>
      <c r="K64" s="782" t="str">
        <f>IF(F64="","",F64*J64)</f>
        <v/>
      </c>
      <c r="L64" s="783"/>
      <c r="M64" s="545"/>
      <c r="N64" s="269"/>
      <c r="Q64" s="264"/>
      <c r="R64" s="264"/>
      <c r="S64" s="264"/>
      <c r="T64" s="265"/>
      <c r="U64" s="266"/>
      <c r="V64" s="264"/>
      <c r="W64" s="264"/>
      <c r="X64" s="264"/>
      <c r="Y64" s="264"/>
      <c r="Z64" s="264"/>
      <c r="AA64" s="264"/>
      <c r="AB64" s="264"/>
      <c r="AC64" s="264"/>
      <c r="AD64" s="264"/>
    </row>
    <row r="65" spans="2:30" ht="18.75" customHeight="1" x14ac:dyDescent="0.2">
      <c r="B65" s="122" t="s">
        <v>139</v>
      </c>
      <c r="C65" s="52"/>
      <c r="D65" s="52"/>
      <c r="E65" s="52"/>
      <c r="F65" s="526"/>
      <c r="G65" s="52"/>
      <c r="H65" s="52"/>
      <c r="I65" s="52"/>
      <c r="J65" s="52"/>
      <c r="K65" s="52"/>
      <c r="L65" s="53"/>
      <c r="M65" s="545"/>
      <c r="N65" s="269"/>
      <c r="Q65" s="264"/>
      <c r="R65" s="264"/>
      <c r="S65" s="264"/>
      <c r="T65" s="265"/>
      <c r="U65" s="266"/>
      <c r="V65" s="264"/>
      <c r="W65" s="264"/>
      <c r="X65" s="264"/>
      <c r="Y65" s="264"/>
      <c r="Z65" s="264"/>
      <c r="AA65" s="264"/>
      <c r="AB65" s="264"/>
      <c r="AC65" s="264"/>
      <c r="AD65" s="264"/>
    </row>
    <row r="66" spans="2:30" ht="18.75" customHeight="1" x14ac:dyDescent="0.2">
      <c r="B66" s="121">
        <v>30</v>
      </c>
      <c r="C66" s="784" t="s">
        <v>140</v>
      </c>
      <c r="D66" s="785"/>
      <c r="E66" s="236" t="str">
        <f>IF(PERFIL!$C$3="","",2)</f>
        <v/>
      </c>
      <c r="F66" s="300" t="str">
        <f t="shared" ref="F66:F78" si="5">E66</f>
        <v/>
      </c>
      <c r="G66" s="68">
        <v>1</v>
      </c>
      <c r="H66" s="68">
        <v>8</v>
      </c>
      <c r="I66" s="50">
        <v>4575.459040488</v>
      </c>
      <c r="J66" s="51">
        <v>4804.2319925124002</v>
      </c>
      <c r="K66" s="782" t="str">
        <f t="shared" ref="K66:K77" si="6">IF(F66="","",F66*J66)</f>
        <v/>
      </c>
      <c r="L66" s="783"/>
      <c r="M66" s="545"/>
      <c r="N66" s="269"/>
      <c r="Q66" s="264"/>
      <c r="R66" s="264"/>
      <c r="S66" s="264"/>
      <c r="T66" s="265"/>
      <c r="U66" s="266"/>
      <c r="V66" s="264"/>
      <c r="W66" s="264"/>
      <c r="X66" s="264"/>
      <c r="Y66" s="264"/>
      <c r="Z66" s="264"/>
      <c r="AA66" s="264"/>
      <c r="AB66" s="264"/>
      <c r="AC66" s="264"/>
      <c r="AD66" s="264"/>
    </row>
    <row r="67" spans="2:30" ht="18.75" customHeight="1" x14ac:dyDescent="0.2">
      <c r="B67" s="121">
        <f t="shared" ref="B67:B78" si="7">B66+1</f>
        <v>31</v>
      </c>
      <c r="C67" s="784" t="s">
        <v>141</v>
      </c>
      <c r="D67" s="785"/>
      <c r="E67" s="236" t="str">
        <f>IF(PERFIL!$C$3="","",2)</f>
        <v/>
      </c>
      <c r="F67" s="300" t="str">
        <f t="shared" si="5"/>
        <v/>
      </c>
      <c r="G67" s="68">
        <v>1</v>
      </c>
      <c r="H67" s="68">
        <v>8</v>
      </c>
      <c r="I67" s="50">
        <v>4575.459040488</v>
      </c>
      <c r="J67" s="51">
        <v>4804.2319925124002</v>
      </c>
      <c r="K67" s="782" t="str">
        <f t="shared" si="6"/>
        <v/>
      </c>
      <c r="L67" s="783"/>
      <c r="M67" s="545"/>
      <c r="N67" s="269"/>
      <c r="Q67" s="264"/>
      <c r="R67" s="264"/>
      <c r="S67" s="264"/>
      <c r="T67" s="265"/>
      <c r="U67" s="266"/>
      <c r="V67" s="264"/>
      <c r="W67" s="264"/>
      <c r="X67" s="264"/>
      <c r="Y67" s="264"/>
      <c r="Z67" s="264"/>
      <c r="AA67" s="264"/>
      <c r="AB67" s="264"/>
      <c r="AC67" s="264"/>
      <c r="AD67" s="264"/>
    </row>
    <row r="68" spans="2:30" ht="18.75" customHeight="1" x14ac:dyDescent="0.2">
      <c r="B68" s="121">
        <f t="shared" si="7"/>
        <v>32</v>
      </c>
      <c r="C68" s="784" t="s">
        <v>142</v>
      </c>
      <c r="D68" s="785"/>
      <c r="E68" s="236" t="str">
        <f>IF(PERFIL!$C$3="","",2)</f>
        <v/>
      </c>
      <c r="F68" s="300" t="str">
        <f t="shared" si="5"/>
        <v/>
      </c>
      <c r="G68" s="68">
        <v>1</v>
      </c>
      <c r="H68" s="68">
        <v>8</v>
      </c>
      <c r="I68" s="50">
        <v>4836.9138428016004</v>
      </c>
      <c r="J68" s="51">
        <v>5078.7595349416806</v>
      </c>
      <c r="K68" s="782" t="str">
        <f t="shared" si="6"/>
        <v/>
      </c>
      <c r="L68" s="783"/>
      <c r="M68" s="545"/>
      <c r="N68" s="269"/>
      <c r="Q68" s="264"/>
      <c r="R68" s="264"/>
      <c r="S68" s="264"/>
      <c r="T68" s="265"/>
      <c r="U68" s="266"/>
      <c r="V68" s="264"/>
      <c r="W68" s="264"/>
      <c r="X68" s="264"/>
      <c r="Y68" s="264"/>
      <c r="Z68" s="264"/>
      <c r="AA68" s="264"/>
      <c r="AB68" s="264"/>
      <c r="AC68" s="264"/>
      <c r="AD68" s="264"/>
    </row>
    <row r="69" spans="2:30" ht="18.75" customHeight="1" x14ac:dyDescent="0.2">
      <c r="B69" s="121">
        <f t="shared" si="7"/>
        <v>33</v>
      </c>
      <c r="C69" s="784" t="s">
        <v>143</v>
      </c>
      <c r="D69" s="785"/>
      <c r="E69" s="236" t="str">
        <f>IF(PERFIL!$C$3="","",2)</f>
        <v/>
      </c>
      <c r="F69" s="300" t="str">
        <f t="shared" si="5"/>
        <v/>
      </c>
      <c r="G69" s="68">
        <v>1</v>
      </c>
      <c r="H69" s="68">
        <v>8</v>
      </c>
      <c r="I69" s="50">
        <v>4836.9138428016004</v>
      </c>
      <c r="J69" s="51">
        <v>5078.7595349416806</v>
      </c>
      <c r="K69" s="782" t="str">
        <f t="shared" si="6"/>
        <v/>
      </c>
      <c r="L69" s="783"/>
      <c r="M69" s="545"/>
      <c r="N69" s="269"/>
      <c r="Q69" s="264"/>
      <c r="R69" s="264"/>
      <c r="S69" s="264"/>
      <c r="T69" s="265"/>
      <c r="U69" s="266"/>
      <c r="V69" s="264"/>
      <c r="W69" s="264"/>
      <c r="X69" s="264"/>
      <c r="Y69" s="264"/>
      <c r="Z69" s="264"/>
      <c r="AA69" s="264"/>
      <c r="AB69" s="264"/>
      <c r="AC69" s="264"/>
      <c r="AD69" s="264"/>
    </row>
    <row r="70" spans="2:30" ht="18.75" customHeight="1" x14ac:dyDescent="0.2">
      <c r="B70" s="121">
        <f t="shared" si="7"/>
        <v>34</v>
      </c>
      <c r="C70" s="784" t="s">
        <v>144</v>
      </c>
      <c r="D70" s="785"/>
      <c r="E70" s="236" t="str">
        <f>IF(PERFIL!$C$3="","",6)</f>
        <v/>
      </c>
      <c r="F70" s="300" t="str">
        <f t="shared" si="5"/>
        <v/>
      </c>
      <c r="G70" s="68">
        <v>1</v>
      </c>
      <c r="H70" s="68">
        <v>8</v>
      </c>
      <c r="I70" s="50">
        <v>2353.0932208224003</v>
      </c>
      <c r="J70" s="51">
        <v>2470.7478818635204</v>
      </c>
      <c r="K70" s="782" t="str">
        <f t="shared" si="6"/>
        <v/>
      </c>
      <c r="L70" s="783"/>
      <c r="M70" s="545"/>
      <c r="N70" s="269"/>
      <c r="Q70" s="264"/>
      <c r="R70" s="264"/>
      <c r="S70" s="264"/>
      <c r="T70" s="265"/>
      <c r="U70" s="266"/>
      <c r="V70" s="264"/>
      <c r="W70" s="264"/>
      <c r="X70" s="264"/>
      <c r="Y70" s="264"/>
      <c r="Z70" s="264"/>
      <c r="AA70" s="264"/>
      <c r="AB70" s="264"/>
      <c r="AC70" s="264"/>
      <c r="AD70" s="264"/>
    </row>
    <row r="71" spans="2:30" ht="18.75" customHeight="1" x14ac:dyDescent="0.2">
      <c r="B71" s="121">
        <f t="shared" si="7"/>
        <v>35</v>
      </c>
      <c r="C71" s="784" t="s">
        <v>145</v>
      </c>
      <c r="D71" s="785"/>
      <c r="E71" s="236" t="str">
        <f>IF(PERFIL!$C$3="","",1)</f>
        <v/>
      </c>
      <c r="F71" s="300" t="str">
        <f t="shared" si="5"/>
        <v/>
      </c>
      <c r="G71" s="68">
        <v>1</v>
      </c>
      <c r="H71" s="68">
        <v>8</v>
      </c>
      <c r="I71" s="50">
        <v>2745.2754242927999</v>
      </c>
      <c r="J71" s="51">
        <v>2882.5391955074401</v>
      </c>
      <c r="K71" s="782" t="str">
        <f t="shared" si="6"/>
        <v/>
      </c>
      <c r="L71" s="783"/>
      <c r="M71" s="545"/>
      <c r="N71" s="269"/>
      <c r="Q71" s="264"/>
      <c r="R71" s="264"/>
      <c r="S71" s="264"/>
      <c r="T71" s="265"/>
      <c r="U71" s="266"/>
      <c r="V71" s="264"/>
      <c r="W71" s="264"/>
      <c r="X71" s="264"/>
      <c r="Y71" s="264"/>
      <c r="Z71" s="264"/>
      <c r="AA71" s="264"/>
      <c r="AB71" s="264"/>
      <c r="AC71" s="264"/>
      <c r="AD71" s="264"/>
    </row>
    <row r="72" spans="2:30" ht="18.75" customHeight="1" x14ac:dyDescent="0.2">
      <c r="B72" s="121">
        <f t="shared" si="7"/>
        <v>36</v>
      </c>
      <c r="C72" s="784" t="s">
        <v>146</v>
      </c>
      <c r="D72" s="785"/>
      <c r="E72" s="236" t="str">
        <f>IF(PERFIL!$C$3="","",2)</f>
        <v/>
      </c>
      <c r="F72" s="300" t="str">
        <f t="shared" si="5"/>
        <v/>
      </c>
      <c r="G72" s="68">
        <v>1</v>
      </c>
      <c r="H72" s="68">
        <v>8</v>
      </c>
      <c r="I72" s="50">
        <v>1830.1836161952001</v>
      </c>
      <c r="J72" s="51">
        <v>1921.6927970049601</v>
      </c>
      <c r="K72" s="782" t="str">
        <f t="shared" si="6"/>
        <v/>
      </c>
      <c r="L72" s="783"/>
      <c r="M72" s="545"/>
      <c r="N72" s="269"/>
      <c r="Q72" s="264"/>
      <c r="R72" s="264"/>
      <c r="S72" s="264"/>
      <c r="T72" s="265"/>
      <c r="U72" s="266"/>
      <c r="V72" s="264"/>
      <c r="W72" s="264"/>
      <c r="X72" s="264"/>
      <c r="Y72" s="264"/>
      <c r="Z72" s="264"/>
      <c r="AA72" s="264"/>
      <c r="AB72" s="264"/>
      <c r="AC72" s="264"/>
      <c r="AD72" s="264"/>
    </row>
    <row r="73" spans="2:30" ht="18.75" customHeight="1" x14ac:dyDescent="0.2">
      <c r="B73" s="121">
        <f t="shared" si="7"/>
        <v>37</v>
      </c>
      <c r="C73" s="784" t="s">
        <v>147</v>
      </c>
      <c r="D73" s="785"/>
      <c r="E73" s="236" t="str">
        <f>IF(PERFIL!$C$3="","",1)</f>
        <v/>
      </c>
      <c r="F73" s="300" t="str">
        <f t="shared" si="5"/>
        <v/>
      </c>
      <c r="G73" s="68">
        <v>1</v>
      </c>
      <c r="H73" s="68">
        <v>8</v>
      </c>
      <c r="I73" s="50">
        <v>3398.9124300767999</v>
      </c>
      <c r="J73" s="51">
        <v>3568.8580515806402</v>
      </c>
      <c r="K73" s="782" t="str">
        <f t="shared" si="6"/>
        <v/>
      </c>
      <c r="L73" s="783"/>
      <c r="M73" s="545"/>
      <c r="N73" s="269"/>
      <c r="Q73" s="264"/>
      <c r="R73" s="264"/>
      <c r="S73" s="264"/>
      <c r="T73" s="265"/>
      <c r="U73" s="266"/>
      <c r="V73" s="264"/>
      <c r="W73" s="264"/>
      <c r="X73" s="264"/>
      <c r="Y73" s="264"/>
      <c r="Z73" s="264"/>
      <c r="AA73" s="264"/>
      <c r="AB73" s="264"/>
      <c r="AC73" s="264"/>
      <c r="AD73" s="264"/>
    </row>
    <row r="74" spans="2:30" ht="18.75" customHeight="1" x14ac:dyDescent="0.2">
      <c r="B74" s="121">
        <f t="shared" si="7"/>
        <v>38</v>
      </c>
      <c r="C74" s="784" t="s">
        <v>148</v>
      </c>
      <c r="D74" s="785"/>
      <c r="E74" s="236" t="str">
        <f>IF(PERFIL!$C$3="","",1)</f>
        <v/>
      </c>
      <c r="F74" s="300" t="str">
        <f t="shared" si="5"/>
        <v/>
      </c>
      <c r="G74" s="68">
        <v>1</v>
      </c>
      <c r="H74" s="68">
        <v>8</v>
      </c>
      <c r="I74" s="50">
        <v>3398.9124300767999</v>
      </c>
      <c r="J74" s="51">
        <v>3568.8580515806402</v>
      </c>
      <c r="K74" s="782" t="str">
        <f t="shared" si="6"/>
        <v/>
      </c>
      <c r="L74" s="783"/>
      <c r="M74" s="545"/>
      <c r="N74" s="269"/>
      <c r="Q74" s="264"/>
      <c r="R74" s="264"/>
      <c r="S74" s="264"/>
      <c r="T74" s="265"/>
      <c r="U74" s="266"/>
      <c r="V74" s="264"/>
      <c r="W74" s="264"/>
      <c r="X74" s="264"/>
      <c r="Y74" s="264"/>
      <c r="Z74" s="264"/>
      <c r="AA74" s="264"/>
      <c r="AB74" s="264"/>
      <c r="AC74" s="264"/>
      <c r="AD74" s="264"/>
    </row>
    <row r="75" spans="2:30" ht="18.75" customHeight="1" x14ac:dyDescent="0.2">
      <c r="B75" s="121">
        <f t="shared" si="7"/>
        <v>39</v>
      </c>
      <c r="C75" s="784" t="s">
        <v>149</v>
      </c>
      <c r="D75" s="785"/>
      <c r="E75" s="236" t="str">
        <f>IF(PERFIL!$C$3="","",6)</f>
        <v/>
      </c>
      <c r="F75" s="300" t="str">
        <f t="shared" si="5"/>
        <v/>
      </c>
      <c r="G75" s="68">
        <v>2</v>
      </c>
      <c r="H75" s="68">
        <v>12</v>
      </c>
      <c r="I75" s="50">
        <v>1830.1836161952001</v>
      </c>
      <c r="J75" s="51">
        <v>1921.6927970049601</v>
      </c>
      <c r="K75" s="782" t="str">
        <f t="shared" si="6"/>
        <v/>
      </c>
      <c r="L75" s="783"/>
      <c r="M75" s="545"/>
      <c r="N75" s="269"/>
      <c r="Q75" s="264"/>
      <c r="R75" s="264"/>
      <c r="S75" s="264"/>
      <c r="T75" s="265"/>
      <c r="U75" s="266"/>
      <c r="V75" s="264"/>
      <c r="W75" s="264"/>
      <c r="X75" s="264"/>
      <c r="Y75" s="264"/>
      <c r="Z75" s="264"/>
      <c r="AA75" s="264"/>
      <c r="AB75" s="264"/>
      <c r="AC75" s="264"/>
      <c r="AD75" s="264"/>
    </row>
    <row r="76" spans="2:30" ht="18.75" customHeight="1" x14ac:dyDescent="0.2">
      <c r="B76" s="121">
        <f t="shared" si="7"/>
        <v>40</v>
      </c>
      <c r="C76" s="784" t="s">
        <v>150</v>
      </c>
      <c r="D76" s="785"/>
      <c r="E76" s="236" t="str">
        <f>IF(PERFIL!$C$3="","",6)</f>
        <v/>
      </c>
      <c r="F76" s="300" t="str">
        <f t="shared" si="5"/>
        <v/>
      </c>
      <c r="G76" s="68">
        <v>2</v>
      </c>
      <c r="H76" s="68">
        <v>12</v>
      </c>
      <c r="I76" s="50">
        <v>1699.4562150383999</v>
      </c>
      <c r="J76" s="51">
        <v>1784.4290257903201</v>
      </c>
      <c r="K76" s="782" t="str">
        <f t="shared" si="6"/>
        <v/>
      </c>
      <c r="L76" s="783"/>
      <c r="M76" s="545"/>
      <c r="N76" s="269"/>
      <c r="Q76" s="264"/>
      <c r="R76" s="264"/>
      <c r="S76" s="264"/>
      <c r="T76" s="265"/>
      <c r="U76" s="266"/>
      <c r="V76" s="264"/>
      <c r="W76" s="264"/>
      <c r="X76" s="264"/>
      <c r="Y76" s="264"/>
      <c r="Z76" s="264"/>
      <c r="AA76" s="264"/>
      <c r="AB76" s="264"/>
      <c r="AC76" s="264"/>
      <c r="AD76" s="264"/>
    </row>
    <row r="77" spans="2:30" ht="18.75" customHeight="1" x14ac:dyDescent="0.2">
      <c r="B77" s="121">
        <f t="shared" si="7"/>
        <v>41</v>
      </c>
      <c r="C77" s="784" t="s">
        <v>431</v>
      </c>
      <c r="D77" s="785"/>
      <c r="E77" s="236" t="str">
        <f>IF(PERFIL!$C$3="","",4)</f>
        <v/>
      </c>
      <c r="F77" s="300" t="str">
        <f t="shared" si="5"/>
        <v/>
      </c>
      <c r="G77" s="68">
        <v>2</v>
      </c>
      <c r="H77" s="68">
        <v>8</v>
      </c>
      <c r="I77" s="50">
        <v>1224.9164643696001</v>
      </c>
      <c r="J77" s="51">
        <v>1286.1622875880803</v>
      </c>
      <c r="K77" s="782" t="str">
        <f t="shared" si="6"/>
        <v/>
      </c>
      <c r="L77" s="783"/>
      <c r="M77" s="545"/>
      <c r="N77" s="269"/>
      <c r="Q77" s="264"/>
      <c r="R77" s="264"/>
      <c r="S77" s="264"/>
      <c r="T77" s="265"/>
      <c r="U77" s="266"/>
      <c r="V77" s="264"/>
      <c r="W77" s="264"/>
      <c r="X77" s="264"/>
      <c r="Y77" s="264"/>
      <c r="Z77" s="264"/>
      <c r="AA77" s="264"/>
      <c r="AB77" s="264"/>
      <c r="AC77" s="264"/>
      <c r="AD77" s="264"/>
    </row>
    <row r="78" spans="2:30" ht="18.75" customHeight="1" x14ac:dyDescent="0.2">
      <c r="B78" s="231">
        <f t="shared" si="7"/>
        <v>42</v>
      </c>
      <c r="C78" s="786" t="s">
        <v>434</v>
      </c>
      <c r="D78" s="786"/>
      <c r="E78" s="237" t="str">
        <f>IF(PERFIL!B20="","",ROUNDDOWN(SUM('DESP. ADM.'!E66:E77)*0.1,0))</f>
        <v/>
      </c>
      <c r="F78" s="300" t="str">
        <f t="shared" si="5"/>
        <v/>
      </c>
      <c r="G78" s="230">
        <v>1</v>
      </c>
      <c r="H78" s="230">
        <v>8</v>
      </c>
      <c r="I78" s="50">
        <v>1224.9164643696001</v>
      </c>
      <c r="J78" s="51">
        <v>1286.1622875880803</v>
      </c>
      <c r="K78" s="782" t="str">
        <f>IF(F78="","",F78*J78)</f>
        <v/>
      </c>
      <c r="L78" s="783"/>
      <c r="M78" s="545"/>
      <c r="N78" s="269"/>
      <c r="Q78" s="264"/>
      <c r="R78" s="264"/>
      <c r="S78" s="264"/>
      <c r="T78" s="265"/>
      <c r="U78" s="266"/>
      <c r="V78" s="264"/>
      <c r="W78" s="264"/>
      <c r="X78" s="264"/>
      <c r="Y78" s="264"/>
      <c r="Z78" s="264"/>
      <c r="AA78" s="264"/>
      <c r="AB78" s="264"/>
      <c r="AC78" s="264"/>
      <c r="AD78" s="264"/>
    </row>
    <row r="79" spans="2:30" ht="18.75" customHeight="1" x14ac:dyDescent="0.2">
      <c r="B79" s="122" t="s">
        <v>151</v>
      </c>
      <c r="C79" s="52"/>
      <c r="D79" s="52"/>
      <c r="E79" s="232"/>
      <c r="F79" s="526"/>
      <c r="G79" s="52"/>
      <c r="H79" s="52"/>
      <c r="I79" s="52"/>
      <c r="J79" s="52"/>
      <c r="K79" s="52"/>
      <c r="L79" s="53"/>
      <c r="M79" s="545"/>
      <c r="N79" s="269"/>
      <c r="Q79" s="264"/>
      <c r="R79" s="264"/>
      <c r="S79" s="264"/>
      <c r="T79" s="265"/>
      <c r="U79" s="266"/>
      <c r="V79" s="264"/>
      <c r="W79" s="264"/>
      <c r="X79" s="264"/>
      <c r="Y79" s="264"/>
      <c r="Z79" s="264"/>
      <c r="AA79" s="264"/>
      <c r="AB79" s="264"/>
      <c r="AC79" s="264"/>
      <c r="AD79" s="264"/>
    </row>
    <row r="80" spans="2:30" ht="18.75" customHeight="1" x14ac:dyDescent="0.2">
      <c r="B80" s="121">
        <v>45</v>
      </c>
      <c r="C80" s="820" t="s">
        <v>152</v>
      </c>
      <c r="D80" s="820"/>
      <c r="E80" s="236" t="str">
        <f>IF(PERFIL!$C$3="","",1)</f>
        <v/>
      </c>
      <c r="F80" s="300" t="str">
        <f>E80</f>
        <v/>
      </c>
      <c r="G80" s="68">
        <v>1</v>
      </c>
      <c r="H80" s="68">
        <v>8</v>
      </c>
      <c r="I80" s="50">
        <v>4575.459040488</v>
      </c>
      <c r="J80" s="51">
        <v>4804.2319925124002</v>
      </c>
      <c r="K80" s="782" t="str">
        <f>IF(F80="","",F80*J80)</f>
        <v/>
      </c>
      <c r="L80" s="783"/>
      <c r="M80" s="545"/>
      <c r="N80" s="269"/>
      <c r="Q80" s="264"/>
      <c r="R80" s="264"/>
      <c r="S80" s="264"/>
      <c r="T80" s="265"/>
      <c r="U80" s="266"/>
      <c r="V80" s="264"/>
      <c r="W80" s="264"/>
      <c r="X80" s="264"/>
      <c r="Y80" s="264"/>
      <c r="Z80" s="264"/>
      <c r="AA80" s="264"/>
      <c r="AB80" s="264"/>
      <c r="AC80" s="264"/>
      <c r="AD80" s="264"/>
    </row>
    <row r="81" spans="2:30" ht="18.75" customHeight="1" x14ac:dyDescent="0.2">
      <c r="B81" s="121">
        <f>B80+1</f>
        <v>46</v>
      </c>
      <c r="C81" s="820" t="s">
        <v>153</v>
      </c>
      <c r="D81" s="820"/>
      <c r="E81" s="236" t="str">
        <f>IF(PERFIL!$C$3="","",2)</f>
        <v/>
      </c>
      <c r="F81" s="300" t="str">
        <f>E81</f>
        <v/>
      </c>
      <c r="G81" s="68">
        <v>1</v>
      </c>
      <c r="H81" s="68">
        <v>8</v>
      </c>
      <c r="I81" s="50">
        <v>2549.1843225576004</v>
      </c>
      <c r="J81" s="51">
        <v>2676.6435386854805</v>
      </c>
      <c r="K81" s="782" t="str">
        <f>IF(F81="","",F81*J81)</f>
        <v/>
      </c>
      <c r="L81" s="783"/>
      <c r="M81" s="545"/>
      <c r="N81" s="269"/>
      <c r="Q81" s="264"/>
      <c r="R81" s="264"/>
      <c r="S81" s="264"/>
      <c r="T81" s="265"/>
      <c r="U81" s="266"/>
      <c r="V81" s="264"/>
      <c r="W81" s="264"/>
      <c r="X81" s="264"/>
      <c r="Y81" s="264"/>
      <c r="Z81" s="264"/>
      <c r="AA81" s="264"/>
      <c r="AB81" s="264"/>
      <c r="AC81" s="264"/>
      <c r="AD81" s="264"/>
    </row>
    <row r="82" spans="2:30" ht="18.75" customHeight="1" x14ac:dyDescent="0.2">
      <c r="B82" s="121">
        <f>B81+1</f>
        <v>47</v>
      </c>
      <c r="C82" s="820" t="s">
        <v>154</v>
      </c>
      <c r="D82" s="820"/>
      <c r="E82" s="236" t="str">
        <f>IF(PERFIL!$C$3="","",2)</f>
        <v/>
      </c>
      <c r="F82" s="300" t="str">
        <f>E82</f>
        <v/>
      </c>
      <c r="G82" s="68">
        <v>1</v>
      </c>
      <c r="H82" s="68">
        <v>8</v>
      </c>
      <c r="I82" s="50">
        <v>4575.459040488</v>
      </c>
      <c r="J82" s="51">
        <v>4804.2319925124002</v>
      </c>
      <c r="K82" s="782" t="str">
        <f>IF(F82="","",F82*J82)</f>
        <v/>
      </c>
      <c r="L82" s="783"/>
      <c r="M82" s="545"/>
      <c r="N82" s="269"/>
      <c r="Q82" s="264"/>
      <c r="R82" s="264"/>
      <c r="S82" s="264"/>
      <c r="T82" s="265"/>
      <c r="U82" s="266"/>
      <c r="V82" s="264"/>
      <c r="W82" s="264"/>
      <c r="X82" s="264"/>
      <c r="Y82" s="264"/>
      <c r="Z82" s="264"/>
      <c r="AA82" s="264"/>
      <c r="AB82" s="264"/>
      <c r="AC82" s="264"/>
      <c r="AD82" s="264"/>
    </row>
    <row r="83" spans="2:30" ht="18.75" customHeight="1" x14ac:dyDescent="0.2">
      <c r="B83" s="121">
        <f>B82+1</f>
        <v>48</v>
      </c>
      <c r="C83" s="820" t="s">
        <v>155</v>
      </c>
      <c r="D83" s="820"/>
      <c r="E83" s="236" t="str">
        <f>IF(PERFIL!$C$3="","",2)</f>
        <v/>
      </c>
      <c r="F83" s="300" t="str">
        <f>E83</f>
        <v/>
      </c>
      <c r="G83" s="68">
        <v>1</v>
      </c>
      <c r="H83" s="68">
        <v>8</v>
      </c>
      <c r="I83" s="50">
        <v>3006.7302266064003</v>
      </c>
      <c r="J83" s="51">
        <v>3157.0667379367205</v>
      </c>
      <c r="K83" s="782" t="str">
        <f>IF(F83="","",F83*J83)</f>
        <v/>
      </c>
      <c r="L83" s="783"/>
      <c r="M83" s="545"/>
      <c r="N83" s="269"/>
      <c r="Q83" s="264"/>
      <c r="R83" s="264"/>
      <c r="S83" s="264"/>
      <c r="T83" s="265"/>
      <c r="U83" s="266"/>
      <c r="V83" s="264"/>
      <c r="W83" s="264"/>
      <c r="X83" s="264"/>
      <c r="Y83" s="264"/>
      <c r="Z83" s="264"/>
      <c r="AA83" s="264"/>
      <c r="AB83" s="264"/>
      <c r="AC83" s="264"/>
      <c r="AD83" s="264"/>
    </row>
    <row r="84" spans="2:30" ht="18.75" customHeight="1" x14ac:dyDescent="0.2">
      <c r="B84" s="122" t="s">
        <v>156</v>
      </c>
      <c r="C84" s="52"/>
      <c r="D84" s="52"/>
      <c r="E84" s="232"/>
      <c r="F84" s="526"/>
      <c r="G84" s="52"/>
      <c r="H84" s="52"/>
      <c r="I84" s="52"/>
      <c r="J84" s="52"/>
      <c r="K84" s="52"/>
      <c r="L84" s="53"/>
      <c r="M84" s="545"/>
      <c r="N84" s="269"/>
      <c r="Q84" s="264"/>
      <c r="R84" s="264"/>
      <c r="S84" s="264"/>
      <c r="T84" s="265"/>
      <c r="U84" s="266"/>
      <c r="V84" s="264"/>
      <c r="W84" s="264"/>
      <c r="X84" s="264"/>
      <c r="Y84" s="264"/>
      <c r="Z84" s="264"/>
      <c r="AA84" s="264"/>
      <c r="AB84" s="264"/>
      <c r="AC84" s="264"/>
      <c r="AD84" s="264"/>
    </row>
    <row r="85" spans="2:30" ht="18.75" customHeight="1" x14ac:dyDescent="0.2">
      <c r="B85" s="121">
        <v>50</v>
      </c>
      <c r="C85" s="820" t="s">
        <v>157</v>
      </c>
      <c r="D85" s="820"/>
      <c r="E85" s="236" t="str">
        <f>IF(PERFIL!$C$3="","",1)</f>
        <v/>
      </c>
      <c r="F85" s="300" t="str">
        <f>E85</f>
        <v/>
      </c>
      <c r="G85" s="68">
        <v>1</v>
      </c>
      <c r="H85" s="68">
        <v>8</v>
      </c>
      <c r="I85" s="50">
        <v>3660.3672323904002</v>
      </c>
      <c r="J85" s="51">
        <v>3843.3855940099202</v>
      </c>
      <c r="K85" s="782" t="str">
        <f>IF(F85="","",F85*J85)</f>
        <v/>
      </c>
      <c r="L85" s="783"/>
      <c r="M85" s="545"/>
      <c r="N85" s="269"/>
      <c r="Q85" s="264"/>
      <c r="R85" s="264"/>
      <c r="S85" s="264"/>
      <c r="T85" s="265"/>
      <c r="U85" s="266"/>
      <c r="V85" s="264"/>
      <c r="W85" s="264"/>
      <c r="X85" s="264"/>
      <c r="Y85" s="264"/>
      <c r="Z85" s="264"/>
      <c r="AA85" s="264"/>
      <c r="AB85" s="264"/>
      <c r="AC85" s="264"/>
      <c r="AD85" s="264"/>
    </row>
    <row r="86" spans="2:30" ht="18.75" customHeight="1" x14ac:dyDescent="0.2">
      <c r="B86" s="121">
        <f>B85+1</f>
        <v>51</v>
      </c>
      <c r="C86" s="820" t="s">
        <v>158</v>
      </c>
      <c r="D86" s="820"/>
      <c r="E86" s="236" t="str">
        <f>IF(PERFIL!$C$3="","",2)</f>
        <v/>
      </c>
      <c r="F86" s="300" t="str">
        <f>E86</f>
        <v/>
      </c>
      <c r="G86" s="68">
        <v>1</v>
      </c>
      <c r="H86" s="68">
        <v>8</v>
      </c>
      <c r="I86" s="50">
        <v>2091.6384185088</v>
      </c>
      <c r="J86" s="51">
        <v>2196.22033943424</v>
      </c>
      <c r="K86" s="782" t="str">
        <f>IF(F86="","",F86*J86)</f>
        <v/>
      </c>
      <c r="L86" s="783"/>
      <c r="M86" s="545"/>
      <c r="N86" s="269"/>
      <c r="Q86" s="264"/>
      <c r="R86" s="264"/>
      <c r="S86" s="264"/>
      <c r="T86" s="265"/>
      <c r="U86" s="266"/>
      <c r="V86" s="264"/>
      <c r="W86" s="264"/>
      <c r="X86" s="264"/>
      <c r="Y86" s="264"/>
      <c r="Z86" s="264"/>
      <c r="AA86" s="264"/>
      <c r="AB86" s="264"/>
      <c r="AC86" s="264"/>
      <c r="AD86" s="264"/>
    </row>
    <row r="87" spans="2:30" ht="18.75" customHeight="1" x14ac:dyDescent="0.2">
      <c r="B87" s="122" t="s">
        <v>159</v>
      </c>
      <c r="C87" s="52"/>
      <c r="D87" s="52"/>
      <c r="E87" s="232"/>
      <c r="F87" s="526"/>
      <c r="G87" s="52"/>
      <c r="H87" s="52"/>
      <c r="I87" s="52"/>
      <c r="J87" s="52"/>
      <c r="K87" s="52"/>
      <c r="L87" s="53"/>
      <c r="M87" s="545"/>
      <c r="N87" s="269"/>
      <c r="Q87" s="264"/>
      <c r="R87" s="264"/>
      <c r="S87" s="264"/>
      <c r="T87" s="265"/>
      <c r="U87" s="266"/>
      <c r="V87" s="264"/>
      <c r="W87" s="264"/>
      <c r="X87" s="264"/>
      <c r="Y87" s="264"/>
      <c r="Z87" s="264"/>
      <c r="AA87" s="264"/>
      <c r="AB87" s="264"/>
      <c r="AC87" s="264"/>
      <c r="AD87" s="264"/>
    </row>
    <row r="88" spans="2:30" ht="18.75" customHeight="1" x14ac:dyDescent="0.2">
      <c r="B88" s="121">
        <v>52</v>
      </c>
      <c r="C88" s="820" t="s">
        <v>213</v>
      </c>
      <c r="D88" s="820"/>
      <c r="E88" s="236" t="str">
        <f>IF(PERFIL!$C$3="","",1)</f>
        <v/>
      </c>
      <c r="F88" s="300" t="str">
        <f>E88</f>
        <v/>
      </c>
      <c r="G88" s="68">
        <v>1</v>
      </c>
      <c r="H88" s="68">
        <v>8</v>
      </c>
      <c r="I88" s="50">
        <v>6797.8248601535997</v>
      </c>
      <c r="J88" s="51">
        <v>7137.7161031612804</v>
      </c>
      <c r="K88" s="782" t="str">
        <f>IF(F88="","",F88*J88)</f>
        <v/>
      </c>
      <c r="L88" s="783"/>
      <c r="M88" s="545"/>
      <c r="N88" s="269"/>
      <c r="Q88" s="264"/>
      <c r="R88" s="264"/>
      <c r="S88" s="264"/>
      <c r="T88" s="265"/>
      <c r="U88" s="266"/>
      <c r="V88" s="264"/>
      <c r="W88" s="264"/>
      <c r="X88" s="264"/>
      <c r="Y88" s="264"/>
      <c r="Z88" s="264"/>
      <c r="AA88" s="264"/>
      <c r="AB88" s="264"/>
      <c r="AC88" s="264"/>
      <c r="AD88" s="264"/>
    </row>
    <row r="89" spans="2:30" ht="18.75" customHeight="1" x14ac:dyDescent="0.2">
      <c r="B89" s="121">
        <f>B88+1</f>
        <v>53</v>
      </c>
      <c r="C89" s="820" t="s">
        <v>160</v>
      </c>
      <c r="D89" s="820"/>
      <c r="E89" s="236" t="str">
        <f>IF(PERFIL!$C$3="","",2)</f>
        <v/>
      </c>
      <c r="F89" s="300" t="str">
        <f>E89</f>
        <v/>
      </c>
      <c r="G89" s="68">
        <v>3</v>
      </c>
      <c r="H89" s="68">
        <v>8</v>
      </c>
      <c r="I89" s="50">
        <v>3660.3672323904002</v>
      </c>
      <c r="J89" s="51">
        <v>3843.3855940099202</v>
      </c>
      <c r="K89" s="782" t="str">
        <f>IF(F89="","",F89*J89)</f>
        <v/>
      </c>
      <c r="L89" s="783"/>
      <c r="M89" s="545"/>
      <c r="N89" s="269"/>
      <c r="Q89" s="264"/>
      <c r="R89" s="264"/>
      <c r="S89" s="264"/>
      <c r="T89" s="265"/>
      <c r="U89" s="266"/>
      <c r="V89" s="264"/>
      <c r="W89" s="264"/>
      <c r="X89" s="264"/>
      <c r="Y89" s="264"/>
      <c r="Z89" s="264"/>
      <c r="AA89" s="264"/>
      <c r="AB89" s="264"/>
      <c r="AC89" s="264"/>
      <c r="AD89" s="264"/>
    </row>
    <row r="90" spans="2:30" ht="20.25" customHeight="1" thickBot="1" x14ac:dyDescent="0.25">
      <c r="E90" s="319" t="s">
        <v>458</v>
      </c>
      <c r="F90" s="319" t="s">
        <v>459</v>
      </c>
      <c r="L90" s="263"/>
      <c r="Q90" s="264"/>
      <c r="R90" s="264"/>
      <c r="S90" s="264"/>
      <c r="T90" s="265"/>
      <c r="U90" s="266"/>
      <c r="V90" s="264"/>
      <c r="W90" s="264"/>
      <c r="X90" s="264"/>
      <c r="Y90" s="264"/>
      <c r="Z90" s="264"/>
      <c r="AA90" s="264"/>
      <c r="AB90" s="264"/>
      <c r="AC90" s="264"/>
      <c r="AD90" s="264"/>
    </row>
    <row r="91" spans="2:30" ht="29.25" customHeight="1" thickBot="1" x14ac:dyDescent="0.25">
      <c r="B91" s="821" t="s">
        <v>161</v>
      </c>
      <c r="C91" s="821"/>
      <c r="D91" s="822"/>
      <c r="E91" s="320">
        <f>SUM(E32,E34:E36,E38:E42,E45:E47,E50:E64,E66:E78,E80:E83,E85:E86,E88:E89)</f>
        <v>0</v>
      </c>
      <c r="F91" s="302" t="str">
        <f>IF(SUM(F32:F36,F38:F47,F50:F64,F66:F78,F80:F83,F85:F86,F88:F89)=0,"",SUM(F32:F36,F38:F47,F50:F64,F66:F78,F80:F83,F85:F86,F88:F89))</f>
        <v/>
      </c>
      <c r="G91" s="823" t="s">
        <v>88</v>
      </c>
      <c r="H91" s="823"/>
      <c r="I91" s="823"/>
      <c r="J91" s="823"/>
      <c r="K91" s="824">
        <f>SUM(K32:L36,K38:L48,K50:L62,K66:L77,K80:L83,K85:L86,K88:L89)</f>
        <v>0</v>
      </c>
      <c r="L91" s="825"/>
      <c r="Q91" s="264"/>
      <c r="R91" s="264"/>
      <c r="S91" s="264"/>
      <c r="T91" s="265"/>
      <c r="U91" s="266"/>
      <c r="V91" s="264"/>
      <c r="W91" s="264"/>
      <c r="X91" s="264"/>
      <c r="Y91" s="264"/>
      <c r="Z91" s="264"/>
      <c r="AA91" s="264"/>
      <c r="AB91" s="264"/>
      <c r="AC91" s="264"/>
      <c r="AD91" s="264"/>
    </row>
    <row r="92" spans="2:30" x14ac:dyDescent="0.2">
      <c r="L92" s="263"/>
      <c r="Q92" s="264"/>
      <c r="R92" s="264"/>
      <c r="S92" s="264"/>
      <c r="T92" s="265"/>
      <c r="U92" s="266"/>
      <c r="V92" s="264"/>
      <c r="W92" s="264"/>
      <c r="X92" s="264"/>
      <c r="Y92" s="264"/>
      <c r="Z92" s="264"/>
      <c r="AA92" s="264"/>
      <c r="AB92" s="264"/>
      <c r="AC92" s="264"/>
      <c r="AD92" s="264"/>
    </row>
  </sheetData>
  <mergeCells count="144">
    <mergeCell ref="C22:K22"/>
    <mergeCell ref="C56:D56"/>
    <mergeCell ref="K56:L56"/>
    <mergeCell ref="C50:D50"/>
    <mergeCell ref="K50:L50"/>
    <mergeCell ref="C51:D51"/>
    <mergeCell ref="K51:L51"/>
    <mergeCell ref="C52:D52"/>
    <mergeCell ref="K52:L52"/>
    <mergeCell ref="C54:D54"/>
    <mergeCell ref="K54:L54"/>
    <mergeCell ref="G25:J25"/>
    <mergeCell ref="K25:L25"/>
    <mergeCell ref="C53:D53"/>
    <mergeCell ref="K53:L53"/>
    <mergeCell ref="C55:D55"/>
    <mergeCell ref="K55:L55"/>
    <mergeCell ref="K48:L48"/>
    <mergeCell ref="K41:L41"/>
    <mergeCell ref="K42:L42"/>
    <mergeCell ref="E29:E30"/>
    <mergeCell ref="K45:L45"/>
    <mergeCell ref="K47:L47"/>
    <mergeCell ref="K46:L46"/>
    <mergeCell ref="B8:F8"/>
    <mergeCell ref="K29:L30"/>
    <mergeCell ref="B10:L10"/>
    <mergeCell ref="J2:L8"/>
    <mergeCell ref="G8:I8"/>
    <mergeCell ref="C40:D40"/>
    <mergeCell ref="K40:L40"/>
    <mergeCell ref="C36:D36"/>
    <mergeCell ref="G5:I5"/>
    <mergeCell ref="G4:I4"/>
    <mergeCell ref="C23:K23"/>
    <mergeCell ref="C19:K19"/>
    <mergeCell ref="C20:K20"/>
    <mergeCell ref="C21:K21"/>
    <mergeCell ref="B6:F6"/>
    <mergeCell ref="B5:F5"/>
    <mergeCell ref="B4:F4"/>
    <mergeCell ref="B3:F3"/>
    <mergeCell ref="B2:F2"/>
    <mergeCell ref="C15:K15"/>
    <mergeCell ref="G7:I7"/>
    <mergeCell ref="G6:I6"/>
    <mergeCell ref="G3:I3"/>
    <mergeCell ref="G2:I2"/>
    <mergeCell ref="K44:L44"/>
    <mergeCell ref="K36:L36"/>
    <mergeCell ref="C38:D38"/>
    <mergeCell ref="C60:D60"/>
    <mergeCell ref="K60:L60"/>
    <mergeCell ref="C61:D61"/>
    <mergeCell ref="K61:L61"/>
    <mergeCell ref="C62:D62"/>
    <mergeCell ref="K62:L62"/>
    <mergeCell ref="C57:D57"/>
    <mergeCell ref="K57:L57"/>
    <mergeCell ref="C58:D58"/>
    <mergeCell ref="K58:L58"/>
    <mergeCell ref="C59:D59"/>
    <mergeCell ref="K59:L59"/>
    <mergeCell ref="C42:D42"/>
    <mergeCell ref="C45:D45"/>
    <mergeCell ref="C46:D46"/>
    <mergeCell ref="C47:D47"/>
    <mergeCell ref="K43:L43"/>
    <mergeCell ref="C41:D41"/>
    <mergeCell ref="C88:D88"/>
    <mergeCell ref="K88:L88"/>
    <mergeCell ref="B91:D91"/>
    <mergeCell ref="G91:J91"/>
    <mergeCell ref="K91:L91"/>
    <mergeCell ref="C89:D89"/>
    <mergeCell ref="K89:L89"/>
    <mergeCell ref="C85:D85"/>
    <mergeCell ref="K85:L85"/>
    <mergeCell ref="C86:D86"/>
    <mergeCell ref="K86:L86"/>
    <mergeCell ref="C71:D71"/>
    <mergeCell ref="K71:L71"/>
    <mergeCell ref="C72:D72"/>
    <mergeCell ref="K72:L72"/>
    <mergeCell ref="C81:D81"/>
    <mergeCell ref="K81:L81"/>
    <mergeCell ref="C82:D82"/>
    <mergeCell ref="K82:L82"/>
    <mergeCell ref="C83:D83"/>
    <mergeCell ref="K83:L83"/>
    <mergeCell ref="C76:D76"/>
    <mergeCell ref="K76:L76"/>
    <mergeCell ref="C77:D77"/>
    <mergeCell ref="K77:L77"/>
    <mergeCell ref="C80:D80"/>
    <mergeCell ref="K80:L80"/>
    <mergeCell ref="B7:F7"/>
    <mergeCell ref="B11:L12"/>
    <mergeCell ref="C13:L13"/>
    <mergeCell ref="C14:K14"/>
    <mergeCell ref="C16:K16"/>
    <mergeCell ref="C17:K17"/>
    <mergeCell ref="C18:K18"/>
    <mergeCell ref="C39:D39"/>
    <mergeCell ref="K39:L39"/>
    <mergeCell ref="C32:D32"/>
    <mergeCell ref="K32:L32"/>
    <mergeCell ref="C34:D34"/>
    <mergeCell ref="K34:L34"/>
    <mergeCell ref="C35:D35"/>
    <mergeCell ref="K35:L35"/>
    <mergeCell ref="B27:L28"/>
    <mergeCell ref="B29:B30"/>
    <mergeCell ref="C29:D30"/>
    <mergeCell ref="F29:F30"/>
    <mergeCell ref="G29:G30"/>
    <mergeCell ref="H29:H30"/>
    <mergeCell ref="I29:I30"/>
    <mergeCell ref="J29:J30"/>
    <mergeCell ref="K38:L38"/>
    <mergeCell ref="K64:L64"/>
    <mergeCell ref="C63:D63"/>
    <mergeCell ref="K63:L63"/>
    <mergeCell ref="C78:D78"/>
    <mergeCell ref="K78:L78"/>
    <mergeCell ref="C43:E43"/>
    <mergeCell ref="C44:E44"/>
    <mergeCell ref="C64:D64"/>
    <mergeCell ref="C69:D69"/>
    <mergeCell ref="K69:L69"/>
    <mergeCell ref="C70:D70"/>
    <mergeCell ref="K70:L70"/>
    <mergeCell ref="C66:D66"/>
    <mergeCell ref="K66:L66"/>
    <mergeCell ref="C67:D67"/>
    <mergeCell ref="K67:L67"/>
    <mergeCell ref="C68:D68"/>
    <mergeCell ref="K68:L68"/>
    <mergeCell ref="C73:D73"/>
    <mergeCell ref="K73:L73"/>
    <mergeCell ref="C74:D74"/>
    <mergeCell ref="K74:L74"/>
    <mergeCell ref="C75:D75"/>
    <mergeCell ref="K75:L75"/>
  </mergeCells>
  <pageMargins left="0.511811024" right="0.511811024" top="0.78740157499999996" bottom="0.78740157499999996" header="0.31496062000000002" footer="0.31496062000000002"/>
  <pageSetup paperSize="9" orientation="portrait" horizontalDpi="0" verticalDpi="0"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00FF"/>
  </sheetPr>
  <dimension ref="B1:BI39"/>
  <sheetViews>
    <sheetView workbookViewId="0">
      <selection activeCell="E22" sqref="E22"/>
    </sheetView>
  </sheetViews>
  <sheetFormatPr defaultColWidth="10.7109375" defaultRowHeight="22.5" customHeight="1" x14ac:dyDescent="0.2"/>
  <cols>
    <col min="1" max="1" width="2.42578125" style="175" customWidth="1"/>
    <col min="2" max="2" width="3.28515625" style="175" customWidth="1"/>
    <col min="3" max="3" width="10.7109375" style="176"/>
    <col min="4" max="4" width="49.5703125" style="175" customWidth="1"/>
    <col min="5" max="7" width="10.7109375" style="175"/>
    <col min="8" max="12" width="11.42578125" style="175" customWidth="1"/>
    <col min="13" max="16" width="10.7109375" style="175"/>
    <col min="17" max="17" width="3.28515625" style="175" customWidth="1"/>
    <col min="18" max="23" width="10.7109375" style="175"/>
    <col min="24" max="24" width="10.7109375" style="504"/>
    <col min="25" max="25" width="12.5703125" style="221" bestFit="1" customWidth="1"/>
    <col min="26" max="26" width="10.85546875" style="221" bestFit="1" customWidth="1"/>
    <col min="27" max="27" width="10.7109375" style="221"/>
    <col min="28" max="28" width="11.5703125" style="221" bestFit="1" customWidth="1"/>
    <col min="29" max="29" width="10.85546875" style="221" bestFit="1" customWidth="1"/>
    <col min="30" max="30" width="10.7109375" style="221"/>
    <col min="31" max="31" width="12.5703125" style="221" bestFit="1" customWidth="1"/>
    <col min="32" max="32" width="10.85546875" style="221" bestFit="1" customWidth="1"/>
    <col min="33" max="33" width="10.7109375" style="221"/>
    <col min="34" max="34" width="12.85546875" style="221" customWidth="1"/>
    <col min="35" max="36" width="10.7109375" style="221"/>
    <col min="37" max="37" width="12.85546875" style="221" customWidth="1"/>
    <col min="38" max="39" width="10.7109375" style="221"/>
    <col min="40" max="41" width="12.85546875" style="221" customWidth="1"/>
    <col min="42" max="42" width="10.7109375" style="221"/>
    <col min="43" max="43" width="12.85546875" style="221" customWidth="1"/>
    <col min="44" max="47" width="10.7109375" style="221"/>
    <col min="48" max="48" width="15" style="221" bestFit="1" customWidth="1"/>
    <col min="49" max="50" width="10.7109375" style="221"/>
    <col min="51" max="51" width="15" style="221" bestFit="1" customWidth="1"/>
    <col min="52" max="53" width="10.7109375" style="221"/>
    <col min="54" max="54" width="15" style="221" bestFit="1" customWidth="1"/>
    <col min="55" max="56" width="10.7109375" style="221"/>
    <col min="57" max="57" width="12.5703125" style="221" bestFit="1" customWidth="1"/>
    <col min="58" max="59" width="10.7109375" style="221"/>
    <col min="60" max="60" width="12.5703125" style="221" bestFit="1" customWidth="1"/>
    <col min="61" max="61" width="10.7109375" style="221"/>
    <col min="62" max="16384" width="10.7109375" style="175"/>
  </cols>
  <sheetData>
    <row r="1" spans="2:60" ht="4.5" customHeight="1" x14ac:dyDescent="0.2"/>
    <row r="2" spans="2:60" ht="18.75" customHeight="1" x14ac:dyDescent="0.2">
      <c r="B2" s="174"/>
      <c r="C2" s="902" t="s">
        <v>381</v>
      </c>
      <c r="D2" s="902"/>
      <c r="E2" s="902"/>
      <c r="F2" s="902"/>
      <c r="G2" s="902"/>
      <c r="H2" s="860" t="s">
        <v>348</v>
      </c>
      <c r="I2" s="860"/>
      <c r="J2" s="860"/>
      <c r="K2" s="860"/>
      <c r="L2" s="860"/>
      <c r="M2" s="860" t="s">
        <v>335</v>
      </c>
      <c r="N2" s="860"/>
      <c r="O2" s="860"/>
      <c r="P2" s="860"/>
      <c r="Q2" s="174"/>
    </row>
    <row r="3" spans="2:60" ht="18.75" customHeight="1" x14ac:dyDescent="0.2">
      <c r="B3" s="174"/>
      <c r="C3" s="902"/>
      <c r="D3" s="902"/>
      <c r="E3" s="902"/>
      <c r="F3" s="902"/>
      <c r="G3" s="902"/>
      <c r="H3" s="861">
        <f>SUM(H7:L11,F12:G16,H17:I20)</f>
        <v>0</v>
      </c>
      <c r="I3" s="861"/>
      <c r="J3" s="861"/>
      <c r="K3" s="861"/>
      <c r="L3" s="860"/>
      <c r="M3" s="876">
        <f>SUM(M7:P20)</f>
        <v>0</v>
      </c>
      <c r="N3" s="876"/>
      <c r="O3" s="876"/>
      <c r="P3" s="876"/>
      <c r="Q3" s="174"/>
    </row>
    <row r="4" spans="2:60" ht="18.75" customHeight="1" thickBot="1" x14ac:dyDescent="0.25">
      <c r="B4" s="174"/>
      <c r="C4" s="902"/>
      <c r="D4" s="902"/>
      <c r="E4" s="902"/>
      <c r="F4" s="902"/>
      <c r="G4" s="902"/>
      <c r="H4" s="174"/>
      <c r="I4" s="174"/>
      <c r="J4" s="174"/>
      <c r="K4" s="174"/>
      <c r="L4" s="174"/>
      <c r="M4" s="174"/>
      <c r="N4" s="174"/>
      <c r="O4" s="174"/>
      <c r="P4" s="174"/>
      <c r="Q4" s="174"/>
    </row>
    <row r="5" spans="2:60" ht="18.75" customHeight="1" x14ac:dyDescent="0.2">
      <c r="B5" s="174"/>
      <c r="C5" s="173"/>
      <c r="D5" s="174"/>
      <c r="E5" s="858" t="s">
        <v>2504</v>
      </c>
      <c r="F5" s="879" t="s">
        <v>350</v>
      </c>
      <c r="G5" s="879"/>
      <c r="H5" s="870" t="s">
        <v>333</v>
      </c>
      <c r="I5" s="870"/>
      <c r="J5" s="870"/>
      <c r="K5" s="870"/>
      <c r="L5" s="870"/>
      <c r="M5" s="870" t="s">
        <v>334</v>
      </c>
      <c r="N5" s="870"/>
      <c r="O5" s="870"/>
      <c r="P5" s="871"/>
      <c r="Q5" s="174"/>
      <c r="Y5" s="221" t="s">
        <v>345</v>
      </c>
      <c r="AB5" s="221" t="s">
        <v>346</v>
      </c>
      <c r="AE5" s="221" t="s">
        <v>347</v>
      </c>
      <c r="AH5" s="221" t="s">
        <v>349</v>
      </c>
      <c r="AK5" s="221" t="s">
        <v>365</v>
      </c>
      <c r="AN5" s="221" t="s">
        <v>351</v>
      </c>
      <c r="AQ5" s="221" t="s">
        <v>355</v>
      </c>
      <c r="AV5" s="221" t="s">
        <v>360</v>
      </c>
      <c r="AY5" s="221" t="s">
        <v>360</v>
      </c>
      <c r="BB5" s="221" t="s">
        <v>372</v>
      </c>
      <c r="BE5" s="221" t="s">
        <v>379</v>
      </c>
      <c r="BH5" s="221" t="s">
        <v>380</v>
      </c>
    </row>
    <row r="6" spans="2:60" ht="18.75" customHeight="1" thickBot="1" x14ac:dyDescent="0.25">
      <c r="B6" s="174"/>
      <c r="C6" s="173"/>
      <c r="D6" s="174"/>
      <c r="E6" s="859"/>
      <c r="F6" s="880"/>
      <c r="G6" s="880"/>
      <c r="H6" s="872"/>
      <c r="I6" s="872"/>
      <c r="J6" s="872"/>
      <c r="K6" s="872"/>
      <c r="L6" s="872"/>
      <c r="M6" s="872"/>
      <c r="N6" s="872"/>
      <c r="O6" s="872"/>
      <c r="P6" s="873"/>
      <c r="Q6" s="174"/>
      <c r="Y6" s="221" t="s">
        <v>336</v>
      </c>
      <c r="AB6" s="221" t="s">
        <v>336</v>
      </c>
      <c r="AE6" s="221" t="s">
        <v>336</v>
      </c>
      <c r="AH6" s="221" t="s">
        <v>336</v>
      </c>
      <c r="AK6" s="221" t="s">
        <v>336</v>
      </c>
      <c r="AN6" s="221" t="s">
        <v>336</v>
      </c>
      <c r="AQ6" s="221" t="s">
        <v>336</v>
      </c>
      <c r="BB6" s="221" t="s">
        <v>336</v>
      </c>
      <c r="BE6" s="221" t="s">
        <v>336</v>
      </c>
      <c r="BH6" s="221" t="s">
        <v>336</v>
      </c>
    </row>
    <row r="7" spans="2:60" ht="18.75" customHeight="1" x14ac:dyDescent="0.2">
      <c r="B7" s="174"/>
      <c r="C7" s="177">
        <v>1</v>
      </c>
      <c r="D7" s="178" t="s">
        <v>332</v>
      </c>
      <c r="E7" s="524" t="str">
        <f>$E$22</f>
        <v>NÃO</v>
      </c>
      <c r="F7" s="877" t="str">
        <f t="shared" ref="F7:F17" si="0">IF($E$22=$X$7,F26,"")</f>
        <v/>
      </c>
      <c r="G7" s="878"/>
      <c r="H7" s="881" t="str">
        <f>IF(E7="não","",IF(F7=Y6,0,F7*'DESP. ADM.'!$F$91))</f>
        <v/>
      </c>
      <c r="I7" s="882"/>
      <c r="J7" s="882"/>
      <c r="K7" s="882"/>
      <c r="L7" s="882"/>
      <c r="M7" s="874">
        <f>IF(F7="",0,VLOOKUP(F7,$Y$6:$Z$12,2,0))</f>
        <v>0</v>
      </c>
      <c r="N7" s="874"/>
      <c r="O7" s="874"/>
      <c r="P7" s="875"/>
      <c r="Q7" s="174"/>
      <c r="X7" s="504" t="s">
        <v>224</v>
      </c>
      <c r="Y7" s="222">
        <v>25.3</v>
      </c>
      <c r="Z7" s="223">
        <v>1.6000000000000001E-3</v>
      </c>
      <c r="AA7" s="502"/>
      <c r="AB7" s="222">
        <v>9.5</v>
      </c>
      <c r="AC7" s="223">
        <v>8.0000000000000004E-4</v>
      </c>
      <c r="AD7" s="502"/>
      <c r="AE7" s="222">
        <v>57.5</v>
      </c>
      <c r="AF7" s="223">
        <v>4.0000000000000001E-3</v>
      </c>
      <c r="AG7" s="502"/>
      <c r="AH7" s="222">
        <v>11.5</v>
      </c>
      <c r="AI7" s="223"/>
      <c r="AK7" s="222">
        <v>9.3000000000000007</v>
      </c>
      <c r="AL7" s="223"/>
      <c r="AN7" s="222">
        <v>6200</v>
      </c>
      <c r="AO7" s="221" t="s">
        <v>352</v>
      </c>
      <c r="AQ7" s="222">
        <v>1250</v>
      </c>
      <c r="AR7" s="221" t="s">
        <v>356</v>
      </c>
      <c r="AV7" s="221" t="s">
        <v>362</v>
      </c>
      <c r="AW7" s="221" t="s">
        <v>361</v>
      </c>
      <c r="AY7" s="221" t="s">
        <v>362</v>
      </c>
      <c r="AZ7" s="221" t="s">
        <v>361</v>
      </c>
      <c r="BB7" s="222">
        <v>1250</v>
      </c>
      <c r="BC7" s="221" t="s">
        <v>376</v>
      </c>
      <c r="BE7" s="222">
        <v>14.95</v>
      </c>
      <c r="BF7" s="223"/>
      <c r="BH7" s="222">
        <v>12.65</v>
      </c>
    </row>
    <row r="8" spans="2:60" ht="18.75" customHeight="1" x14ac:dyDescent="0.2">
      <c r="B8" s="174"/>
      <c r="C8" s="366">
        <v>2</v>
      </c>
      <c r="D8" s="179" t="s">
        <v>337</v>
      </c>
      <c r="E8" s="523" t="str">
        <f t="shared" ref="E8:E16" si="1">$E$22</f>
        <v>NÃO</v>
      </c>
      <c r="F8" s="868" t="str">
        <f t="shared" si="0"/>
        <v/>
      </c>
      <c r="G8" s="869"/>
      <c r="H8" s="866" t="str">
        <f>IF(E8="não","",IF(F8=AB6,0,F8*'DESP. ADM.'!$F$91))</f>
        <v/>
      </c>
      <c r="I8" s="867"/>
      <c r="J8" s="867"/>
      <c r="K8" s="867"/>
      <c r="L8" s="867"/>
      <c r="M8" s="864">
        <f>IF(F8="",0,VLOOKUP(F8,$AB$6:$AC$12,2,0))</f>
        <v>0</v>
      </c>
      <c r="N8" s="864"/>
      <c r="O8" s="864"/>
      <c r="P8" s="865"/>
      <c r="Q8" s="174"/>
      <c r="X8" s="504" t="s">
        <v>225</v>
      </c>
      <c r="Y8" s="222">
        <v>51.75</v>
      </c>
      <c r="Z8" s="223">
        <v>3.5999999999999999E-3</v>
      </c>
      <c r="AA8" s="502"/>
      <c r="AB8" s="222">
        <v>14</v>
      </c>
      <c r="AC8" s="223">
        <v>1.6000000000000001E-3</v>
      </c>
      <c r="AD8" s="502"/>
      <c r="AE8" s="222">
        <v>88</v>
      </c>
      <c r="AF8" s="223">
        <v>6.0000000000000001E-3</v>
      </c>
      <c r="AG8" s="502"/>
      <c r="AH8" s="222">
        <v>28.75</v>
      </c>
      <c r="AI8" s="223"/>
      <c r="AK8" s="222">
        <v>23</v>
      </c>
      <c r="AL8" s="223"/>
      <c r="AN8" s="222">
        <v>9600</v>
      </c>
      <c r="AO8" s="221" t="s">
        <v>353</v>
      </c>
      <c r="AQ8" s="222">
        <v>3000</v>
      </c>
      <c r="AR8" s="221" t="s">
        <v>357</v>
      </c>
      <c r="AV8" s="222">
        <v>6200</v>
      </c>
      <c r="AW8" s="221" t="e">
        <f>CONCATENATE(ROUNDUP('DESP. ADM.'!$F$91*0.025,0)," pessoas")</f>
        <v>#VALUE!</v>
      </c>
      <c r="AY8" s="222">
        <v>3500</v>
      </c>
      <c r="AZ8" s="221" t="e">
        <f>CONCATENATE(ROUNDUP('DESP. ADM.'!$F$91*0.1,0)," pessoas")</f>
        <v>#VALUE!</v>
      </c>
      <c r="BA8" s="221" t="s">
        <v>366</v>
      </c>
      <c r="BB8" s="222">
        <v>3600</v>
      </c>
      <c r="BC8" s="221" t="s">
        <v>377</v>
      </c>
      <c r="BE8" s="222">
        <v>31.05</v>
      </c>
      <c r="BF8" s="223"/>
      <c r="BH8" s="222">
        <v>28.75</v>
      </c>
    </row>
    <row r="9" spans="2:60" ht="18.75" customHeight="1" x14ac:dyDescent="0.2">
      <c r="B9" s="174"/>
      <c r="C9" s="366">
        <v>3</v>
      </c>
      <c r="D9" s="179" t="s">
        <v>338</v>
      </c>
      <c r="E9" s="523" t="str">
        <f t="shared" si="1"/>
        <v>NÃO</v>
      </c>
      <c r="F9" s="862" t="str">
        <f t="shared" si="0"/>
        <v/>
      </c>
      <c r="G9" s="863"/>
      <c r="H9" s="866" t="str">
        <f>IF(E9="não","",IF(F9=AE6,0,F9*'DESP. ADM.'!$F$91))</f>
        <v/>
      </c>
      <c r="I9" s="867"/>
      <c r="J9" s="867"/>
      <c r="K9" s="867"/>
      <c r="L9" s="867"/>
      <c r="M9" s="864">
        <f>IF(F9="",0,VLOOKUP(F9,$AE$6:$AF$12,2,0))</f>
        <v>0</v>
      </c>
      <c r="N9" s="864"/>
      <c r="O9" s="864"/>
      <c r="P9" s="865"/>
      <c r="Q9" s="174"/>
      <c r="Y9" s="222">
        <v>74.75</v>
      </c>
      <c r="Z9" s="223">
        <v>5.1999999999999998E-3</v>
      </c>
      <c r="AA9" s="502"/>
      <c r="AB9" s="222">
        <v>20</v>
      </c>
      <c r="AC9" s="223">
        <v>2.8E-3</v>
      </c>
      <c r="AD9" s="502"/>
      <c r="AE9" s="222">
        <v>115</v>
      </c>
      <c r="AF9" s="223">
        <v>8.0000000000000002E-3</v>
      </c>
      <c r="AG9" s="502"/>
      <c r="AH9" s="222">
        <v>46</v>
      </c>
      <c r="AI9" s="223"/>
      <c r="AK9" s="222">
        <v>41</v>
      </c>
      <c r="AL9" s="223"/>
      <c r="AN9" s="222">
        <v>15200</v>
      </c>
      <c r="AO9" s="221" t="s">
        <v>354</v>
      </c>
      <c r="AQ9" s="222">
        <v>6500</v>
      </c>
      <c r="AR9" s="221" t="s">
        <v>358</v>
      </c>
      <c r="AV9" s="222">
        <v>10800</v>
      </c>
      <c r="AW9" s="221" t="e">
        <f>CONCATENATE(ROUNDUP('DESP. ADM.'!$F$91*0.05,0)," pessoas")</f>
        <v>#VALUE!</v>
      </c>
      <c r="AY9" s="222">
        <v>8800</v>
      </c>
      <c r="AZ9" s="221" t="e">
        <f>CONCATENATE(ROUNDUP('DESP. ADM.'!$F$91*0.2,0)," pessoas")</f>
        <v>#VALUE!</v>
      </c>
      <c r="BA9" s="221" t="s">
        <v>367</v>
      </c>
      <c r="BB9" s="222">
        <v>6000</v>
      </c>
      <c r="BC9" s="221" t="s">
        <v>378</v>
      </c>
      <c r="BE9" s="222">
        <v>51.75</v>
      </c>
      <c r="BF9" s="223"/>
      <c r="BH9" s="222">
        <v>48.3</v>
      </c>
    </row>
    <row r="10" spans="2:60" ht="18.75" customHeight="1" x14ac:dyDescent="0.2">
      <c r="B10" s="174"/>
      <c r="C10" s="366">
        <v>4</v>
      </c>
      <c r="D10" s="179" t="s">
        <v>339</v>
      </c>
      <c r="E10" s="523" t="str">
        <f t="shared" si="1"/>
        <v>NÃO</v>
      </c>
      <c r="F10" s="862" t="str">
        <f t="shared" si="0"/>
        <v/>
      </c>
      <c r="G10" s="863"/>
      <c r="H10" s="866" t="str">
        <f>IF(E10="não","",F10*SUM('DESP. ADM.'!F50:F62))</f>
        <v/>
      </c>
      <c r="I10" s="867"/>
      <c r="J10" s="867"/>
      <c r="K10" s="867"/>
      <c r="L10" s="867"/>
      <c r="M10" s="864">
        <f>IF(E10="não",0,IF(F10="Digite o Valor em R$",0,F10*0.00004))</f>
        <v>0</v>
      </c>
      <c r="N10" s="864"/>
      <c r="O10" s="864"/>
      <c r="P10" s="865"/>
      <c r="Q10" s="174"/>
      <c r="Y10" s="222">
        <v>103.5</v>
      </c>
      <c r="Z10" s="223">
        <v>7.1999999999999998E-3</v>
      </c>
      <c r="AA10" s="502"/>
      <c r="AB10" s="222">
        <v>25</v>
      </c>
      <c r="AC10" s="223">
        <v>4.0000000000000001E-3</v>
      </c>
      <c r="AD10" s="502"/>
      <c r="AE10" s="222">
        <v>145</v>
      </c>
      <c r="AF10" s="223">
        <v>0.01</v>
      </c>
      <c r="AG10" s="502"/>
      <c r="AH10" s="222">
        <v>75</v>
      </c>
      <c r="AI10" s="223"/>
      <c r="AK10" s="222">
        <v>64</v>
      </c>
      <c r="AL10" s="223"/>
      <c r="AV10" s="222">
        <v>16200</v>
      </c>
      <c r="AW10" s="221" t="e">
        <f>CONCATENATE(ROUNDUP('DESP. ADM.'!$F$91*0.075,0)," pessoas")</f>
        <v>#VALUE!</v>
      </c>
      <c r="AY10" s="222">
        <v>14900</v>
      </c>
      <c r="AZ10" s="221" t="e">
        <f>CONCATENATE(ROUNDUP('DESP. ADM.'!$F$91*0.4,0)," pessoas")</f>
        <v>#VALUE!</v>
      </c>
      <c r="BA10" s="221" t="s">
        <v>368</v>
      </c>
      <c r="BB10" s="222">
        <v>10800</v>
      </c>
      <c r="BC10" s="221" t="s">
        <v>375</v>
      </c>
      <c r="BE10" s="222">
        <v>81.650000000000006</v>
      </c>
      <c r="BF10" s="223"/>
      <c r="BH10" s="222">
        <v>77.05</v>
      </c>
    </row>
    <row r="11" spans="2:60" ht="18.75" customHeight="1" x14ac:dyDescent="0.2">
      <c r="B11" s="174"/>
      <c r="C11" s="366">
        <v>5</v>
      </c>
      <c r="D11" s="179" t="s">
        <v>340</v>
      </c>
      <c r="E11" s="523" t="str">
        <f t="shared" si="1"/>
        <v>NÃO</v>
      </c>
      <c r="F11" s="862" t="str">
        <f t="shared" si="0"/>
        <v/>
      </c>
      <c r="G11" s="863"/>
      <c r="H11" s="866" t="str">
        <f>IF(E11="não","",F11*SUM('DESP. ADM.'!F32:F36,'DESP. ADM.'!F66:F77,'DESP. ADM.'!F80:F83,'DESP. ADM.'!F85:F86,'DESP. ADM.'!F88:F89))</f>
        <v/>
      </c>
      <c r="I11" s="867"/>
      <c r="J11" s="867"/>
      <c r="K11" s="867"/>
      <c r="L11" s="867"/>
      <c r="M11" s="864">
        <f>IF(E11="não",0,IF(F11="Digite o Valor em R$",0,F11*0.00004))</f>
        <v>0</v>
      </c>
      <c r="N11" s="864"/>
      <c r="O11" s="864"/>
      <c r="P11" s="865"/>
      <c r="Q11" s="174"/>
      <c r="Y11" s="222">
        <v>143.75</v>
      </c>
      <c r="Z11" s="223">
        <v>0.01</v>
      </c>
      <c r="AA11" s="502"/>
      <c r="AB11" s="222">
        <v>28.75</v>
      </c>
      <c r="AC11" s="223">
        <v>6.0000000000000001E-3</v>
      </c>
      <c r="AD11" s="502"/>
      <c r="AE11" s="222">
        <v>175</v>
      </c>
      <c r="AF11" s="223">
        <v>1.2E-2</v>
      </c>
      <c r="AG11" s="502"/>
      <c r="AH11" s="222">
        <v>92</v>
      </c>
      <c r="AI11" s="223"/>
      <c r="AK11" s="222">
        <v>87</v>
      </c>
      <c r="AL11" s="223"/>
      <c r="AV11" s="222">
        <v>26100</v>
      </c>
      <c r="AW11" s="221" t="e">
        <f>CONCATENATE(ROUNDUP('DESP. ADM.'!$F$91*0.125,0)," pessoas")</f>
        <v>#VALUE!</v>
      </c>
      <c r="AY11" s="222">
        <v>25350</v>
      </c>
      <c r="AZ11" s="221" t="e">
        <f>CONCATENATE(ROUNDUP('DESP. ADM.'!$F$91*0.6,0)," pessoas")</f>
        <v>#VALUE!</v>
      </c>
      <c r="BA11" s="221" t="s">
        <v>369</v>
      </c>
      <c r="BB11" s="222">
        <v>14400</v>
      </c>
      <c r="BC11" s="221" t="s">
        <v>374</v>
      </c>
      <c r="BE11" s="222">
        <v>100.05</v>
      </c>
      <c r="BF11" s="223"/>
      <c r="BH11" s="222">
        <v>94.3</v>
      </c>
    </row>
    <row r="12" spans="2:60" ht="18.75" customHeight="1" x14ac:dyDescent="0.2">
      <c r="B12" s="174"/>
      <c r="C12" s="366">
        <v>6</v>
      </c>
      <c r="D12" s="179" t="s">
        <v>341</v>
      </c>
      <c r="E12" s="523" t="str">
        <f t="shared" si="1"/>
        <v>NÃO</v>
      </c>
      <c r="F12" s="883" t="str">
        <f t="shared" si="0"/>
        <v/>
      </c>
      <c r="G12" s="884"/>
      <c r="H12" s="885" t="str">
        <f>IF(E12="não","",IF(F12="","",CONCATENATE("Haverá ",VLOOKUP(F12,AN7:AO9,2,0)," p/atendimento.")))</f>
        <v/>
      </c>
      <c r="I12" s="886"/>
      <c r="J12" s="886"/>
      <c r="K12" s="886"/>
      <c r="L12" s="886"/>
      <c r="M12" s="864">
        <f>IF(E12="não",0,IF(F12="Digite o Valor em R$",0,F12*0.00000065))</f>
        <v>0</v>
      </c>
      <c r="N12" s="887"/>
      <c r="O12" s="887"/>
      <c r="P12" s="888"/>
      <c r="Q12" s="174"/>
      <c r="Y12" s="222">
        <v>184</v>
      </c>
      <c r="Z12" s="223">
        <v>1.2800000000000001E-2</v>
      </c>
      <c r="AA12" s="502"/>
      <c r="AB12" s="222">
        <v>35</v>
      </c>
      <c r="AC12" s="223">
        <v>8.0000000000000002E-3</v>
      </c>
      <c r="AD12" s="502"/>
      <c r="AE12" s="222">
        <v>230</v>
      </c>
      <c r="AF12" s="223">
        <v>1.6E-2</v>
      </c>
      <c r="AG12" s="502"/>
      <c r="AH12" s="222">
        <v>105</v>
      </c>
      <c r="AI12" s="223"/>
      <c r="AK12" s="222">
        <v>98</v>
      </c>
      <c r="AL12" s="223"/>
      <c r="AV12" s="222">
        <v>36300</v>
      </c>
      <c r="AW12" s="221" t="e">
        <f>CONCATENATE(ROUNDUP('DESP. ADM.'!$F$91*0.175,0)," pessoas")</f>
        <v>#VALUE!</v>
      </c>
      <c r="AY12" s="222">
        <v>36000</v>
      </c>
      <c r="AZ12" s="221" t="e">
        <f>CONCATENATE(ROUNDUP('DESP. ADM.'!$F$91*0.8,0)," pessoas")</f>
        <v>#VALUE!</v>
      </c>
      <c r="BA12" s="221" t="s">
        <v>370</v>
      </c>
      <c r="BB12" s="222">
        <v>18000</v>
      </c>
      <c r="BC12" s="221" t="s">
        <v>373</v>
      </c>
      <c r="BE12" s="222">
        <v>105.8</v>
      </c>
      <c r="BF12" s="223"/>
      <c r="BH12" s="222">
        <v>100.05</v>
      </c>
    </row>
    <row r="13" spans="2:60" ht="18.75" customHeight="1" x14ac:dyDescent="0.2">
      <c r="B13" s="174"/>
      <c r="C13" s="366">
        <v>7</v>
      </c>
      <c r="D13" s="179" t="s">
        <v>342</v>
      </c>
      <c r="E13" s="523" t="str">
        <f t="shared" si="1"/>
        <v>NÃO</v>
      </c>
      <c r="F13" s="889" t="str">
        <f t="shared" si="0"/>
        <v/>
      </c>
      <c r="G13" s="890"/>
      <c r="H13" s="891" t="str">
        <f>IF(E13="não","",IF(F13="","",CONCATENATE("Estará com ",VLOOKUP(F13,AQ7:AR9,2,0)," p/atdto.")))</f>
        <v/>
      </c>
      <c r="I13" s="892"/>
      <c r="J13" s="892"/>
      <c r="K13" s="892"/>
      <c r="L13" s="892"/>
      <c r="M13" s="893">
        <f>IF(E13="não",0,IF(F13="Digite o Valor em R$",0,F13*0.0000005))</f>
        <v>0</v>
      </c>
      <c r="N13" s="887"/>
      <c r="O13" s="887"/>
      <c r="P13" s="888"/>
      <c r="Q13" s="174"/>
      <c r="AH13" s="222">
        <v>115</v>
      </c>
      <c r="AI13" s="223"/>
      <c r="AK13" s="222">
        <v>110</v>
      </c>
      <c r="AL13" s="223"/>
      <c r="AV13" s="222">
        <v>55000</v>
      </c>
      <c r="AW13" s="221" t="e">
        <f>CONCATENATE(ROUNDUP('DESP. ADM.'!$F$91*0.25,0)," pessoas")</f>
        <v>#VALUE!</v>
      </c>
      <c r="AY13" s="222">
        <v>48000</v>
      </c>
      <c r="AZ13" s="221" t="e">
        <f>CONCATENATE(ROUNDUP('DESP. ADM.'!$F$91*1,0)," pessoas")</f>
        <v>#VALUE!</v>
      </c>
      <c r="BA13" s="221" t="s">
        <v>371</v>
      </c>
      <c r="BE13" s="222">
        <v>128.80000000000001</v>
      </c>
      <c r="BF13" s="223"/>
      <c r="BH13" s="222">
        <v>123.05</v>
      </c>
    </row>
    <row r="14" spans="2:60" ht="18.75" customHeight="1" x14ac:dyDescent="0.2">
      <c r="B14" s="174"/>
      <c r="C14" s="366">
        <v>8</v>
      </c>
      <c r="D14" s="179" t="s">
        <v>359</v>
      </c>
      <c r="E14" s="523" t="str">
        <f t="shared" si="1"/>
        <v>NÃO</v>
      </c>
      <c r="F14" s="898" t="str">
        <f t="shared" si="0"/>
        <v/>
      </c>
      <c r="G14" s="899"/>
      <c r="H14" s="900" t="str">
        <f>IF(E14="não","",IF(F14="","",CONCATENATE("  Confraternização atenderá  ",VLOOKUP(F14,AV7:AW13,2,0))))</f>
        <v/>
      </c>
      <c r="I14" s="901"/>
      <c r="J14" s="901"/>
      <c r="K14" s="901"/>
      <c r="L14" s="901"/>
      <c r="M14" s="893">
        <f>IF(E14="não",0,F14*0.0000001)</f>
        <v>0</v>
      </c>
      <c r="N14" s="887"/>
      <c r="O14" s="887"/>
      <c r="P14" s="888"/>
      <c r="Q14" s="174"/>
      <c r="AI14" s="223"/>
      <c r="AL14" s="223"/>
    </row>
    <row r="15" spans="2:60" ht="18.75" customHeight="1" x14ac:dyDescent="0.2">
      <c r="B15" s="174"/>
      <c r="C15" s="366">
        <v>9</v>
      </c>
      <c r="D15" s="179" t="s">
        <v>343</v>
      </c>
      <c r="E15" s="523" t="str">
        <f t="shared" si="1"/>
        <v>NÃO</v>
      </c>
      <c r="F15" s="898" t="str">
        <f t="shared" si="0"/>
        <v/>
      </c>
      <c r="G15" s="899"/>
      <c r="H15" s="900" t="str">
        <f>IF(E15="não","",IF(F15="","",CONCATENATE("  Treinamento será para  ",VLOOKUP(F15,AY8:AZ14,2,0)," em ",VLOOKUP(F15,AY8:BA13,3,0))))</f>
        <v/>
      </c>
      <c r="I15" s="901"/>
      <c r="J15" s="901"/>
      <c r="K15" s="901"/>
      <c r="L15" s="901"/>
      <c r="M15" s="893">
        <f>IF(E15="não",0,F15*0.0000001)</f>
        <v>0</v>
      </c>
      <c r="N15" s="887"/>
      <c r="O15" s="887"/>
      <c r="P15" s="888"/>
      <c r="Q15" s="174"/>
      <c r="AI15" s="223"/>
      <c r="AL15" s="223"/>
      <c r="BE15" s="472"/>
      <c r="BH15" s="472"/>
    </row>
    <row r="16" spans="2:60" ht="18.75" customHeight="1" x14ac:dyDescent="0.2">
      <c r="B16" s="174"/>
      <c r="C16" s="366">
        <v>10</v>
      </c>
      <c r="D16" s="179" t="s">
        <v>344</v>
      </c>
      <c r="E16" s="523" t="str">
        <f t="shared" si="1"/>
        <v>NÃO</v>
      </c>
      <c r="F16" s="906" t="str">
        <f t="shared" si="0"/>
        <v/>
      </c>
      <c r="G16" s="907"/>
      <c r="H16" s="908" t="str">
        <f>IF(E16="não","",IF(F16="","",VLOOKUP(F16,$BB$7:$BC$12,2,0)))</f>
        <v/>
      </c>
      <c r="I16" s="909"/>
      <c r="J16" s="909"/>
      <c r="K16" s="909"/>
      <c r="L16" s="909"/>
      <c r="M16" s="893">
        <f>IF(E16="não",0,F16*0.00000006)</f>
        <v>0</v>
      </c>
      <c r="N16" s="887"/>
      <c r="O16" s="887"/>
      <c r="P16" s="888"/>
      <c r="Q16" s="174"/>
      <c r="AI16" s="223"/>
      <c r="AL16" s="223"/>
      <c r="AV16" s="224"/>
      <c r="BE16" s="472"/>
      <c r="BH16" s="472"/>
    </row>
    <row r="17" spans="2:60" ht="18.75" customHeight="1" x14ac:dyDescent="0.2">
      <c r="B17" s="174"/>
      <c r="C17" s="916">
        <v>11</v>
      </c>
      <c r="D17" s="917" t="s">
        <v>363</v>
      </c>
      <c r="E17" s="903" t="str">
        <f>E22</f>
        <v>NÃO</v>
      </c>
      <c r="F17" s="910" t="str">
        <f t="shared" si="0"/>
        <v/>
      </c>
      <c r="G17" s="911"/>
      <c r="H17" s="866" t="str">
        <f>IF(E17="não","",(F17*SUM('DESP. ADM.'!F41:F45)))</f>
        <v/>
      </c>
      <c r="I17" s="867"/>
      <c r="J17" s="894" t="str">
        <f>IF(H17="","",CONCATENATE(SUM('DESP. ADM.'!F41:F45)," motoristas em treinamento no período de 1 semana."))</f>
        <v/>
      </c>
      <c r="K17" s="894"/>
      <c r="L17" s="894"/>
      <c r="M17" s="864">
        <f>IF(E17="não",0,H17*0.000000075)</f>
        <v>0</v>
      </c>
      <c r="N17" s="864"/>
      <c r="O17" s="864"/>
      <c r="P17" s="865"/>
      <c r="Q17" s="174"/>
      <c r="AV17" s="225"/>
      <c r="BE17" s="472"/>
      <c r="BH17" s="472"/>
    </row>
    <row r="18" spans="2:60" ht="18.75" customHeight="1" x14ac:dyDescent="0.2">
      <c r="B18" s="174"/>
      <c r="C18" s="916"/>
      <c r="D18" s="917"/>
      <c r="E18" s="904"/>
      <c r="F18" s="912"/>
      <c r="G18" s="913"/>
      <c r="H18" s="866"/>
      <c r="I18" s="867"/>
      <c r="J18" s="894"/>
      <c r="K18" s="894"/>
      <c r="L18" s="894"/>
      <c r="M18" s="864"/>
      <c r="N18" s="864"/>
      <c r="O18" s="864"/>
      <c r="P18" s="865"/>
      <c r="Q18" s="174"/>
      <c r="BE18" s="472"/>
      <c r="BH18" s="472"/>
    </row>
    <row r="19" spans="2:60" ht="18.75" customHeight="1" x14ac:dyDescent="0.2">
      <c r="B19" s="174"/>
      <c r="C19" s="916">
        <v>12</v>
      </c>
      <c r="D19" s="917" t="s">
        <v>364</v>
      </c>
      <c r="E19" s="903" t="str">
        <f>E22</f>
        <v>NÃO</v>
      </c>
      <c r="F19" s="910" t="str">
        <f>IF($E$22=$X$7,F38,"")</f>
        <v/>
      </c>
      <c r="G19" s="911"/>
      <c r="H19" s="866" t="str">
        <f>IF(E19="não","",(F19*SUM('DESP. ADM.'!F38:F40,'DESP. ADM.'!F46:F47)))</f>
        <v/>
      </c>
      <c r="I19" s="867"/>
      <c r="J19" s="894" t="str">
        <f>IF(H19="","",CONCATENATE(SUM('DESP. ADM.'!F38:F40,'DESP. ADM.'!F46:F47)," pessoas como chefes de trafego, Inspetores, fiscais e cobradores em treinamento no período de 1 semana."))</f>
        <v/>
      </c>
      <c r="K19" s="894"/>
      <c r="L19" s="894"/>
      <c r="M19" s="864">
        <f>IF(E19="não",0,H19*0.000000073)</f>
        <v>0</v>
      </c>
      <c r="N19" s="864"/>
      <c r="O19" s="864"/>
      <c r="P19" s="865"/>
      <c r="Q19" s="174"/>
      <c r="BE19" s="472"/>
      <c r="BH19" s="472"/>
    </row>
    <row r="20" spans="2:60" ht="18.75" customHeight="1" thickBot="1" x14ac:dyDescent="0.25">
      <c r="B20" s="174"/>
      <c r="C20" s="919"/>
      <c r="D20" s="918"/>
      <c r="E20" s="905"/>
      <c r="F20" s="914"/>
      <c r="G20" s="915"/>
      <c r="H20" s="920"/>
      <c r="I20" s="921"/>
      <c r="J20" s="895"/>
      <c r="K20" s="895"/>
      <c r="L20" s="895"/>
      <c r="M20" s="896"/>
      <c r="N20" s="896"/>
      <c r="O20" s="896"/>
      <c r="P20" s="897"/>
      <c r="Q20" s="174"/>
      <c r="BE20" s="472"/>
      <c r="BH20" s="472"/>
    </row>
    <row r="21" spans="2:60" ht="6" customHeight="1" thickBot="1" x14ac:dyDescent="0.25">
      <c r="B21" s="174"/>
      <c r="C21" s="173"/>
      <c r="D21" s="174"/>
      <c r="E21" s="174"/>
      <c r="F21" s="174"/>
      <c r="G21" s="174"/>
      <c r="H21" s="174"/>
      <c r="I21" s="174"/>
      <c r="J21" s="174"/>
      <c r="K21" s="174"/>
      <c r="L21" s="174"/>
      <c r="M21" s="174"/>
      <c r="N21" s="174"/>
      <c r="O21" s="174"/>
      <c r="P21" s="174"/>
      <c r="Q21" s="174"/>
      <c r="BE21" s="472"/>
      <c r="BH21" s="472"/>
    </row>
    <row r="22" spans="2:60" ht="29.25" customHeight="1" thickBot="1" x14ac:dyDescent="0.25">
      <c r="B22" s="174"/>
      <c r="C22" s="173"/>
      <c r="D22" s="521" t="s">
        <v>2509</v>
      </c>
      <c r="E22" s="522" t="s">
        <v>225</v>
      </c>
      <c r="F22" s="174"/>
      <c r="G22" s="174"/>
      <c r="H22" s="174"/>
      <c r="I22" s="174"/>
      <c r="J22" s="174"/>
      <c r="K22" s="174"/>
      <c r="L22" s="174"/>
      <c r="M22" s="174"/>
      <c r="N22" s="174"/>
      <c r="O22" s="174"/>
      <c r="P22" s="174"/>
      <c r="Q22" s="174"/>
      <c r="BE22" s="472"/>
      <c r="BH22" s="472"/>
    </row>
    <row r="23" spans="2:60" ht="3.75" customHeight="1" x14ac:dyDescent="0.2">
      <c r="B23" s="174"/>
      <c r="C23" s="173"/>
      <c r="D23" s="174"/>
      <c r="E23" s="174"/>
      <c r="F23" s="174"/>
      <c r="G23" s="174"/>
      <c r="H23" s="174"/>
      <c r="I23" s="174"/>
      <c r="J23" s="174"/>
      <c r="K23" s="174"/>
      <c r="L23" s="174"/>
      <c r="M23" s="174"/>
      <c r="N23" s="174"/>
      <c r="O23" s="174"/>
      <c r="P23" s="174"/>
      <c r="Q23" s="174"/>
      <c r="BE23" s="472"/>
      <c r="BH23" s="472"/>
    </row>
    <row r="25" spans="2:60" ht="22.5" customHeight="1" thickBot="1" x14ac:dyDescent="0.25"/>
    <row r="26" spans="2:60" ht="22.5" customHeight="1" x14ac:dyDescent="0.2">
      <c r="F26" s="922">
        <v>184</v>
      </c>
      <c r="G26" s="923"/>
    </row>
    <row r="27" spans="2:60" ht="22.5" customHeight="1" x14ac:dyDescent="0.2">
      <c r="F27" s="924">
        <v>35</v>
      </c>
      <c r="G27" s="925"/>
    </row>
    <row r="28" spans="2:60" ht="22.5" customHeight="1" x14ac:dyDescent="0.2">
      <c r="F28" s="924">
        <v>230</v>
      </c>
      <c r="G28" s="925"/>
    </row>
    <row r="29" spans="2:60" ht="22.5" customHeight="1" x14ac:dyDescent="0.2">
      <c r="F29" s="924">
        <v>115</v>
      </c>
      <c r="G29" s="925"/>
    </row>
    <row r="30" spans="2:60" ht="22.5" customHeight="1" x14ac:dyDescent="0.2">
      <c r="F30" s="924">
        <v>110</v>
      </c>
      <c r="G30" s="925"/>
    </row>
    <row r="31" spans="2:60" ht="22.5" customHeight="1" x14ac:dyDescent="0.2">
      <c r="F31" s="929">
        <v>15200</v>
      </c>
      <c r="G31" s="930"/>
    </row>
    <row r="32" spans="2:60" ht="22.5" customHeight="1" x14ac:dyDescent="0.2">
      <c r="F32" s="931">
        <v>6500</v>
      </c>
      <c r="G32" s="932"/>
    </row>
    <row r="33" spans="6:7" ht="22.5" customHeight="1" x14ac:dyDescent="0.2">
      <c r="F33" s="933">
        <v>55000</v>
      </c>
      <c r="G33" s="934"/>
    </row>
    <row r="34" spans="6:7" ht="22.5" customHeight="1" x14ac:dyDescent="0.2">
      <c r="F34" s="933">
        <v>48000</v>
      </c>
      <c r="G34" s="934"/>
    </row>
    <row r="35" spans="6:7" ht="22.5" customHeight="1" x14ac:dyDescent="0.2">
      <c r="F35" s="935">
        <v>18000</v>
      </c>
      <c r="G35" s="936"/>
    </row>
    <row r="36" spans="6:7" ht="22.5" customHeight="1" x14ac:dyDescent="0.2">
      <c r="F36" s="910">
        <v>128.80000000000001</v>
      </c>
      <c r="G36" s="926"/>
    </row>
    <row r="37" spans="6:7" ht="22.5" customHeight="1" x14ac:dyDescent="0.2">
      <c r="F37" s="912"/>
      <c r="G37" s="927"/>
    </row>
    <row r="38" spans="6:7" ht="22.5" customHeight="1" x14ac:dyDescent="0.2">
      <c r="F38" s="910">
        <v>123.05</v>
      </c>
      <c r="G38" s="926"/>
    </row>
    <row r="39" spans="6:7" ht="22.5" customHeight="1" thickBot="1" x14ac:dyDescent="0.25">
      <c r="F39" s="914"/>
      <c r="G39" s="928"/>
    </row>
  </sheetData>
  <sheetProtection algorithmName="SHA-512" hashValue="cKKqiacE/Sa2gp8LgHJBqKHoNLAkz1Rh+MdtEowo3sIvpnqkklHJ4Kgjy8jwqO34w6uj0SJbinlaimLRk9htRQ==" saltValue="62DlcYayH6xqNZbydGG0cQ==" spinCount="100000" sheet="1" objects="1" scenarios="1"/>
  <mergeCells count="65">
    <mergeCell ref="F36:G37"/>
    <mergeCell ref="F38:G39"/>
    <mergeCell ref="F31:G31"/>
    <mergeCell ref="F32:G32"/>
    <mergeCell ref="F33:G33"/>
    <mergeCell ref="F34:G34"/>
    <mergeCell ref="F35:G35"/>
    <mergeCell ref="F26:G26"/>
    <mergeCell ref="F27:G27"/>
    <mergeCell ref="F28:G28"/>
    <mergeCell ref="F29:G29"/>
    <mergeCell ref="F30:G30"/>
    <mergeCell ref="C2:G4"/>
    <mergeCell ref="M15:P15"/>
    <mergeCell ref="E17:E18"/>
    <mergeCell ref="E19:E20"/>
    <mergeCell ref="F16:G16"/>
    <mergeCell ref="H16:L16"/>
    <mergeCell ref="M16:P16"/>
    <mergeCell ref="F17:G18"/>
    <mergeCell ref="F19:G20"/>
    <mergeCell ref="H17:I18"/>
    <mergeCell ref="C17:C18"/>
    <mergeCell ref="D17:D18"/>
    <mergeCell ref="D19:D20"/>
    <mergeCell ref="C19:C20"/>
    <mergeCell ref="J17:L18"/>
    <mergeCell ref="H19:I20"/>
    <mergeCell ref="J19:L20"/>
    <mergeCell ref="M17:P18"/>
    <mergeCell ref="M19:P20"/>
    <mergeCell ref="F14:G14"/>
    <mergeCell ref="H14:L14"/>
    <mergeCell ref="M14:P14"/>
    <mergeCell ref="F15:G15"/>
    <mergeCell ref="H15:L15"/>
    <mergeCell ref="M11:P11"/>
    <mergeCell ref="F12:G12"/>
    <mergeCell ref="H12:L12"/>
    <mergeCell ref="M12:P12"/>
    <mergeCell ref="F13:G13"/>
    <mergeCell ref="H13:L13"/>
    <mergeCell ref="M13:P13"/>
    <mergeCell ref="F7:G7"/>
    <mergeCell ref="F5:G6"/>
    <mergeCell ref="H5:L6"/>
    <mergeCell ref="H7:L7"/>
    <mergeCell ref="F11:G11"/>
    <mergeCell ref="H11:L11"/>
    <mergeCell ref="E5:E6"/>
    <mergeCell ref="H2:L2"/>
    <mergeCell ref="H3:L3"/>
    <mergeCell ref="F10:G10"/>
    <mergeCell ref="M10:P10"/>
    <mergeCell ref="H10:L10"/>
    <mergeCell ref="F8:G8"/>
    <mergeCell ref="F9:G9"/>
    <mergeCell ref="H8:L8"/>
    <mergeCell ref="M8:P8"/>
    <mergeCell ref="H9:L9"/>
    <mergeCell ref="M9:P9"/>
    <mergeCell ref="M5:P6"/>
    <mergeCell ref="M7:P7"/>
    <mergeCell ref="M2:P2"/>
    <mergeCell ref="M3:P3"/>
  </mergeCells>
  <conditionalFormatting sqref="E7:E19">
    <cfRule type="containsText" dxfId="6" priority="5" operator="containsText" text="NÃO">
      <formula>NOT(ISERROR(SEARCH("NÃO",E7)))</formula>
    </cfRule>
    <cfRule type="containsText" dxfId="5" priority="6" operator="containsText" text="SIM">
      <formula>NOT(ISERROR(SEARCH("SIM",E7)))</formula>
    </cfRule>
  </conditionalFormatting>
  <conditionalFormatting sqref="E22">
    <cfRule type="containsText" dxfId="4" priority="1" operator="containsText" text="NÃO">
      <formula>NOT(ISERROR(SEARCH("NÃO",E22)))</formula>
    </cfRule>
    <cfRule type="containsText" dxfId="3" priority="2" operator="containsText" text="SIM">
      <formula>NOT(ISERROR(SEARCH("SIM",E22)))</formula>
    </cfRule>
  </conditionalFormatting>
  <conditionalFormatting sqref="M7:M20 N7:P11 N13:P20">
    <cfRule type="colorScale" priority="6485">
      <colorScale>
        <cfvo type="min"/>
        <cfvo type="max"/>
        <color rgb="FFFFEF9C"/>
        <color rgb="FFFF7128"/>
      </colorScale>
    </cfRule>
  </conditionalFormatting>
  <dataValidations count="17">
    <dataValidation type="list" allowBlank="1" showInputMessage="1" showErrorMessage="1" sqref="F7:G7 F26" xr:uid="{00000000-0002-0000-1000-000000000000}">
      <formula1>$Y$6:$Y$12</formula1>
    </dataValidation>
    <dataValidation type="list" allowBlank="1" showInputMessage="1" showErrorMessage="1" sqref="E19 E22 E7:E17" xr:uid="{00000000-0002-0000-1000-000001000000}">
      <formula1>$X$7:$X$8</formula1>
    </dataValidation>
    <dataValidation type="list" allowBlank="1" showInputMessage="1" showErrorMessage="1" sqref="F27 F8:G8" xr:uid="{00000000-0002-0000-1000-000002000000}">
      <formula1>$AB$6:$AB$12</formula1>
    </dataValidation>
    <dataValidation type="list" allowBlank="1" showInputMessage="1" showErrorMessage="1" sqref="F28" xr:uid="{00000000-0002-0000-1000-000003000000}">
      <formula1>$AE$6:$AE$12</formula1>
    </dataValidation>
    <dataValidation type="list" allowBlank="1" showInputMessage="1" showErrorMessage="1" sqref="F31" xr:uid="{00000000-0002-0000-1000-000004000000}">
      <formula1>$AN$7:$AN$9</formula1>
    </dataValidation>
    <dataValidation type="list" allowBlank="1" showInputMessage="1" showErrorMessage="1" sqref="F32" xr:uid="{00000000-0002-0000-1000-000005000000}">
      <formula1>$AQ$7:$AQ$9</formula1>
    </dataValidation>
    <dataValidation type="list" allowBlank="1" showInputMessage="1" showErrorMessage="1" sqref="F33 F14:G14" xr:uid="{00000000-0002-0000-1000-000006000000}">
      <formula1>$AV$7:$AV$13</formula1>
    </dataValidation>
    <dataValidation type="list" allowBlank="1" showInputMessage="1" showErrorMessage="1" sqref="F29" xr:uid="{00000000-0002-0000-1000-000007000000}">
      <formula1>$AH$6:$AH$13</formula1>
    </dataValidation>
    <dataValidation type="list" allowBlank="1" showInputMessage="1" showErrorMessage="1" sqref="F30 F11:G11" xr:uid="{00000000-0002-0000-1000-000008000000}">
      <formula1>$AK$6:$AK$13</formula1>
    </dataValidation>
    <dataValidation type="list" allowBlank="1" showInputMessage="1" showErrorMessage="1" sqref="F34 F15:G15" xr:uid="{00000000-0002-0000-1000-000009000000}">
      <formula1>$AY$7:$AY$13</formula1>
    </dataValidation>
    <dataValidation type="list" allowBlank="1" showInputMessage="1" showErrorMessage="1" sqref="F35 F16:G16" xr:uid="{00000000-0002-0000-1000-00000A000000}">
      <formula1>$BB$6:$BB$12</formula1>
    </dataValidation>
    <dataValidation type="list" allowBlank="1" showInputMessage="1" showErrorMessage="1" sqref="F36 F17:G18" xr:uid="{00000000-0002-0000-1000-00000B000000}">
      <formula1>$BE$6:$BE$13</formula1>
    </dataValidation>
    <dataValidation type="list" allowBlank="1" showInputMessage="1" showErrorMessage="1" sqref="F38 F19:G20" xr:uid="{00000000-0002-0000-1000-00000C000000}">
      <formula1>$BH$6:$BH$13</formula1>
    </dataValidation>
    <dataValidation type="list" allowBlank="1" showInputMessage="1" showErrorMessage="1" sqref="F9:G9" xr:uid="{00000000-0002-0000-1000-00000D000000}">
      <formula1>$AE$7:$AE$12</formula1>
    </dataValidation>
    <dataValidation type="list" allowBlank="1" showInputMessage="1" showErrorMessage="1" sqref="F10:G10" xr:uid="{00000000-0002-0000-1000-00000E000000}">
      <formula1>$AH$7:$AH$13</formula1>
    </dataValidation>
    <dataValidation type="list" allowBlank="1" showInputMessage="1" showErrorMessage="1" sqref="F12:G12" xr:uid="{00000000-0002-0000-1000-00000F000000}">
      <formula1>$AN$6:$AN$9</formula1>
    </dataValidation>
    <dataValidation type="list" allowBlank="1" showInputMessage="1" showErrorMessage="1" sqref="F13:G13" xr:uid="{00000000-0002-0000-1000-000010000000}">
      <formula1>$AQ$6:$AQ$9</formula1>
    </dataValidation>
  </dataValidations>
  <pageMargins left="0.511811024" right="0.511811024" top="0.78740157499999996" bottom="0.78740157499999996" header="0.31496062000000002" footer="0.31496062000000002"/>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131">
    <tabColor theme="1" tint="4.9989318521683403E-2"/>
  </sheetPr>
  <dimension ref="B1:AD93"/>
  <sheetViews>
    <sheetView zoomScale="90" zoomScaleNormal="90" zoomScaleSheetLayoutView="85" workbookViewId="0">
      <pane ySplit="10" topLeftCell="A11" activePane="bottomLeft" state="frozen"/>
      <selection pane="bottomLeft" activeCell="AA11" sqref="AA11"/>
    </sheetView>
  </sheetViews>
  <sheetFormatPr defaultColWidth="9.140625" defaultRowHeight="15.75" x14ac:dyDescent="0.2"/>
  <cols>
    <col min="1" max="1" width="7" style="255" customWidth="1"/>
    <col min="2" max="2" width="1.42578125" style="255" customWidth="1"/>
    <col min="3" max="10" width="22.85546875" style="255" customWidth="1"/>
    <col min="11" max="11" width="1.42578125" style="255" customWidth="1"/>
    <col min="12" max="12" width="16.140625" style="272" customWidth="1"/>
    <col min="13" max="16" width="17.140625" style="272" customWidth="1"/>
    <col min="17" max="18" width="9.140625" style="272" customWidth="1"/>
    <col min="19" max="19" width="19.85546875" style="273" customWidth="1"/>
    <col min="20" max="20" width="12.5703125" style="272" customWidth="1"/>
    <col min="21" max="21" width="10.7109375" style="272" customWidth="1"/>
    <col min="22" max="22" width="9" style="272" customWidth="1"/>
    <col min="23" max="23" width="11" style="272" customWidth="1"/>
    <col min="24" max="24" width="8.42578125" style="272" customWidth="1"/>
    <col min="25" max="26" width="9.140625" style="272" customWidth="1"/>
    <col min="27" max="27" width="9.140625" style="282" customWidth="1"/>
    <col min="28" max="28" width="9.85546875" style="283" customWidth="1"/>
    <col min="29" max="29" width="9.140625" style="282" customWidth="1"/>
    <col min="30" max="16384" width="9.140625" style="255"/>
  </cols>
  <sheetData>
    <row r="1" spans="2:30" ht="6.75" customHeight="1" x14ac:dyDescent="0.2"/>
    <row r="2" spans="2:30" ht="6.75" customHeight="1" x14ac:dyDescent="0.2">
      <c r="B2" s="9"/>
      <c r="C2" s="9"/>
      <c r="D2" s="9"/>
      <c r="E2" s="9"/>
      <c r="F2" s="9"/>
      <c r="G2" s="9"/>
      <c r="H2" s="9"/>
      <c r="I2" s="9"/>
      <c r="J2" s="9"/>
      <c r="K2" s="9"/>
    </row>
    <row r="3" spans="2:30" ht="19.5" customHeight="1" thickBot="1" x14ac:dyDescent="0.25">
      <c r="B3" s="9"/>
      <c r="C3" s="142" t="s">
        <v>72</v>
      </c>
      <c r="D3" s="945" t="str">
        <f>CONCATENATE("RECEBÍVEIS - RIO DAS PEDRAS
SISTEMA MUNICIPAL DE TRANSPORTES DE  ",PERFIL!G3)</f>
        <v xml:space="preserve">RECEBÍVEIS - RIO DAS PEDRAS
SISTEMA MUNICIPAL DE TRANSPORTES DE  </v>
      </c>
      <c r="E3" s="945"/>
      <c r="F3" s="945"/>
      <c r="G3" s="945"/>
      <c r="H3" s="482"/>
      <c r="I3" s="483"/>
      <c r="J3" s="943" t="s">
        <v>331</v>
      </c>
      <c r="K3" s="9"/>
    </row>
    <row r="4" spans="2:30" ht="21" customHeight="1" thickBot="1" x14ac:dyDescent="0.35">
      <c r="B4" s="9"/>
      <c r="C4" s="947" t="str">
        <f>IF(PERFIL!B3="","",PERFIL!B3)</f>
        <v/>
      </c>
      <c r="D4" s="946"/>
      <c r="E4" s="946"/>
      <c r="F4" s="946"/>
      <c r="G4" s="946"/>
      <c r="H4" s="286" t="s">
        <v>66</v>
      </c>
      <c r="I4" s="10" t="str">
        <f>IF(ESCALA!I1="","",ESCALA!I1)</f>
        <v>MAIO - 2026</v>
      </c>
      <c r="J4" s="944"/>
      <c r="K4" s="9"/>
      <c r="L4" s="274"/>
      <c r="M4" s="274"/>
      <c r="N4" s="274"/>
      <c r="O4" s="274"/>
    </row>
    <row r="5" spans="2:30" ht="24.75" customHeight="1" thickTop="1" thickBot="1" x14ac:dyDescent="0.25">
      <c r="B5" s="9"/>
      <c r="C5" s="948"/>
      <c r="D5" s="946"/>
      <c r="E5" s="946"/>
      <c r="F5" s="946"/>
      <c r="G5" s="946"/>
      <c r="H5" s="287" t="s">
        <v>67</v>
      </c>
      <c r="I5" s="11" t="str">
        <f>IF(RECEBÍVEIS!I4="","",IF(RECEBÍVEIS!I4=0,"",IF(RECEBÍVEIS!I4="em definição...","",VLOOKUP(I4,S5:X93,2,0))))</f>
        <v>01 a 31 Mai</v>
      </c>
      <c r="J5" s="542" t="str">
        <f>IF(J9="","",IF(J9&lt;500000.01,500000,J9))</f>
        <v/>
      </c>
      <c r="K5" s="9"/>
      <c r="L5" s="275"/>
      <c r="M5" s="276"/>
      <c r="S5" s="282" t="s">
        <v>66</v>
      </c>
      <c r="T5" s="282" t="s">
        <v>67</v>
      </c>
      <c r="U5" s="282" t="s">
        <v>68</v>
      </c>
      <c r="V5" s="282" t="s">
        <v>69</v>
      </c>
      <c r="W5" s="282" t="s">
        <v>70</v>
      </c>
      <c r="X5" s="282" t="s">
        <v>52</v>
      </c>
    </row>
    <row r="6" spans="2:30" ht="37.5" customHeight="1" thickTop="1" x14ac:dyDescent="0.2">
      <c r="B6" s="9"/>
      <c r="C6" s="142" t="s">
        <v>71</v>
      </c>
      <c r="D6" s="143" t="s">
        <v>204</v>
      </c>
      <c r="E6" s="144" t="s">
        <v>205</v>
      </c>
      <c r="F6" s="144" t="s">
        <v>206</v>
      </c>
      <c r="G6" s="144" t="s">
        <v>285</v>
      </c>
      <c r="H6" s="145" t="s">
        <v>286</v>
      </c>
      <c r="I6" s="484" t="s">
        <v>73</v>
      </c>
      <c r="J6" s="484" t="s">
        <v>2503</v>
      </c>
      <c r="K6" s="9"/>
      <c r="S6" s="149" t="s">
        <v>2532</v>
      </c>
      <c r="T6" s="150" t="s">
        <v>83</v>
      </c>
      <c r="U6" s="473">
        <v>20</v>
      </c>
      <c r="V6" s="473">
        <v>5</v>
      </c>
      <c r="W6" s="473">
        <v>5</v>
      </c>
      <c r="X6" s="474">
        <v>30</v>
      </c>
    </row>
    <row r="7" spans="2:30" ht="37.5" customHeight="1" thickBot="1" x14ac:dyDescent="0.25">
      <c r="B7" s="9"/>
      <c r="C7" s="960" t="str">
        <f>IF(PERFIL!C3="","",PERFIL!C3)</f>
        <v/>
      </c>
      <c r="D7" s="571" t="str">
        <f>IF(RECEITAS!E305=0,"",RECEITAS!E305)</f>
        <v/>
      </c>
      <c r="E7" s="571" t="str">
        <f>IF(RECEITAS!G305=0,"",RECEITAS!G305)</f>
        <v/>
      </c>
      <c r="F7" s="571" t="str">
        <f>IF(RECEITAS!I305=0,"",RECEITAS!I305)</f>
        <v/>
      </c>
      <c r="G7" s="571" t="str">
        <f>IF(D7="","",SUM(RECEITAS!L5:L304,RECEITAS!N5:N304,RECEITAS!P5:P304,RECEITAS!R5:R304))</f>
        <v/>
      </c>
      <c r="H7" s="572" t="str">
        <f>IF(D7="","",SUM(D7:G7))</f>
        <v/>
      </c>
      <c r="I7" s="571" t="str">
        <f>IF(H7="","",IF('DESP. ADM.'!L2="",SUM('DESP. ADM.'!J2),(SUM('DESP. ADM.'!J2)/30)*'DESP. ADM.'!L2))</f>
        <v/>
      </c>
      <c r="J7" s="571">
        <f>SUM(COMBUSTIVEL!Y29)</f>
        <v>0</v>
      </c>
      <c r="K7" s="9"/>
      <c r="S7" s="149" t="s">
        <v>2520</v>
      </c>
      <c r="T7" s="150" t="s">
        <v>84</v>
      </c>
      <c r="U7" s="473">
        <v>21</v>
      </c>
      <c r="V7" s="473">
        <v>4</v>
      </c>
      <c r="W7" s="473">
        <v>6</v>
      </c>
      <c r="X7" s="474">
        <v>31</v>
      </c>
    </row>
    <row r="8" spans="2:30" ht="37.5" customHeight="1" thickBot="1" x14ac:dyDescent="0.25">
      <c r="B8" s="9"/>
      <c r="C8" s="961"/>
      <c r="D8" s="153"/>
      <c r="E8" s="941" t="s">
        <v>440</v>
      </c>
      <c r="F8" s="169" t="s">
        <v>327</v>
      </c>
      <c r="G8" s="170" t="s">
        <v>328</v>
      </c>
      <c r="H8" s="154" t="s">
        <v>330</v>
      </c>
      <c r="I8" s="154" t="s">
        <v>329</v>
      </c>
      <c r="J8" s="486" t="s">
        <v>436</v>
      </c>
      <c r="K8" s="9"/>
      <c r="S8" s="149" t="s">
        <v>2535</v>
      </c>
      <c r="T8" s="150" t="s">
        <v>85</v>
      </c>
      <c r="U8" s="473">
        <v>20</v>
      </c>
      <c r="V8" s="473">
        <v>4</v>
      </c>
      <c r="W8" s="473">
        <v>6</v>
      </c>
      <c r="X8" s="474">
        <v>30</v>
      </c>
    </row>
    <row r="9" spans="2:30" ht="20.25" customHeight="1" thickBot="1" x14ac:dyDescent="0.25">
      <c r="B9" s="9"/>
      <c r="C9" s="485" t="s">
        <v>438</v>
      </c>
      <c r="D9" s="950" t="str">
        <f>IF(E10="","",SUM(COMBUSTIVEL!M8:N27))</f>
        <v/>
      </c>
      <c r="E9" s="942"/>
      <c r="F9" s="958" t="str">
        <f>IF(E10="","",SUM('INV. HUM.'!H3:L3))</f>
        <v/>
      </c>
      <c r="G9" s="171" t="str">
        <f>IF(E10="","",IF('INV. HUM.'!M3="","",'INV. HUM.'!M3))</f>
        <v/>
      </c>
      <c r="H9" s="956" t="str">
        <f>IF(CUSTOS!F1=0,"",CUSTOS!F1)</f>
        <v/>
      </c>
      <c r="I9" s="954" t="str">
        <f>IF(H9="","",H9-G10)</f>
        <v/>
      </c>
      <c r="J9" s="952" t="str">
        <f>IF(H7="","",IF(SUM(H7,G10)-SUM(H9,I7:J7)&lt;500000,500000,SUM(H7,G10)-SUM(H9,I7:J7)))</f>
        <v/>
      </c>
      <c r="K9" s="9"/>
      <c r="S9" s="149" t="s">
        <v>2536</v>
      </c>
      <c r="T9" s="150" t="s">
        <v>86</v>
      </c>
      <c r="U9" s="473">
        <v>20</v>
      </c>
      <c r="V9" s="473">
        <v>5</v>
      </c>
      <c r="W9" s="473">
        <v>6</v>
      </c>
      <c r="X9" s="474">
        <v>31</v>
      </c>
    </row>
    <row r="10" spans="2:30" ht="20.25" customHeight="1" x14ac:dyDescent="0.35">
      <c r="B10" s="9"/>
      <c r="D10" s="951"/>
      <c r="E10" s="487" t="str">
        <f>IF(PERFIL!K3="","",SUM(PERFIL!K3))</f>
        <v/>
      </c>
      <c r="F10" s="959"/>
      <c r="G10" s="488" t="str">
        <f>IF(H9="","",H9*G9)</f>
        <v/>
      </c>
      <c r="H10" s="957"/>
      <c r="I10" s="955"/>
      <c r="J10" s="953"/>
      <c r="K10" s="9"/>
      <c r="L10" s="277"/>
      <c r="M10" s="272" t="s">
        <v>25</v>
      </c>
      <c r="N10" s="272" t="s">
        <v>258</v>
      </c>
      <c r="O10" s="272" t="s">
        <v>259</v>
      </c>
      <c r="P10" s="272" t="s">
        <v>260</v>
      </c>
      <c r="S10" s="149" t="s">
        <v>2537</v>
      </c>
      <c r="T10" s="150" t="s">
        <v>74</v>
      </c>
      <c r="U10" s="473">
        <v>22</v>
      </c>
      <c r="V10" s="473">
        <v>4</v>
      </c>
      <c r="W10" s="473">
        <v>5</v>
      </c>
      <c r="X10" s="474">
        <v>31</v>
      </c>
      <c r="AB10" s="282" t="s">
        <v>315</v>
      </c>
      <c r="AC10" s="282" t="s">
        <v>314</v>
      </c>
    </row>
    <row r="11" spans="2:30" s="271" customFormat="1" ht="33" x14ac:dyDescent="0.3">
      <c r="B11" s="9"/>
      <c r="C11" s="479" t="s">
        <v>76</v>
      </c>
      <c r="D11" s="949" t="s">
        <v>261</v>
      </c>
      <c r="E11" s="949"/>
      <c r="F11" s="949" t="s">
        <v>262</v>
      </c>
      <c r="G11" s="949"/>
      <c r="H11" s="480" t="s">
        <v>263</v>
      </c>
      <c r="I11" s="480" t="s">
        <v>264</v>
      </c>
      <c r="J11" s="481" t="s">
        <v>316</v>
      </c>
      <c r="K11" s="9"/>
      <c r="L11" s="278"/>
      <c r="M11" s="279" t="str">
        <f>C12</f>
        <v/>
      </c>
      <c r="N11" s="280" t="str">
        <f>IF($M11="","",IF($M11="---","",SUM(PERFIL!O5*0.9)*(VLOOKUP(RECEBÍVEIS!$I$4,RECEBÍVEIS!$S$5:$W$18,3,0))))</f>
        <v/>
      </c>
      <c r="O11" s="280" t="str">
        <f>IF($M11="","",IF($M11="---","",PERFIL!P5*(VLOOKUP(RECEBÍVEIS!$I$4,RECEBÍVEIS!$S$5:$W$18,4,0))))</f>
        <v/>
      </c>
      <c r="P11" s="280" t="str">
        <f>IF($M11="","",IF($M11="---","",PERFIL!Q5*(VLOOKUP(RECEBÍVEIS!$I$4,RECEBÍVEIS!$S$5:$W$18,5,0))))</f>
        <v/>
      </c>
      <c r="Q11" s="281"/>
      <c r="R11" s="281"/>
      <c r="S11" s="149" t="s">
        <v>2538</v>
      </c>
      <c r="T11" s="150" t="s">
        <v>2539</v>
      </c>
      <c r="U11" s="473">
        <v>19</v>
      </c>
      <c r="V11" s="473">
        <v>4</v>
      </c>
      <c r="W11" s="473">
        <v>6</v>
      </c>
      <c r="X11" s="474">
        <v>29</v>
      </c>
      <c r="Y11" s="281"/>
      <c r="Z11" s="281"/>
      <c r="AA11" s="559">
        <f ca="1">'DEFINA!!!'!R10</f>
        <v>2026</v>
      </c>
      <c r="AB11" s="560">
        <f>'DEFINA!!!'!S10</f>
        <v>5</v>
      </c>
      <c r="AC11" s="560">
        <f>'DEFINA!!!'!T10</f>
        <v>9.1</v>
      </c>
      <c r="AD11" s="284"/>
    </row>
    <row r="12" spans="2:30" s="271" customFormat="1" ht="15.75" customHeight="1" x14ac:dyDescent="0.3">
      <c r="B12" s="20"/>
      <c r="C12" s="543" t="str">
        <f>IF(PERFIL!B5="","",PERFIL!B5)</f>
        <v/>
      </c>
      <c r="D12" s="937" t="str">
        <f>IF(PERFIL!C5="","",PERFIL!C5)</f>
        <v/>
      </c>
      <c r="E12" s="937"/>
      <c r="F12" s="938" t="str">
        <f>IF(PERFIL!D5="","",PERFIL!D5)</f>
        <v/>
      </c>
      <c r="G12" s="938"/>
      <c r="H12" s="554" t="str">
        <f>IF(PERFIL!E5="","",PERFIL!E5)</f>
        <v/>
      </c>
      <c r="I12" s="554" t="str">
        <f>IF(H12="","",CONCATENATE(PERFIL!F5," ",PERFIL!G5))</f>
        <v/>
      </c>
      <c r="J12" s="162" t="str">
        <f>IF(C12="","",IF(C12="---","---",SUMIF(RECEITAS!$C$5:$C$304,RECEBÍVEIS!C12,RECEITAS!$S$5:$S$304)))</f>
        <v/>
      </c>
      <c r="K12" s="20"/>
      <c r="L12" s="278"/>
      <c r="M12" s="279" t="str">
        <f t="shared" ref="M12:M25" si="0">C13</f>
        <v/>
      </c>
      <c r="N12" s="280" t="str">
        <f>IF($M12="","",IF($M12="---","",SUM(PERFIL!O6*0.9)*(VLOOKUP(RECEBÍVEIS!$I$4,RECEBÍVEIS!$S$5:$W$18,3,0))))</f>
        <v/>
      </c>
      <c r="O12" s="280" t="str">
        <f>IF($M12="","",IF($M12="---","",PERFIL!P6*(VLOOKUP(RECEBÍVEIS!$I$4,RECEBÍVEIS!$S$5:$W$18,4,0))))</f>
        <v/>
      </c>
      <c r="P12" s="280" t="str">
        <f>IF($M12="","",IF($M12="---","",PERFIL!Q6*(VLOOKUP(RECEBÍVEIS!$I$4,RECEBÍVEIS!$S$5:$W$18,5,0))))</f>
        <v/>
      </c>
      <c r="Q12" s="281"/>
      <c r="R12" s="281"/>
      <c r="S12" s="149" t="s">
        <v>2540</v>
      </c>
      <c r="T12" s="150" t="s">
        <v>77</v>
      </c>
      <c r="U12" s="473">
        <v>20</v>
      </c>
      <c r="V12" s="473">
        <v>5</v>
      </c>
      <c r="W12" s="473">
        <v>6</v>
      </c>
      <c r="X12" s="474">
        <v>31</v>
      </c>
      <c r="Y12" s="281"/>
      <c r="Z12" s="281"/>
      <c r="AA12" s="559">
        <f ca="1">'DEFINA!!!'!R11</f>
        <v>2025</v>
      </c>
      <c r="AB12" s="560">
        <f>'DEFINA!!!'!S11</f>
        <v>4.88</v>
      </c>
      <c r="AC12" s="560">
        <f>'DEFINA!!!'!T11</f>
        <v>8.9499999999999993</v>
      </c>
      <c r="AD12" s="284"/>
    </row>
    <row r="13" spans="2:30" s="271" customFormat="1" ht="15.75" customHeight="1" x14ac:dyDescent="0.3">
      <c r="B13" s="20"/>
      <c r="C13" s="543" t="str">
        <f>IF(PERFIL!B6="","",PERFIL!B6)</f>
        <v/>
      </c>
      <c r="D13" s="937" t="str">
        <f>IF(PERFIL!C6="","",PERFIL!C6)</f>
        <v/>
      </c>
      <c r="E13" s="937"/>
      <c r="F13" s="938" t="str">
        <f>IF(PERFIL!D6="","",PERFIL!D6)</f>
        <v/>
      </c>
      <c r="G13" s="938"/>
      <c r="H13" s="554" t="str">
        <f>IF(PERFIL!E6="","",PERFIL!E6)</f>
        <v/>
      </c>
      <c r="I13" s="554" t="str">
        <f>IF(H13="","",CONCATENATE(PERFIL!F6," ",PERFIL!G6))</f>
        <v/>
      </c>
      <c r="J13" s="162" t="str">
        <f>IF(C13="","",IF(C13="---","---",SUMIF(RECEITAS!$C$5:$C$304,RECEBÍVEIS!C13,RECEITAS!$S$5:$S$304)))</f>
        <v/>
      </c>
      <c r="K13" s="20"/>
      <c r="L13" s="278"/>
      <c r="M13" s="279" t="str">
        <f t="shared" si="0"/>
        <v/>
      </c>
      <c r="N13" s="280" t="str">
        <f>IF($M13="","",IF($M13="---","",SUM(PERFIL!O7*0.9)*(VLOOKUP(RECEBÍVEIS!$I$4,RECEBÍVEIS!$S$5:$W$18,3,0))))</f>
        <v/>
      </c>
      <c r="O13" s="280" t="str">
        <f>IF($M13="","",IF($M13="---","",PERFIL!P7*(VLOOKUP(RECEBÍVEIS!$I$4,RECEBÍVEIS!$S$5:$W$18,4,0))))</f>
        <v/>
      </c>
      <c r="P13" s="280" t="str">
        <f>IF($M13="","",IF($M13="---","",PERFIL!Q7*(VLOOKUP(RECEBÍVEIS!$I$4,RECEBÍVEIS!$S$5:$W$18,5,0))))</f>
        <v/>
      </c>
      <c r="Q13" s="281"/>
      <c r="R13" s="281"/>
      <c r="S13" s="149" t="s">
        <v>2541</v>
      </c>
      <c r="T13" s="150" t="s">
        <v>78</v>
      </c>
      <c r="U13" s="473">
        <v>22</v>
      </c>
      <c r="V13" s="473">
        <v>4</v>
      </c>
      <c r="W13" s="473">
        <v>4</v>
      </c>
      <c r="X13" s="474">
        <v>30</v>
      </c>
      <c r="Y13" s="281"/>
      <c r="Z13" s="281"/>
      <c r="AA13" s="559">
        <f ca="1">'DEFINA!!!'!R12</f>
        <v>2024</v>
      </c>
      <c r="AB13" s="560">
        <f>'DEFINA!!!'!S12</f>
        <v>4.76</v>
      </c>
      <c r="AC13" s="560">
        <f>'DEFINA!!!'!T12</f>
        <v>8.7999999999999989</v>
      </c>
      <c r="AD13" s="284"/>
    </row>
    <row r="14" spans="2:30" s="271" customFormat="1" ht="15.75" customHeight="1" x14ac:dyDescent="0.3">
      <c r="B14" s="20"/>
      <c r="C14" s="543" t="str">
        <f>IF(PERFIL!B7="","",PERFIL!B7)</f>
        <v/>
      </c>
      <c r="D14" s="937" t="str">
        <f>IF(PERFIL!C7="","",PERFIL!C7)</f>
        <v/>
      </c>
      <c r="E14" s="937"/>
      <c r="F14" s="938" t="str">
        <f>IF(PERFIL!D7="","",PERFIL!D7)</f>
        <v/>
      </c>
      <c r="G14" s="938"/>
      <c r="H14" s="554" t="str">
        <f>IF(PERFIL!E7="","",PERFIL!E7)</f>
        <v/>
      </c>
      <c r="I14" s="554" t="str">
        <f>IF(H14="","",CONCATENATE(PERFIL!F7," ",PERFIL!G7))</f>
        <v/>
      </c>
      <c r="J14" s="162" t="str">
        <f>IF(C14="","",IF(C14="---","---",SUMIF(RECEITAS!$C$5:$C$304,RECEBÍVEIS!C14,RECEITAS!$S$5:$S$304)))</f>
        <v/>
      </c>
      <c r="K14" s="20"/>
      <c r="L14" s="278"/>
      <c r="M14" s="279" t="str">
        <f t="shared" si="0"/>
        <v/>
      </c>
      <c r="N14" s="280" t="str">
        <f>IF($M14="","",IF($M14="---","",SUM(PERFIL!O8*0.9)*(VLOOKUP(RECEBÍVEIS!$I$4,RECEBÍVEIS!$S$5:$W$18,3,0))))</f>
        <v/>
      </c>
      <c r="O14" s="280" t="str">
        <f>IF($M14="","",IF($M14="---","",PERFIL!P8*(VLOOKUP(RECEBÍVEIS!$I$4,RECEBÍVEIS!$S$5:$W$18,4,0))))</f>
        <v/>
      </c>
      <c r="P14" s="280" t="str">
        <f>IF($M14="","",IF($M14="---","",PERFIL!Q8*(VLOOKUP(RECEBÍVEIS!$I$4,RECEBÍVEIS!$S$5:$W$18,5,0))))</f>
        <v/>
      </c>
      <c r="Q14" s="281"/>
      <c r="R14" s="281"/>
      <c r="S14" s="149" t="s">
        <v>2542</v>
      </c>
      <c r="T14" s="150" t="s">
        <v>79</v>
      </c>
      <c r="U14" s="473">
        <v>21</v>
      </c>
      <c r="V14" s="473">
        <v>4</v>
      </c>
      <c r="W14" s="473">
        <v>6</v>
      </c>
      <c r="X14" s="474">
        <v>31</v>
      </c>
      <c r="Y14" s="281"/>
      <c r="Z14" s="281"/>
      <c r="AA14" s="559">
        <f ca="1">'DEFINA!!!'!R13</f>
        <v>2023</v>
      </c>
      <c r="AB14" s="560">
        <f>'DEFINA!!!'!S13</f>
        <v>4.6399999999999997</v>
      </c>
      <c r="AC14" s="560">
        <f>'DEFINA!!!'!T13</f>
        <v>8.6499999999999986</v>
      </c>
      <c r="AD14" s="284"/>
    </row>
    <row r="15" spans="2:30" s="271" customFormat="1" ht="15.75" customHeight="1" x14ac:dyDescent="0.3">
      <c r="B15" s="20"/>
      <c r="C15" s="543" t="str">
        <f>IF(PERFIL!B8="","",PERFIL!B8)</f>
        <v/>
      </c>
      <c r="D15" s="937" t="str">
        <f>IF(PERFIL!C8="","",PERFIL!C8)</f>
        <v/>
      </c>
      <c r="E15" s="937"/>
      <c r="F15" s="938" t="str">
        <f>IF(PERFIL!D8="","",PERFIL!D8)</f>
        <v/>
      </c>
      <c r="G15" s="938"/>
      <c r="H15" s="554" t="str">
        <f>IF(PERFIL!E8="","",PERFIL!E8)</f>
        <v/>
      </c>
      <c r="I15" s="554" t="str">
        <f>IF(H15="","",CONCATENATE(PERFIL!F8," ",PERFIL!G8))</f>
        <v/>
      </c>
      <c r="J15" s="162" t="str">
        <f>IF(C15="","",IF(C15="---","---",SUMIF(RECEITAS!$C$5:$C$304,RECEBÍVEIS!C15,RECEITAS!$S$5:$S$304)))</f>
        <v/>
      </c>
      <c r="K15" s="20"/>
      <c r="L15" s="278"/>
      <c r="M15" s="279" t="str">
        <f t="shared" si="0"/>
        <v/>
      </c>
      <c r="N15" s="280" t="str">
        <f>IF($M15="","",IF($M15="---","",SUM(PERFIL!O9*0.9)*(VLOOKUP(RECEBÍVEIS!$I$4,RECEBÍVEIS!$S$5:$W$18,3,0))))</f>
        <v/>
      </c>
      <c r="O15" s="280" t="str">
        <f>IF($M15="","",IF($M15="---","",PERFIL!P9*(VLOOKUP(RECEBÍVEIS!$I$4,RECEBÍVEIS!$S$5:$W$18,4,0))))</f>
        <v/>
      </c>
      <c r="P15" s="280" t="str">
        <f>IF($M15="","",IF($M15="---","",PERFIL!Q9*(VLOOKUP(RECEBÍVEIS!$I$4,RECEBÍVEIS!$S$5:$W$18,5,0))))</f>
        <v/>
      </c>
      <c r="Q15" s="281"/>
      <c r="R15" s="281"/>
      <c r="S15" s="149" t="s">
        <v>2543</v>
      </c>
      <c r="T15" s="151" t="s">
        <v>80</v>
      </c>
      <c r="U15" s="473">
        <v>20</v>
      </c>
      <c r="V15" s="473">
        <v>5</v>
      </c>
      <c r="W15" s="473">
        <v>5</v>
      </c>
      <c r="X15" s="474">
        <v>30</v>
      </c>
      <c r="Y15" s="281"/>
      <c r="Z15" s="281"/>
      <c r="AA15" s="559">
        <f ca="1">'DEFINA!!!'!R14</f>
        <v>2022</v>
      </c>
      <c r="AB15" s="560">
        <f>'DEFINA!!!'!S14</f>
        <v>4.5199999999999996</v>
      </c>
      <c r="AC15" s="560">
        <f>'DEFINA!!!'!T14</f>
        <v>8.4999999999999982</v>
      </c>
      <c r="AD15" s="284"/>
    </row>
    <row r="16" spans="2:30" s="271" customFormat="1" ht="15.75" customHeight="1" x14ac:dyDescent="0.3">
      <c r="B16" s="20"/>
      <c r="C16" s="543" t="str">
        <f>IF(PERFIL!B9="","",PERFIL!B9)</f>
        <v/>
      </c>
      <c r="D16" s="937" t="str">
        <f>IF(PERFIL!C9="","",PERFIL!C9)</f>
        <v/>
      </c>
      <c r="E16" s="937"/>
      <c r="F16" s="938" t="str">
        <f>IF(PERFIL!D9="","",PERFIL!D9)</f>
        <v/>
      </c>
      <c r="G16" s="938"/>
      <c r="H16" s="554" t="str">
        <f>IF(PERFIL!E9="","",PERFIL!E9)</f>
        <v/>
      </c>
      <c r="I16" s="554" t="str">
        <f>IF(H16="","",CONCATENATE(PERFIL!F9," ",PERFIL!G9))</f>
        <v/>
      </c>
      <c r="J16" s="162" t="str">
        <f>IF(C16="","",IF(C16="---","---",SUMIF(RECEITAS!$C$5:$C$304,RECEBÍVEIS!C16,RECEITAS!$S$5:$S$304)))</f>
        <v/>
      </c>
      <c r="K16" s="20"/>
      <c r="L16" s="278"/>
      <c r="M16" s="279" t="str">
        <f t="shared" si="0"/>
        <v/>
      </c>
      <c r="N16" s="280" t="str">
        <f>IF($M16="","",IF($M16="---","",SUM(PERFIL!O10*0.9)*(VLOOKUP(RECEBÍVEIS!$I$4,RECEBÍVEIS!$S$5:$W$18,3,0))))</f>
        <v/>
      </c>
      <c r="O16" s="280" t="str">
        <f>IF($M16="","",IF($M16="---","",PERFIL!P10*(VLOOKUP(RECEBÍVEIS!$I$4,RECEBÍVEIS!$S$5:$W$18,4,0))))</f>
        <v/>
      </c>
      <c r="P16" s="280" t="str">
        <f>IF($M16="","",IF($M16="---","",PERFIL!Q10*(VLOOKUP(RECEBÍVEIS!$I$4,RECEBÍVEIS!$S$5:$W$18,5,0))))</f>
        <v/>
      </c>
      <c r="Q16" s="281"/>
      <c r="R16" s="281"/>
      <c r="S16" s="149" t="s">
        <v>2544</v>
      </c>
      <c r="T16" s="151" t="s">
        <v>81</v>
      </c>
      <c r="U16" s="473">
        <v>23</v>
      </c>
      <c r="V16" s="473">
        <v>4</v>
      </c>
      <c r="W16" s="473">
        <v>4</v>
      </c>
      <c r="X16" s="474">
        <v>31</v>
      </c>
      <c r="Y16" s="281"/>
      <c r="Z16" s="281"/>
      <c r="AA16" s="559">
        <f ca="1">'DEFINA!!!'!R15</f>
        <v>2021</v>
      </c>
      <c r="AB16" s="560">
        <f>'DEFINA!!!'!S15</f>
        <v>4.3999999999999995</v>
      </c>
      <c r="AC16" s="560">
        <f>'DEFINA!!!'!T15</f>
        <v>8.3499999999999979</v>
      </c>
      <c r="AD16" s="284"/>
    </row>
    <row r="17" spans="2:30" s="271" customFormat="1" ht="15.75" customHeight="1" x14ac:dyDescent="0.3">
      <c r="B17" s="20"/>
      <c r="C17" s="543" t="str">
        <f>IF(PERFIL!B10="","",PERFIL!B10)</f>
        <v/>
      </c>
      <c r="D17" s="937" t="str">
        <f>IF(PERFIL!C10="","",PERFIL!C10)</f>
        <v/>
      </c>
      <c r="E17" s="937"/>
      <c r="F17" s="938" t="str">
        <f>IF(PERFIL!D10="","",PERFIL!D10)</f>
        <v/>
      </c>
      <c r="G17" s="938"/>
      <c r="H17" s="554" t="str">
        <f>IF(PERFIL!E10="","",PERFIL!E10)</f>
        <v/>
      </c>
      <c r="I17" s="554" t="str">
        <f>IF(H17="","",CONCATENATE(PERFIL!F10," ",PERFIL!G10))</f>
        <v/>
      </c>
      <c r="J17" s="162" t="str">
        <f>IF(C17="","",IF(C17="---","---",SUMIF(RECEITAS!$C$5:$C$304,RECEBÍVEIS!C17,RECEITAS!$S$5:$S$304)))</f>
        <v/>
      </c>
      <c r="K17" s="20"/>
      <c r="L17" s="278"/>
      <c r="M17" s="279" t="str">
        <f t="shared" si="0"/>
        <v/>
      </c>
      <c r="N17" s="280" t="str">
        <f>IF($M17="","",IF($M17="---","",SUM(PERFIL!O11*0.9)*(VLOOKUP(RECEBÍVEIS!$I$4,RECEBÍVEIS!$S$5:$W$18,3,0))))</f>
        <v/>
      </c>
      <c r="O17" s="280" t="str">
        <f>IF($M17="","",IF($M17="---","",PERFIL!P11*(VLOOKUP(RECEBÍVEIS!$I$4,RECEBÍVEIS!$S$5:$W$18,4,0))))</f>
        <v/>
      </c>
      <c r="P17" s="280" t="str">
        <f>IF($M17="","",IF($M17="---","",PERFIL!Q11*(VLOOKUP(RECEBÍVEIS!$I$4,RECEBÍVEIS!$S$5:$W$18,5,0))))</f>
        <v/>
      </c>
      <c r="Q17" s="281"/>
      <c r="R17" s="281"/>
      <c r="S17" s="149" t="s">
        <v>2545</v>
      </c>
      <c r="T17" s="151" t="s">
        <v>82</v>
      </c>
      <c r="U17" s="473">
        <v>22</v>
      </c>
      <c r="V17" s="473">
        <v>5</v>
      </c>
      <c r="W17" s="473">
        <v>4</v>
      </c>
      <c r="X17" s="474">
        <v>31</v>
      </c>
      <c r="Y17" s="281"/>
      <c r="Z17" s="281"/>
      <c r="AA17" s="559">
        <f ca="1">'DEFINA!!!'!R16</f>
        <v>2020</v>
      </c>
      <c r="AB17" s="560">
        <f>'DEFINA!!!'!S16</f>
        <v>4.2799999999999994</v>
      </c>
      <c r="AC17" s="560">
        <f>'DEFINA!!!'!T16</f>
        <v>8.1999999999999975</v>
      </c>
      <c r="AD17" s="284"/>
    </row>
    <row r="18" spans="2:30" s="271" customFormat="1" ht="15.75" customHeight="1" x14ac:dyDescent="0.3">
      <c r="B18" s="20"/>
      <c r="C18" s="543" t="str">
        <f>IF(PERFIL!B11="","",PERFIL!B11)</f>
        <v/>
      </c>
      <c r="D18" s="937" t="str">
        <f>IF(PERFIL!C11="","",PERFIL!C11)</f>
        <v/>
      </c>
      <c r="E18" s="937"/>
      <c r="F18" s="938" t="str">
        <f>IF(PERFIL!D11="","",PERFIL!D11)</f>
        <v/>
      </c>
      <c r="G18" s="938"/>
      <c r="H18" s="554" t="str">
        <f>IF(PERFIL!E11="","",PERFIL!E11)</f>
        <v/>
      </c>
      <c r="I18" s="554" t="str">
        <f>IF(H18="","",CONCATENATE(PERFIL!F11," ",PERFIL!G11))</f>
        <v/>
      </c>
      <c r="J18" s="162" t="str">
        <f>IF(C18="","",IF(C18="---","---",SUMIF(RECEITAS!$C$5:$C$304,RECEBÍVEIS!C18,RECEITAS!$S$5:$S$304)))</f>
        <v/>
      </c>
      <c r="K18" s="20"/>
      <c r="L18" s="278"/>
      <c r="M18" s="279" t="str">
        <f t="shared" si="0"/>
        <v/>
      </c>
      <c r="N18" s="280" t="str">
        <f>IF($M18="","",IF($M18="---","",SUM(PERFIL!O12*0.9)*(VLOOKUP(RECEBÍVEIS!$I$4,RECEBÍVEIS!$S$5:$W$18,3,0))))</f>
        <v/>
      </c>
      <c r="O18" s="280" t="str">
        <f>IF($M18="","",IF($M18="---","",PERFIL!P12*(VLOOKUP(RECEBÍVEIS!$I$4,RECEBÍVEIS!$S$5:$W$18,4,0))))</f>
        <v/>
      </c>
      <c r="P18" s="280" t="str">
        <f>IF($M18="","",IF($M18="---","",PERFIL!Q12*(VLOOKUP(RECEBÍVEIS!$I$4,RECEBÍVEIS!$S$5:$W$18,5,0))))</f>
        <v/>
      </c>
      <c r="Q18" s="281"/>
      <c r="R18" s="281"/>
      <c r="S18" s="149" t="s">
        <v>2546</v>
      </c>
      <c r="T18" s="150" t="s">
        <v>83</v>
      </c>
      <c r="U18" s="473">
        <v>21</v>
      </c>
      <c r="V18" s="473">
        <v>3</v>
      </c>
      <c r="W18" s="473">
        <v>6</v>
      </c>
      <c r="X18" s="474">
        <v>30</v>
      </c>
      <c r="Y18" s="281"/>
      <c r="Z18" s="281"/>
      <c r="AA18" s="559">
        <f ca="1">'DEFINA!!!'!R17</f>
        <v>2019</v>
      </c>
      <c r="AB18" s="560">
        <f>'DEFINA!!!'!S17</f>
        <v>4.1599999999999993</v>
      </c>
      <c r="AC18" s="560">
        <f>'DEFINA!!!'!T17</f>
        <v>8.0499999999999972</v>
      </c>
      <c r="AD18" s="284"/>
    </row>
    <row r="19" spans="2:30" s="271" customFormat="1" ht="15.75" customHeight="1" x14ac:dyDescent="0.3">
      <c r="B19" s="20"/>
      <c r="C19" s="543" t="str">
        <f>IF(PERFIL!B12="","",PERFIL!B12)</f>
        <v/>
      </c>
      <c r="D19" s="937" t="str">
        <f>IF(PERFIL!C12="","",PERFIL!C12)</f>
        <v/>
      </c>
      <c r="E19" s="937"/>
      <c r="F19" s="938" t="str">
        <f>IF(PERFIL!D12="","",PERFIL!D12)</f>
        <v/>
      </c>
      <c r="G19" s="938"/>
      <c r="H19" s="554" t="str">
        <f>IF(PERFIL!E12="","",PERFIL!E12)</f>
        <v/>
      </c>
      <c r="I19" s="554" t="str">
        <f>IF(H19="","",CONCATENATE(PERFIL!F12," ",PERFIL!G12))</f>
        <v/>
      </c>
      <c r="J19" s="162" t="str">
        <f>IF(C19="","",IF(C19="---","---",SUMIF(RECEITAS!$C$5:$C$304,RECEBÍVEIS!C19,RECEITAS!$S$5:$S$304)))</f>
        <v/>
      </c>
      <c r="K19" s="20"/>
      <c r="L19" s="281"/>
      <c r="M19" s="279" t="str">
        <f t="shared" si="0"/>
        <v/>
      </c>
      <c r="N19" s="280" t="str">
        <f>IF($M19="","",IF($M19="---","",SUM(PERFIL!O13*0.9)*(VLOOKUP(RECEBÍVEIS!$I$4,RECEBÍVEIS!$S$5:$W$18,3,0))))</f>
        <v/>
      </c>
      <c r="O19" s="280" t="str">
        <f>IF($M19="","",IF($M19="---","",PERFIL!P13*(VLOOKUP(RECEBÍVEIS!$I$4,RECEBÍVEIS!$S$5:$W$18,4,0))))</f>
        <v/>
      </c>
      <c r="P19" s="280" t="str">
        <f>IF($M19="","",IF($M19="---","",PERFIL!Q13*(VLOOKUP(RECEBÍVEIS!$I$4,RECEBÍVEIS!$S$5:$W$18,5,0))))</f>
        <v/>
      </c>
      <c r="Q19" s="281"/>
      <c r="R19" s="281"/>
      <c r="S19" s="149" t="s">
        <v>2547</v>
      </c>
      <c r="T19" s="150" t="s">
        <v>84</v>
      </c>
      <c r="U19" s="473">
        <v>23</v>
      </c>
      <c r="V19" s="473">
        <v>3</v>
      </c>
      <c r="W19" s="473">
        <v>5</v>
      </c>
      <c r="X19" s="474">
        <v>31</v>
      </c>
      <c r="Y19" s="281"/>
      <c r="Z19" s="281"/>
      <c r="AA19" s="559">
        <f ca="1">'DEFINA!!!'!R18</f>
        <v>2018</v>
      </c>
      <c r="AB19" s="560">
        <f>'DEFINA!!!'!S18</f>
        <v>4.0399999999999991</v>
      </c>
      <c r="AC19" s="560">
        <f>'DEFINA!!!'!T18</f>
        <v>7.8999999999999968</v>
      </c>
      <c r="AD19" s="284"/>
    </row>
    <row r="20" spans="2:30" s="271" customFormat="1" ht="15.75" customHeight="1" x14ac:dyDescent="0.3">
      <c r="B20" s="20"/>
      <c r="C20" s="543" t="str">
        <f>IF(PERFIL!B13="","",PERFIL!B13)</f>
        <v/>
      </c>
      <c r="D20" s="937" t="str">
        <f>IF(PERFIL!C13="","",PERFIL!C13)</f>
        <v/>
      </c>
      <c r="E20" s="937"/>
      <c r="F20" s="938" t="str">
        <f>IF(PERFIL!D13="","",PERFIL!D13)</f>
        <v/>
      </c>
      <c r="G20" s="938"/>
      <c r="H20" s="554" t="str">
        <f>IF(PERFIL!E13="","",PERFIL!E13)</f>
        <v/>
      </c>
      <c r="I20" s="554" t="str">
        <f>IF(H20="","",CONCATENATE(PERFIL!F13," ",PERFIL!G13))</f>
        <v/>
      </c>
      <c r="J20" s="162" t="str">
        <f>IF(C20="","",IF(C20="---","---",SUMIF(RECEITAS!$C$5:$C$304,RECEBÍVEIS!C20,RECEITAS!$S$5:$S$304)))</f>
        <v/>
      </c>
      <c r="K20" s="20"/>
      <c r="L20" s="281"/>
      <c r="M20" s="279" t="str">
        <f t="shared" si="0"/>
        <v/>
      </c>
      <c r="N20" s="280" t="str">
        <f>IF($M20="","",IF($M20="---","",SUM(PERFIL!O14*0.9)*(VLOOKUP(RECEBÍVEIS!$I$4,RECEBÍVEIS!$S$5:$W$18,3,0))))</f>
        <v/>
      </c>
      <c r="O20" s="280" t="str">
        <f>IF($M20="","",IF($M20="---","",PERFIL!P14*(VLOOKUP(RECEBÍVEIS!$I$4,RECEBÍVEIS!$S$5:$W$18,4,0))))</f>
        <v/>
      </c>
      <c r="P20" s="280" t="str">
        <f>IF($M20="","",IF($M20="---","",PERFIL!Q14*(VLOOKUP(RECEBÍVEIS!$I$4,RECEBÍVEIS!$S$5:$W$18,5,0))))</f>
        <v/>
      </c>
      <c r="Q20" s="281"/>
      <c r="R20" s="281"/>
      <c r="S20" s="149" t="s">
        <v>2548</v>
      </c>
      <c r="T20" s="150" t="s">
        <v>85</v>
      </c>
      <c r="U20" s="473">
        <v>20</v>
      </c>
      <c r="V20" s="473">
        <v>4</v>
      </c>
      <c r="W20" s="473">
        <v>6</v>
      </c>
      <c r="X20" s="474">
        <v>30</v>
      </c>
      <c r="Y20" s="281"/>
      <c r="Z20" s="281"/>
      <c r="AA20" s="559">
        <f ca="1">'DEFINA!!!'!R19</f>
        <v>2017</v>
      </c>
      <c r="AB20" s="560">
        <f>'DEFINA!!!'!S19</f>
        <v>3.919999999999999</v>
      </c>
      <c r="AC20" s="560">
        <f>'DEFINA!!!'!T19</f>
        <v>7.7499999999999964</v>
      </c>
      <c r="AD20" s="284"/>
    </row>
    <row r="21" spans="2:30" s="271" customFormat="1" ht="15.75" customHeight="1" x14ac:dyDescent="0.3">
      <c r="B21" s="20"/>
      <c r="C21" s="543" t="str">
        <f>IF(PERFIL!B14="","",PERFIL!B14)</f>
        <v/>
      </c>
      <c r="D21" s="937" t="str">
        <f>IF(PERFIL!C14="","",PERFIL!C14)</f>
        <v/>
      </c>
      <c r="E21" s="937"/>
      <c r="F21" s="938" t="str">
        <f>IF(PERFIL!D14="","",PERFIL!D14)</f>
        <v/>
      </c>
      <c r="G21" s="938"/>
      <c r="H21" s="554" t="str">
        <f>IF(PERFIL!E14="","",PERFIL!E14)</f>
        <v/>
      </c>
      <c r="I21" s="554" t="str">
        <f>IF(H21="","",CONCATENATE(PERFIL!F14," ",PERFIL!G14))</f>
        <v/>
      </c>
      <c r="J21" s="162" t="str">
        <f>IF(C21="","",IF(C21="---","---",SUMIF(RECEITAS!$C$5:$C$304,RECEBÍVEIS!C21,RECEITAS!$S$5:$S$304)))</f>
        <v/>
      </c>
      <c r="K21" s="20"/>
      <c r="L21" s="281"/>
      <c r="M21" s="279" t="str">
        <f t="shared" si="0"/>
        <v/>
      </c>
      <c r="N21" s="280" t="str">
        <f>IF($M21="","",IF($M21="---","",SUM(PERFIL!O15*0.9)*(VLOOKUP(RECEBÍVEIS!$I$4,RECEBÍVEIS!$S$5:$W$18,3,0))))</f>
        <v/>
      </c>
      <c r="O21" s="280" t="str">
        <f>IF($M21="","",IF($M21="---","",PERFIL!P15*(VLOOKUP(RECEBÍVEIS!$I$4,RECEBÍVEIS!$S$5:$W$18,4,0))))</f>
        <v/>
      </c>
      <c r="P21" s="280" t="str">
        <f>IF($M21="","",IF($M21="---","",PERFIL!Q15*(VLOOKUP(RECEBÍVEIS!$I$4,RECEBÍVEIS!$S$5:$W$18,5,0))))</f>
        <v/>
      </c>
      <c r="Q21" s="281"/>
      <c r="R21" s="281"/>
      <c r="S21" s="149" t="s">
        <v>2549</v>
      </c>
      <c r="T21" s="150" t="s">
        <v>86</v>
      </c>
      <c r="U21" s="473">
        <v>21</v>
      </c>
      <c r="V21" s="473">
        <v>4</v>
      </c>
      <c r="W21" s="473">
        <v>6</v>
      </c>
      <c r="X21" s="474">
        <v>31</v>
      </c>
      <c r="Y21" s="281"/>
      <c r="Z21" s="281"/>
      <c r="AA21" s="559">
        <f ca="1">'DEFINA!!!'!R20</f>
        <v>2016</v>
      </c>
      <c r="AB21" s="560">
        <f>'DEFINA!!!'!S20</f>
        <v>3.7999999999999989</v>
      </c>
      <c r="AC21" s="560">
        <f>'DEFINA!!!'!T20</f>
        <v>7.5999999999999961</v>
      </c>
      <c r="AD21" s="284"/>
    </row>
    <row r="22" spans="2:30" s="271" customFormat="1" ht="15.75" customHeight="1" x14ac:dyDescent="0.3">
      <c r="B22" s="20"/>
      <c r="C22" s="543" t="str">
        <f>IF(PERFIL!B15="","",PERFIL!B15)</f>
        <v/>
      </c>
      <c r="D22" s="937" t="str">
        <f>IF(PERFIL!C15="","",PERFIL!C15)</f>
        <v/>
      </c>
      <c r="E22" s="937"/>
      <c r="F22" s="938" t="str">
        <f>IF(PERFIL!D15="","",PERFIL!D15)</f>
        <v/>
      </c>
      <c r="G22" s="938"/>
      <c r="H22" s="554" t="str">
        <f>IF(PERFIL!E15="","",PERFIL!E15)</f>
        <v/>
      </c>
      <c r="I22" s="554" t="str">
        <f>IF(H22="","",CONCATENATE(PERFIL!F15," ",PERFIL!G15))</f>
        <v/>
      </c>
      <c r="J22" s="162" t="str">
        <f>IF(C22="","",IF(C22="---","---",SUMIF(RECEITAS!$C$5:$C$304,RECEBÍVEIS!C22,RECEITAS!$S$5:$S$304)))</f>
        <v/>
      </c>
      <c r="K22" s="20"/>
      <c r="L22" s="281"/>
      <c r="M22" s="279" t="str">
        <f t="shared" si="0"/>
        <v/>
      </c>
      <c r="N22" s="280" t="str">
        <f>IF($M22="","",IF($M22="---","",SUM(PERFIL!O16*0.9)*(VLOOKUP(RECEBÍVEIS!$I$4,RECEBÍVEIS!$S$5:$W$18,3,0))))</f>
        <v/>
      </c>
      <c r="O22" s="280" t="str">
        <f>IF($M22="","",IF($M22="---","",PERFIL!P16*(VLOOKUP(RECEBÍVEIS!$I$4,RECEBÍVEIS!$S$5:$W$18,4,0))))</f>
        <v/>
      </c>
      <c r="P22" s="280" t="str">
        <f>IF($M22="","",IF($M22="---","",PERFIL!Q16*(VLOOKUP(RECEBÍVEIS!$I$4,RECEBÍVEIS!$S$5:$W$18,5,0))))</f>
        <v/>
      </c>
      <c r="Q22" s="281"/>
      <c r="R22" s="281"/>
      <c r="S22" s="149" t="s">
        <v>2550</v>
      </c>
      <c r="T22" s="150" t="s">
        <v>74</v>
      </c>
      <c r="U22" s="473">
        <v>22</v>
      </c>
      <c r="V22" s="473">
        <v>4</v>
      </c>
      <c r="W22" s="473">
        <v>5</v>
      </c>
      <c r="X22" s="474">
        <v>31</v>
      </c>
      <c r="Y22" s="281"/>
      <c r="Z22" s="281"/>
      <c r="AA22" s="559">
        <f ca="1">'DEFINA!!!'!R21</f>
        <v>2015</v>
      </c>
      <c r="AB22" s="560">
        <f>'DEFINA!!!'!S21</f>
        <v>3.6799999999999988</v>
      </c>
      <c r="AC22" s="560">
        <f>'DEFINA!!!'!T21</f>
        <v>7.4499999999999957</v>
      </c>
      <c r="AD22" s="284"/>
    </row>
    <row r="23" spans="2:30" s="271" customFormat="1" ht="15.75" customHeight="1" x14ac:dyDescent="0.3">
      <c r="B23" s="20"/>
      <c r="C23" s="543" t="str">
        <f>IF(PERFIL!B16="","",PERFIL!B16)</f>
        <v/>
      </c>
      <c r="D23" s="937" t="str">
        <f>IF(PERFIL!C16="","",PERFIL!C16)</f>
        <v/>
      </c>
      <c r="E23" s="937"/>
      <c r="F23" s="938" t="str">
        <f>IF(PERFIL!D16="","",PERFIL!D16)</f>
        <v/>
      </c>
      <c r="G23" s="938"/>
      <c r="H23" s="554" t="str">
        <f>IF(PERFIL!E16="","",PERFIL!E16)</f>
        <v/>
      </c>
      <c r="I23" s="554" t="str">
        <f>IF(H23="","",CONCATENATE(PERFIL!F16," ",PERFIL!G16))</f>
        <v/>
      </c>
      <c r="J23" s="162" t="str">
        <f>IF(C23="","",IF(C23="---","---",SUMIF(RECEITAS!$C$5:$C$304,RECEBÍVEIS!C23,RECEITAS!$S$5:$S$304)))</f>
        <v/>
      </c>
      <c r="K23" s="20"/>
      <c r="L23" s="281"/>
      <c r="M23" s="279" t="str">
        <f t="shared" si="0"/>
        <v/>
      </c>
      <c r="N23" s="280" t="str">
        <f>IF($M23="","",IF($M23="---","",SUM(PERFIL!O17*0.9)*(VLOOKUP(RECEBÍVEIS!$I$4,RECEBÍVEIS!$S$5:$W$18,3,0))))</f>
        <v/>
      </c>
      <c r="O23" s="280" t="str">
        <f>IF($M23="","",IF($M23="---","",PERFIL!P17*(VLOOKUP(RECEBÍVEIS!$I$4,RECEBÍVEIS!$S$5:$W$18,4,0))))</f>
        <v/>
      </c>
      <c r="P23" s="280" t="str">
        <f>IF($M23="","",IF($M23="---","",PERFIL!Q17*(VLOOKUP(RECEBÍVEIS!$I$4,RECEBÍVEIS!$S$5:$W$18,5,0))))</f>
        <v/>
      </c>
      <c r="Q23" s="281"/>
      <c r="R23" s="281"/>
      <c r="S23" s="149" t="s">
        <v>2551</v>
      </c>
      <c r="T23" s="150" t="s">
        <v>75</v>
      </c>
      <c r="U23" s="473">
        <v>20</v>
      </c>
      <c r="V23" s="473">
        <v>4</v>
      </c>
      <c r="W23" s="473">
        <v>4</v>
      </c>
      <c r="X23" s="474">
        <v>28</v>
      </c>
      <c r="Y23" s="281"/>
      <c r="Z23" s="281"/>
      <c r="AA23" s="559">
        <f ca="1">'DEFINA!!!'!R22</f>
        <v>2014</v>
      </c>
      <c r="AB23" s="560">
        <f>'DEFINA!!!'!S22</f>
        <v>3.5599999999999987</v>
      </c>
      <c r="AC23" s="560">
        <f>'DEFINA!!!'!T22</f>
        <v>7.2999999999999954</v>
      </c>
      <c r="AD23" s="284"/>
    </row>
    <row r="24" spans="2:30" s="271" customFormat="1" ht="15.75" customHeight="1" x14ac:dyDescent="0.3">
      <c r="B24" s="20"/>
      <c r="C24" s="543" t="str">
        <f>IF(PERFIL!B17="","",PERFIL!B17)</f>
        <v/>
      </c>
      <c r="D24" s="937" t="str">
        <f>IF(PERFIL!C17="","",PERFIL!C17)</f>
        <v/>
      </c>
      <c r="E24" s="937"/>
      <c r="F24" s="938" t="str">
        <f>IF(PERFIL!D17="","",PERFIL!D17)</f>
        <v/>
      </c>
      <c r="G24" s="938"/>
      <c r="H24" s="554" t="str">
        <f>IF(PERFIL!E17="","",PERFIL!E17)</f>
        <v/>
      </c>
      <c r="I24" s="554" t="str">
        <f>IF(H24="","",CONCATENATE(PERFIL!F17," ",PERFIL!G17))</f>
        <v/>
      </c>
      <c r="J24" s="162" t="str">
        <f>IF(C24="","",IF(C24="---","---",SUMIF(RECEITAS!$C$5:$C$304,RECEBÍVEIS!C24,RECEITAS!$S$5:$S$304)))</f>
        <v/>
      </c>
      <c r="K24" s="20"/>
      <c r="L24" s="281"/>
      <c r="M24" s="279" t="str">
        <f t="shared" si="0"/>
        <v/>
      </c>
      <c r="N24" s="280" t="str">
        <f>IF($M24="","",IF($M24="---","",SUM(PERFIL!O18*0.9)*(VLOOKUP(RECEBÍVEIS!$I$4,RECEBÍVEIS!$S$5:$W$18,3,0))))</f>
        <v/>
      </c>
      <c r="O24" s="280" t="str">
        <f>IF($M24="","",IF($M24="---","",PERFIL!P18*(VLOOKUP(RECEBÍVEIS!$I$4,RECEBÍVEIS!$S$5:$W$18,4,0))))</f>
        <v/>
      </c>
      <c r="P24" s="280" t="str">
        <f>IF($M24="","",IF($M24="---","",PERFIL!Q18*(VLOOKUP(RECEBÍVEIS!$I$4,RECEBÍVEIS!$S$5:$W$18,5,0))))</f>
        <v/>
      </c>
      <c r="Q24" s="281"/>
      <c r="R24" s="281"/>
      <c r="S24" s="149" t="s">
        <v>2552</v>
      </c>
      <c r="T24" s="150" t="s">
        <v>77</v>
      </c>
      <c r="U24" s="473">
        <v>19</v>
      </c>
      <c r="V24" s="473">
        <v>5</v>
      </c>
      <c r="W24" s="473">
        <v>7</v>
      </c>
      <c r="X24" s="474">
        <v>31</v>
      </c>
      <c r="Y24" s="281"/>
      <c r="Z24" s="281"/>
      <c r="AA24" s="559">
        <f ca="1">'DEFINA!!!'!R23</f>
        <v>2013</v>
      </c>
      <c r="AB24" s="560">
        <f>'DEFINA!!!'!S23</f>
        <v>3.4999999999999987</v>
      </c>
      <c r="AC24" s="560">
        <f>'DEFINA!!!'!T23</f>
        <v>7.149999999999995</v>
      </c>
      <c r="AD24" s="284"/>
    </row>
    <row r="25" spans="2:30" s="271" customFormat="1" ht="15.75" customHeight="1" x14ac:dyDescent="0.3">
      <c r="B25" s="20"/>
      <c r="C25" s="543" t="str">
        <f>IF(PERFIL!B18="","",PERFIL!B18)</f>
        <v/>
      </c>
      <c r="D25" s="937" t="str">
        <f>IF(PERFIL!C18="","",PERFIL!C18)</f>
        <v/>
      </c>
      <c r="E25" s="937"/>
      <c r="F25" s="938" t="str">
        <f>IF(PERFIL!D18="","",PERFIL!D18)</f>
        <v/>
      </c>
      <c r="G25" s="938"/>
      <c r="H25" s="554" t="str">
        <f>IF(PERFIL!E18="","",PERFIL!E18)</f>
        <v/>
      </c>
      <c r="I25" s="554" t="str">
        <f>IF(H25="","",CONCATENATE(PERFIL!F18," ",PERFIL!G18))</f>
        <v/>
      </c>
      <c r="J25" s="162" t="str">
        <f>IF(C25="","",IF(C25="---","---",SUMIF(RECEITAS!$C$5:$C$304,RECEBÍVEIS!C25,RECEITAS!$S$5:$S$304)))</f>
        <v/>
      </c>
      <c r="K25" s="20"/>
      <c r="L25" s="281"/>
      <c r="M25" s="279" t="str">
        <f t="shared" si="0"/>
        <v/>
      </c>
      <c r="N25" s="280" t="str">
        <f>IF($M25="","",IF($M25="---","",SUM(PERFIL!O19*0.9)*(VLOOKUP(RECEBÍVEIS!$I$4,RECEBÍVEIS!$S$5:$W$18,3,0))))</f>
        <v/>
      </c>
      <c r="O25" s="280" t="str">
        <f>IF($M25="","",IF($M25="---","",PERFIL!P19*(VLOOKUP(RECEBÍVEIS!$I$4,RECEBÍVEIS!$S$5:$W$18,4,0))))</f>
        <v/>
      </c>
      <c r="P25" s="280" t="str">
        <f>IF($M25="","",IF($M25="---","",PERFIL!Q19*(VLOOKUP(RECEBÍVEIS!$I$4,RECEBÍVEIS!$S$5:$W$18,5,0))))</f>
        <v/>
      </c>
      <c r="Q25" s="281"/>
      <c r="R25" s="281"/>
      <c r="S25" s="149" t="s">
        <v>2553</v>
      </c>
      <c r="T25" s="150" t="s">
        <v>78</v>
      </c>
      <c r="U25" s="473">
        <v>20</v>
      </c>
      <c r="V25" s="473">
        <v>4</v>
      </c>
      <c r="W25" s="473">
        <v>6</v>
      </c>
      <c r="X25" s="474">
        <v>30</v>
      </c>
      <c r="Y25" s="281"/>
      <c r="Z25" s="281"/>
      <c r="AA25" s="559">
        <f ca="1">'DEFINA!!!'!R24</f>
        <v>2012</v>
      </c>
      <c r="AB25" s="560">
        <f>'DEFINA!!!'!S24</f>
        <v>3.4399999999999986</v>
      </c>
      <c r="AC25" s="560">
        <f>'DEFINA!!!'!T24</f>
        <v>7.0999999999999952</v>
      </c>
      <c r="AD25" s="284"/>
    </row>
    <row r="26" spans="2:30" s="271" customFormat="1" ht="15.75" customHeight="1" x14ac:dyDescent="0.3">
      <c r="B26" s="20"/>
      <c r="C26" s="543" t="str">
        <f>IF(PERFIL!B19="","",PERFIL!B19)</f>
        <v/>
      </c>
      <c r="D26" s="937" t="str">
        <f>IF(PERFIL!C19="","",PERFIL!C19)</f>
        <v/>
      </c>
      <c r="E26" s="937"/>
      <c r="F26" s="938" t="str">
        <f>IF(PERFIL!D19="","",PERFIL!D19)</f>
        <v/>
      </c>
      <c r="G26" s="938"/>
      <c r="H26" s="554" t="str">
        <f>IF(PERFIL!E19="","",PERFIL!E19)</f>
        <v/>
      </c>
      <c r="I26" s="554" t="str">
        <f>IF(H26="","",CONCATENATE(PERFIL!F19," ",PERFIL!G19))</f>
        <v/>
      </c>
      <c r="J26" s="162" t="str">
        <f>IF(C26="","",IF(C26="---","---",SUMIF(RECEITAS!$C$5:$C$304,RECEBÍVEIS!C26,RECEITAS!$S$5:$S$304)))</f>
        <v/>
      </c>
      <c r="K26" s="20"/>
      <c r="L26" s="281"/>
      <c r="M26" s="279" t="str">
        <f>C27</f>
        <v/>
      </c>
      <c r="N26" s="280" t="str">
        <f>IF($M26="","",IF($M26="---","",SUM(PERFIL!O20*0.9)*(VLOOKUP(RECEBÍVEIS!$I$4,RECEBÍVEIS!$S$5:$W$18,3,0))))</f>
        <v/>
      </c>
      <c r="O26" s="280" t="str">
        <f>IF($M26="","",IF($M26="---","",PERFIL!P20*(VLOOKUP(RECEBÍVEIS!$I$4,RECEBÍVEIS!$S$5:$W$18,4,0))))</f>
        <v/>
      </c>
      <c r="P26" s="280" t="str">
        <f>IF($M26="","",IF($M26="---","",PERFIL!Q20*(VLOOKUP(RECEBÍVEIS!$I$4,RECEBÍVEIS!$S$5:$W$18,5,0))))</f>
        <v/>
      </c>
      <c r="Q26" s="281"/>
      <c r="R26" s="281"/>
      <c r="S26" s="149" t="s">
        <v>2554</v>
      </c>
      <c r="T26" s="150" t="s">
        <v>79</v>
      </c>
      <c r="U26" s="473">
        <v>21</v>
      </c>
      <c r="V26" s="473">
        <v>5</v>
      </c>
      <c r="W26" s="473">
        <v>5</v>
      </c>
      <c r="X26" s="474">
        <v>31</v>
      </c>
      <c r="Y26" s="281"/>
      <c r="Z26" s="281"/>
      <c r="AA26" s="559">
        <f ca="1">'DEFINA!!!'!R25</f>
        <v>2011</v>
      </c>
      <c r="AB26" s="560">
        <f>'DEFINA!!!'!S25</f>
        <v>3.3799999999999986</v>
      </c>
      <c r="AC26" s="560">
        <f>'DEFINA!!!'!T25</f>
        <v>7.0499999999999954</v>
      </c>
      <c r="AD26" s="284"/>
    </row>
    <row r="27" spans="2:30" ht="15.75" customHeight="1" thickBot="1" x14ac:dyDescent="0.35">
      <c r="B27" s="20"/>
      <c r="C27" s="544" t="str">
        <f>IF(PERFIL!B20="","",PERFIL!B20)</f>
        <v/>
      </c>
      <c r="D27" s="939" t="str">
        <f>IF(PERFIL!C20="","",PERFIL!C20)</f>
        <v/>
      </c>
      <c r="E27" s="939"/>
      <c r="F27" s="940" t="str">
        <f>IF(PERFIL!D20="","",PERFIL!D20)</f>
        <v/>
      </c>
      <c r="G27" s="940"/>
      <c r="H27" s="555" t="str">
        <f>IF(PERFIL!E20="","",PERFIL!E20)</f>
        <v/>
      </c>
      <c r="I27" s="555" t="str">
        <f>IF(H27="","",CONCATENATE(PERFIL!F20," ",PERFIL!G20))</f>
        <v/>
      </c>
      <c r="J27" s="172" t="str">
        <f>IF(C27="","",IF(C27="---","---",SUMIF(RECEITAS!$C$5:$C$304,RECEBÍVEIS!C27,RECEITAS!$S$5:$S$304)))</f>
        <v/>
      </c>
      <c r="K27" s="20"/>
      <c r="S27" s="149" t="s">
        <v>2555</v>
      </c>
      <c r="T27" s="150" t="s">
        <v>80</v>
      </c>
      <c r="U27" s="473">
        <v>20</v>
      </c>
      <c r="V27" s="473">
        <v>4</v>
      </c>
      <c r="W27" s="473">
        <v>6</v>
      </c>
      <c r="X27" s="474">
        <v>30</v>
      </c>
      <c r="AA27" s="559">
        <f ca="1">'DEFINA!!!'!R26</f>
        <v>2010</v>
      </c>
      <c r="AB27" s="560">
        <f>'DEFINA!!!'!S26</f>
        <v>3.3199999999999985</v>
      </c>
      <c r="AC27" s="560">
        <f>'DEFINA!!!'!T26</f>
        <v>6.9999999999999956</v>
      </c>
      <c r="AD27" s="284"/>
    </row>
    <row r="28" spans="2:30" ht="6.75" customHeight="1" x14ac:dyDescent="0.3">
      <c r="B28" s="9"/>
      <c r="C28" s="9"/>
      <c r="D28" s="9"/>
      <c r="E28" s="9"/>
      <c r="F28" s="9"/>
      <c r="G28" s="9"/>
      <c r="H28" s="9"/>
      <c r="I28" s="9"/>
      <c r="J28" s="9"/>
      <c r="K28" s="9"/>
      <c r="S28" s="149" t="s">
        <v>2556</v>
      </c>
      <c r="T28" s="150" t="s">
        <v>81</v>
      </c>
      <c r="U28" s="473">
        <v>23</v>
      </c>
      <c r="V28" s="473">
        <v>4</v>
      </c>
      <c r="W28" s="473">
        <v>4</v>
      </c>
      <c r="X28" s="474">
        <v>31</v>
      </c>
      <c r="AA28" s="559">
        <f ca="1">'DEFINA!!!'!R27</f>
        <v>2009</v>
      </c>
      <c r="AB28" s="560">
        <f>'DEFINA!!!'!S27</f>
        <v>3.2599999999999985</v>
      </c>
      <c r="AC28" s="560">
        <f>'DEFINA!!!'!T27</f>
        <v>6.9499999999999957</v>
      </c>
      <c r="AD28" s="284"/>
    </row>
    <row r="29" spans="2:30" ht="18.75" customHeight="1" x14ac:dyDescent="0.3">
      <c r="S29" s="149" t="s">
        <v>2557</v>
      </c>
      <c r="T29" s="150" t="s">
        <v>82</v>
      </c>
      <c r="U29" s="473">
        <v>21</v>
      </c>
      <c r="V29" s="473">
        <v>5</v>
      </c>
      <c r="W29" s="473">
        <v>5</v>
      </c>
      <c r="X29" s="474">
        <v>31</v>
      </c>
      <c r="AA29" s="559">
        <f ca="1">'DEFINA!!!'!R28</f>
        <v>2008</v>
      </c>
      <c r="AB29" s="560">
        <f>'DEFINA!!!'!S28</f>
        <v>3.1999999999999984</v>
      </c>
      <c r="AC29" s="560">
        <f>'DEFINA!!!'!T28</f>
        <v>6.8999999999999959</v>
      </c>
      <c r="AD29" s="284"/>
    </row>
    <row r="30" spans="2:30" ht="18.75" customHeight="1" x14ac:dyDescent="0.3">
      <c r="S30" s="149" t="s">
        <v>2558</v>
      </c>
      <c r="T30" s="150" t="s">
        <v>83</v>
      </c>
      <c r="U30" s="473">
        <v>22</v>
      </c>
      <c r="V30" s="473">
        <v>4</v>
      </c>
      <c r="W30" s="473">
        <v>4</v>
      </c>
      <c r="X30" s="474">
        <v>30</v>
      </c>
      <c r="AA30" s="559">
        <f ca="1">'DEFINA!!!'!R29</f>
        <v>2007</v>
      </c>
      <c r="AB30" s="560">
        <f>'DEFINA!!!'!S29</f>
        <v>3.1399999999999983</v>
      </c>
      <c r="AC30" s="560">
        <f>'DEFINA!!!'!T29</f>
        <v>6.8499999999999961</v>
      </c>
      <c r="AD30" s="284"/>
    </row>
    <row r="31" spans="2:30" ht="18.75" customHeight="1" x14ac:dyDescent="0.3">
      <c r="S31" s="149" t="s">
        <v>2559</v>
      </c>
      <c r="T31" s="150" t="s">
        <v>84</v>
      </c>
      <c r="U31" s="473">
        <v>23</v>
      </c>
      <c r="V31" s="473">
        <v>4</v>
      </c>
      <c r="W31" s="473">
        <v>4</v>
      </c>
      <c r="X31" s="474">
        <v>31</v>
      </c>
      <c r="AA31" s="559">
        <f ca="1">'DEFINA!!!'!R30</f>
        <v>2006</v>
      </c>
      <c r="AB31" s="560">
        <f>'DEFINA!!!'!S30</f>
        <v>3.0799999999999983</v>
      </c>
      <c r="AC31" s="560">
        <f>'DEFINA!!!'!T30</f>
        <v>6.7999999999999963</v>
      </c>
      <c r="AD31" s="284"/>
    </row>
    <row r="32" spans="2:30" ht="18.75" customHeight="1" x14ac:dyDescent="0.3">
      <c r="S32" s="149" t="s">
        <v>2560</v>
      </c>
      <c r="T32" s="150" t="s">
        <v>85</v>
      </c>
      <c r="U32" s="473">
        <v>20</v>
      </c>
      <c r="V32" s="473">
        <v>4</v>
      </c>
      <c r="W32" s="473">
        <v>6</v>
      </c>
      <c r="X32" s="474">
        <v>30</v>
      </c>
      <c r="AA32" s="559">
        <f ca="1">'DEFINA!!!'!R31</f>
        <v>2005</v>
      </c>
      <c r="AB32" s="560">
        <f>'DEFINA!!!'!S31</f>
        <v>3.0199999999999982</v>
      </c>
      <c r="AC32" s="560">
        <f>'DEFINA!!!'!T31</f>
        <v>6.7499999999999964</v>
      </c>
      <c r="AD32" s="284"/>
    </row>
    <row r="33" spans="19:30" ht="18.75" customHeight="1" x14ac:dyDescent="0.3">
      <c r="S33" s="149" t="s">
        <v>2561</v>
      </c>
      <c r="T33" s="150" t="s">
        <v>86</v>
      </c>
      <c r="U33" s="473">
        <v>22</v>
      </c>
      <c r="V33" s="473">
        <v>4</v>
      </c>
      <c r="W33" s="473">
        <v>5</v>
      </c>
      <c r="X33" s="474">
        <v>31</v>
      </c>
      <c r="AA33" s="559">
        <f ca="1">'DEFINA!!!'!R32</f>
        <v>2004</v>
      </c>
      <c r="AB33" s="560">
        <f>'DEFINA!!!'!S32</f>
        <v>2.9599999999999982</v>
      </c>
      <c r="AC33" s="560">
        <f>'DEFINA!!!'!T32</f>
        <v>6.6999999999999966</v>
      </c>
      <c r="AD33" s="284"/>
    </row>
    <row r="34" spans="19:30" ht="18.75" customHeight="1" x14ac:dyDescent="0.3">
      <c r="S34" s="149" t="s">
        <v>2562</v>
      </c>
      <c r="T34" s="150" t="s">
        <v>74</v>
      </c>
      <c r="U34" s="473">
        <v>21</v>
      </c>
      <c r="V34" s="473">
        <v>5</v>
      </c>
      <c r="W34" s="473">
        <v>5</v>
      </c>
      <c r="X34" s="474">
        <v>31</v>
      </c>
      <c r="AA34" s="559">
        <f ca="1">'DEFINA!!!'!R33</f>
        <v>2003</v>
      </c>
      <c r="AB34" s="560">
        <f>'DEFINA!!!'!S33</f>
        <v>2.8999999999999981</v>
      </c>
      <c r="AC34" s="560">
        <f>'DEFINA!!!'!T33</f>
        <v>6.6499999999999968</v>
      </c>
      <c r="AD34" s="284"/>
    </row>
    <row r="35" spans="19:30" ht="18.75" customHeight="1" x14ac:dyDescent="0.3">
      <c r="S35" s="149" t="s">
        <v>2563</v>
      </c>
      <c r="T35" s="150" t="s">
        <v>75</v>
      </c>
      <c r="U35" s="473">
        <v>18</v>
      </c>
      <c r="V35" s="473">
        <v>4</v>
      </c>
      <c r="W35" s="473">
        <v>6</v>
      </c>
      <c r="X35" s="474">
        <v>28</v>
      </c>
      <c r="AA35" s="559">
        <f ca="1">'DEFINA!!!'!R34</f>
        <v>2002</v>
      </c>
      <c r="AB35" s="560">
        <f>'DEFINA!!!'!S34</f>
        <v>2.8399999999999981</v>
      </c>
      <c r="AC35" s="560">
        <f>'DEFINA!!!'!T34</f>
        <v>6.599999999999997</v>
      </c>
      <c r="AD35" s="284"/>
    </row>
    <row r="36" spans="19:30" ht="18.75" customHeight="1" x14ac:dyDescent="0.3">
      <c r="S36" s="149" t="s">
        <v>2564</v>
      </c>
      <c r="T36" s="150" t="s">
        <v>77</v>
      </c>
      <c r="U36" s="473">
        <v>22</v>
      </c>
      <c r="V36" s="473">
        <v>4</v>
      </c>
      <c r="W36" s="473">
        <v>5</v>
      </c>
      <c r="X36" s="474">
        <v>31</v>
      </c>
      <c r="AA36" s="559">
        <f ca="1">'DEFINA!!!'!R35</f>
        <v>2001</v>
      </c>
      <c r="AB36" s="560">
        <f>'DEFINA!!!'!S35</f>
        <v>2.779999999999998</v>
      </c>
      <c r="AC36" s="560">
        <f>'DEFINA!!!'!T35</f>
        <v>6.5499999999999972</v>
      </c>
      <c r="AD36" s="284"/>
    </row>
    <row r="37" spans="19:30" ht="18.75" customHeight="1" x14ac:dyDescent="0.3">
      <c r="S37" s="149" t="s">
        <v>2565</v>
      </c>
      <c r="T37" s="150" t="s">
        <v>78</v>
      </c>
      <c r="U37" s="473">
        <v>20</v>
      </c>
      <c r="V37" s="473">
        <v>4</v>
      </c>
      <c r="W37" s="473">
        <v>6</v>
      </c>
      <c r="X37" s="474">
        <v>30</v>
      </c>
      <c r="AA37" s="559">
        <f ca="1">'DEFINA!!!'!R36</f>
        <v>2000</v>
      </c>
      <c r="AB37" s="560">
        <f>'DEFINA!!!'!S36</f>
        <v>2.719999999999998</v>
      </c>
      <c r="AC37" s="560">
        <f>'DEFINA!!!'!T36</f>
        <v>6.4999999999999973</v>
      </c>
      <c r="AD37" s="284"/>
    </row>
    <row r="38" spans="19:30" ht="21" x14ac:dyDescent="0.3">
      <c r="S38" s="149" t="s">
        <v>2566</v>
      </c>
      <c r="T38" s="150" t="s">
        <v>79</v>
      </c>
      <c r="U38" s="473">
        <v>20</v>
      </c>
      <c r="V38" s="473">
        <v>5</v>
      </c>
      <c r="W38" s="473">
        <v>6</v>
      </c>
      <c r="X38" s="474">
        <v>31</v>
      </c>
      <c r="AA38" s="559">
        <f ca="1">'DEFINA!!!'!R37</f>
        <v>1999</v>
      </c>
      <c r="AB38" s="560">
        <f>'DEFINA!!!'!S37</f>
        <v>2.6599999999999979</v>
      </c>
      <c r="AC38" s="560">
        <f>'DEFINA!!!'!T37</f>
        <v>6.4499999999999975</v>
      </c>
      <c r="AD38" s="284"/>
    </row>
    <row r="39" spans="19:30" ht="21" x14ac:dyDescent="0.3">
      <c r="S39" s="149" t="s">
        <v>2567</v>
      </c>
      <c r="T39" s="150" t="s">
        <v>80</v>
      </c>
      <c r="U39" s="473">
        <v>21</v>
      </c>
      <c r="V39" s="473">
        <v>4</v>
      </c>
      <c r="W39" s="473">
        <v>5</v>
      </c>
      <c r="X39" s="474">
        <v>30</v>
      </c>
      <c r="AA39" s="559">
        <f ca="1">'DEFINA!!!'!R38</f>
        <v>1998</v>
      </c>
      <c r="AB39" s="560">
        <f>'DEFINA!!!'!S38</f>
        <v>2.5999999999999979</v>
      </c>
      <c r="AC39" s="560">
        <f>'DEFINA!!!'!T38</f>
        <v>6.3999999999999977</v>
      </c>
      <c r="AD39" s="284"/>
    </row>
    <row r="40" spans="19:30" ht="21" x14ac:dyDescent="0.3">
      <c r="S40" s="149" t="s">
        <v>2568</v>
      </c>
      <c r="T40" s="150" t="s">
        <v>81</v>
      </c>
      <c r="U40" s="473">
        <v>23</v>
      </c>
      <c r="V40" s="473">
        <v>4</v>
      </c>
      <c r="W40" s="473">
        <v>4</v>
      </c>
      <c r="X40" s="474">
        <v>31</v>
      </c>
      <c r="AA40" s="559">
        <f ca="1">'DEFINA!!!'!R39</f>
        <v>1997</v>
      </c>
      <c r="AB40" s="560">
        <f>'DEFINA!!!'!S39</f>
        <v>2.5399999999999978</v>
      </c>
      <c r="AC40" s="560">
        <f>'DEFINA!!!'!T39</f>
        <v>6.3499999999999979</v>
      </c>
      <c r="AD40" s="284"/>
    </row>
    <row r="41" spans="19:30" ht="21" x14ac:dyDescent="0.3">
      <c r="S41" s="149" t="s">
        <v>2569</v>
      </c>
      <c r="T41" s="150" t="s">
        <v>82</v>
      </c>
      <c r="U41" s="473">
        <v>21</v>
      </c>
      <c r="V41" s="473">
        <v>5</v>
      </c>
      <c r="W41" s="473">
        <v>5</v>
      </c>
      <c r="X41" s="474">
        <v>31</v>
      </c>
      <c r="AA41" s="559">
        <f ca="1">'DEFINA!!!'!R40</f>
        <v>1996</v>
      </c>
      <c r="AB41" s="560">
        <f>'DEFINA!!!'!S40</f>
        <v>2.4799999999999978</v>
      </c>
      <c r="AC41" s="560">
        <f>'DEFINA!!!'!T40</f>
        <v>6.299999999999998</v>
      </c>
      <c r="AD41" s="284"/>
    </row>
    <row r="42" spans="19:30" ht="21" x14ac:dyDescent="0.3">
      <c r="S42" s="149" t="s">
        <v>2570</v>
      </c>
      <c r="T42" s="150" t="s">
        <v>83</v>
      </c>
      <c r="U42" s="473">
        <v>21</v>
      </c>
      <c r="V42" s="473">
        <v>4</v>
      </c>
      <c r="W42" s="473">
        <v>5</v>
      </c>
      <c r="X42" s="474">
        <v>30</v>
      </c>
      <c r="AA42" s="559">
        <f ca="1">'DEFINA!!!'!R41</f>
        <v>1995</v>
      </c>
      <c r="AB42" s="560">
        <f>'DEFINA!!!'!S41</f>
        <v>2.4199999999999977</v>
      </c>
      <c r="AC42" s="560">
        <f>'DEFINA!!!'!T41</f>
        <v>6.2499999999999982</v>
      </c>
      <c r="AD42" s="284"/>
    </row>
    <row r="43" spans="19:30" ht="21" x14ac:dyDescent="0.3">
      <c r="S43" s="149" t="s">
        <v>2571</v>
      </c>
      <c r="T43" s="150" t="s">
        <v>84</v>
      </c>
      <c r="U43" s="473">
        <v>21</v>
      </c>
      <c r="V43" s="473">
        <v>5</v>
      </c>
      <c r="W43" s="473">
        <v>5</v>
      </c>
      <c r="X43" s="474">
        <v>31</v>
      </c>
      <c r="AA43" s="559">
        <f ca="1">'DEFINA!!!'!R42</f>
        <v>1994</v>
      </c>
      <c r="AB43" s="560">
        <f>'DEFINA!!!'!S42</f>
        <v>2.3599999999999977</v>
      </c>
      <c r="AC43" s="560">
        <f>'DEFINA!!!'!T42</f>
        <v>6.1999999999999984</v>
      </c>
      <c r="AD43" s="284"/>
    </row>
    <row r="44" spans="19:30" ht="21" x14ac:dyDescent="0.3">
      <c r="S44" s="149" t="s">
        <v>2572</v>
      </c>
      <c r="T44" s="150" t="s">
        <v>85</v>
      </c>
      <c r="U44" s="473">
        <v>20</v>
      </c>
      <c r="V44" s="473">
        <v>4</v>
      </c>
      <c r="W44" s="473">
        <v>6</v>
      </c>
      <c r="X44" s="474">
        <v>30</v>
      </c>
      <c r="AA44" s="559">
        <f ca="1">'DEFINA!!!'!R43</f>
        <v>1993</v>
      </c>
      <c r="AB44" s="560">
        <f>'DEFINA!!!'!S43</f>
        <v>2.2999999999999976</v>
      </c>
      <c r="AC44" s="560">
        <f>'DEFINA!!!'!T43</f>
        <v>6.1499999999999986</v>
      </c>
      <c r="AD44" s="284"/>
    </row>
    <row r="45" spans="19:30" ht="21" x14ac:dyDescent="0.3">
      <c r="S45" s="149" t="s">
        <v>2573</v>
      </c>
      <c r="T45" s="150" t="s">
        <v>86</v>
      </c>
      <c r="U45" s="473">
        <v>22</v>
      </c>
      <c r="V45" s="473">
        <v>4</v>
      </c>
      <c r="W45" s="473">
        <v>5</v>
      </c>
      <c r="X45" s="474">
        <v>31</v>
      </c>
      <c r="AA45" s="559">
        <f ca="1">'DEFINA!!!'!R44</f>
        <v>1992</v>
      </c>
      <c r="AB45" s="560">
        <f>'DEFINA!!!'!S44</f>
        <v>2.2399999999999975</v>
      </c>
      <c r="AC45" s="560">
        <f>'DEFINA!!!'!T44</f>
        <v>6.0999999999999988</v>
      </c>
      <c r="AD45" s="284"/>
    </row>
    <row r="46" spans="19:30" ht="21" x14ac:dyDescent="0.3">
      <c r="S46" s="149" t="s">
        <v>2574</v>
      </c>
      <c r="T46" s="150" t="s">
        <v>74</v>
      </c>
      <c r="U46" s="473">
        <v>20</v>
      </c>
      <c r="V46" s="473">
        <v>5</v>
      </c>
      <c r="W46" s="473">
        <v>6</v>
      </c>
      <c r="X46" s="474">
        <v>31</v>
      </c>
      <c r="AA46" s="559">
        <f ca="1">'DEFINA!!!'!R45</f>
        <v>1991</v>
      </c>
      <c r="AB46" s="560">
        <f>'DEFINA!!!'!S45</f>
        <v>2.1799999999999975</v>
      </c>
      <c r="AC46" s="560">
        <f>'DEFINA!!!'!T45</f>
        <v>6.0499999999999989</v>
      </c>
      <c r="AD46" s="284"/>
    </row>
    <row r="47" spans="19:30" ht="21" x14ac:dyDescent="0.3">
      <c r="S47" s="149" t="s">
        <v>2575</v>
      </c>
      <c r="T47" s="150" t="s">
        <v>75</v>
      </c>
      <c r="U47" s="473">
        <v>18</v>
      </c>
      <c r="V47" s="473">
        <v>4</v>
      </c>
      <c r="W47" s="473">
        <v>6</v>
      </c>
      <c r="X47" s="474">
        <v>28</v>
      </c>
      <c r="AA47" s="559">
        <f ca="1">'DEFINA!!!'!R46</f>
        <v>1990</v>
      </c>
      <c r="AB47" s="560">
        <f>'DEFINA!!!'!S46</f>
        <v>2.1199999999999974</v>
      </c>
      <c r="AC47" s="560">
        <f>'DEFINA!!!'!T46</f>
        <v>5.9999999999999991</v>
      </c>
      <c r="AD47" s="284"/>
    </row>
    <row r="48" spans="19:30" ht="21" x14ac:dyDescent="0.3">
      <c r="S48" s="149" t="s">
        <v>2576</v>
      </c>
      <c r="T48" s="150" t="s">
        <v>77</v>
      </c>
      <c r="U48" s="473">
        <v>22</v>
      </c>
      <c r="V48" s="473">
        <v>4</v>
      </c>
      <c r="W48" s="473">
        <v>5</v>
      </c>
      <c r="X48" s="474">
        <v>31</v>
      </c>
      <c r="AA48" s="559">
        <f ca="1">'DEFINA!!!'!R47</f>
        <v>1989</v>
      </c>
      <c r="AB48" s="560">
        <f>'DEFINA!!!'!S47</f>
        <v>2.0599999999999974</v>
      </c>
      <c r="AC48" s="560">
        <f>'DEFINA!!!'!T47</f>
        <v>5.9499999999999993</v>
      </c>
      <c r="AD48" s="284"/>
    </row>
    <row r="49" spans="19:30" ht="21" x14ac:dyDescent="0.3">
      <c r="S49" s="149" t="s">
        <v>2577</v>
      </c>
      <c r="T49" s="150" t="s">
        <v>78</v>
      </c>
      <c r="U49" s="473">
        <v>21</v>
      </c>
      <c r="V49" s="473">
        <v>4</v>
      </c>
      <c r="W49" s="473">
        <v>5</v>
      </c>
      <c r="X49" s="474">
        <v>30</v>
      </c>
      <c r="AA49" s="559">
        <f ca="1">'DEFINA!!!'!R48</f>
        <v>1988</v>
      </c>
      <c r="AB49" s="560">
        <f>'DEFINA!!!'!S48</f>
        <v>1.9999999999999973</v>
      </c>
      <c r="AC49" s="560">
        <f>'DEFINA!!!'!T48</f>
        <v>5.8999999999999995</v>
      </c>
      <c r="AD49" s="284"/>
    </row>
    <row r="50" spans="19:30" ht="21" x14ac:dyDescent="0.3">
      <c r="S50" s="149" t="s">
        <v>2578</v>
      </c>
      <c r="T50" s="150" t="s">
        <v>79</v>
      </c>
      <c r="U50" s="473">
        <v>20</v>
      </c>
      <c r="V50" s="473">
        <v>4</v>
      </c>
      <c r="W50" s="473">
        <v>7</v>
      </c>
      <c r="X50" s="474">
        <v>31</v>
      </c>
      <c r="AA50" s="559">
        <f ca="1">'DEFINA!!!'!R49</f>
        <v>1987</v>
      </c>
      <c r="AB50" s="560">
        <f>'DEFINA!!!'!S49</f>
        <v>1.9399999999999973</v>
      </c>
      <c r="AC50" s="560">
        <f>'DEFINA!!!'!T49</f>
        <v>5.85</v>
      </c>
      <c r="AD50" s="284"/>
    </row>
    <row r="51" spans="19:30" ht="21" x14ac:dyDescent="0.3">
      <c r="S51" s="149" t="s">
        <v>2579</v>
      </c>
      <c r="T51" s="150" t="s">
        <v>80</v>
      </c>
      <c r="U51" s="473">
        <v>22</v>
      </c>
      <c r="V51" s="473">
        <v>4</v>
      </c>
      <c r="W51" s="473">
        <v>4</v>
      </c>
      <c r="X51" s="474">
        <v>30</v>
      </c>
      <c r="AA51" s="559">
        <f ca="1">'DEFINA!!!'!R50</f>
        <v>1986</v>
      </c>
      <c r="AB51" s="560">
        <f>'DEFINA!!!'!S50</f>
        <v>1.8799999999999972</v>
      </c>
      <c r="AC51" s="560">
        <f>'DEFINA!!!'!T50</f>
        <v>5.8</v>
      </c>
      <c r="AD51" s="284"/>
    </row>
    <row r="52" spans="19:30" ht="21" x14ac:dyDescent="0.3">
      <c r="S52" s="149" t="s">
        <v>2580</v>
      </c>
      <c r="T52" s="150" t="s">
        <v>81</v>
      </c>
      <c r="U52" s="473">
        <v>22</v>
      </c>
      <c r="V52" s="473">
        <v>5</v>
      </c>
      <c r="W52" s="473">
        <v>4</v>
      </c>
      <c r="X52" s="474">
        <v>31</v>
      </c>
      <c r="AA52" s="559">
        <f ca="1">'DEFINA!!!'!R51</f>
        <v>1985</v>
      </c>
      <c r="AB52" s="560">
        <f>'DEFINA!!!'!S51</f>
        <v>1.8199999999999972</v>
      </c>
      <c r="AC52" s="560">
        <f>'DEFINA!!!'!T51</f>
        <v>5.75</v>
      </c>
      <c r="AD52" s="284"/>
    </row>
    <row r="53" spans="19:30" ht="21" x14ac:dyDescent="0.3">
      <c r="S53" s="149" t="s">
        <v>2581</v>
      </c>
      <c r="T53" s="150" t="s">
        <v>82</v>
      </c>
      <c r="U53" s="473">
        <v>22</v>
      </c>
      <c r="V53" s="473">
        <v>4</v>
      </c>
      <c r="W53" s="473">
        <v>5</v>
      </c>
      <c r="X53" s="474">
        <v>31</v>
      </c>
      <c r="AA53" s="559">
        <f ca="1">'DEFINA!!!'!R52</f>
        <v>1984</v>
      </c>
      <c r="AB53" s="560">
        <f>'DEFINA!!!'!S52</f>
        <v>1.7599999999999971</v>
      </c>
      <c r="AC53" s="560">
        <f>'DEFINA!!!'!T52</f>
        <v>5.7</v>
      </c>
      <c r="AD53" s="284"/>
    </row>
    <row r="54" spans="19:30" ht="21" x14ac:dyDescent="0.3">
      <c r="S54" s="149" t="s">
        <v>2582</v>
      </c>
      <c r="T54" s="150" t="s">
        <v>83</v>
      </c>
      <c r="U54" s="473">
        <v>21</v>
      </c>
      <c r="V54" s="473">
        <v>4</v>
      </c>
      <c r="W54" s="473">
        <v>5</v>
      </c>
      <c r="X54" s="474">
        <v>30</v>
      </c>
      <c r="AA54" s="559">
        <f ca="1">'DEFINA!!!'!R53</f>
        <v>1983</v>
      </c>
      <c r="AB54" s="560">
        <f>'DEFINA!!!'!S53</f>
        <v>1.6999999999999971</v>
      </c>
      <c r="AC54" s="560">
        <f>'DEFINA!!!'!T53</f>
        <v>5.65</v>
      </c>
      <c r="AD54" s="284"/>
    </row>
    <row r="55" spans="19:30" ht="21" x14ac:dyDescent="0.2">
      <c r="S55" s="149" t="s">
        <v>2583</v>
      </c>
      <c r="T55" s="150" t="s">
        <v>84</v>
      </c>
      <c r="U55" s="473">
        <v>20</v>
      </c>
      <c r="V55" s="473">
        <v>5</v>
      </c>
      <c r="W55" s="473">
        <v>6</v>
      </c>
      <c r="X55" s="474">
        <v>31</v>
      </c>
    </row>
    <row r="56" spans="19:30" ht="21" x14ac:dyDescent="0.2">
      <c r="S56" s="149" t="s">
        <v>2584</v>
      </c>
      <c r="T56" s="150" t="s">
        <v>85</v>
      </c>
      <c r="U56" s="473">
        <v>20</v>
      </c>
      <c r="V56" s="473">
        <v>4</v>
      </c>
      <c r="W56" s="473">
        <v>6</v>
      </c>
      <c r="X56" s="474">
        <v>30</v>
      </c>
    </row>
    <row r="57" spans="19:30" ht="21" x14ac:dyDescent="0.2">
      <c r="S57" s="149" t="s">
        <v>2585</v>
      </c>
      <c r="T57" s="150" t="s">
        <v>86</v>
      </c>
      <c r="U57" s="473">
        <v>23</v>
      </c>
      <c r="V57" s="473">
        <v>3</v>
      </c>
      <c r="W57" s="473">
        <v>5</v>
      </c>
      <c r="X57" s="474">
        <v>31</v>
      </c>
    </row>
    <row r="58" spans="19:30" ht="21" x14ac:dyDescent="0.2">
      <c r="S58" s="149" t="s">
        <v>2586</v>
      </c>
      <c r="T58" s="150" t="s">
        <v>74</v>
      </c>
      <c r="U58" s="473">
        <v>21</v>
      </c>
      <c r="V58" s="473">
        <v>4</v>
      </c>
      <c r="W58" s="473">
        <v>6</v>
      </c>
      <c r="X58" s="474">
        <v>31</v>
      </c>
    </row>
    <row r="59" spans="19:30" ht="21" x14ac:dyDescent="0.2">
      <c r="S59" s="149" t="s">
        <v>2587</v>
      </c>
      <c r="T59" s="150" t="s">
        <v>75</v>
      </c>
      <c r="U59" s="473">
        <v>19</v>
      </c>
      <c r="V59" s="473">
        <v>4</v>
      </c>
      <c r="W59" s="473">
        <v>6</v>
      </c>
      <c r="X59" s="474">
        <v>29</v>
      </c>
    </row>
    <row r="60" spans="19:30" ht="21" x14ac:dyDescent="0.2">
      <c r="S60" s="149" t="s">
        <v>2588</v>
      </c>
      <c r="T60" s="150" t="s">
        <v>77</v>
      </c>
      <c r="U60" s="473">
        <v>23</v>
      </c>
      <c r="V60" s="473">
        <v>4</v>
      </c>
      <c r="W60" s="473">
        <v>4</v>
      </c>
      <c r="X60" s="474">
        <v>31</v>
      </c>
    </row>
    <row r="61" spans="19:30" ht="21" x14ac:dyDescent="0.2">
      <c r="S61" s="149" t="s">
        <v>2589</v>
      </c>
      <c r="T61" s="150" t="s">
        <v>78</v>
      </c>
      <c r="U61" s="473">
        <v>18</v>
      </c>
      <c r="V61" s="473">
        <v>5</v>
      </c>
      <c r="W61" s="473">
        <v>7</v>
      </c>
      <c r="X61" s="474">
        <v>30</v>
      </c>
    </row>
    <row r="62" spans="19:30" ht="21" x14ac:dyDescent="0.2">
      <c r="S62" s="149" t="s">
        <v>2590</v>
      </c>
      <c r="T62" s="150" t="s">
        <v>79</v>
      </c>
      <c r="U62" s="473">
        <v>22</v>
      </c>
      <c r="V62" s="473">
        <v>4</v>
      </c>
      <c r="W62" s="473">
        <v>5</v>
      </c>
      <c r="X62" s="474">
        <v>31</v>
      </c>
    </row>
    <row r="63" spans="19:30" ht="21" x14ac:dyDescent="0.2">
      <c r="S63" s="149" t="s">
        <v>2591</v>
      </c>
      <c r="T63" s="150" t="s">
        <v>80</v>
      </c>
      <c r="U63" s="473">
        <v>21</v>
      </c>
      <c r="V63" s="473">
        <v>4</v>
      </c>
      <c r="W63" s="473">
        <v>5</v>
      </c>
      <c r="X63" s="474">
        <v>30</v>
      </c>
    </row>
    <row r="64" spans="19:30" ht="21" x14ac:dyDescent="0.2">
      <c r="S64" s="149" t="s">
        <v>2592</v>
      </c>
      <c r="T64" s="150" t="s">
        <v>81</v>
      </c>
      <c r="U64" s="473">
        <v>21</v>
      </c>
      <c r="V64" s="473">
        <v>5</v>
      </c>
      <c r="W64" s="473">
        <v>5</v>
      </c>
      <c r="X64" s="474">
        <v>31</v>
      </c>
    </row>
    <row r="65" spans="19:24" ht="21" x14ac:dyDescent="0.2">
      <c r="S65" s="149" t="s">
        <v>2593</v>
      </c>
      <c r="T65" s="150" t="s">
        <v>82</v>
      </c>
      <c r="U65" s="473">
        <v>23</v>
      </c>
      <c r="V65" s="473">
        <v>4</v>
      </c>
      <c r="W65" s="473">
        <v>4</v>
      </c>
      <c r="X65" s="474">
        <v>31</v>
      </c>
    </row>
    <row r="66" spans="19:24" ht="21" x14ac:dyDescent="0.2">
      <c r="S66" s="149" t="s">
        <v>2594</v>
      </c>
      <c r="T66" s="150" t="s">
        <v>83</v>
      </c>
      <c r="U66" s="473">
        <v>20</v>
      </c>
      <c r="V66" s="473">
        <v>5</v>
      </c>
      <c r="W66" s="473">
        <v>5</v>
      </c>
      <c r="X66" s="474">
        <v>30</v>
      </c>
    </row>
    <row r="67" spans="19:24" ht="21" x14ac:dyDescent="0.2">
      <c r="S67" s="149" t="s">
        <v>2595</v>
      </c>
      <c r="T67" s="150" t="s">
        <v>84</v>
      </c>
      <c r="U67" s="473">
        <v>21</v>
      </c>
      <c r="V67" s="473">
        <v>4</v>
      </c>
      <c r="W67" s="473">
        <v>6</v>
      </c>
      <c r="X67" s="474">
        <v>31</v>
      </c>
    </row>
    <row r="68" spans="19:24" ht="21" x14ac:dyDescent="0.2">
      <c r="S68" s="149" t="s">
        <v>2596</v>
      </c>
      <c r="T68" s="150" t="s">
        <v>85</v>
      </c>
      <c r="U68" s="473">
        <v>20</v>
      </c>
      <c r="V68" s="473">
        <v>4</v>
      </c>
      <c r="W68" s="473">
        <v>6</v>
      </c>
      <c r="X68" s="474">
        <v>30</v>
      </c>
    </row>
    <row r="69" spans="19:24" ht="21" x14ac:dyDescent="0.2">
      <c r="S69" s="149" t="s">
        <v>2597</v>
      </c>
      <c r="T69" s="150" t="s">
        <v>86</v>
      </c>
      <c r="U69" s="473">
        <v>20</v>
      </c>
      <c r="V69" s="473">
        <v>5</v>
      </c>
      <c r="W69" s="473">
        <v>6</v>
      </c>
      <c r="X69" s="474">
        <v>31</v>
      </c>
    </row>
    <row r="70" spans="19:24" ht="21" x14ac:dyDescent="0.2">
      <c r="S70" s="149" t="s">
        <v>2598</v>
      </c>
      <c r="T70" s="150" t="s">
        <v>74</v>
      </c>
      <c r="U70" s="473">
        <v>22</v>
      </c>
      <c r="V70" s="473">
        <v>4</v>
      </c>
      <c r="W70" s="473">
        <v>5</v>
      </c>
      <c r="X70" s="474">
        <v>31</v>
      </c>
    </row>
    <row r="71" spans="19:24" ht="21" x14ac:dyDescent="0.2">
      <c r="S71" s="149" t="s">
        <v>2599</v>
      </c>
      <c r="T71" s="150" t="s">
        <v>2539</v>
      </c>
      <c r="U71" s="473">
        <v>18</v>
      </c>
      <c r="V71" s="473">
        <v>4</v>
      </c>
      <c r="W71" s="473">
        <v>6</v>
      </c>
      <c r="X71" s="474">
        <v>28</v>
      </c>
    </row>
    <row r="72" spans="19:24" ht="21" x14ac:dyDescent="0.2">
      <c r="S72" s="149" t="s">
        <v>2600</v>
      </c>
      <c r="T72" s="150" t="s">
        <v>77</v>
      </c>
      <c r="U72" s="473">
        <v>21</v>
      </c>
      <c r="V72" s="473">
        <v>5</v>
      </c>
      <c r="W72" s="473">
        <v>5</v>
      </c>
      <c r="X72" s="474">
        <v>31</v>
      </c>
    </row>
    <row r="73" spans="19:24" ht="21" x14ac:dyDescent="0.2">
      <c r="S73" s="149" t="s">
        <v>2601</v>
      </c>
      <c r="T73" s="150" t="s">
        <v>78</v>
      </c>
      <c r="U73" s="473">
        <v>21</v>
      </c>
      <c r="V73" s="473">
        <v>3</v>
      </c>
      <c r="W73" s="473">
        <v>6</v>
      </c>
      <c r="X73" s="474">
        <v>30</v>
      </c>
    </row>
    <row r="74" spans="19:24" ht="21" x14ac:dyDescent="0.2">
      <c r="S74" s="149" t="s">
        <v>2602</v>
      </c>
      <c r="T74" s="150" t="s">
        <v>79</v>
      </c>
      <c r="U74" s="473">
        <v>21</v>
      </c>
      <c r="V74" s="473">
        <v>4</v>
      </c>
      <c r="W74" s="473">
        <v>6</v>
      </c>
      <c r="X74" s="474">
        <v>31</v>
      </c>
    </row>
    <row r="75" spans="19:24" ht="21" x14ac:dyDescent="0.2">
      <c r="S75" s="149" t="s">
        <v>2603</v>
      </c>
      <c r="T75" s="150" t="s">
        <v>80</v>
      </c>
      <c r="U75" s="473">
        <v>21</v>
      </c>
      <c r="V75" s="473">
        <v>5</v>
      </c>
      <c r="W75" s="473">
        <v>4</v>
      </c>
      <c r="X75" s="474">
        <v>30</v>
      </c>
    </row>
    <row r="76" spans="19:24" ht="21" x14ac:dyDescent="0.2">
      <c r="S76" s="149" t="s">
        <v>2604</v>
      </c>
      <c r="T76" s="150" t="s">
        <v>81</v>
      </c>
      <c r="U76" s="473">
        <v>22</v>
      </c>
      <c r="V76" s="473">
        <v>4</v>
      </c>
      <c r="W76" s="473">
        <v>5</v>
      </c>
      <c r="X76" s="474">
        <v>31</v>
      </c>
    </row>
    <row r="77" spans="19:24" ht="21" x14ac:dyDescent="0.2">
      <c r="S77" s="149" t="s">
        <v>2605</v>
      </c>
      <c r="T77" s="150" t="s">
        <v>82</v>
      </c>
      <c r="U77" s="473">
        <v>23</v>
      </c>
      <c r="V77" s="473">
        <v>4</v>
      </c>
      <c r="W77" s="473">
        <v>4</v>
      </c>
      <c r="X77" s="474">
        <v>31</v>
      </c>
    </row>
    <row r="78" spans="19:24" ht="21" x14ac:dyDescent="0.2">
      <c r="S78" s="149" t="s">
        <v>2606</v>
      </c>
      <c r="T78" s="150" t="s">
        <v>83</v>
      </c>
      <c r="U78" s="473">
        <v>19</v>
      </c>
      <c r="V78" s="473">
        <v>5</v>
      </c>
      <c r="W78" s="473">
        <v>6</v>
      </c>
      <c r="X78" s="474">
        <v>30</v>
      </c>
    </row>
    <row r="79" spans="19:24" ht="21" x14ac:dyDescent="0.2">
      <c r="S79" s="149" t="s">
        <v>2607</v>
      </c>
      <c r="T79" s="150" t="s">
        <v>84</v>
      </c>
      <c r="U79" s="473">
        <v>22</v>
      </c>
      <c r="V79" s="473">
        <v>4</v>
      </c>
      <c r="W79" s="473">
        <v>5</v>
      </c>
      <c r="X79" s="474">
        <v>31</v>
      </c>
    </row>
    <row r="80" spans="19:24" ht="21" x14ac:dyDescent="0.2">
      <c r="S80" s="149" t="s">
        <v>2608</v>
      </c>
      <c r="T80" s="150" t="s">
        <v>85</v>
      </c>
      <c r="U80" s="473">
        <v>20</v>
      </c>
      <c r="V80" s="473">
        <v>4</v>
      </c>
      <c r="W80" s="473">
        <v>6</v>
      </c>
      <c r="X80" s="474">
        <v>30</v>
      </c>
    </row>
    <row r="81" spans="19:24" ht="21" x14ac:dyDescent="0.2">
      <c r="S81" s="149" t="s">
        <v>2609</v>
      </c>
      <c r="T81" s="150" t="s">
        <v>86</v>
      </c>
      <c r="U81" s="473">
        <v>20</v>
      </c>
      <c r="V81" s="473">
        <v>5</v>
      </c>
      <c r="W81" s="473">
        <v>6</v>
      </c>
      <c r="X81" s="474">
        <v>31</v>
      </c>
    </row>
    <row r="82" spans="19:24" ht="21" x14ac:dyDescent="0.2">
      <c r="S82" s="149" t="s">
        <v>2610</v>
      </c>
      <c r="T82" s="150" t="s">
        <v>74</v>
      </c>
      <c r="U82" s="473">
        <v>22</v>
      </c>
      <c r="V82" s="473">
        <v>4</v>
      </c>
      <c r="W82" s="473">
        <v>5</v>
      </c>
      <c r="X82" s="474">
        <v>31</v>
      </c>
    </row>
    <row r="83" spans="19:24" ht="21" x14ac:dyDescent="0.2">
      <c r="S83" s="149" t="s">
        <v>2611</v>
      </c>
      <c r="T83" s="150" t="s">
        <v>75</v>
      </c>
      <c r="U83" s="473">
        <v>20</v>
      </c>
      <c r="V83" s="473">
        <v>4</v>
      </c>
      <c r="W83" s="473">
        <v>4</v>
      </c>
      <c r="X83" s="474">
        <v>28</v>
      </c>
    </row>
    <row r="84" spans="19:24" ht="21" x14ac:dyDescent="0.2">
      <c r="S84" s="149" t="s">
        <v>2612</v>
      </c>
      <c r="T84" s="150" t="s">
        <v>77</v>
      </c>
      <c r="U84" s="473">
        <v>19</v>
      </c>
      <c r="V84" s="473">
        <v>5</v>
      </c>
      <c r="W84" s="473">
        <v>7</v>
      </c>
      <c r="X84" s="474">
        <v>31</v>
      </c>
    </row>
    <row r="85" spans="19:24" ht="21" x14ac:dyDescent="0.2">
      <c r="S85" s="149" t="s">
        <v>2613</v>
      </c>
      <c r="T85" s="150" t="s">
        <v>78</v>
      </c>
      <c r="U85" s="473">
        <v>21</v>
      </c>
      <c r="V85" s="473">
        <v>4</v>
      </c>
      <c r="W85" s="473">
        <v>5</v>
      </c>
      <c r="X85" s="474">
        <v>30</v>
      </c>
    </row>
    <row r="86" spans="19:24" ht="21" x14ac:dyDescent="0.2">
      <c r="S86" s="149" t="s">
        <v>2614</v>
      </c>
      <c r="T86" s="150" t="s">
        <v>79</v>
      </c>
      <c r="U86" s="473">
        <v>22</v>
      </c>
      <c r="V86" s="473">
        <v>4</v>
      </c>
      <c r="W86" s="473">
        <v>5</v>
      </c>
      <c r="X86" s="474">
        <v>31</v>
      </c>
    </row>
    <row r="87" spans="19:24" ht="21" x14ac:dyDescent="0.2">
      <c r="S87" s="149" t="s">
        <v>2615</v>
      </c>
      <c r="T87" s="150" t="s">
        <v>80</v>
      </c>
      <c r="U87" s="473">
        <v>19</v>
      </c>
      <c r="V87" s="473">
        <v>5</v>
      </c>
      <c r="W87" s="473">
        <v>6</v>
      </c>
      <c r="X87" s="474">
        <v>30</v>
      </c>
    </row>
    <row r="88" spans="19:24" ht="21" x14ac:dyDescent="0.2">
      <c r="S88" s="149" t="s">
        <v>2616</v>
      </c>
      <c r="T88" s="150" t="s">
        <v>81</v>
      </c>
      <c r="U88" s="473">
        <v>23</v>
      </c>
      <c r="V88" s="473">
        <v>4</v>
      </c>
      <c r="W88" s="473">
        <v>4</v>
      </c>
      <c r="X88" s="474">
        <v>31</v>
      </c>
    </row>
    <row r="89" spans="19:24" ht="21" x14ac:dyDescent="0.2">
      <c r="S89" s="149" t="s">
        <v>2617</v>
      </c>
      <c r="T89" s="150" t="s">
        <v>82</v>
      </c>
      <c r="U89" s="473">
        <v>22</v>
      </c>
      <c r="V89" s="473">
        <v>5</v>
      </c>
      <c r="W89" s="473">
        <v>4</v>
      </c>
      <c r="X89" s="474">
        <v>31</v>
      </c>
    </row>
    <row r="90" spans="19:24" ht="21" x14ac:dyDescent="0.2">
      <c r="S90" s="149" t="s">
        <v>2618</v>
      </c>
      <c r="T90" s="150" t="s">
        <v>83</v>
      </c>
      <c r="U90" s="473">
        <v>21</v>
      </c>
      <c r="V90" s="473">
        <v>3</v>
      </c>
      <c r="W90" s="473">
        <v>6</v>
      </c>
      <c r="X90" s="474">
        <v>30</v>
      </c>
    </row>
    <row r="91" spans="19:24" ht="21" x14ac:dyDescent="0.2">
      <c r="S91" s="149" t="s">
        <v>2619</v>
      </c>
      <c r="T91" s="150" t="s">
        <v>84</v>
      </c>
      <c r="U91" s="473">
        <v>23</v>
      </c>
      <c r="V91" s="473">
        <v>3</v>
      </c>
      <c r="W91" s="473">
        <v>5</v>
      </c>
      <c r="X91" s="474">
        <v>31</v>
      </c>
    </row>
    <row r="92" spans="19:24" ht="21" x14ac:dyDescent="0.2">
      <c r="S92" s="149" t="s">
        <v>2620</v>
      </c>
      <c r="T92" s="150" t="s">
        <v>85</v>
      </c>
      <c r="U92" s="473">
        <v>20</v>
      </c>
      <c r="V92" s="473">
        <v>4</v>
      </c>
      <c r="W92" s="473">
        <v>6</v>
      </c>
      <c r="X92" s="474">
        <v>30</v>
      </c>
    </row>
    <row r="93" spans="19:24" ht="21" x14ac:dyDescent="0.2">
      <c r="S93" s="149" t="s">
        <v>2621</v>
      </c>
      <c r="T93" s="150" t="s">
        <v>86</v>
      </c>
      <c r="U93" s="473">
        <v>21</v>
      </c>
      <c r="V93" s="473">
        <v>4</v>
      </c>
      <c r="W93" s="473">
        <v>6</v>
      </c>
      <c r="X93" s="474">
        <v>31</v>
      </c>
    </row>
  </sheetData>
  <autoFilter ref="C11:J11" xr:uid="{00000000-0009-0000-0000-000011000000}">
    <filterColumn colId="1" showButton="0"/>
    <filterColumn colId="3" showButton="0"/>
    <filterColumn colId="7" showButton="0"/>
  </autoFilter>
  <mergeCells count="44">
    <mergeCell ref="J3:J4"/>
    <mergeCell ref="D3:G5"/>
    <mergeCell ref="C4:C5"/>
    <mergeCell ref="D11:E11"/>
    <mergeCell ref="F11:G11"/>
    <mergeCell ref="D9:D10"/>
    <mergeCell ref="J9:J10"/>
    <mergeCell ref="I9:I10"/>
    <mergeCell ref="H9:H10"/>
    <mergeCell ref="F9:F10"/>
    <mergeCell ref="C7:C8"/>
    <mergeCell ref="D12:E12"/>
    <mergeCell ref="F12:G12"/>
    <mergeCell ref="E8:E9"/>
    <mergeCell ref="D16:E16"/>
    <mergeCell ref="F16:G16"/>
    <mergeCell ref="D13:E13"/>
    <mergeCell ref="F13:G13"/>
    <mergeCell ref="D14:E14"/>
    <mergeCell ref="F14:G14"/>
    <mergeCell ref="D15:E15"/>
    <mergeCell ref="F15:G15"/>
    <mergeCell ref="D27:E27"/>
    <mergeCell ref="F27:G27"/>
    <mergeCell ref="D25:E25"/>
    <mergeCell ref="F25:G25"/>
    <mergeCell ref="D26:E26"/>
    <mergeCell ref="F26:G26"/>
    <mergeCell ref="D23:E23"/>
    <mergeCell ref="F23:G23"/>
    <mergeCell ref="D24:E24"/>
    <mergeCell ref="F24:G24"/>
    <mergeCell ref="D21:E21"/>
    <mergeCell ref="F21:G21"/>
    <mergeCell ref="D22:E22"/>
    <mergeCell ref="F22:G22"/>
    <mergeCell ref="D20:E20"/>
    <mergeCell ref="F20:G20"/>
    <mergeCell ref="D17:E17"/>
    <mergeCell ref="F17:G17"/>
    <mergeCell ref="D18:E18"/>
    <mergeCell ref="F18:G18"/>
    <mergeCell ref="D19:E19"/>
    <mergeCell ref="F19:G19"/>
  </mergeCells>
  <printOptions horizontalCentered="1"/>
  <pageMargins left="0.19685039370078741" right="0.19685039370078741" top="0.19685039370078741" bottom="0.19685039370078741" header="0.31496062992125984" footer="0.31496062992125984"/>
  <pageSetup paperSize="9" scale="7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B1:T80"/>
  <sheetViews>
    <sheetView workbookViewId="0">
      <selection activeCell="G3" sqref="G3"/>
    </sheetView>
  </sheetViews>
  <sheetFormatPr defaultColWidth="9.42578125" defaultRowHeight="15.75" x14ac:dyDescent="0.25"/>
  <cols>
    <col min="1" max="5" width="9.42578125" style="296"/>
    <col min="6" max="6" width="16.140625" style="296" customWidth="1"/>
    <col min="7" max="8" width="14.7109375" style="296" bestFit="1" customWidth="1"/>
    <col min="9" max="16384" width="9.42578125" style="296"/>
  </cols>
  <sheetData>
    <row r="1" spans="2:20" s="295" customFormat="1" ht="6.75" customHeight="1" x14ac:dyDescent="0.25">
      <c r="T1" s="296"/>
    </row>
    <row r="2" spans="2:20" s="295" customFormat="1" x14ac:dyDescent="0.25">
      <c r="B2" s="289"/>
      <c r="C2" s="289"/>
      <c r="D2" s="289"/>
      <c r="E2" s="289"/>
      <c r="F2" s="289"/>
      <c r="G2" s="289"/>
      <c r="H2" s="289"/>
      <c r="I2" s="289"/>
      <c r="J2" s="289"/>
      <c r="K2" s="289"/>
      <c r="L2" s="289"/>
      <c r="M2" s="289"/>
      <c r="N2" s="289"/>
      <c r="O2" s="289"/>
      <c r="P2" s="289"/>
      <c r="Q2" s="289"/>
      <c r="R2" s="289"/>
      <c r="T2" s="296"/>
    </row>
    <row r="3" spans="2:20" s="295" customFormat="1" ht="26.25" x14ac:dyDescent="0.4">
      <c r="B3" s="289"/>
      <c r="C3" s="290" t="str">
        <f>IF(H4="","","A cidade que sua empresa opera possui")</f>
        <v/>
      </c>
      <c r="D3" s="289"/>
      <c r="E3" s="289"/>
      <c r="F3" s="289"/>
      <c r="G3" s="293" t="str">
        <f>IF(PERFIL!G3="","",VLOOKUP(PERFIL!G3,'REL LINHAS'!O2:Q120,3,0))</f>
        <v/>
      </c>
      <c r="H3" s="289" t="str">
        <f>IF(C3="","","pessoas que utilizam transporte público em dias úteis. Sabados e domingos a demanda cai proporcionalmente...")</f>
        <v/>
      </c>
      <c r="I3" s="289"/>
      <c r="J3" s="289"/>
      <c r="K3" s="289"/>
      <c r="L3" s="289"/>
      <c r="M3" s="289"/>
      <c r="N3" s="289"/>
      <c r="O3" s="289"/>
      <c r="P3" s="289"/>
      <c r="Q3" s="289"/>
      <c r="R3" s="289"/>
      <c r="T3" s="296" t="str">
        <f>IF(F5&lt;91.9%,C37,"")</f>
        <v/>
      </c>
    </row>
    <row r="4" spans="2:20" s="295" customFormat="1" ht="26.25" x14ac:dyDescent="0.4">
      <c r="B4" s="289"/>
      <c r="C4" s="291" t="str">
        <f>IF(G3="","","Nesse mês de operação, sua empresa conseguiu atender")</f>
        <v/>
      </c>
      <c r="D4" s="291"/>
      <c r="E4" s="291"/>
      <c r="F4" s="291"/>
      <c r="G4" s="291"/>
      <c r="H4" s="294" t="str">
        <f>IF(PERFIL!G3="","",PERFIL!K3)</f>
        <v/>
      </c>
      <c r="I4" s="291" t="str">
        <f>IF(H4="","","habitantes por dia!")</f>
        <v/>
      </c>
      <c r="J4" s="291"/>
      <c r="K4" s="289"/>
      <c r="L4" s="289"/>
      <c r="M4" s="289"/>
      <c r="N4" s="289"/>
      <c r="O4" s="289"/>
      <c r="P4" s="289"/>
      <c r="Q4" s="289"/>
      <c r="R4" s="289"/>
      <c r="T4" s="296" t="str">
        <f>IF(F5&gt;91.9%,IF(F5&lt;100%,C48,""),"")</f>
        <v/>
      </c>
    </row>
    <row r="5" spans="2:20" s="295" customFormat="1" ht="26.25" x14ac:dyDescent="0.4">
      <c r="B5" s="289"/>
      <c r="C5" s="291" t="str">
        <f>IF(G3="","","Isso significa que você teve ")</f>
        <v/>
      </c>
      <c r="D5" s="291"/>
      <c r="E5" s="289"/>
      <c r="F5" s="292" t="str">
        <f>IF(H4="","",IF(H4&gt;G3,H4/G3,IF(H4=G3,100%,IF(H4&lt;G3,H4/G3))))</f>
        <v/>
      </c>
      <c r="G5" s="291" t="str">
        <f>IF(F5="","","de atendimento da demanda possível no mês!")</f>
        <v/>
      </c>
      <c r="H5" s="289"/>
      <c r="I5" s="289"/>
      <c r="J5" s="289"/>
      <c r="K5" s="289"/>
      <c r="L5" s="289"/>
      <c r="M5" s="289"/>
      <c r="N5" s="289"/>
      <c r="O5" s="289"/>
      <c r="P5" s="289"/>
      <c r="Q5" s="289"/>
      <c r="R5" s="289"/>
      <c r="T5" s="296" t="str">
        <f>IF(F5&lt;100%,"",IF('DESP. ADM.'!F91&lt;'DESP. ADM.'!E91,C59,""))</f>
        <v/>
      </c>
    </row>
    <row r="6" spans="2:20" s="295" customFormat="1" x14ac:dyDescent="0.25">
      <c r="B6" s="289"/>
      <c r="C6" s="289"/>
      <c r="D6" s="289"/>
      <c r="E6" s="289"/>
      <c r="F6" s="318"/>
      <c r="G6" s="289"/>
      <c r="H6" s="289"/>
      <c r="I6" s="289"/>
      <c r="J6" s="289"/>
      <c r="K6" s="289"/>
      <c r="L6" s="289"/>
      <c r="M6" s="289"/>
      <c r="N6" s="289"/>
      <c r="O6" s="289"/>
      <c r="P6" s="289"/>
      <c r="Q6" s="289"/>
      <c r="R6" s="289"/>
      <c r="T6" s="296" t="str">
        <f>IF(F5&lt;100%,"",IF('DESP. ADM.'!F91&gt;='DESP. ADM.'!E91,C71,""))</f>
        <v>Isso é decorrente da satisfação da população.
Esse percentual acima se dá quando a população prefere 
utilizar o transporte público à utilização de carros ou de taxi, serviços de aplicativos, por exemplo. 
A população está muito contente com o serviço que sua empresa presta e com a preocupação que ela tem com quadro de funcionários! 
Deve ter muita gente querendo entrar nela para trabalhar!!!!!!
Continue com essa jornada e parabéns pelo atendimento!</v>
      </c>
    </row>
    <row r="7" spans="2:20" s="295" customFormat="1" ht="15.75" customHeight="1" x14ac:dyDescent="0.25">
      <c r="B7" s="289"/>
      <c r="C7" s="964" t="str">
        <f>IF(F5="","",CONCATENATE(T3,T4,T5,T6))</f>
        <v/>
      </c>
      <c r="D7" s="964"/>
      <c r="E7" s="964"/>
      <c r="F7" s="964"/>
      <c r="G7" s="964"/>
      <c r="H7" s="964"/>
      <c r="I7" s="964"/>
      <c r="J7" s="964"/>
      <c r="K7" s="964"/>
      <c r="L7" s="964"/>
      <c r="M7" s="964"/>
      <c r="N7" s="964"/>
      <c r="O7" s="964"/>
      <c r="P7" s="964"/>
      <c r="Q7" s="964"/>
      <c r="R7" s="289"/>
      <c r="T7" s="296"/>
    </row>
    <row r="8" spans="2:20" s="295" customFormat="1" ht="15.75" customHeight="1" x14ac:dyDescent="0.25">
      <c r="B8" s="289"/>
      <c r="C8" s="964"/>
      <c r="D8" s="964"/>
      <c r="E8" s="964"/>
      <c r="F8" s="964"/>
      <c r="G8" s="964"/>
      <c r="H8" s="964"/>
      <c r="I8" s="964"/>
      <c r="J8" s="964"/>
      <c r="K8" s="964"/>
      <c r="L8" s="964"/>
      <c r="M8" s="964"/>
      <c r="N8" s="964"/>
      <c r="O8" s="964"/>
      <c r="P8" s="964"/>
      <c r="Q8" s="964"/>
      <c r="R8" s="289"/>
      <c r="T8" s="296"/>
    </row>
    <row r="9" spans="2:20" s="295" customFormat="1" ht="15.75" customHeight="1" x14ac:dyDescent="0.25">
      <c r="B9" s="289"/>
      <c r="C9" s="964"/>
      <c r="D9" s="964"/>
      <c r="E9" s="964"/>
      <c r="F9" s="964"/>
      <c r="G9" s="964"/>
      <c r="H9" s="964"/>
      <c r="I9" s="964"/>
      <c r="J9" s="964"/>
      <c r="K9" s="964"/>
      <c r="L9" s="964"/>
      <c r="M9" s="964"/>
      <c r="N9" s="964"/>
      <c r="O9" s="964"/>
      <c r="P9" s="964"/>
      <c r="Q9" s="964"/>
      <c r="R9" s="289"/>
      <c r="T9" s="296"/>
    </row>
    <row r="10" spans="2:20" s="295" customFormat="1" ht="15.75" customHeight="1" x14ac:dyDescent="0.25">
      <c r="B10" s="289"/>
      <c r="C10" s="964"/>
      <c r="D10" s="964"/>
      <c r="E10" s="964"/>
      <c r="F10" s="964"/>
      <c r="G10" s="964"/>
      <c r="H10" s="964"/>
      <c r="I10" s="964"/>
      <c r="J10" s="964"/>
      <c r="K10" s="964"/>
      <c r="L10" s="964"/>
      <c r="M10" s="964"/>
      <c r="N10" s="964"/>
      <c r="O10" s="964"/>
      <c r="P10" s="964"/>
      <c r="Q10" s="964"/>
      <c r="R10" s="289"/>
      <c r="T10" s="296"/>
    </row>
    <row r="11" spans="2:20" s="295" customFormat="1" ht="15.75" customHeight="1" x14ac:dyDescent="0.25">
      <c r="B11" s="289"/>
      <c r="C11" s="964"/>
      <c r="D11" s="964"/>
      <c r="E11" s="964"/>
      <c r="F11" s="964"/>
      <c r="G11" s="964"/>
      <c r="H11" s="964"/>
      <c r="I11" s="964"/>
      <c r="J11" s="964"/>
      <c r="K11" s="964"/>
      <c r="L11" s="964"/>
      <c r="M11" s="964"/>
      <c r="N11" s="964"/>
      <c r="O11" s="964"/>
      <c r="P11" s="964"/>
      <c r="Q11" s="964"/>
      <c r="R11" s="289"/>
      <c r="T11" s="296"/>
    </row>
    <row r="12" spans="2:20" s="295" customFormat="1" ht="15.75" customHeight="1" x14ac:dyDescent="0.25">
      <c r="B12" s="289"/>
      <c r="C12" s="964"/>
      <c r="D12" s="964"/>
      <c r="E12" s="964"/>
      <c r="F12" s="964"/>
      <c r="G12" s="964"/>
      <c r="H12" s="964"/>
      <c r="I12" s="964"/>
      <c r="J12" s="964"/>
      <c r="K12" s="964"/>
      <c r="L12" s="964"/>
      <c r="M12" s="964"/>
      <c r="N12" s="964"/>
      <c r="O12" s="964"/>
      <c r="P12" s="964"/>
      <c r="Q12" s="964"/>
      <c r="R12" s="289"/>
      <c r="T12" s="296"/>
    </row>
    <row r="13" spans="2:20" s="295" customFormat="1" ht="15.75" customHeight="1" x14ac:dyDescent="0.25">
      <c r="B13" s="289"/>
      <c r="C13" s="964"/>
      <c r="D13" s="964"/>
      <c r="E13" s="964"/>
      <c r="F13" s="964"/>
      <c r="G13" s="964"/>
      <c r="H13" s="964"/>
      <c r="I13" s="964"/>
      <c r="J13" s="964"/>
      <c r="K13" s="964"/>
      <c r="L13" s="964"/>
      <c r="M13" s="964"/>
      <c r="N13" s="964"/>
      <c r="O13" s="964"/>
      <c r="P13" s="964"/>
      <c r="Q13" s="964"/>
      <c r="R13" s="289"/>
      <c r="T13" s="296"/>
    </row>
    <row r="14" spans="2:20" s="295" customFormat="1" ht="15.75" customHeight="1" x14ac:dyDescent="0.25">
      <c r="B14" s="289"/>
      <c r="C14" s="964"/>
      <c r="D14" s="964"/>
      <c r="E14" s="964"/>
      <c r="F14" s="964"/>
      <c r="G14" s="964"/>
      <c r="H14" s="964"/>
      <c r="I14" s="964"/>
      <c r="J14" s="964"/>
      <c r="K14" s="964"/>
      <c r="L14" s="964"/>
      <c r="M14" s="964"/>
      <c r="N14" s="964"/>
      <c r="O14" s="964"/>
      <c r="P14" s="964"/>
      <c r="Q14" s="964"/>
      <c r="R14" s="289"/>
      <c r="T14" s="296"/>
    </row>
    <row r="15" spans="2:20" s="295" customFormat="1" ht="15.75" customHeight="1" x14ac:dyDescent="0.25">
      <c r="B15" s="289"/>
      <c r="C15" s="964"/>
      <c r="D15" s="964"/>
      <c r="E15" s="964"/>
      <c r="F15" s="964"/>
      <c r="G15" s="964"/>
      <c r="H15" s="964"/>
      <c r="I15" s="964"/>
      <c r="J15" s="964"/>
      <c r="K15" s="964"/>
      <c r="L15" s="964"/>
      <c r="M15" s="964"/>
      <c r="N15" s="964"/>
      <c r="O15" s="964"/>
      <c r="P15" s="964"/>
      <c r="Q15" s="964"/>
      <c r="R15" s="289"/>
      <c r="T15" s="296"/>
    </row>
    <row r="16" spans="2:20" s="295" customFormat="1" ht="15.75" customHeight="1" x14ac:dyDescent="0.25">
      <c r="B16" s="289"/>
      <c r="C16" s="964"/>
      <c r="D16" s="964"/>
      <c r="E16" s="964"/>
      <c r="F16" s="964"/>
      <c r="G16" s="964"/>
      <c r="H16" s="964"/>
      <c r="I16" s="964"/>
      <c r="J16" s="964"/>
      <c r="K16" s="964"/>
      <c r="L16" s="964"/>
      <c r="M16" s="964"/>
      <c r="N16" s="964"/>
      <c r="O16" s="964"/>
      <c r="P16" s="964"/>
      <c r="Q16" s="964"/>
      <c r="R16" s="289"/>
      <c r="T16" s="296"/>
    </row>
    <row r="17" spans="2:20" s="295" customFormat="1" ht="15.75" customHeight="1" x14ac:dyDescent="0.25">
      <c r="B17" s="289"/>
      <c r="C17" s="964"/>
      <c r="D17" s="964"/>
      <c r="E17" s="964"/>
      <c r="F17" s="964"/>
      <c r="G17" s="964"/>
      <c r="H17" s="964"/>
      <c r="I17" s="964"/>
      <c r="J17" s="964"/>
      <c r="K17" s="964"/>
      <c r="L17" s="964"/>
      <c r="M17" s="964"/>
      <c r="N17" s="964"/>
      <c r="O17" s="964"/>
      <c r="P17" s="964"/>
      <c r="Q17" s="964"/>
      <c r="R17" s="289"/>
      <c r="T17" s="296"/>
    </row>
    <row r="18" spans="2:20" s="295" customFormat="1" ht="15.75" customHeight="1" x14ac:dyDescent="0.25">
      <c r="B18" s="289"/>
      <c r="C18" s="964"/>
      <c r="D18" s="964"/>
      <c r="E18" s="964"/>
      <c r="F18" s="964"/>
      <c r="G18" s="964"/>
      <c r="H18" s="964"/>
      <c r="I18" s="964"/>
      <c r="J18" s="964"/>
      <c r="K18" s="964"/>
      <c r="L18" s="964"/>
      <c r="M18" s="964"/>
      <c r="N18" s="964"/>
      <c r="O18" s="964"/>
      <c r="P18" s="964"/>
      <c r="Q18" s="964"/>
      <c r="R18" s="289"/>
      <c r="T18" s="296"/>
    </row>
    <row r="19" spans="2:20" s="295" customFormat="1" ht="15.75" customHeight="1" x14ac:dyDescent="0.25">
      <c r="B19" s="289"/>
      <c r="C19" s="964"/>
      <c r="D19" s="964"/>
      <c r="E19" s="964"/>
      <c r="F19" s="964"/>
      <c r="G19" s="964"/>
      <c r="H19" s="964"/>
      <c r="I19" s="964"/>
      <c r="J19" s="964"/>
      <c r="K19" s="964"/>
      <c r="L19" s="964"/>
      <c r="M19" s="964"/>
      <c r="N19" s="964"/>
      <c r="O19" s="964"/>
      <c r="P19" s="964"/>
      <c r="Q19" s="964"/>
      <c r="R19" s="289"/>
      <c r="T19" s="296"/>
    </row>
    <row r="20" spans="2:20" s="295" customFormat="1" ht="15.75" customHeight="1" x14ac:dyDescent="0.25">
      <c r="B20" s="289"/>
      <c r="C20" s="964"/>
      <c r="D20" s="964"/>
      <c r="E20" s="964"/>
      <c r="F20" s="964"/>
      <c r="G20" s="964"/>
      <c r="H20" s="964"/>
      <c r="I20" s="964"/>
      <c r="J20" s="964"/>
      <c r="K20" s="964"/>
      <c r="L20" s="964"/>
      <c r="M20" s="964"/>
      <c r="N20" s="964"/>
      <c r="O20" s="964"/>
      <c r="P20" s="964"/>
      <c r="Q20" s="964"/>
      <c r="R20" s="289"/>
      <c r="T20" s="296"/>
    </row>
    <row r="21" spans="2:20" s="295" customFormat="1" x14ac:dyDescent="0.25">
      <c r="B21" s="289"/>
      <c r="C21" s="289"/>
      <c r="D21" s="289"/>
      <c r="E21" s="289"/>
      <c r="F21" s="289"/>
      <c r="G21" s="289"/>
      <c r="H21" s="289"/>
      <c r="I21" s="289"/>
      <c r="J21" s="289"/>
      <c r="K21" s="289"/>
      <c r="L21" s="289"/>
      <c r="M21" s="289"/>
      <c r="N21" s="289"/>
      <c r="O21" s="289"/>
      <c r="P21" s="289"/>
      <c r="Q21" s="289"/>
      <c r="R21" s="289"/>
      <c r="T21" s="296"/>
    </row>
    <row r="37" spans="3:16" s="509" customFormat="1" x14ac:dyDescent="0.25">
      <c r="C37" s="962" t="s">
        <v>455</v>
      </c>
      <c r="D37" s="963"/>
      <c r="E37" s="963"/>
      <c r="F37" s="963"/>
      <c r="G37" s="963"/>
      <c r="H37" s="963"/>
      <c r="I37" s="963"/>
      <c r="J37" s="963"/>
      <c r="K37" s="963"/>
      <c r="L37" s="963"/>
      <c r="M37" s="963"/>
      <c r="N37" s="963"/>
      <c r="O37" s="963"/>
      <c r="P37" s="963"/>
    </row>
    <row r="38" spans="3:16" x14ac:dyDescent="0.25">
      <c r="C38" s="963"/>
      <c r="D38" s="963"/>
      <c r="E38" s="963"/>
      <c r="F38" s="963"/>
      <c r="G38" s="963"/>
      <c r="H38" s="963"/>
      <c r="I38" s="963"/>
      <c r="J38" s="963"/>
      <c r="K38" s="963"/>
      <c r="L38" s="963"/>
      <c r="M38" s="963"/>
      <c r="N38" s="963"/>
      <c r="O38" s="963"/>
      <c r="P38" s="963"/>
    </row>
    <row r="39" spans="3:16" x14ac:dyDescent="0.25">
      <c r="C39" s="963"/>
      <c r="D39" s="963"/>
      <c r="E39" s="963"/>
      <c r="F39" s="963"/>
      <c r="G39" s="963"/>
      <c r="H39" s="963"/>
      <c r="I39" s="963"/>
      <c r="J39" s="963"/>
      <c r="K39" s="963"/>
      <c r="L39" s="963"/>
      <c r="M39" s="963"/>
      <c r="N39" s="963"/>
      <c r="O39" s="963"/>
      <c r="P39" s="963"/>
    </row>
    <row r="40" spans="3:16" x14ac:dyDescent="0.25">
      <c r="C40" s="963"/>
      <c r="D40" s="963"/>
      <c r="E40" s="963"/>
      <c r="F40" s="963"/>
      <c r="G40" s="963"/>
      <c r="H40" s="963"/>
      <c r="I40" s="963"/>
      <c r="J40" s="963"/>
      <c r="K40" s="963"/>
      <c r="L40" s="963"/>
      <c r="M40" s="963"/>
      <c r="N40" s="963"/>
      <c r="O40" s="963"/>
      <c r="P40" s="963"/>
    </row>
    <row r="41" spans="3:16" x14ac:dyDescent="0.25">
      <c r="C41" s="963"/>
      <c r="D41" s="963"/>
      <c r="E41" s="963"/>
      <c r="F41" s="963"/>
      <c r="G41" s="963"/>
      <c r="H41" s="963"/>
      <c r="I41" s="963"/>
      <c r="J41" s="963"/>
      <c r="K41" s="963"/>
      <c r="L41" s="963"/>
      <c r="M41" s="963"/>
      <c r="N41" s="963"/>
      <c r="O41" s="963"/>
      <c r="P41" s="963"/>
    </row>
    <row r="42" spans="3:16" x14ac:dyDescent="0.25">
      <c r="C42" s="963"/>
      <c r="D42" s="963"/>
      <c r="E42" s="963"/>
      <c r="F42" s="963"/>
      <c r="G42" s="963"/>
      <c r="H42" s="963"/>
      <c r="I42" s="963"/>
      <c r="J42" s="963"/>
      <c r="K42" s="963"/>
      <c r="L42" s="963"/>
      <c r="M42" s="963"/>
      <c r="N42" s="963"/>
      <c r="O42" s="963"/>
      <c r="P42" s="963"/>
    </row>
    <row r="43" spans="3:16" x14ac:dyDescent="0.25">
      <c r="C43" s="963"/>
      <c r="D43" s="963"/>
      <c r="E43" s="963"/>
      <c r="F43" s="963"/>
      <c r="G43" s="963"/>
      <c r="H43" s="963"/>
      <c r="I43" s="963"/>
      <c r="J43" s="963"/>
      <c r="K43" s="963"/>
      <c r="L43" s="963"/>
      <c r="M43" s="963"/>
      <c r="N43" s="963"/>
      <c r="O43" s="963"/>
      <c r="P43" s="963"/>
    </row>
    <row r="44" spans="3:16" x14ac:dyDescent="0.25">
      <c r="C44" s="963"/>
      <c r="D44" s="963"/>
      <c r="E44" s="963"/>
      <c r="F44" s="963"/>
      <c r="G44" s="963"/>
      <c r="H44" s="963"/>
      <c r="I44" s="963"/>
      <c r="J44" s="963"/>
      <c r="K44" s="963"/>
      <c r="L44" s="963"/>
      <c r="M44" s="963"/>
      <c r="N44" s="963"/>
      <c r="O44" s="963"/>
      <c r="P44" s="963"/>
    </row>
    <row r="45" spans="3:16" x14ac:dyDescent="0.25">
      <c r="C45" s="963"/>
      <c r="D45" s="963"/>
      <c r="E45" s="963"/>
      <c r="F45" s="963"/>
      <c r="G45" s="963"/>
      <c r="H45" s="963"/>
      <c r="I45" s="963"/>
      <c r="J45" s="963"/>
      <c r="K45" s="963"/>
      <c r="L45" s="963"/>
      <c r="M45" s="963"/>
      <c r="N45" s="963"/>
      <c r="O45" s="963"/>
      <c r="P45" s="963"/>
    </row>
    <row r="46" spans="3:16" x14ac:dyDescent="0.25">
      <c r="C46" s="963"/>
      <c r="D46" s="963"/>
      <c r="E46" s="963"/>
      <c r="F46" s="963"/>
      <c r="G46" s="963"/>
      <c r="H46" s="963"/>
      <c r="I46" s="963"/>
      <c r="J46" s="963"/>
      <c r="K46" s="963"/>
      <c r="L46" s="963"/>
      <c r="M46" s="963"/>
      <c r="N46" s="963"/>
      <c r="O46" s="963"/>
      <c r="P46" s="963"/>
    </row>
    <row r="48" spans="3:16" x14ac:dyDescent="0.25">
      <c r="C48" s="962" t="s">
        <v>456</v>
      </c>
      <c r="D48" s="963"/>
      <c r="E48" s="963"/>
      <c r="F48" s="963"/>
      <c r="G48" s="963"/>
      <c r="H48" s="963"/>
      <c r="I48" s="963"/>
      <c r="J48" s="963"/>
      <c r="K48" s="963"/>
      <c r="L48" s="963"/>
      <c r="M48" s="963"/>
      <c r="N48" s="963"/>
      <c r="O48" s="963"/>
      <c r="P48" s="963"/>
    </row>
    <row r="49" spans="3:16" x14ac:dyDescent="0.25">
      <c r="C49" s="963"/>
      <c r="D49" s="963"/>
      <c r="E49" s="963"/>
      <c r="F49" s="963"/>
      <c r="G49" s="963"/>
      <c r="H49" s="963"/>
      <c r="I49" s="963"/>
      <c r="J49" s="963"/>
      <c r="K49" s="963"/>
      <c r="L49" s="963"/>
      <c r="M49" s="963"/>
      <c r="N49" s="963"/>
      <c r="O49" s="963"/>
      <c r="P49" s="963"/>
    </row>
    <row r="50" spans="3:16" x14ac:dyDescent="0.25">
      <c r="C50" s="963"/>
      <c r="D50" s="963"/>
      <c r="E50" s="963"/>
      <c r="F50" s="963"/>
      <c r="G50" s="963"/>
      <c r="H50" s="963"/>
      <c r="I50" s="963"/>
      <c r="J50" s="963"/>
      <c r="K50" s="963"/>
      <c r="L50" s="963"/>
      <c r="M50" s="963"/>
      <c r="N50" s="963"/>
      <c r="O50" s="963"/>
      <c r="P50" s="963"/>
    </row>
    <row r="51" spans="3:16" x14ac:dyDescent="0.25">
      <c r="C51" s="963"/>
      <c r="D51" s="963"/>
      <c r="E51" s="963"/>
      <c r="F51" s="963"/>
      <c r="G51" s="963"/>
      <c r="H51" s="963"/>
      <c r="I51" s="963"/>
      <c r="J51" s="963"/>
      <c r="K51" s="963"/>
      <c r="L51" s="963"/>
      <c r="M51" s="963"/>
      <c r="N51" s="963"/>
      <c r="O51" s="963"/>
      <c r="P51" s="963"/>
    </row>
    <row r="52" spans="3:16" x14ac:dyDescent="0.25">
      <c r="C52" s="963"/>
      <c r="D52" s="963"/>
      <c r="E52" s="963"/>
      <c r="F52" s="963"/>
      <c r="G52" s="963"/>
      <c r="H52" s="963"/>
      <c r="I52" s="963"/>
      <c r="J52" s="963"/>
      <c r="K52" s="963"/>
      <c r="L52" s="963"/>
      <c r="M52" s="963"/>
      <c r="N52" s="963"/>
      <c r="O52" s="963"/>
      <c r="P52" s="963"/>
    </row>
    <row r="53" spans="3:16" x14ac:dyDescent="0.25">
      <c r="C53" s="963"/>
      <c r="D53" s="963"/>
      <c r="E53" s="963"/>
      <c r="F53" s="963"/>
      <c r="G53" s="963"/>
      <c r="H53" s="963"/>
      <c r="I53" s="963"/>
      <c r="J53" s="963"/>
      <c r="K53" s="963"/>
      <c r="L53" s="963"/>
      <c r="M53" s="963"/>
      <c r="N53" s="963"/>
      <c r="O53" s="963"/>
      <c r="P53" s="963"/>
    </row>
    <row r="54" spans="3:16" x14ac:dyDescent="0.25">
      <c r="C54" s="963"/>
      <c r="D54" s="963"/>
      <c r="E54" s="963"/>
      <c r="F54" s="963"/>
      <c r="G54" s="963"/>
      <c r="H54" s="963"/>
      <c r="I54" s="963"/>
      <c r="J54" s="963"/>
      <c r="K54" s="963"/>
      <c r="L54" s="963"/>
      <c r="M54" s="963"/>
      <c r="N54" s="963"/>
      <c r="O54" s="963"/>
      <c r="P54" s="963"/>
    </row>
    <row r="55" spans="3:16" x14ac:dyDescent="0.25">
      <c r="C55" s="963"/>
      <c r="D55" s="963"/>
      <c r="E55" s="963"/>
      <c r="F55" s="963"/>
      <c r="G55" s="963"/>
      <c r="H55" s="963"/>
      <c r="I55" s="963"/>
      <c r="J55" s="963"/>
      <c r="K55" s="963"/>
      <c r="L55" s="963"/>
      <c r="M55" s="963"/>
      <c r="N55" s="963"/>
      <c r="O55" s="963"/>
      <c r="P55" s="963"/>
    </row>
    <row r="56" spans="3:16" x14ac:dyDescent="0.25">
      <c r="C56" s="963"/>
      <c r="D56" s="963"/>
      <c r="E56" s="963"/>
      <c r="F56" s="963"/>
      <c r="G56" s="963"/>
      <c r="H56" s="963"/>
      <c r="I56" s="963"/>
      <c r="J56" s="963"/>
      <c r="K56" s="963"/>
      <c r="L56" s="963"/>
      <c r="M56" s="963"/>
      <c r="N56" s="963"/>
      <c r="O56" s="963"/>
      <c r="P56" s="963"/>
    </row>
    <row r="57" spans="3:16" x14ac:dyDescent="0.25">
      <c r="C57" s="963"/>
      <c r="D57" s="963"/>
      <c r="E57" s="963"/>
      <c r="F57" s="963"/>
      <c r="G57" s="963"/>
      <c r="H57" s="963"/>
      <c r="I57" s="963"/>
      <c r="J57" s="963"/>
      <c r="K57" s="963"/>
      <c r="L57" s="963"/>
      <c r="M57" s="963"/>
      <c r="N57" s="963"/>
      <c r="O57" s="963"/>
      <c r="P57" s="963"/>
    </row>
    <row r="59" spans="3:16" x14ac:dyDescent="0.25">
      <c r="C59" s="962" t="s">
        <v>454</v>
      </c>
      <c r="D59" s="963"/>
      <c r="E59" s="963"/>
      <c r="F59" s="963"/>
      <c r="G59" s="963"/>
      <c r="H59" s="963"/>
      <c r="I59" s="963"/>
      <c r="J59" s="963"/>
      <c r="K59" s="963"/>
      <c r="L59" s="963"/>
      <c r="M59" s="963"/>
      <c r="N59" s="963"/>
      <c r="O59" s="963"/>
      <c r="P59" s="963"/>
    </row>
    <row r="60" spans="3:16" x14ac:dyDescent="0.25">
      <c r="C60" s="963"/>
      <c r="D60" s="963"/>
      <c r="E60" s="963"/>
      <c r="F60" s="963"/>
      <c r="G60" s="963"/>
      <c r="H60" s="963"/>
      <c r="I60" s="963"/>
      <c r="J60" s="963"/>
      <c r="K60" s="963"/>
      <c r="L60" s="963"/>
      <c r="M60" s="963"/>
      <c r="N60" s="963"/>
      <c r="O60" s="963"/>
      <c r="P60" s="963"/>
    </row>
    <row r="61" spans="3:16" x14ac:dyDescent="0.25">
      <c r="C61" s="963"/>
      <c r="D61" s="963"/>
      <c r="E61" s="963"/>
      <c r="F61" s="963"/>
      <c r="G61" s="963"/>
      <c r="H61" s="963"/>
      <c r="I61" s="963"/>
      <c r="J61" s="963"/>
      <c r="K61" s="963"/>
      <c r="L61" s="963"/>
      <c r="M61" s="963"/>
      <c r="N61" s="963"/>
      <c r="O61" s="963"/>
      <c r="P61" s="963"/>
    </row>
    <row r="62" spans="3:16" x14ac:dyDescent="0.25">
      <c r="C62" s="963"/>
      <c r="D62" s="963"/>
      <c r="E62" s="963"/>
      <c r="F62" s="963"/>
      <c r="G62" s="963"/>
      <c r="H62" s="963"/>
      <c r="I62" s="963"/>
      <c r="J62" s="963"/>
      <c r="K62" s="963"/>
      <c r="L62" s="963"/>
      <c r="M62" s="963"/>
      <c r="N62" s="963"/>
      <c r="O62" s="963"/>
      <c r="P62" s="963"/>
    </row>
    <row r="63" spans="3:16" x14ac:dyDescent="0.25">
      <c r="C63" s="963"/>
      <c r="D63" s="963"/>
      <c r="E63" s="963"/>
      <c r="F63" s="963"/>
      <c r="G63" s="963"/>
      <c r="H63" s="963"/>
      <c r="I63" s="963"/>
      <c r="J63" s="963"/>
      <c r="K63" s="963"/>
      <c r="L63" s="963"/>
      <c r="M63" s="963"/>
      <c r="N63" s="963"/>
      <c r="O63" s="963"/>
      <c r="P63" s="963"/>
    </row>
    <row r="64" spans="3:16" x14ac:dyDescent="0.25">
      <c r="C64" s="963"/>
      <c r="D64" s="963"/>
      <c r="E64" s="963"/>
      <c r="F64" s="963"/>
      <c r="G64" s="963"/>
      <c r="H64" s="963"/>
      <c r="I64" s="963"/>
      <c r="J64" s="963"/>
      <c r="K64" s="963"/>
      <c r="L64" s="963"/>
      <c r="M64" s="963"/>
      <c r="N64" s="963"/>
      <c r="O64" s="963"/>
      <c r="P64" s="963"/>
    </row>
    <row r="65" spans="3:16" x14ac:dyDescent="0.25">
      <c r="C65" s="963"/>
      <c r="D65" s="963"/>
      <c r="E65" s="963"/>
      <c r="F65" s="963"/>
      <c r="G65" s="963"/>
      <c r="H65" s="963"/>
      <c r="I65" s="963"/>
      <c r="J65" s="963"/>
      <c r="K65" s="963"/>
      <c r="L65" s="963"/>
      <c r="M65" s="963"/>
      <c r="N65" s="963"/>
      <c r="O65" s="963"/>
      <c r="P65" s="963"/>
    </row>
    <row r="66" spans="3:16" x14ac:dyDescent="0.25">
      <c r="C66" s="963"/>
      <c r="D66" s="963"/>
      <c r="E66" s="963"/>
      <c r="F66" s="963"/>
      <c r="G66" s="963"/>
      <c r="H66" s="963"/>
      <c r="I66" s="963"/>
      <c r="J66" s="963"/>
      <c r="K66" s="963"/>
      <c r="L66" s="963"/>
      <c r="M66" s="963"/>
      <c r="N66" s="963"/>
      <c r="O66" s="963"/>
      <c r="P66" s="963"/>
    </row>
    <row r="67" spans="3:16" x14ac:dyDescent="0.25">
      <c r="C67" s="963"/>
      <c r="D67" s="963"/>
      <c r="E67" s="963"/>
      <c r="F67" s="963"/>
      <c r="G67" s="963"/>
      <c r="H67" s="963"/>
      <c r="I67" s="963"/>
      <c r="J67" s="963"/>
      <c r="K67" s="963"/>
      <c r="L67" s="963"/>
      <c r="M67" s="963"/>
      <c r="N67" s="963"/>
      <c r="O67" s="963"/>
      <c r="P67" s="963"/>
    </row>
    <row r="68" spans="3:16" x14ac:dyDescent="0.25">
      <c r="C68" s="963"/>
      <c r="D68" s="963"/>
      <c r="E68" s="963"/>
      <c r="F68" s="963"/>
      <c r="G68" s="963"/>
      <c r="H68" s="963"/>
      <c r="I68" s="963"/>
      <c r="J68" s="963"/>
      <c r="K68" s="963"/>
      <c r="L68" s="963"/>
      <c r="M68" s="963"/>
      <c r="N68" s="963"/>
      <c r="O68" s="963"/>
      <c r="P68" s="963"/>
    </row>
    <row r="69" spans="3:16" x14ac:dyDescent="0.25">
      <c r="C69" s="963"/>
      <c r="D69" s="963"/>
      <c r="E69" s="963"/>
      <c r="F69" s="963"/>
      <c r="G69" s="963"/>
      <c r="H69" s="963"/>
      <c r="I69" s="963"/>
      <c r="J69" s="963"/>
      <c r="K69" s="963"/>
      <c r="L69" s="963"/>
      <c r="M69" s="963"/>
      <c r="N69" s="963"/>
      <c r="O69" s="963"/>
      <c r="P69" s="963"/>
    </row>
    <row r="71" spans="3:16" x14ac:dyDescent="0.25">
      <c r="C71" s="962" t="s">
        <v>470</v>
      </c>
      <c r="D71" s="963"/>
      <c r="E71" s="963"/>
      <c r="F71" s="963"/>
      <c r="G71" s="963"/>
      <c r="H71" s="963"/>
      <c r="I71" s="963"/>
      <c r="J71" s="963"/>
      <c r="K71" s="963"/>
      <c r="L71" s="963"/>
      <c r="M71" s="963"/>
      <c r="N71" s="963"/>
      <c r="O71" s="963"/>
      <c r="P71" s="963"/>
    </row>
    <row r="72" spans="3:16" x14ac:dyDescent="0.25">
      <c r="C72" s="963"/>
      <c r="D72" s="963"/>
      <c r="E72" s="963"/>
      <c r="F72" s="963"/>
      <c r="G72" s="963"/>
      <c r="H72" s="963"/>
      <c r="I72" s="963"/>
      <c r="J72" s="963"/>
      <c r="K72" s="963"/>
      <c r="L72" s="963"/>
      <c r="M72" s="963"/>
      <c r="N72" s="963"/>
      <c r="O72" s="963"/>
      <c r="P72" s="963"/>
    </row>
    <row r="73" spans="3:16" x14ac:dyDescent="0.25">
      <c r="C73" s="963"/>
      <c r="D73" s="963"/>
      <c r="E73" s="963"/>
      <c r="F73" s="963"/>
      <c r="G73" s="963"/>
      <c r="H73" s="963"/>
      <c r="I73" s="963"/>
      <c r="J73" s="963"/>
      <c r="K73" s="963"/>
      <c r="L73" s="963"/>
      <c r="M73" s="963"/>
      <c r="N73" s="963"/>
      <c r="O73" s="963"/>
      <c r="P73" s="963"/>
    </row>
    <row r="74" spans="3:16" x14ac:dyDescent="0.25">
      <c r="C74" s="963"/>
      <c r="D74" s="963"/>
      <c r="E74" s="963"/>
      <c r="F74" s="963"/>
      <c r="G74" s="963"/>
      <c r="H74" s="963"/>
      <c r="I74" s="963"/>
      <c r="J74" s="963"/>
      <c r="K74" s="963"/>
      <c r="L74" s="963"/>
      <c r="M74" s="963"/>
      <c r="N74" s="963"/>
      <c r="O74" s="963"/>
      <c r="P74" s="963"/>
    </row>
    <row r="75" spans="3:16" x14ac:dyDescent="0.25">
      <c r="C75" s="963"/>
      <c r="D75" s="963"/>
      <c r="E75" s="963"/>
      <c r="F75" s="963"/>
      <c r="G75" s="963"/>
      <c r="H75" s="963"/>
      <c r="I75" s="963"/>
      <c r="J75" s="963"/>
      <c r="K75" s="963"/>
      <c r="L75" s="963"/>
      <c r="M75" s="963"/>
      <c r="N75" s="963"/>
      <c r="O75" s="963"/>
      <c r="P75" s="963"/>
    </row>
    <row r="76" spans="3:16" x14ac:dyDescent="0.25">
      <c r="C76" s="963"/>
      <c r="D76" s="963"/>
      <c r="E76" s="963"/>
      <c r="F76" s="963"/>
      <c r="G76" s="963"/>
      <c r="H76" s="963"/>
      <c r="I76" s="963"/>
      <c r="J76" s="963"/>
      <c r="K76" s="963"/>
      <c r="L76" s="963"/>
      <c r="M76" s="963"/>
      <c r="N76" s="963"/>
      <c r="O76" s="963"/>
      <c r="P76" s="963"/>
    </row>
    <row r="77" spans="3:16" x14ac:dyDescent="0.25">
      <c r="C77" s="963"/>
      <c r="D77" s="963"/>
      <c r="E77" s="963"/>
      <c r="F77" s="963"/>
      <c r="G77" s="963"/>
      <c r="H77" s="963"/>
      <c r="I77" s="963"/>
      <c r="J77" s="963"/>
      <c r="K77" s="963"/>
      <c r="L77" s="963"/>
      <c r="M77" s="963"/>
      <c r="N77" s="963"/>
      <c r="O77" s="963"/>
      <c r="P77" s="963"/>
    </row>
    <row r="78" spans="3:16" x14ac:dyDescent="0.25">
      <c r="C78" s="963"/>
      <c r="D78" s="963"/>
      <c r="E78" s="963"/>
      <c r="F78" s="963"/>
      <c r="G78" s="963"/>
      <c r="H78" s="963"/>
      <c r="I78" s="963"/>
      <c r="J78" s="963"/>
      <c r="K78" s="963"/>
      <c r="L78" s="963"/>
      <c r="M78" s="963"/>
      <c r="N78" s="963"/>
      <c r="O78" s="963"/>
      <c r="P78" s="963"/>
    </row>
    <row r="79" spans="3:16" x14ac:dyDescent="0.25">
      <c r="C79" s="963"/>
      <c r="D79" s="963"/>
      <c r="E79" s="963"/>
      <c r="F79" s="963"/>
      <c r="G79" s="963"/>
      <c r="H79" s="963"/>
      <c r="I79" s="963"/>
      <c r="J79" s="963"/>
      <c r="K79" s="963"/>
      <c r="L79" s="963"/>
      <c r="M79" s="963"/>
      <c r="N79" s="963"/>
      <c r="O79" s="963"/>
      <c r="P79" s="963"/>
    </row>
    <row r="80" spans="3:16" x14ac:dyDescent="0.25">
      <c r="C80" s="963"/>
      <c r="D80" s="963"/>
      <c r="E80" s="963"/>
      <c r="F80" s="963"/>
      <c r="G80" s="963"/>
      <c r="H80" s="963"/>
      <c r="I80" s="963"/>
      <c r="J80" s="963"/>
      <c r="K80" s="963"/>
      <c r="L80" s="963"/>
      <c r="M80" s="963"/>
      <c r="N80" s="963"/>
      <c r="O80" s="963"/>
      <c r="P80" s="963"/>
    </row>
  </sheetData>
  <sheetProtection algorithmName="SHA-512" hashValue="fUWRyXQMuOSMkfeLKLMHPOkTQOaquLXNz4g6K22V24Su6NhZoMEHaABZ+qALfcS3+ANxiCCrDik5ZCSF9mjj8g==" saltValue="SmBJ2A8nfnbUI+o0hfiXBQ==" spinCount="100000" sheet="1" objects="1" scenarios="1"/>
  <mergeCells count="5">
    <mergeCell ref="C37:P46"/>
    <mergeCell ref="C48:P57"/>
    <mergeCell ref="C59:P69"/>
    <mergeCell ref="C71:P80"/>
    <mergeCell ref="C7:Q20"/>
  </mergeCells>
  <conditionalFormatting sqref="C7">
    <cfRule type="notContainsBlanks" dxfId="2" priority="3">
      <formula>LEN(TRIM(C7))&gt;0</formula>
    </cfRule>
  </conditionalFormatting>
  <pageMargins left="0.511811024" right="0.511811024" top="0.78740157499999996" bottom="0.78740157499999996" header="0.31496062000000002" footer="0.31496062000000002"/>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80"/>
  <sheetViews>
    <sheetView topLeftCell="D1" workbookViewId="0">
      <selection activeCell="F33" sqref="F33"/>
    </sheetView>
  </sheetViews>
  <sheetFormatPr defaultColWidth="35.7109375" defaultRowHeight="22.5" customHeight="1" x14ac:dyDescent="0.2"/>
  <cols>
    <col min="1" max="1" width="3.140625" style="382" customWidth="1"/>
    <col min="2" max="2" width="33" style="382" customWidth="1"/>
    <col min="3" max="3" width="52.28515625" style="382" bestFit="1" customWidth="1"/>
    <col min="4" max="4" width="35.7109375" style="382"/>
    <col min="5" max="5" width="45.28515625" style="382" bestFit="1" customWidth="1"/>
    <col min="6" max="8" width="35.7109375" style="382"/>
    <col min="9" max="9" width="38.28515625" style="382" bestFit="1" customWidth="1"/>
    <col min="10" max="16384" width="35.7109375" style="382"/>
  </cols>
  <sheetData>
    <row r="2" spans="2:11" ht="22.5" customHeight="1" x14ac:dyDescent="0.2">
      <c r="I2" s="382" t="s">
        <v>1023</v>
      </c>
    </row>
    <row r="3" spans="2:11" ht="22.5" customHeight="1" x14ac:dyDescent="0.2">
      <c r="B3" s="383" t="s">
        <v>1024</v>
      </c>
      <c r="C3" s="383" t="s">
        <v>22</v>
      </c>
      <c r="D3" s="385" t="s">
        <v>2511</v>
      </c>
      <c r="E3" s="386" t="s">
        <v>2512</v>
      </c>
      <c r="F3" s="387" t="s">
        <v>2513</v>
      </c>
      <c r="G3" s="388" t="s">
        <v>2514</v>
      </c>
      <c r="H3" s="384" t="s">
        <v>2510</v>
      </c>
      <c r="I3" s="591" t="s">
        <v>2707</v>
      </c>
      <c r="J3" s="584" t="s">
        <v>2708</v>
      </c>
      <c r="K3" s="585" t="s">
        <v>2709</v>
      </c>
    </row>
    <row r="4" spans="2:11" ht="22.5" customHeight="1" x14ac:dyDescent="0.2">
      <c r="B4" s="389" t="s">
        <v>2511</v>
      </c>
      <c r="C4" s="389"/>
      <c r="D4" s="385" t="s">
        <v>1136</v>
      </c>
      <c r="E4" s="391" t="s">
        <v>1145</v>
      </c>
      <c r="F4" s="387" t="s">
        <v>1150</v>
      </c>
      <c r="G4" s="392" t="s">
        <v>1156</v>
      </c>
      <c r="H4" s="390" t="s">
        <v>1025</v>
      </c>
      <c r="I4" s="591" t="s">
        <v>2669</v>
      </c>
      <c r="J4" s="584" t="s">
        <v>2661</v>
      </c>
      <c r="K4" s="585" t="s">
        <v>2681</v>
      </c>
    </row>
    <row r="5" spans="2:11" ht="22.5" customHeight="1" x14ac:dyDescent="0.2">
      <c r="D5" s="385" t="s">
        <v>1137</v>
      </c>
      <c r="E5" s="391" t="s">
        <v>1146</v>
      </c>
      <c r="F5" s="387" t="s">
        <v>1151</v>
      </c>
      <c r="G5" s="392" t="s">
        <v>1157</v>
      </c>
      <c r="H5" s="390" t="s">
        <v>1026</v>
      </c>
      <c r="I5" s="591" t="s">
        <v>2670</v>
      </c>
      <c r="J5" s="584" t="s">
        <v>2662</v>
      </c>
      <c r="K5" s="585" t="s">
        <v>2682</v>
      </c>
    </row>
    <row r="6" spans="2:11" ht="22.5" customHeight="1" x14ac:dyDescent="0.2">
      <c r="D6" s="385" t="s">
        <v>1138</v>
      </c>
      <c r="E6" s="391" t="s">
        <v>2637</v>
      </c>
      <c r="F6" s="387" t="s">
        <v>2659</v>
      </c>
      <c r="G6" s="392" t="s">
        <v>2638</v>
      </c>
      <c r="H6" s="390" t="s">
        <v>1027</v>
      </c>
      <c r="I6" s="591" t="s">
        <v>2673</v>
      </c>
      <c r="J6" s="584" t="s">
        <v>2663</v>
      </c>
      <c r="K6" s="585" t="s">
        <v>2683</v>
      </c>
    </row>
    <row r="7" spans="2:11" ht="22.5" customHeight="1" x14ac:dyDescent="0.2">
      <c r="D7" s="385" t="s">
        <v>1139</v>
      </c>
      <c r="E7" s="391" t="s">
        <v>2642</v>
      </c>
      <c r="F7" s="387" t="s">
        <v>2654</v>
      </c>
      <c r="G7" s="392" t="s">
        <v>2639</v>
      </c>
      <c r="H7" s="390" t="s">
        <v>1028</v>
      </c>
      <c r="I7" s="591" t="s">
        <v>2674</v>
      </c>
      <c r="J7" s="584" t="s">
        <v>2664</v>
      </c>
      <c r="K7" s="585" t="s">
        <v>2684</v>
      </c>
    </row>
    <row r="8" spans="2:11" ht="22.5" customHeight="1" x14ac:dyDescent="0.2">
      <c r="D8" s="385" t="s">
        <v>1134</v>
      </c>
      <c r="E8" s="391" t="s">
        <v>2643</v>
      </c>
      <c r="F8" s="387" t="s">
        <v>2655</v>
      </c>
      <c r="G8" s="392" t="s">
        <v>2640</v>
      </c>
      <c r="I8" s="591" t="s">
        <v>2675</v>
      </c>
      <c r="J8" s="584" t="s">
        <v>2665</v>
      </c>
      <c r="K8" s="585" t="s">
        <v>2685</v>
      </c>
    </row>
    <row r="9" spans="2:11" ht="22.5" customHeight="1" x14ac:dyDescent="0.2">
      <c r="D9" s="385" t="s">
        <v>1135</v>
      </c>
      <c r="E9" s="391" t="s">
        <v>2644</v>
      </c>
      <c r="F9" s="387" t="s">
        <v>2656</v>
      </c>
      <c r="G9" s="392" t="s">
        <v>2641</v>
      </c>
      <c r="I9" s="591" t="s">
        <v>2676</v>
      </c>
      <c r="J9" s="584" t="s">
        <v>2666</v>
      </c>
      <c r="K9" s="585" t="s">
        <v>2686</v>
      </c>
    </row>
    <row r="10" spans="2:11" ht="22.5" customHeight="1" x14ac:dyDescent="0.2">
      <c r="D10" s="385" t="s">
        <v>1140</v>
      </c>
      <c r="E10" s="391" t="s">
        <v>2645</v>
      </c>
      <c r="F10" s="387" t="s">
        <v>2657</v>
      </c>
      <c r="G10" s="392" t="s">
        <v>1154</v>
      </c>
      <c r="I10" s="591" t="s">
        <v>2677</v>
      </c>
      <c r="J10" s="584" t="s">
        <v>2667</v>
      </c>
      <c r="K10" s="585" t="s">
        <v>2687</v>
      </c>
    </row>
    <row r="11" spans="2:11" ht="22.5" customHeight="1" x14ac:dyDescent="0.2">
      <c r="D11" s="385" t="s">
        <v>1141</v>
      </c>
      <c r="E11" s="391" t="s">
        <v>2646</v>
      </c>
      <c r="F11" s="387" t="s">
        <v>2658</v>
      </c>
      <c r="G11" s="392" t="s">
        <v>1155</v>
      </c>
      <c r="I11" s="591" t="s">
        <v>2678</v>
      </c>
      <c r="J11" s="584" t="s">
        <v>2668</v>
      </c>
      <c r="K11" s="585" t="s">
        <v>2688</v>
      </c>
    </row>
    <row r="12" spans="2:11" ht="22.5" customHeight="1" x14ac:dyDescent="0.2">
      <c r="D12" s="385" t="s">
        <v>1142</v>
      </c>
      <c r="E12" s="391" t="s">
        <v>2647</v>
      </c>
      <c r="F12" s="387" t="s">
        <v>2710</v>
      </c>
      <c r="G12" s="392" t="s">
        <v>2649</v>
      </c>
      <c r="I12" s="591" t="s">
        <v>2679</v>
      </c>
      <c r="J12" s="584" t="s">
        <v>2671</v>
      </c>
      <c r="K12" s="585" t="s">
        <v>2689</v>
      </c>
    </row>
    <row r="13" spans="2:11" ht="22.5" customHeight="1" x14ac:dyDescent="0.2">
      <c r="D13" s="385" t="s">
        <v>2623</v>
      </c>
      <c r="E13" s="391" t="s">
        <v>2648</v>
      </c>
      <c r="F13" s="387" t="s">
        <v>2711</v>
      </c>
      <c r="G13" s="392" t="s">
        <v>2696</v>
      </c>
      <c r="I13" s="591" t="s">
        <v>2680</v>
      </c>
      <c r="J13" s="584" t="s">
        <v>2672</v>
      </c>
      <c r="K13" s="585" t="s">
        <v>2690</v>
      </c>
    </row>
    <row r="14" spans="2:11" ht="22.5" customHeight="1" x14ac:dyDescent="0.2">
      <c r="E14" s="391" t="s">
        <v>1143</v>
      </c>
      <c r="F14" s="387" t="s">
        <v>2712</v>
      </c>
      <c r="G14" s="392" t="s">
        <v>2697</v>
      </c>
      <c r="K14" s="585" t="s">
        <v>2691</v>
      </c>
    </row>
    <row r="15" spans="2:11" ht="22.5" customHeight="1" x14ac:dyDescent="0.2">
      <c r="E15" s="391" t="s">
        <v>1144</v>
      </c>
      <c r="F15" s="387" t="s">
        <v>2713</v>
      </c>
      <c r="G15" s="392" t="s">
        <v>2698</v>
      </c>
      <c r="K15" s="585" t="s">
        <v>2692</v>
      </c>
    </row>
    <row r="16" spans="2:11" ht="22.5" customHeight="1" x14ac:dyDescent="0.2">
      <c r="E16" s="391" t="s">
        <v>2517</v>
      </c>
      <c r="F16" s="387" t="s">
        <v>2714</v>
      </c>
      <c r="G16" s="392" t="s">
        <v>1029</v>
      </c>
      <c r="K16" s="585" t="s">
        <v>2693</v>
      </c>
    </row>
    <row r="17" spans="5:11" ht="22.5" customHeight="1" x14ac:dyDescent="0.2">
      <c r="E17" s="391" t="s">
        <v>2635</v>
      </c>
      <c r="F17" s="387" t="s">
        <v>2715</v>
      </c>
      <c r="G17" s="392" t="s">
        <v>1030</v>
      </c>
      <c r="K17" s="585" t="s">
        <v>2694</v>
      </c>
    </row>
    <row r="18" spans="5:11" ht="22.5" customHeight="1" x14ac:dyDescent="0.2">
      <c r="E18" s="391" t="s">
        <v>2653</v>
      </c>
      <c r="F18" s="387" t="s">
        <v>1152</v>
      </c>
      <c r="G18" s="392" t="s">
        <v>2650</v>
      </c>
      <c r="J18" s="382" t="s">
        <v>4</v>
      </c>
    </row>
    <row r="19" spans="5:11" ht="22.5" customHeight="1" x14ac:dyDescent="0.2">
      <c r="E19" s="391" t="s">
        <v>1147</v>
      </c>
      <c r="F19" s="387" t="s">
        <v>1153</v>
      </c>
    </row>
    <row r="20" spans="5:11" ht="22.5" customHeight="1" x14ac:dyDescent="0.2">
      <c r="E20" s="391" t="s">
        <v>1148</v>
      </c>
      <c r="F20" s="387" t="s">
        <v>2716</v>
      </c>
    </row>
    <row r="21" spans="5:11" ht="22.5" customHeight="1" x14ac:dyDescent="0.2">
      <c r="E21" s="391" t="s">
        <v>1149</v>
      </c>
      <c r="F21" s="387" t="s">
        <v>2717</v>
      </c>
    </row>
    <row r="22" spans="5:11" ht="22.5" customHeight="1" x14ac:dyDescent="0.2">
      <c r="E22" s="391" t="s">
        <v>2652</v>
      </c>
      <c r="F22" s="387" t="s">
        <v>2718</v>
      </c>
    </row>
    <row r="23" spans="5:11" ht="22.5" customHeight="1" x14ac:dyDescent="0.2">
      <c r="E23" s="391" t="s">
        <v>2625</v>
      </c>
      <c r="F23" s="387" t="s">
        <v>2719</v>
      </c>
    </row>
    <row r="24" spans="5:11" ht="22.5" customHeight="1" x14ac:dyDescent="0.2">
      <c r="E24" s="391" t="s">
        <v>2651</v>
      </c>
      <c r="F24" s="387" t="s">
        <v>2627</v>
      </c>
    </row>
    <row r="25" spans="5:11" ht="22.5" customHeight="1" x14ac:dyDescent="0.2">
      <c r="F25" s="387" t="s">
        <v>2628</v>
      </c>
    </row>
    <row r="26" spans="5:11" ht="22.5" customHeight="1" x14ac:dyDescent="0.2">
      <c r="F26" s="387" t="s">
        <v>2629</v>
      </c>
    </row>
    <row r="27" spans="5:11" ht="22.5" customHeight="1" x14ac:dyDescent="0.2">
      <c r="F27" s="387" t="s">
        <v>2630</v>
      </c>
    </row>
    <row r="28" spans="5:11" ht="22.5" customHeight="1" x14ac:dyDescent="0.2">
      <c r="F28" s="387" t="s">
        <v>2631</v>
      </c>
    </row>
    <row r="29" spans="5:11" ht="22.5" customHeight="1" x14ac:dyDescent="0.2">
      <c r="F29" s="387" t="s">
        <v>2632</v>
      </c>
    </row>
    <row r="30" spans="5:11" ht="22.5" customHeight="1" x14ac:dyDescent="0.2">
      <c r="F30" s="387" t="s">
        <v>2518</v>
      </c>
    </row>
    <row r="31" spans="5:11" ht="22.5" customHeight="1" x14ac:dyDescent="0.2">
      <c r="F31" s="387" t="s">
        <v>2519</v>
      </c>
    </row>
    <row r="32" spans="5:11" ht="22.5" customHeight="1" x14ac:dyDescent="0.2">
      <c r="F32" s="387" t="s">
        <v>2626</v>
      </c>
    </row>
    <row r="33" spans="5:6" ht="22.5" customHeight="1" x14ac:dyDescent="0.2">
      <c r="F33" s="387" t="s">
        <v>2720</v>
      </c>
    </row>
    <row r="34" spans="5:6" ht="22.5" customHeight="1" x14ac:dyDescent="0.2">
      <c r="F34" s="387" t="s">
        <v>2721</v>
      </c>
    </row>
    <row r="35" spans="5:6" ht="22.5" customHeight="1" x14ac:dyDescent="0.2">
      <c r="F35" s="387" t="s">
        <v>2722</v>
      </c>
    </row>
    <row r="36" spans="5:6" ht="22.5" customHeight="1" x14ac:dyDescent="0.2">
      <c r="E36" s="381"/>
    </row>
    <row r="37" spans="5:6" ht="22.5" customHeight="1" x14ac:dyDescent="0.2">
      <c r="E37" s="381"/>
    </row>
    <row r="38" spans="5:6" ht="22.5" customHeight="1" x14ac:dyDescent="0.2">
      <c r="E38" s="381"/>
    </row>
    <row r="39" spans="5:6" ht="22.5" customHeight="1" x14ac:dyDescent="0.2">
      <c r="E39" s="381"/>
    </row>
    <row r="40" spans="5:6" ht="22.5" customHeight="1" x14ac:dyDescent="0.2">
      <c r="E40" s="381"/>
    </row>
    <row r="41" spans="5:6" ht="22.5" customHeight="1" x14ac:dyDescent="0.2">
      <c r="E41" s="381"/>
    </row>
    <row r="42" spans="5:6" ht="22.5" customHeight="1" x14ac:dyDescent="0.2">
      <c r="E42" s="381"/>
    </row>
    <row r="43" spans="5:6" ht="22.5" customHeight="1" x14ac:dyDescent="0.2">
      <c r="E43" s="381"/>
    </row>
    <row r="44" spans="5:6" ht="22.5" customHeight="1" x14ac:dyDescent="0.2">
      <c r="E44" s="381"/>
    </row>
    <row r="45" spans="5:6" ht="22.5" customHeight="1" x14ac:dyDescent="0.2">
      <c r="E45" s="381"/>
    </row>
    <row r="46" spans="5:6" ht="22.5" customHeight="1" x14ac:dyDescent="0.2">
      <c r="E46" s="381"/>
    </row>
    <row r="47" spans="5:6" ht="22.5" customHeight="1" x14ac:dyDescent="0.2">
      <c r="E47" s="381"/>
    </row>
    <row r="48" spans="5:6" ht="22.5" customHeight="1" x14ac:dyDescent="0.2">
      <c r="E48" s="381"/>
    </row>
    <row r="49" spans="5:5" ht="22.5" customHeight="1" x14ac:dyDescent="0.2">
      <c r="E49" s="381"/>
    </row>
    <row r="50" spans="5:5" ht="22.5" customHeight="1" x14ac:dyDescent="0.2">
      <c r="E50" s="381"/>
    </row>
    <row r="51" spans="5:5" ht="22.5" customHeight="1" x14ac:dyDescent="0.2">
      <c r="E51" s="381"/>
    </row>
    <row r="52" spans="5:5" ht="22.5" customHeight="1" x14ac:dyDescent="0.2">
      <c r="E52" s="381"/>
    </row>
    <row r="53" spans="5:5" ht="22.5" customHeight="1" x14ac:dyDescent="0.2">
      <c r="E53" s="381"/>
    </row>
    <row r="54" spans="5:5" ht="22.5" customHeight="1" x14ac:dyDescent="0.2">
      <c r="E54" s="381"/>
    </row>
    <row r="55" spans="5:5" ht="22.5" customHeight="1" x14ac:dyDescent="0.2">
      <c r="E55" s="381"/>
    </row>
    <row r="56" spans="5:5" ht="22.5" customHeight="1" x14ac:dyDescent="0.2">
      <c r="E56" s="381"/>
    </row>
    <row r="57" spans="5:5" ht="22.5" customHeight="1" x14ac:dyDescent="0.2">
      <c r="E57" s="381"/>
    </row>
    <row r="58" spans="5:5" ht="22.5" customHeight="1" x14ac:dyDescent="0.2">
      <c r="E58" s="381"/>
    </row>
    <row r="59" spans="5:5" ht="22.5" customHeight="1" x14ac:dyDescent="0.2">
      <c r="E59" s="381"/>
    </row>
    <row r="60" spans="5:5" ht="22.5" customHeight="1" x14ac:dyDescent="0.2">
      <c r="E60" s="381"/>
    </row>
    <row r="61" spans="5:5" ht="22.5" customHeight="1" x14ac:dyDescent="0.2">
      <c r="E61" s="381"/>
    </row>
    <row r="62" spans="5:5" ht="22.5" customHeight="1" x14ac:dyDescent="0.2">
      <c r="E62" s="381"/>
    </row>
    <row r="63" spans="5:5" ht="22.5" customHeight="1" x14ac:dyDescent="0.2">
      <c r="E63" s="381"/>
    </row>
    <row r="64" spans="5:5" ht="22.5" customHeight="1" x14ac:dyDescent="0.2">
      <c r="E64" s="381"/>
    </row>
    <row r="65" spans="5:5" ht="22.5" customHeight="1" x14ac:dyDescent="0.2">
      <c r="E65" s="381"/>
    </row>
    <row r="66" spans="5:5" ht="22.5" customHeight="1" x14ac:dyDescent="0.2">
      <c r="E66" s="381"/>
    </row>
    <row r="67" spans="5:5" ht="22.5" customHeight="1" x14ac:dyDescent="0.2">
      <c r="E67" s="381"/>
    </row>
    <row r="68" spans="5:5" ht="22.5" customHeight="1" x14ac:dyDescent="0.2">
      <c r="E68" s="381"/>
    </row>
    <row r="69" spans="5:5" ht="22.5" customHeight="1" x14ac:dyDescent="0.2">
      <c r="E69" s="381"/>
    </row>
    <row r="70" spans="5:5" ht="22.5" customHeight="1" x14ac:dyDescent="0.2">
      <c r="E70" s="381"/>
    </row>
    <row r="71" spans="5:5" ht="22.5" customHeight="1" x14ac:dyDescent="0.2">
      <c r="E71" s="381"/>
    </row>
    <row r="72" spans="5:5" ht="22.5" customHeight="1" x14ac:dyDescent="0.2">
      <c r="E72" s="381"/>
    </row>
    <row r="73" spans="5:5" ht="22.5" customHeight="1" x14ac:dyDescent="0.2">
      <c r="E73" s="381"/>
    </row>
    <row r="74" spans="5:5" ht="22.5" customHeight="1" x14ac:dyDescent="0.2">
      <c r="E74" s="381"/>
    </row>
    <row r="75" spans="5:5" ht="22.5" customHeight="1" x14ac:dyDescent="0.2">
      <c r="E75" s="381"/>
    </row>
    <row r="76" spans="5:5" ht="22.5" customHeight="1" x14ac:dyDescent="0.2">
      <c r="E76" s="381"/>
    </row>
    <row r="77" spans="5:5" ht="22.5" customHeight="1" x14ac:dyDescent="0.2">
      <c r="E77" s="381"/>
    </row>
    <row r="78" spans="5:5" ht="22.5" customHeight="1" x14ac:dyDescent="0.2">
      <c r="E78" s="381"/>
    </row>
    <row r="79" spans="5:5" ht="22.5" customHeight="1" x14ac:dyDescent="0.2">
      <c r="E79" s="381"/>
    </row>
    <row r="80" spans="5:5" ht="22.5" customHeight="1" x14ac:dyDescent="0.2">
      <c r="E80" s="381"/>
    </row>
  </sheetData>
  <sortState xmlns:xlrd2="http://schemas.microsoft.com/office/spreadsheetml/2017/richdata2" ref="I36:I43">
    <sortCondition ref="I36:I43"/>
  </sortState>
  <phoneticPr fontId="4" type="noConversion"/>
  <dataValidations count="2">
    <dataValidation type="list" allowBlank="1" showInputMessage="1" showErrorMessage="1" sqref="B4" xr:uid="{00000000-0002-0000-0100-000000000000}">
      <formula1>$D$3:$K$3</formula1>
    </dataValidation>
    <dataValidation type="list" allowBlank="1" showInputMessage="1" showErrorMessage="1" sqref="C4" xr:uid="{00000000-0002-0000-0100-000001000000}">
      <formula1>INDIRECT($B$4)</formula1>
    </dataValidation>
  </dataValidation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A2205"/>
  <sheetViews>
    <sheetView zoomScale="90" zoomScaleNormal="90" workbookViewId="0">
      <pane ySplit="2" topLeftCell="A3" activePane="bottomLeft" state="frozen"/>
      <selection activeCell="B33" sqref="B33:R35"/>
      <selection pane="bottomLeft" activeCell="B2188" sqref="B2188"/>
    </sheetView>
  </sheetViews>
  <sheetFormatPr defaultRowHeight="12.75" x14ac:dyDescent="0.2"/>
  <cols>
    <col min="1" max="1" width="18.42578125" style="111" customWidth="1"/>
    <col min="2" max="2" width="42.85546875" style="111" customWidth="1"/>
    <col min="3" max="4" width="37.85546875" style="111" customWidth="1"/>
    <col min="5" max="5" width="35.7109375" style="111" customWidth="1"/>
    <col min="6" max="6" width="32.140625" style="111" bestFit="1" customWidth="1"/>
    <col min="7" max="11" width="10.7109375" style="111" customWidth="1"/>
    <col min="12" max="12" width="9.140625" style="111"/>
    <col min="13" max="13" width="23.42578125" style="111" customWidth="1"/>
    <col min="14" max="14" width="9.140625" style="111"/>
    <col min="15" max="15" width="37.140625" style="168" customWidth="1"/>
    <col min="16" max="16" width="25.28515625" style="168" bestFit="1" customWidth="1"/>
    <col min="17" max="17" width="12.85546875" style="168" bestFit="1" customWidth="1"/>
    <col min="18" max="18" width="23" style="168" bestFit="1" customWidth="1"/>
    <col min="19" max="19" width="23" style="168" customWidth="1"/>
    <col min="20" max="20" width="38.42578125" style="168" bestFit="1" customWidth="1"/>
    <col min="21" max="23" width="9.140625" style="111"/>
    <col min="24" max="24" width="10" style="111" bestFit="1" customWidth="1"/>
    <col min="25" max="16384" width="9.140625" style="111"/>
  </cols>
  <sheetData>
    <row r="2" spans="1:27" ht="18" customHeight="1" x14ac:dyDescent="0.2">
      <c r="A2" s="561" t="s">
        <v>2660</v>
      </c>
      <c r="B2" s="561" t="s">
        <v>22</v>
      </c>
      <c r="C2" s="561" t="s">
        <v>177</v>
      </c>
      <c r="D2" s="561" t="s">
        <v>243</v>
      </c>
      <c r="E2" s="561" t="s">
        <v>23</v>
      </c>
      <c r="F2" s="562" t="s">
        <v>234</v>
      </c>
      <c r="G2" s="562"/>
      <c r="H2" s="562"/>
      <c r="I2" s="562"/>
      <c r="J2" s="562"/>
      <c r="K2" s="562"/>
      <c r="O2" s="330" t="s">
        <v>23</v>
      </c>
      <c r="P2" s="330" t="s">
        <v>234</v>
      </c>
      <c r="Q2" s="183" t="s">
        <v>66</v>
      </c>
      <c r="R2" s="185" t="s">
        <v>317</v>
      </c>
      <c r="S2" s="185" t="s">
        <v>439</v>
      </c>
      <c r="T2" s="185" t="s">
        <v>318</v>
      </c>
    </row>
    <row r="3" spans="1:27" ht="21" x14ac:dyDescent="0.2">
      <c r="A3" s="114">
        <v>11</v>
      </c>
      <c r="B3" s="434" t="s">
        <v>1150</v>
      </c>
      <c r="C3" s="115" t="s">
        <v>498</v>
      </c>
      <c r="D3" s="114" t="s">
        <v>499</v>
      </c>
      <c r="E3" s="351" t="str">
        <f>IF(O3="","",O3)</f>
        <v>PEDRANTE</v>
      </c>
      <c r="F3" s="563">
        <f>IF(B3="","",VLOOKUP(E3,$O$2:$T$120,6,0))</f>
        <v>106986</v>
      </c>
      <c r="G3" s="564"/>
      <c r="H3" s="564"/>
      <c r="I3" s="564"/>
      <c r="J3" s="564"/>
      <c r="K3" s="565"/>
      <c r="O3" s="330" t="s">
        <v>500</v>
      </c>
      <c r="P3" s="331">
        <v>155053</v>
      </c>
      <c r="Q3" s="186">
        <f>IF(RECEBÍVEIS!$I$4=0,"",ROUNDDOWN($P3*VLOOKUP(RECEBÍVEIS!$I$4,'REL LINHAS'!$P$121:$Q$219,2,0),0))</f>
        <v>142648</v>
      </c>
      <c r="R3" s="187">
        <f>IF(PERFIL!$C$24="","",PERFIL!$C$24)</f>
        <v>0</v>
      </c>
      <c r="S3" s="187" t="str">
        <f>IF('DESP. ADM.'!$F$91="","",IF('DESP. ADM.'!$F$44="",IF('DESP. ADM.'!$E$91='DESP. ADM.'!$F$91,1,IF(SUM('DESP. ADM.'!$F$91/'DESP. ADM.'!$E$91)&gt;103%,103%,'DESP. ADM.'!$F$91/'DESP. ADM.'!$E$91)),100%-'DESP. ADM.'!$F$44/1100))</f>
        <v/>
      </c>
      <c r="T3" s="185">
        <f>IF(Q3="",'REL LINHAS'!P3,IF(S3="",ROUNDDOWN(SUM(Q3*0.75),0),ROUNDUP(SUM(Q3,Q3*R3)*S3,0)))</f>
        <v>106986</v>
      </c>
      <c r="W3" s="323"/>
    </row>
    <row r="4" spans="1:27" ht="43.5" x14ac:dyDescent="0.2">
      <c r="A4" s="166" t="s">
        <v>779</v>
      </c>
      <c r="B4" s="116" t="s">
        <v>0</v>
      </c>
      <c r="C4" s="116" t="s">
        <v>20</v>
      </c>
      <c r="D4" s="116" t="s">
        <v>21</v>
      </c>
      <c r="E4" s="116" t="s">
        <v>1</v>
      </c>
      <c r="F4" s="117" t="s">
        <v>3</v>
      </c>
      <c r="G4" s="116" t="s">
        <v>216</v>
      </c>
      <c r="H4" s="180" t="s">
        <v>242</v>
      </c>
      <c r="I4" s="116" t="s">
        <v>245</v>
      </c>
      <c r="J4" s="116" t="s">
        <v>217</v>
      </c>
      <c r="K4" s="116" t="s">
        <v>218</v>
      </c>
      <c r="O4" s="330" t="s">
        <v>526</v>
      </c>
      <c r="P4" s="331">
        <v>87638</v>
      </c>
      <c r="Q4" s="186">
        <f>IF(RECEBÍVEIS!$I$4=0,"",ROUNDDOWN($P4*VLOOKUP(RECEBÍVEIS!$I$4,'REL LINHAS'!$P$121:$Q$219,2,0),0))</f>
        <v>80626</v>
      </c>
      <c r="R4" s="187">
        <f>IF(PERFIL!$C$24="","",PERFIL!$C$24)</f>
        <v>0</v>
      </c>
      <c r="S4" s="187" t="str">
        <f>IF('DESP. ADM.'!$F$91="","",IF('DESP. ADM.'!$F$44="",IF('DESP. ADM.'!$E$91='DESP. ADM.'!$F$91,1,IF(SUM('DESP. ADM.'!$F$91/'DESP. ADM.'!$E$91)&gt;103%,103%,'DESP. ADM.'!$F$91/'DESP. ADM.'!$E$91)),100%-'DESP. ADM.'!$F$44/1100))</f>
        <v/>
      </c>
      <c r="T4" s="185">
        <f>IF(Q4="",'REL LINHAS'!P4,IF(S4="",ROUNDDOWN(SUM(Q4*0.75),0),ROUNDUP(SUM(Q4,Q4*R4)*S4,0)))</f>
        <v>60469</v>
      </c>
      <c r="W4" s="324"/>
      <c r="X4" s="285"/>
      <c r="Z4" s="166"/>
    </row>
    <row r="5" spans="1:27" ht="17.25" x14ac:dyDescent="0.2">
      <c r="B5" s="332" t="s">
        <v>501</v>
      </c>
      <c r="C5" s="112" t="s">
        <v>502</v>
      </c>
      <c r="D5" s="113" t="s">
        <v>503</v>
      </c>
      <c r="E5" s="107" t="s">
        <v>55</v>
      </c>
      <c r="F5" s="333">
        <v>14</v>
      </c>
      <c r="G5" s="57">
        <v>18</v>
      </c>
      <c r="H5" s="65">
        <v>2</v>
      </c>
      <c r="I5" s="69">
        <f>IF(G5="","",SUM(G5:H5))</f>
        <v>20</v>
      </c>
      <c r="J5" s="64">
        <f>IF(G5="","",ROUNDUP(G5*0.65,0))</f>
        <v>12</v>
      </c>
      <c r="K5" s="64">
        <f>IF(G5="","",ROUNDUP(G5*0.55,0))</f>
        <v>10</v>
      </c>
      <c r="O5" s="330" t="s">
        <v>527</v>
      </c>
      <c r="P5" s="331">
        <v>97751</v>
      </c>
      <c r="Q5" s="186">
        <f>IF(RECEBÍVEIS!$I$4=0,"",ROUNDDOWN($P5*VLOOKUP(RECEBÍVEIS!$I$4,'REL LINHAS'!$P$121:$Q$219,2,0),0))</f>
        <v>89930</v>
      </c>
      <c r="R5" s="187">
        <f>IF(PERFIL!$C$24="","",PERFIL!$C$24)</f>
        <v>0</v>
      </c>
      <c r="S5" s="187" t="str">
        <f>IF('DESP. ADM.'!$F$91="","",IF('DESP. ADM.'!$F$44="",IF('DESP. ADM.'!$E$91='DESP. ADM.'!$F$91,1,IF(SUM('DESP. ADM.'!$F$91/'DESP. ADM.'!$E$91)&gt;103%,103%,'DESP. ADM.'!$F$91/'DESP. ADM.'!$E$91)),100%-'DESP. ADM.'!$F$44/1100))</f>
        <v/>
      </c>
      <c r="T5" s="185">
        <f>IF(Q5="",'REL LINHAS'!P5,IF(S5="",ROUNDDOWN(SUM(Q5*0.75),0),ROUNDUP(SUM(Q5,Q5*R5)*S5,0)))</f>
        <v>67447</v>
      </c>
      <c r="W5" s="324"/>
      <c r="X5" s="285"/>
      <c r="Z5" s="166" t="s">
        <v>313</v>
      </c>
      <c r="AA5" s="165">
        <v>0</v>
      </c>
    </row>
    <row r="6" spans="1:27" ht="17.25" x14ac:dyDescent="0.2">
      <c r="B6" s="332" t="s">
        <v>504</v>
      </c>
      <c r="C6" s="112" t="s">
        <v>502</v>
      </c>
      <c r="D6" s="113" t="s">
        <v>505</v>
      </c>
      <c r="E6" s="107" t="s">
        <v>55</v>
      </c>
      <c r="F6" s="333">
        <v>14</v>
      </c>
      <c r="G6" s="57">
        <v>18</v>
      </c>
      <c r="H6" s="65">
        <v>2</v>
      </c>
      <c r="I6" s="69">
        <f t="shared" ref="I6:I15" si="0">IF(G6="","",SUM(G6:H6))</f>
        <v>20</v>
      </c>
      <c r="J6" s="64">
        <f t="shared" ref="J6:J20" si="1">IF(G6="","",ROUNDUP(G6*0.65,0))</f>
        <v>12</v>
      </c>
      <c r="K6" s="64">
        <f t="shared" ref="K6:K20" si="2">IF(G6="","",ROUNDUP(G6*0.55,0))</f>
        <v>10</v>
      </c>
      <c r="O6" s="330" t="s">
        <v>528</v>
      </c>
      <c r="P6" s="331">
        <v>87638</v>
      </c>
      <c r="Q6" s="186">
        <f>IF(RECEBÍVEIS!$I$4=0,"",ROUNDDOWN($P6*VLOOKUP(RECEBÍVEIS!$I$4,'REL LINHAS'!$P$121:$Q$219,2,0),0))</f>
        <v>80626</v>
      </c>
      <c r="R6" s="187">
        <f>IF(PERFIL!$C$24="","",PERFIL!$C$24)</f>
        <v>0</v>
      </c>
      <c r="S6" s="187" t="str">
        <f>IF('DESP. ADM.'!$F$91="","",IF('DESP. ADM.'!$F$44="",IF('DESP. ADM.'!$E$91='DESP. ADM.'!$F$91,1,IF(SUM('DESP. ADM.'!$F$91/'DESP. ADM.'!$E$91)&gt;103%,103%,'DESP. ADM.'!$F$91/'DESP. ADM.'!$E$91)),100%-'DESP. ADM.'!$F$44/1100))</f>
        <v/>
      </c>
      <c r="T6" s="185">
        <f>IF(Q6="",'REL LINHAS'!P6,IF(S6="",ROUNDDOWN(SUM(Q6*0.75),0),ROUNDUP(SUM(Q6,Q6*R6)*S6,0)))</f>
        <v>60469</v>
      </c>
      <c r="W6" s="324"/>
      <c r="X6" s="285"/>
      <c r="Z6" s="166" t="s">
        <v>319</v>
      </c>
      <c r="AA6" s="165">
        <v>0.04</v>
      </c>
    </row>
    <row r="7" spans="1:27" ht="17.25" x14ac:dyDescent="0.2">
      <c r="B7" s="332" t="s">
        <v>506</v>
      </c>
      <c r="C7" s="112" t="s">
        <v>502</v>
      </c>
      <c r="D7" s="113" t="s">
        <v>507</v>
      </c>
      <c r="E7" s="107" t="s">
        <v>55</v>
      </c>
      <c r="F7" s="333">
        <v>14</v>
      </c>
      <c r="G7" s="57">
        <v>16</v>
      </c>
      <c r="H7" s="65">
        <v>2</v>
      </c>
      <c r="I7" s="69">
        <f t="shared" si="0"/>
        <v>18</v>
      </c>
      <c r="J7" s="64">
        <f t="shared" si="1"/>
        <v>11</v>
      </c>
      <c r="K7" s="64">
        <f t="shared" si="2"/>
        <v>9</v>
      </c>
      <c r="O7" s="330" t="s">
        <v>529</v>
      </c>
      <c r="P7" s="331">
        <v>98874</v>
      </c>
      <c r="Q7" s="186">
        <f>IF(RECEBÍVEIS!$I$4=0,"",ROUNDDOWN($P7*VLOOKUP(RECEBÍVEIS!$I$4,'REL LINHAS'!$P$121:$Q$219,2,0),0))</f>
        <v>90964</v>
      </c>
      <c r="R7" s="187">
        <f>IF(PERFIL!$C$24="","",PERFIL!$C$24)</f>
        <v>0</v>
      </c>
      <c r="S7" s="187" t="str">
        <f>IF('DESP. ADM.'!$F$91="","",IF('DESP. ADM.'!$F$44="",IF('DESP. ADM.'!$E$91='DESP. ADM.'!$F$91,1,IF(SUM('DESP. ADM.'!$F$91/'DESP. ADM.'!$E$91)&gt;103%,103%,'DESP. ADM.'!$F$91/'DESP. ADM.'!$E$91)),100%-'DESP. ADM.'!$F$44/1100))</f>
        <v/>
      </c>
      <c r="T7" s="185">
        <f>IF(Q7="",'REL LINHAS'!P7,IF(S7="",ROUNDDOWN(SUM(Q7*0.75),0),ROUNDUP(SUM(Q7,Q7*R7)*S7,0)))</f>
        <v>68223</v>
      </c>
      <c r="W7" s="324"/>
      <c r="X7" s="285"/>
      <c r="Z7" s="166" t="s">
        <v>320</v>
      </c>
      <c r="AA7" s="165">
        <v>0.08</v>
      </c>
    </row>
    <row r="8" spans="1:27" ht="17.25" x14ac:dyDescent="0.2">
      <c r="B8" s="332" t="s">
        <v>508</v>
      </c>
      <c r="C8" s="112" t="s">
        <v>509</v>
      </c>
      <c r="D8" s="112" t="s">
        <v>505</v>
      </c>
      <c r="E8" s="107" t="s">
        <v>55</v>
      </c>
      <c r="F8" s="333">
        <v>14</v>
      </c>
      <c r="G8" s="57">
        <v>18</v>
      </c>
      <c r="H8" s="65">
        <v>2</v>
      </c>
      <c r="I8" s="69">
        <f t="shared" si="0"/>
        <v>20</v>
      </c>
      <c r="J8" s="64">
        <f t="shared" si="1"/>
        <v>12</v>
      </c>
      <c r="K8" s="64">
        <f t="shared" si="2"/>
        <v>10</v>
      </c>
      <c r="O8" s="330" t="s">
        <v>530</v>
      </c>
      <c r="P8" s="331">
        <v>96627</v>
      </c>
      <c r="Q8" s="186">
        <f>IF(RECEBÍVEIS!$I$4=0,"",ROUNDDOWN($P8*VLOOKUP(RECEBÍVEIS!$I$4,'REL LINHAS'!$P$121:$Q$219,2,0),0))</f>
        <v>88896</v>
      </c>
      <c r="R8" s="187">
        <f>IF(PERFIL!$C$24="","",PERFIL!$C$24)</f>
        <v>0</v>
      </c>
      <c r="S8" s="187" t="str">
        <f>IF('DESP. ADM.'!$F$91="","",IF('DESP. ADM.'!$F$44="",IF('DESP. ADM.'!$E$91='DESP. ADM.'!$F$91,1,IF(SUM('DESP. ADM.'!$F$91/'DESP. ADM.'!$E$91)&gt;103%,103%,'DESP. ADM.'!$F$91/'DESP. ADM.'!$E$91)),100%-'DESP. ADM.'!$F$44/1100))</f>
        <v/>
      </c>
      <c r="T8" s="185">
        <f>IF(Q8="",'REL LINHAS'!P8,IF(S8="",ROUNDDOWN(SUM(Q8*0.75),0),ROUNDUP(SUM(Q8,Q8*R8)*S8,0)))</f>
        <v>66672</v>
      </c>
      <c r="Z8" s="166" t="s">
        <v>321</v>
      </c>
      <c r="AA8" s="165">
        <v>0.12</v>
      </c>
    </row>
    <row r="9" spans="1:27" ht="17.25" x14ac:dyDescent="0.2">
      <c r="B9" s="332" t="s">
        <v>510</v>
      </c>
      <c r="C9" s="113" t="s">
        <v>511</v>
      </c>
      <c r="D9" s="113" t="s">
        <v>512</v>
      </c>
      <c r="E9" s="107" t="s">
        <v>55</v>
      </c>
      <c r="F9" s="333">
        <v>14</v>
      </c>
      <c r="G9" s="57">
        <v>8</v>
      </c>
      <c r="H9" s="65">
        <v>2</v>
      </c>
      <c r="I9" s="69">
        <f t="shared" si="0"/>
        <v>10</v>
      </c>
      <c r="J9" s="64">
        <f t="shared" si="1"/>
        <v>6</v>
      </c>
      <c r="K9" s="64">
        <f t="shared" si="2"/>
        <v>5</v>
      </c>
      <c r="O9" s="330" t="s">
        <v>531</v>
      </c>
      <c r="P9" s="331">
        <v>182019</v>
      </c>
      <c r="Q9" s="186">
        <f>IF(RECEBÍVEIS!$I$4=0,"",ROUNDDOWN($P9*VLOOKUP(RECEBÍVEIS!$I$4,'REL LINHAS'!$P$121:$Q$219,2,0),0))</f>
        <v>167457</v>
      </c>
      <c r="R9" s="187">
        <f>IF(PERFIL!$C$24="","",PERFIL!$C$24)</f>
        <v>0</v>
      </c>
      <c r="S9" s="187" t="str">
        <f>IF('DESP. ADM.'!$F$91="","",IF('DESP. ADM.'!$F$44="",IF('DESP. ADM.'!$E$91='DESP. ADM.'!$F$91,1,IF(SUM('DESP. ADM.'!$F$91/'DESP. ADM.'!$E$91)&gt;103%,103%,'DESP. ADM.'!$F$91/'DESP. ADM.'!$E$91)),100%-'DESP. ADM.'!$F$44/1100))</f>
        <v/>
      </c>
      <c r="T9" s="185">
        <f>IF(Q9="",'REL LINHAS'!P9,IF(S9="",ROUNDDOWN(SUM(Q9*0.75),0),ROUNDUP(SUM(Q9,Q9*R9)*S9,0)))</f>
        <v>125592</v>
      </c>
      <c r="Z9" s="166" t="s">
        <v>322</v>
      </c>
      <c r="AA9" s="165">
        <v>0.16</v>
      </c>
    </row>
    <row r="10" spans="1:27" ht="17.25" x14ac:dyDescent="0.2">
      <c r="B10" s="332" t="s">
        <v>513</v>
      </c>
      <c r="C10" s="112" t="s">
        <v>502</v>
      </c>
      <c r="D10" s="112" t="s">
        <v>514</v>
      </c>
      <c r="E10" s="107" t="s">
        <v>265</v>
      </c>
      <c r="F10" s="108">
        <v>12.5</v>
      </c>
      <c r="G10" s="57">
        <v>10</v>
      </c>
      <c r="H10" s="65">
        <v>2</v>
      </c>
      <c r="I10" s="69">
        <f t="shared" si="0"/>
        <v>12</v>
      </c>
      <c r="J10" s="64">
        <f t="shared" si="1"/>
        <v>7</v>
      </c>
      <c r="K10" s="64">
        <f t="shared" si="2"/>
        <v>6</v>
      </c>
      <c r="O10" s="330" t="s">
        <v>532</v>
      </c>
      <c r="P10" s="331">
        <v>94380</v>
      </c>
      <c r="Q10" s="186">
        <f>IF(RECEBÍVEIS!$I$4=0,"",ROUNDDOWN($P10*VLOOKUP(RECEBÍVEIS!$I$4,'REL LINHAS'!$P$121:$Q$219,2,0),0))</f>
        <v>86829</v>
      </c>
      <c r="R10" s="187">
        <f>IF(PERFIL!$C$24="","",PERFIL!$C$24)</f>
        <v>0</v>
      </c>
      <c r="S10" s="187" t="str">
        <f>IF('DESP. ADM.'!$F$91="","",IF('DESP. ADM.'!$F$44="",IF('DESP. ADM.'!$E$91='DESP. ADM.'!$F$91,1,IF(SUM('DESP. ADM.'!$F$91/'DESP. ADM.'!$E$91)&gt;103%,103%,'DESP. ADM.'!$F$91/'DESP. ADM.'!$E$91)),100%-'DESP. ADM.'!$F$44/1100))</f>
        <v/>
      </c>
      <c r="T10" s="185">
        <f>IF(Q10="",'REL LINHAS'!P10,IF(S10="",ROUNDDOWN(SUM(Q10*0.75),0),ROUNDUP(SUM(Q10,Q10*R10)*S10,0)))</f>
        <v>65121</v>
      </c>
      <c r="Z10" s="166" t="s">
        <v>323</v>
      </c>
      <c r="AA10" s="165">
        <v>0.2</v>
      </c>
    </row>
    <row r="11" spans="1:27" ht="17.25" x14ac:dyDescent="0.2">
      <c r="B11" s="332" t="s">
        <v>515</v>
      </c>
      <c r="C11" s="112" t="s">
        <v>516</v>
      </c>
      <c r="D11" s="112" t="s">
        <v>507</v>
      </c>
      <c r="E11" s="107" t="s">
        <v>265</v>
      </c>
      <c r="F11" s="108">
        <v>12.5</v>
      </c>
      <c r="G11" s="57">
        <v>14</v>
      </c>
      <c r="H11" s="65">
        <v>2</v>
      </c>
      <c r="I11" s="69">
        <f t="shared" si="0"/>
        <v>16</v>
      </c>
      <c r="J11" s="64">
        <f t="shared" si="1"/>
        <v>10</v>
      </c>
      <c r="K11" s="64">
        <f t="shared" si="2"/>
        <v>8</v>
      </c>
      <c r="O11" s="330" t="s">
        <v>533</v>
      </c>
      <c r="P11" s="331">
        <v>177524</v>
      </c>
      <c r="Q11" s="186">
        <f>IF(RECEBÍVEIS!$I$4=0,"",ROUNDDOWN($P11*VLOOKUP(RECEBÍVEIS!$I$4,'REL LINHAS'!$P$121:$Q$219,2,0),0))</f>
        <v>163322</v>
      </c>
      <c r="R11" s="187">
        <f>IF(PERFIL!$C$24="","",PERFIL!$C$24)</f>
        <v>0</v>
      </c>
      <c r="S11" s="187" t="str">
        <f>IF('DESP. ADM.'!$F$91="","",IF('DESP. ADM.'!$F$44="",IF('DESP. ADM.'!$E$91='DESP. ADM.'!$F$91,1,IF(SUM('DESP. ADM.'!$F$91/'DESP. ADM.'!$E$91)&gt;103%,103%,'DESP. ADM.'!$F$91/'DESP. ADM.'!$E$91)),100%-'DESP. ADM.'!$F$44/1100))</f>
        <v/>
      </c>
      <c r="T11" s="185">
        <f>IF(Q11="",'REL LINHAS'!P11,IF(S11="",ROUNDDOWN(SUM(Q11*0.75),0),ROUNDUP(SUM(Q11,Q11*R11)*S11,0)))</f>
        <v>122491</v>
      </c>
      <c r="Z11" s="166" t="s">
        <v>324</v>
      </c>
      <c r="AA11" s="165">
        <v>0.24</v>
      </c>
    </row>
    <row r="12" spans="1:27" ht="17.25" x14ac:dyDescent="0.2">
      <c r="B12" s="334" t="s">
        <v>517</v>
      </c>
      <c r="C12" s="112" t="s">
        <v>502</v>
      </c>
      <c r="D12" s="112" t="s">
        <v>518</v>
      </c>
      <c r="E12" s="107" t="s">
        <v>265</v>
      </c>
      <c r="F12" s="108">
        <v>12.5</v>
      </c>
      <c r="G12" s="335">
        <v>8</v>
      </c>
      <c r="H12" s="65">
        <v>2</v>
      </c>
      <c r="I12" s="69">
        <f t="shared" si="0"/>
        <v>10</v>
      </c>
      <c r="J12" s="64">
        <f t="shared" si="1"/>
        <v>6</v>
      </c>
      <c r="K12" s="64">
        <f t="shared" si="2"/>
        <v>5</v>
      </c>
      <c r="O12" s="330" t="s">
        <v>534</v>
      </c>
      <c r="P12" s="331">
        <v>191007</v>
      </c>
      <c r="Q12" s="186">
        <f>IF(RECEBÍVEIS!$I$4=0,"",ROUNDDOWN($P12*VLOOKUP(RECEBÍVEIS!$I$4,'REL LINHAS'!$P$121:$Q$219,2,0),0))</f>
        <v>175726</v>
      </c>
      <c r="R12" s="187">
        <f>IF(PERFIL!$C$24="","",PERFIL!$C$24)</f>
        <v>0</v>
      </c>
      <c r="S12" s="187" t="str">
        <f>IF('DESP. ADM.'!$F$91="","",IF('DESP. ADM.'!$F$44="",IF('DESP. ADM.'!$E$91='DESP. ADM.'!$F$91,1,IF(SUM('DESP. ADM.'!$F$91/'DESP. ADM.'!$E$91)&gt;103%,103%,'DESP. ADM.'!$F$91/'DESP. ADM.'!$E$91)),100%-'DESP. ADM.'!$F$44/1100))</f>
        <v/>
      </c>
      <c r="T12" s="185">
        <f>IF(Q12="",'REL LINHAS'!P12,IF(S12="",ROUNDDOWN(SUM(Q12*0.75),0),ROUNDUP(SUM(Q12,Q12*R12)*S12,0)))</f>
        <v>131794</v>
      </c>
      <c r="AA12" s="165"/>
    </row>
    <row r="13" spans="1:27" ht="17.25" x14ac:dyDescent="0.2">
      <c r="B13" s="332" t="s">
        <v>519</v>
      </c>
      <c r="C13" s="112" t="s">
        <v>520</v>
      </c>
      <c r="D13" s="113" t="s">
        <v>521</v>
      </c>
      <c r="E13" s="107" t="s">
        <v>265</v>
      </c>
      <c r="F13" s="108">
        <v>12.5</v>
      </c>
      <c r="G13" s="57">
        <v>10</v>
      </c>
      <c r="H13" s="65">
        <v>2</v>
      </c>
      <c r="I13" s="69">
        <f t="shared" si="0"/>
        <v>12</v>
      </c>
      <c r="J13" s="64">
        <f t="shared" si="1"/>
        <v>7</v>
      </c>
      <c r="K13" s="64">
        <f t="shared" si="2"/>
        <v>6</v>
      </c>
      <c r="O13" s="330" t="s">
        <v>535</v>
      </c>
      <c r="P13" s="331">
        <v>92133</v>
      </c>
      <c r="Q13" s="186">
        <f>IF(RECEBÍVEIS!$I$4=0,"",ROUNDDOWN($P13*VLOOKUP(RECEBÍVEIS!$I$4,'REL LINHAS'!$P$121:$Q$219,2,0),0))</f>
        <v>84762</v>
      </c>
      <c r="R13" s="187">
        <f>IF(PERFIL!$C$24="","",PERFIL!$C$24)</f>
        <v>0</v>
      </c>
      <c r="S13" s="187" t="str">
        <f>IF('DESP. ADM.'!$F$91="","",IF('DESP. ADM.'!$F$44="",IF('DESP. ADM.'!$E$91='DESP. ADM.'!$F$91,1,IF(SUM('DESP. ADM.'!$F$91/'DESP. ADM.'!$E$91)&gt;103%,103%,'DESP. ADM.'!$F$91/'DESP. ADM.'!$E$91)),100%-'DESP. ADM.'!$F$44/1100))</f>
        <v/>
      </c>
      <c r="T13" s="185">
        <f>IF(Q13="",'REL LINHAS'!P13,IF(S13="",ROUNDDOWN(SUM(Q13*0.75),0),ROUNDUP(SUM(Q13,Q13*R13)*S13,0)))</f>
        <v>63571</v>
      </c>
      <c r="Z13" s="166" t="s">
        <v>4</v>
      </c>
      <c r="AA13" s="165"/>
    </row>
    <row r="14" spans="1:27" ht="17.25" x14ac:dyDescent="0.2">
      <c r="B14" s="332" t="s">
        <v>522</v>
      </c>
      <c r="C14" s="112" t="s">
        <v>502</v>
      </c>
      <c r="D14" s="112" t="s">
        <v>523</v>
      </c>
      <c r="E14" s="107" t="s">
        <v>265</v>
      </c>
      <c r="F14" s="108">
        <v>12.5</v>
      </c>
      <c r="G14" s="57">
        <v>8</v>
      </c>
      <c r="H14" s="65">
        <v>2</v>
      </c>
      <c r="I14" s="69">
        <f t="shared" si="0"/>
        <v>10</v>
      </c>
      <c r="J14" s="64">
        <f t="shared" si="1"/>
        <v>6</v>
      </c>
      <c r="K14" s="64">
        <f t="shared" si="2"/>
        <v>5</v>
      </c>
      <c r="O14" s="330" t="s">
        <v>791</v>
      </c>
      <c r="P14" s="331">
        <v>93256</v>
      </c>
      <c r="Q14" s="186">
        <f>IF(RECEBÍVEIS!$I$4=0,"",ROUNDDOWN($P14*VLOOKUP(RECEBÍVEIS!$I$4,'REL LINHAS'!$P$121:$Q$219,2,0),0))</f>
        <v>85795</v>
      </c>
      <c r="R14" s="187">
        <f>IF(PERFIL!$C$24="","",PERFIL!$C$24)</f>
        <v>0</v>
      </c>
      <c r="S14" s="187" t="str">
        <f>IF('DESP. ADM.'!$F$91="","",IF('DESP. ADM.'!$F$44="",IF('DESP. ADM.'!$E$91='DESP. ADM.'!$F$91,1,IF(SUM('DESP. ADM.'!$F$91/'DESP. ADM.'!$E$91)&gt;103%,103%,'DESP. ADM.'!$F$91/'DESP. ADM.'!$E$91)),100%-'DESP. ADM.'!$F$44/1100))</f>
        <v/>
      </c>
      <c r="T14" s="185">
        <f>IF(Q14="",'REL LINHAS'!P14,IF(S14="",ROUNDDOWN(SUM(Q14*0.75),0),ROUNDUP(SUM(Q14,Q14*R14)*S14,0)))</f>
        <v>64346</v>
      </c>
      <c r="AA14" s="165"/>
    </row>
    <row r="15" spans="1:27" ht="17.25" x14ac:dyDescent="0.2">
      <c r="B15" s="332" t="s">
        <v>524</v>
      </c>
      <c r="C15" s="112" t="s">
        <v>502</v>
      </c>
      <c r="D15" s="112" t="s">
        <v>525</v>
      </c>
      <c r="E15" s="107" t="s">
        <v>179</v>
      </c>
      <c r="F15" s="108">
        <v>9.5</v>
      </c>
      <c r="G15" s="57">
        <v>10</v>
      </c>
      <c r="H15" s="65">
        <v>2</v>
      </c>
      <c r="I15" s="69">
        <f t="shared" si="0"/>
        <v>12</v>
      </c>
      <c r="J15" s="64">
        <f t="shared" si="1"/>
        <v>7</v>
      </c>
      <c r="K15" s="64">
        <f t="shared" si="2"/>
        <v>6</v>
      </c>
      <c r="O15" s="330" t="s">
        <v>792</v>
      </c>
      <c r="P15" s="331">
        <v>71908</v>
      </c>
      <c r="Q15" s="186">
        <f>IF(RECEBÍVEIS!$I$4=0,"",ROUNDDOWN($P15*VLOOKUP(RECEBÍVEIS!$I$4,'REL LINHAS'!$P$121:$Q$219,2,0),0))</f>
        <v>66155</v>
      </c>
      <c r="R15" s="187">
        <f>IF(PERFIL!$C$24="","",PERFIL!$C$24)</f>
        <v>0</v>
      </c>
      <c r="S15" s="187" t="str">
        <f>IF('DESP. ADM.'!$F$91="","",IF('DESP. ADM.'!$F$44="",IF('DESP. ADM.'!$E$91='DESP. ADM.'!$F$91,1,IF(SUM('DESP. ADM.'!$F$91/'DESP. ADM.'!$E$91)&gt;103%,103%,'DESP. ADM.'!$F$91/'DESP. ADM.'!$E$91)),100%-'DESP. ADM.'!$F$44/1100))</f>
        <v/>
      </c>
      <c r="T15" s="185">
        <f>IF(Q15="",'REL LINHAS'!P15,IF(S15="",ROUNDDOWN(SUM(Q15*0.75),0),ROUNDUP(SUM(Q15,Q15*R15)*S15,0)))</f>
        <v>49616</v>
      </c>
      <c r="AA15" s="165"/>
    </row>
    <row r="16" spans="1:27" ht="17.25" x14ac:dyDescent="0.2">
      <c r="B16" s="332"/>
      <c r="C16" s="112"/>
      <c r="D16" s="112"/>
      <c r="E16" s="107"/>
      <c r="F16" s="108"/>
      <c r="G16" s="57"/>
      <c r="H16" s="65"/>
      <c r="I16" s="69"/>
      <c r="J16" s="64" t="str">
        <f t="shared" si="1"/>
        <v/>
      </c>
      <c r="K16" s="64" t="str">
        <f t="shared" si="2"/>
        <v/>
      </c>
      <c r="O16" s="330" t="s">
        <v>793</v>
      </c>
      <c r="P16" s="331">
        <v>84268</v>
      </c>
      <c r="Q16" s="186">
        <f>IF(RECEBÍVEIS!$I$4=0,"",ROUNDDOWN($P16*VLOOKUP(RECEBÍVEIS!$I$4,'REL LINHAS'!$P$121:$Q$219,2,0),0))</f>
        <v>77526</v>
      </c>
      <c r="R16" s="187">
        <f>IF(PERFIL!$C$24="","",PERFIL!$C$24)</f>
        <v>0</v>
      </c>
      <c r="S16" s="187" t="str">
        <f>IF('DESP. ADM.'!$F$91="","",IF('DESP. ADM.'!$F$44="",IF('DESP. ADM.'!$E$91='DESP. ADM.'!$F$91,1,IF(SUM('DESP. ADM.'!$F$91/'DESP. ADM.'!$E$91)&gt;103%,103%,'DESP. ADM.'!$F$91/'DESP. ADM.'!$E$91)),100%-'DESP. ADM.'!$F$44/1100))</f>
        <v/>
      </c>
      <c r="T16" s="185">
        <f>IF(Q16="",'REL LINHAS'!P16,IF(S16="",ROUNDDOWN(SUM(Q16*0.75),0),ROUNDUP(SUM(Q16,Q16*R16)*S16,0)))</f>
        <v>58144</v>
      </c>
      <c r="AA16" s="165"/>
    </row>
    <row r="17" spans="1:27" ht="17.25" x14ac:dyDescent="0.2">
      <c r="B17" s="332"/>
      <c r="C17" s="112"/>
      <c r="D17" s="112"/>
      <c r="E17" s="107"/>
      <c r="F17" s="108"/>
      <c r="G17" s="57"/>
      <c r="H17" s="65"/>
      <c r="I17" s="69"/>
      <c r="J17" s="64" t="str">
        <f t="shared" si="1"/>
        <v/>
      </c>
      <c r="K17" s="64" t="str">
        <f t="shared" si="2"/>
        <v/>
      </c>
      <c r="O17" s="330" t="s">
        <v>794</v>
      </c>
      <c r="P17" s="331">
        <v>78650</v>
      </c>
      <c r="Q17" s="186">
        <f>IF(RECEBÍVEIS!$I$4=0,"",ROUNDDOWN($P17*VLOOKUP(RECEBÍVEIS!$I$4,'REL LINHAS'!$P$121:$Q$219,2,0),0))</f>
        <v>72358</v>
      </c>
      <c r="R17" s="187">
        <f>IF(PERFIL!$C$24="","",PERFIL!$C$24)</f>
        <v>0</v>
      </c>
      <c r="S17" s="187" t="str">
        <f>IF('DESP. ADM.'!$F$91="","",IF('DESP. ADM.'!$F$44="",IF('DESP. ADM.'!$E$91='DESP. ADM.'!$F$91,1,IF(SUM('DESP. ADM.'!$F$91/'DESP. ADM.'!$E$91)&gt;103%,103%,'DESP. ADM.'!$F$91/'DESP. ADM.'!$E$91)),100%-'DESP. ADM.'!$F$44/1100))</f>
        <v/>
      </c>
      <c r="T17" s="185">
        <f>IF(Q17="",'REL LINHAS'!P17,IF(S17="",ROUNDDOWN(SUM(Q17*0.75),0),ROUNDUP(SUM(Q17,Q17*R17)*S17,0)))</f>
        <v>54268</v>
      </c>
      <c r="AA17" s="165"/>
    </row>
    <row r="18" spans="1:27" ht="17.25" x14ac:dyDescent="0.2">
      <c r="B18" s="332"/>
      <c r="C18" s="112"/>
      <c r="D18" s="112"/>
      <c r="E18" s="107"/>
      <c r="F18" s="108"/>
      <c r="G18" s="57"/>
      <c r="H18" s="65"/>
      <c r="I18" s="69"/>
      <c r="J18" s="64" t="str">
        <f t="shared" si="1"/>
        <v/>
      </c>
      <c r="K18" s="64" t="str">
        <f t="shared" si="2"/>
        <v/>
      </c>
      <c r="O18" s="330" t="s">
        <v>795</v>
      </c>
      <c r="P18" s="331">
        <v>83144</v>
      </c>
      <c r="Q18" s="186">
        <f>IF(RECEBÍVEIS!$I$4=0,"",ROUNDDOWN($P18*VLOOKUP(RECEBÍVEIS!$I$4,'REL LINHAS'!$P$121:$Q$219,2,0),0))</f>
        <v>76492</v>
      </c>
      <c r="R18" s="187">
        <f>IF(PERFIL!$C$24="","",PERFIL!$C$24)</f>
        <v>0</v>
      </c>
      <c r="S18" s="187" t="str">
        <f>IF('DESP. ADM.'!$F$91="","",IF('DESP. ADM.'!$F$44="",IF('DESP. ADM.'!$E$91='DESP. ADM.'!$F$91,1,IF(SUM('DESP. ADM.'!$F$91/'DESP. ADM.'!$E$91)&gt;103%,103%,'DESP. ADM.'!$F$91/'DESP. ADM.'!$E$91)),100%-'DESP. ADM.'!$F$44/1100))</f>
        <v/>
      </c>
      <c r="T18" s="185">
        <f>IF(Q18="",'REL LINHAS'!P18,IF(S18="",ROUNDDOWN(SUM(Q18*0.75),0),ROUNDUP(SUM(Q18,Q18*R18)*S18,0)))</f>
        <v>57369</v>
      </c>
      <c r="AA18" s="165"/>
    </row>
    <row r="19" spans="1:27" ht="17.25" x14ac:dyDescent="0.2">
      <c r="B19" s="332"/>
      <c r="C19" s="112"/>
      <c r="D19" s="112"/>
      <c r="E19" s="107"/>
      <c r="F19" s="108"/>
      <c r="G19" s="57"/>
      <c r="H19" s="65"/>
      <c r="I19" s="69"/>
      <c r="J19" s="64" t="str">
        <f t="shared" si="1"/>
        <v/>
      </c>
      <c r="K19" s="64" t="str">
        <f t="shared" si="2"/>
        <v/>
      </c>
      <c r="O19" s="330" t="s">
        <v>796</v>
      </c>
      <c r="P19" s="331">
        <v>96627</v>
      </c>
      <c r="Q19" s="186">
        <f>IF(RECEBÍVEIS!$I$4=0,"",ROUNDDOWN($P19*VLOOKUP(RECEBÍVEIS!$I$4,'REL LINHAS'!$P$121:$Q$219,2,0),0))</f>
        <v>88896</v>
      </c>
      <c r="R19" s="187">
        <f>IF(PERFIL!$C$24="","",PERFIL!$C$24)</f>
        <v>0</v>
      </c>
      <c r="S19" s="187" t="str">
        <f>IF('DESP. ADM.'!$F$91="","",IF('DESP. ADM.'!$F$44="",IF('DESP. ADM.'!$E$91='DESP. ADM.'!$F$91,1,IF(SUM('DESP. ADM.'!$F$91/'DESP. ADM.'!$E$91)&gt;103%,103%,'DESP. ADM.'!$F$91/'DESP. ADM.'!$E$91)),100%-'DESP. ADM.'!$F$44/1100))</f>
        <v/>
      </c>
      <c r="T19" s="185">
        <f>IF(Q19="",'REL LINHAS'!P19,IF(S19="",ROUNDDOWN(SUM(Q19*0.75),0),ROUNDUP(SUM(Q19,Q19*R19)*S19,0)))</f>
        <v>66672</v>
      </c>
      <c r="AA19" s="165"/>
    </row>
    <row r="20" spans="1:27" ht="17.25" x14ac:dyDescent="0.2">
      <c r="B20" s="332"/>
      <c r="C20" s="112"/>
      <c r="D20" s="112"/>
      <c r="E20" s="107"/>
      <c r="F20" s="108"/>
      <c r="G20" s="57"/>
      <c r="H20" s="65"/>
      <c r="I20" s="69"/>
      <c r="J20" s="64" t="str">
        <f t="shared" si="1"/>
        <v/>
      </c>
      <c r="K20" s="64" t="str">
        <f t="shared" si="2"/>
        <v/>
      </c>
      <c r="O20" s="330" t="s">
        <v>797</v>
      </c>
      <c r="P20" s="331">
        <v>165245</v>
      </c>
      <c r="Q20" s="186">
        <f>IF(RECEBÍVEIS!$I$4=0,"",ROUNDDOWN($P20*VLOOKUP(RECEBÍVEIS!$I$4,'REL LINHAS'!$P$121:$Q$219,2,0),0))</f>
        <v>152025</v>
      </c>
      <c r="R20" s="187">
        <f>IF(PERFIL!$C$24="","",PERFIL!$C$24)</f>
        <v>0</v>
      </c>
      <c r="S20" s="187" t="str">
        <f>IF('DESP. ADM.'!$F$91="","",IF('DESP. ADM.'!$F$44="",IF('DESP. ADM.'!$E$91='DESP. ADM.'!$F$91,1,IF(SUM('DESP. ADM.'!$F$91/'DESP. ADM.'!$E$91)&gt;103%,103%,'DESP. ADM.'!$F$91/'DESP. ADM.'!$E$91)),100%-'DESP. ADM.'!$F$44/1100))</f>
        <v/>
      </c>
      <c r="T20" s="185">
        <f>IF(Q20="",'REL LINHAS'!P20,IF(S20="",ROUNDDOWN(SUM(Q20*0.75),0),ROUNDUP(SUM(Q20,Q20*R20)*S20,0)))</f>
        <v>114018</v>
      </c>
      <c r="AA20" s="165"/>
    </row>
    <row r="21" spans="1:27" ht="18" customHeight="1" x14ac:dyDescent="0.2">
      <c r="B21" s="561" t="s">
        <v>22</v>
      </c>
      <c r="C21" s="561" t="s">
        <v>177</v>
      </c>
      <c r="D21" s="561" t="s">
        <v>243</v>
      </c>
      <c r="E21" s="561" t="s">
        <v>23</v>
      </c>
      <c r="F21" s="562" t="s">
        <v>234</v>
      </c>
      <c r="G21" s="562"/>
      <c r="H21" s="562"/>
      <c r="I21" s="562"/>
      <c r="J21" s="562"/>
      <c r="K21" s="562"/>
      <c r="O21" s="330" t="s">
        <v>1250</v>
      </c>
      <c r="P21" s="331">
        <v>208984</v>
      </c>
      <c r="Q21" s="186">
        <f>IF(RECEBÍVEIS!$I$4=0,"",ROUNDDOWN($P21*VLOOKUP(RECEBÍVEIS!$I$4,'REL LINHAS'!$P$121:$Q$219,2,0),0))</f>
        <v>192265</v>
      </c>
      <c r="R21" s="187">
        <f>IF(PERFIL!$C$24="","",PERFIL!$C$24)</f>
        <v>0</v>
      </c>
      <c r="S21" s="187" t="str">
        <f>IF('DESP. ADM.'!$F$91="","",IF('DESP. ADM.'!$F$44="",IF('DESP. ADM.'!$E$91='DESP. ADM.'!$F$91,1,IF(SUM('DESP. ADM.'!$F$91/'DESP. ADM.'!$E$91)&gt;103%,103%,'DESP. ADM.'!$F$91/'DESP. ADM.'!$E$91)),100%-'DESP. ADM.'!$F$44/1100))</f>
        <v/>
      </c>
      <c r="T21" s="185">
        <f>IF(Q21="",'REL LINHAS'!P21,IF(S21="",ROUNDDOWN(SUM(Q21*0.75),0),ROUNDUP(SUM(Q21,Q21*R21)*S21,0)))</f>
        <v>144198</v>
      </c>
      <c r="AA21" s="165"/>
    </row>
    <row r="22" spans="1:27" ht="21" x14ac:dyDescent="0.2">
      <c r="A22" s="114">
        <v>12</v>
      </c>
      <c r="B22" s="587" t="s">
        <v>1156</v>
      </c>
      <c r="C22" s="115" t="s">
        <v>536</v>
      </c>
      <c r="D22" s="114" t="s">
        <v>537</v>
      </c>
      <c r="E22" s="351" t="str">
        <f>IF(O4="","",O4)</f>
        <v>Nova Xingu</v>
      </c>
      <c r="F22" s="563">
        <f>IF(B22="","",VLOOKUP(E22,$O$2:$T$120,6,0))</f>
        <v>60469</v>
      </c>
      <c r="G22" s="564"/>
      <c r="H22" s="564"/>
      <c r="I22" s="564"/>
      <c r="J22" s="564"/>
      <c r="K22" s="565"/>
      <c r="O22" s="330" t="s">
        <v>1251</v>
      </c>
      <c r="P22" s="331">
        <v>146064</v>
      </c>
      <c r="Q22" s="186">
        <f>IF(RECEBÍVEIS!$I$4=0,"",ROUNDDOWN($P22*VLOOKUP(RECEBÍVEIS!$I$4,'REL LINHAS'!$P$121:$Q$219,2,0),0))</f>
        <v>134378</v>
      </c>
      <c r="R22" s="187">
        <f>IF(PERFIL!$C$24="","",PERFIL!$C$24)</f>
        <v>0</v>
      </c>
      <c r="S22" s="187" t="str">
        <f>IF('DESP. ADM.'!$F$91="","",IF('DESP. ADM.'!$F$44="",IF('DESP. ADM.'!$E$91='DESP. ADM.'!$F$91,1,IF(SUM('DESP. ADM.'!$F$91/'DESP. ADM.'!$E$91)&gt;103%,103%,'DESP. ADM.'!$F$91/'DESP. ADM.'!$E$91)),100%-'DESP. ADM.'!$F$44/1100))</f>
        <v/>
      </c>
      <c r="T22" s="185">
        <f>IF(Q22="",'REL LINHAS'!P22,IF(S22="",ROUNDDOWN(SUM(Q22*0.75),0),ROUNDUP(SUM(Q22,Q22*R22)*S22,0)))</f>
        <v>100783</v>
      </c>
      <c r="AA22" s="165"/>
    </row>
    <row r="23" spans="1:27" ht="43.5" x14ac:dyDescent="0.2">
      <c r="A23" s="166" t="s">
        <v>779</v>
      </c>
      <c r="B23" s="116" t="s">
        <v>0</v>
      </c>
      <c r="C23" s="116" t="s">
        <v>20</v>
      </c>
      <c r="D23" s="116" t="s">
        <v>21</v>
      </c>
      <c r="E23" s="116" t="s">
        <v>1</v>
      </c>
      <c r="F23" s="117" t="s">
        <v>3</v>
      </c>
      <c r="G23" s="116" t="s">
        <v>216</v>
      </c>
      <c r="H23" s="180" t="s">
        <v>242</v>
      </c>
      <c r="I23" s="116" t="s">
        <v>245</v>
      </c>
      <c r="J23" s="116" t="s">
        <v>217</v>
      </c>
      <c r="K23" s="116" t="s">
        <v>218</v>
      </c>
      <c r="O23" s="330" t="s">
        <v>1252</v>
      </c>
      <c r="P23" s="331">
        <v>168839</v>
      </c>
      <c r="Q23" s="186">
        <f>IF(RECEBÍVEIS!$I$4=0,"",ROUNDDOWN($P23*VLOOKUP(RECEBÍVEIS!$I$4,'REL LINHAS'!$P$121:$Q$219,2,0),0))</f>
        <v>155331</v>
      </c>
      <c r="R23" s="187">
        <f>IF(PERFIL!$C$24="","",PERFIL!$C$24)</f>
        <v>0</v>
      </c>
      <c r="S23" s="187" t="str">
        <f>IF('DESP. ADM.'!$F$91="","",IF('DESP. ADM.'!$F$44="",IF('DESP. ADM.'!$E$91='DESP. ADM.'!$F$91,1,IF(SUM('DESP. ADM.'!$F$91/'DESP. ADM.'!$E$91)&gt;103%,103%,'DESP. ADM.'!$F$91/'DESP. ADM.'!$E$91)),100%-'DESP. ADM.'!$F$44/1100))</f>
        <v/>
      </c>
      <c r="T23" s="185">
        <f>IF(Q23="",'REL LINHAS'!P23,IF(S23="",ROUNDDOWN(SUM(Q23*0.75),0),ROUNDUP(SUM(Q23,Q23*R23)*S23,0)))</f>
        <v>116498</v>
      </c>
    </row>
    <row r="24" spans="1:27" ht="17.25" x14ac:dyDescent="0.2">
      <c r="B24" s="336" t="s">
        <v>538</v>
      </c>
      <c r="C24" s="99" t="s">
        <v>539</v>
      </c>
      <c r="D24" s="337" t="s">
        <v>540</v>
      </c>
      <c r="E24" s="107" t="s">
        <v>55</v>
      </c>
      <c r="F24" s="333">
        <v>14</v>
      </c>
      <c r="G24" s="57">
        <v>12</v>
      </c>
      <c r="H24" s="65">
        <v>2</v>
      </c>
      <c r="I24" s="69">
        <f>IF(G24="","",SUM(G24:H24))</f>
        <v>14</v>
      </c>
      <c r="J24" s="64">
        <f>IF(G24="","",ROUNDUP(G24*0.65,0))</f>
        <v>8</v>
      </c>
      <c r="K24" s="64">
        <f>IF(G24="","",ROUNDUP(G24*0.55,0))</f>
        <v>7</v>
      </c>
      <c r="O24" s="330" t="s">
        <v>1253</v>
      </c>
      <c r="P24" s="331">
        <v>130334</v>
      </c>
      <c r="Q24" s="186">
        <f>IF(RECEBÍVEIS!$I$4=0,"",ROUNDDOWN($P24*VLOOKUP(RECEBÍVEIS!$I$4,'REL LINHAS'!$P$121:$Q$219,2,0),0))</f>
        <v>119907</v>
      </c>
      <c r="R24" s="187">
        <f>IF(PERFIL!$C$24="","",PERFIL!$C$24)</f>
        <v>0</v>
      </c>
      <c r="S24" s="187" t="str">
        <f>IF('DESP. ADM.'!$F$91="","",IF('DESP. ADM.'!$F$44="",IF('DESP. ADM.'!$E$91='DESP. ADM.'!$F$91,1,IF(SUM('DESP. ADM.'!$F$91/'DESP. ADM.'!$E$91)&gt;103%,103%,'DESP. ADM.'!$F$91/'DESP. ADM.'!$E$91)),100%-'DESP. ADM.'!$F$44/1100))</f>
        <v/>
      </c>
      <c r="T24" s="185">
        <f>IF(Q24="",'REL LINHAS'!P24,IF(S24="",ROUNDDOWN(SUM(Q24*0.75),0),ROUNDUP(SUM(Q24,Q24*R24)*S24,0)))</f>
        <v>89930</v>
      </c>
    </row>
    <row r="25" spans="1:27" ht="17.25" x14ac:dyDescent="0.2">
      <c r="B25" s="336" t="s">
        <v>541</v>
      </c>
      <c r="C25" s="99" t="s">
        <v>542</v>
      </c>
      <c r="D25" s="99" t="s">
        <v>543</v>
      </c>
      <c r="E25" s="107" t="s">
        <v>265</v>
      </c>
      <c r="F25" s="108">
        <v>12.5</v>
      </c>
      <c r="G25" s="57">
        <v>12</v>
      </c>
      <c r="H25" s="65">
        <v>3</v>
      </c>
      <c r="I25" s="69">
        <f t="shared" ref="I25:I30" si="3">IF(G25="","",SUM(G25:H25))</f>
        <v>15</v>
      </c>
      <c r="J25" s="64">
        <f t="shared" ref="J25:J39" si="4">IF(G25="","",ROUNDUP(G25*0.65,0))</f>
        <v>8</v>
      </c>
      <c r="K25" s="64">
        <f t="shared" ref="K25:K39" si="5">IF(G25="","",ROUNDUP(G25*0.55,0))</f>
        <v>7</v>
      </c>
      <c r="O25" s="330" t="s">
        <v>1254</v>
      </c>
      <c r="P25" s="331">
        <v>177524</v>
      </c>
      <c r="Q25" s="186">
        <f>IF(RECEBÍVEIS!$I$4=0,"",ROUNDDOWN($P25*VLOOKUP(RECEBÍVEIS!$I$4,'REL LINHAS'!$P$121:$Q$219,2,0),0))</f>
        <v>163322</v>
      </c>
      <c r="R25" s="187">
        <f>IF(PERFIL!$C$24="","",PERFIL!$C$24)</f>
        <v>0</v>
      </c>
      <c r="S25" s="187" t="str">
        <f>IF('DESP. ADM.'!$F$91="","",IF('DESP. ADM.'!$F$44="",IF('DESP. ADM.'!$E$91='DESP. ADM.'!$F$91,1,IF(SUM('DESP. ADM.'!$F$91/'DESP. ADM.'!$E$91)&gt;103%,103%,'DESP. ADM.'!$F$91/'DESP. ADM.'!$E$91)),100%-'DESP. ADM.'!$F$44/1100))</f>
        <v/>
      </c>
      <c r="T25" s="185">
        <f>IF(Q25="",'REL LINHAS'!P25,IF(S25="",ROUNDDOWN(SUM(Q25*0.75),0),ROUNDUP(SUM(Q25,Q25*R25)*S25,0)))</f>
        <v>122491</v>
      </c>
    </row>
    <row r="26" spans="1:27" ht="17.25" x14ac:dyDescent="0.2">
      <c r="B26" s="336" t="s">
        <v>544</v>
      </c>
      <c r="C26" s="99" t="s">
        <v>545</v>
      </c>
      <c r="D26" s="99" t="s">
        <v>546</v>
      </c>
      <c r="E26" s="107" t="s">
        <v>265</v>
      </c>
      <c r="F26" s="108">
        <v>12.5</v>
      </c>
      <c r="G26" s="335">
        <v>12</v>
      </c>
      <c r="H26" s="65">
        <v>3</v>
      </c>
      <c r="I26" s="69">
        <f t="shared" si="3"/>
        <v>15</v>
      </c>
      <c r="J26" s="64">
        <f t="shared" si="4"/>
        <v>8</v>
      </c>
      <c r="K26" s="64">
        <f t="shared" si="5"/>
        <v>7</v>
      </c>
      <c r="O26" s="330" t="s">
        <v>1255</v>
      </c>
      <c r="P26" s="331">
        <v>130334</v>
      </c>
      <c r="Q26" s="186">
        <f>IF(RECEBÍVEIS!$I$4=0,"",ROUNDDOWN($P26*VLOOKUP(RECEBÍVEIS!$I$4,'REL LINHAS'!$P$121:$Q$219,2,0),0))</f>
        <v>119907</v>
      </c>
      <c r="R26" s="187">
        <f>IF(PERFIL!$C$24="","",PERFIL!$C$24)</f>
        <v>0</v>
      </c>
      <c r="S26" s="187" t="str">
        <f>IF('DESP. ADM.'!$F$91="","",IF('DESP. ADM.'!$F$44="",IF('DESP. ADM.'!$E$91='DESP. ADM.'!$F$91,1,IF(SUM('DESP. ADM.'!$F$91/'DESP. ADM.'!$E$91)&gt;103%,103%,'DESP. ADM.'!$F$91/'DESP. ADM.'!$E$91)),100%-'DESP. ADM.'!$F$44/1100))</f>
        <v/>
      </c>
      <c r="T26" s="185">
        <f>IF(Q26="",'REL LINHAS'!P26,IF(S26="",ROUNDDOWN(SUM(Q26*0.75),0),ROUNDUP(SUM(Q26,Q26*R26)*S26,0)))</f>
        <v>89930</v>
      </c>
    </row>
    <row r="27" spans="1:27" ht="17.25" x14ac:dyDescent="0.2">
      <c r="B27" s="336" t="s">
        <v>547</v>
      </c>
      <c r="C27" s="99" t="s">
        <v>545</v>
      </c>
      <c r="D27" s="337" t="s">
        <v>543</v>
      </c>
      <c r="E27" s="107" t="s">
        <v>265</v>
      </c>
      <c r="F27" s="108">
        <v>12.5</v>
      </c>
      <c r="G27" s="57">
        <v>12</v>
      </c>
      <c r="H27" s="65">
        <v>3</v>
      </c>
      <c r="I27" s="69">
        <f t="shared" si="3"/>
        <v>15</v>
      </c>
      <c r="J27" s="64">
        <f t="shared" si="4"/>
        <v>8</v>
      </c>
      <c r="K27" s="64">
        <f t="shared" si="5"/>
        <v>7</v>
      </c>
      <c r="O27" s="330" t="s">
        <v>1256</v>
      </c>
      <c r="P27" s="331">
        <v>191506</v>
      </c>
      <c r="Q27" s="186">
        <f>IF(RECEBÍVEIS!$I$4=0,"",ROUNDDOWN($P27*VLOOKUP(RECEBÍVEIS!$I$4,'REL LINHAS'!$P$121:$Q$219,2,0),0))</f>
        <v>176185</v>
      </c>
      <c r="R27" s="187">
        <f>IF(PERFIL!$C$24="","",PERFIL!$C$24)</f>
        <v>0</v>
      </c>
      <c r="S27" s="187" t="str">
        <f>IF('DESP. ADM.'!$F$91="","",IF('DESP. ADM.'!$F$44="",IF('DESP. ADM.'!$E$91='DESP. ADM.'!$F$91,1,IF(SUM('DESP. ADM.'!$F$91/'DESP. ADM.'!$E$91)&gt;103%,103%,'DESP. ADM.'!$F$91/'DESP. ADM.'!$E$91)),100%-'DESP. ADM.'!$F$44/1100))</f>
        <v/>
      </c>
      <c r="T27" s="185">
        <f>IF(Q27="",'REL LINHAS'!P27,IF(S27="",ROUNDDOWN(SUM(Q27*0.75),0),ROUNDUP(SUM(Q27,Q27*R27)*S27,0)))</f>
        <v>132138</v>
      </c>
    </row>
    <row r="28" spans="1:27" ht="17.25" x14ac:dyDescent="0.2">
      <c r="B28" s="336" t="s">
        <v>548</v>
      </c>
      <c r="C28" s="99" t="s">
        <v>549</v>
      </c>
      <c r="D28" s="99" t="s">
        <v>539</v>
      </c>
      <c r="E28" s="107" t="s">
        <v>265</v>
      </c>
      <c r="F28" s="108">
        <v>12.5</v>
      </c>
      <c r="G28" s="57">
        <v>10</v>
      </c>
      <c r="H28" s="65">
        <v>2</v>
      </c>
      <c r="I28" s="69">
        <f t="shared" si="3"/>
        <v>12</v>
      </c>
      <c r="J28" s="64">
        <f t="shared" si="4"/>
        <v>7</v>
      </c>
      <c r="K28" s="64">
        <f t="shared" si="5"/>
        <v>6</v>
      </c>
      <c r="O28" s="330" t="s">
        <v>1257</v>
      </c>
      <c r="P28" s="331">
        <v>110110</v>
      </c>
      <c r="Q28" s="186">
        <f>IF(RECEBÍVEIS!$I$4=0,"",ROUNDDOWN($P28*VLOOKUP(RECEBÍVEIS!$I$4,'REL LINHAS'!$P$121:$Q$219,2,0),0))</f>
        <v>101301</v>
      </c>
      <c r="R28" s="187">
        <f>IF(PERFIL!$C$24="","",PERFIL!$C$24)</f>
        <v>0</v>
      </c>
      <c r="S28" s="187" t="str">
        <f>IF('DESP. ADM.'!$F$91="","",IF('DESP. ADM.'!$F$44="",IF('DESP. ADM.'!$E$91='DESP. ADM.'!$F$91,1,IF(SUM('DESP. ADM.'!$F$91/'DESP. ADM.'!$E$91)&gt;103%,103%,'DESP. ADM.'!$F$91/'DESP. ADM.'!$E$91)),100%-'DESP. ADM.'!$F$44/1100))</f>
        <v/>
      </c>
      <c r="T28" s="185">
        <f>IF(Q28="",'REL LINHAS'!P28,IF(S28="",ROUNDDOWN(SUM(Q28*0.75),0),ROUNDUP(SUM(Q28,Q28*R28)*S28,0)))</f>
        <v>75975</v>
      </c>
    </row>
    <row r="29" spans="1:27" ht="17.25" x14ac:dyDescent="0.2">
      <c r="B29" s="336" t="s">
        <v>550</v>
      </c>
      <c r="C29" s="99" t="s">
        <v>551</v>
      </c>
      <c r="D29" s="99" t="s">
        <v>552</v>
      </c>
      <c r="E29" s="107" t="s">
        <v>265</v>
      </c>
      <c r="F29" s="108">
        <v>12.5</v>
      </c>
      <c r="G29" s="57">
        <v>10</v>
      </c>
      <c r="H29" s="65">
        <v>2</v>
      </c>
      <c r="I29" s="69">
        <f t="shared" si="3"/>
        <v>12</v>
      </c>
      <c r="J29" s="64">
        <f t="shared" si="4"/>
        <v>7</v>
      </c>
      <c r="K29" s="64">
        <f t="shared" si="5"/>
        <v>6</v>
      </c>
      <c r="O29" s="330" t="s">
        <v>1258</v>
      </c>
      <c r="P29" s="331">
        <v>182979</v>
      </c>
      <c r="Q29" s="186">
        <f>IF(RECEBÍVEIS!$I$4=0,"",ROUNDDOWN($P29*VLOOKUP(RECEBÍVEIS!$I$4,'REL LINHAS'!$P$121:$Q$219,2,0),0))</f>
        <v>168340</v>
      </c>
      <c r="R29" s="187">
        <f>IF(PERFIL!$C$24="","",PERFIL!$C$24)</f>
        <v>0</v>
      </c>
      <c r="S29" s="187" t="str">
        <f>IF('DESP. ADM.'!$F$91="","",IF('DESP. ADM.'!$F$44="",IF('DESP. ADM.'!$E$91='DESP. ADM.'!$F$91,1,IF(SUM('DESP. ADM.'!$F$91/'DESP. ADM.'!$E$91)&gt;103%,103%,'DESP. ADM.'!$F$91/'DESP. ADM.'!$E$91)),100%-'DESP. ADM.'!$F$44/1100))</f>
        <v/>
      </c>
      <c r="T29" s="185">
        <f>IF(Q29="",'REL LINHAS'!P29,IF(S29="",ROUNDDOWN(SUM(Q29*0.75),0),ROUNDUP(SUM(Q29,Q29*R29)*S29,0)))</f>
        <v>126255</v>
      </c>
    </row>
    <row r="30" spans="1:27" ht="17.25" x14ac:dyDescent="0.2">
      <c r="B30" s="336" t="s">
        <v>553</v>
      </c>
      <c r="C30" s="99" t="s">
        <v>554</v>
      </c>
      <c r="D30" s="99" t="s">
        <v>539</v>
      </c>
      <c r="E30" s="107" t="s">
        <v>265</v>
      </c>
      <c r="F30" s="108">
        <v>12.5</v>
      </c>
      <c r="G30" s="57">
        <v>10</v>
      </c>
      <c r="H30" s="65">
        <v>2</v>
      </c>
      <c r="I30" s="69">
        <f t="shared" si="3"/>
        <v>12</v>
      </c>
      <c r="J30" s="64">
        <f t="shared" si="4"/>
        <v>7</v>
      </c>
      <c r="K30" s="64">
        <f t="shared" si="5"/>
        <v>6</v>
      </c>
      <c r="O30" s="330" t="s">
        <v>1259</v>
      </c>
      <c r="P30" s="331">
        <v>143231</v>
      </c>
      <c r="Q30" s="186">
        <f>IF(RECEBÍVEIS!$I$4=0,"",ROUNDDOWN($P30*VLOOKUP(RECEBÍVEIS!$I$4,'REL LINHAS'!$P$121:$Q$219,2,0),0))</f>
        <v>131772</v>
      </c>
      <c r="R30" s="187">
        <f>IF(PERFIL!$C$24="","",PERFIL!$C$24)</f>
        <v>0</v>
      </c>
      <c r="S30" s="187" t="str">
        <f>IF('DESP. ADM.'!$F$91="","",IF('DESP. ADM.'!$F$44="",IF('DESP. ADM.'!$E$91='DESP. ADM.'!$F$91,1,IF(SUM('DESP. ADM.'!$F$91/'DESP. ADM.'!$E$91)&gt;103%,103%,'DESP. ADM.'!$F$91/'DESP. ADM.'!$E$91)),100%-'DESP. ADM.'!$F$44/1100))</f>
        <v/>
      </c>
      <c r="T30" s="185">
        <f>IF(Q30="",'REL LINHAS'!P30,IF(S30="",ROUNDDOWN(SUM(Q30*0.75),0),ROUNDUP(SUM(Q30,Q30*R30)*S30,0)))</f>
        <v>98829</v>
      </c>
    </row>
    <row r="31" spans="1:27" ht="17.25" x14ac:dyDescent="0.2">
      <c r="B31" s="336"/>
      <c r="C31" s="99"/>
      <c r="D31" s="99"/>
      <c r="E31" s="107"/>
      <c r="F31" s="108"/>
      <c r="G31" s="57"/>
      <c r="H31" s="65"/>
      <c r="I31" s="69"/>
      <c r="J31" s="64" t="str">
        <f t="shared" si="4"/>
        <v/>
      </c>
      <c r="K31" s="64" t="str">
        <f t="shared" si="5"/>
        <v/>
      </c>
      <c r="O31" s="330" t="s">
        <v>1260</v>
      </c>
      <c r="P31" s="331">
        <v>208984</v>
      </c>
      <c r="Q31" s="186">
        <f>IF(RECEBÍVEIS!$I$4=0,"",ROUNDDOWN($P31*VLOOKUP(RECEBÍVEIS!$I$4,'REL LINHAS'!$P$121:$Q$219,2,0),0))</f>
        <v>192265</v>
      </c>
      <c r="R31" s="187">
        <f>IF(PERFIL!$C$24="","",PERFIL!$C$24)</f>
        <v>0</v>
      </c>
      <c r="S31" s="187" t="str">
        <f>IF('DESP. ADM.'!$F$91="","",IF('DESP. ADM.'!$F$44="",IF('DESP. ADM.'!$E$91='DESP. ADM.'!$F$91,1,IF(SUM('DESP. ADM.'!$F$91/'DESP. ADM.'!$E$91)&gt;103%,103%,'DESP. ADM.'!$F$91/'DESP. ADM.'!$E$91)),100%-'DESP. ADM.'!$F$44/1100))</f>
        <v/>
      </c>
      <c r="T31" s="185">
        <f>IF(Q31="",'REL LINHAS'!P31,IF(S31="",ROUNDDOWN(SUM(Q31*0.75),0),ROUNDUP(SUM(Q31,Q31*R31)*S31,0)))</f>
        <v>144198</v>
      </c>
    </row>
    <row r="32" spans="1:27" ht="17.25" x14ac:dyDescent="0.2">
      <c r="B32" s="336"/>
      <c r="C32" s="99"/>
      <c r="D32" s="99"/>
      <c r="E32" s="107"/>
      <c r="F32" s="108"/>
      <c r="G32" s="57"/>
      <c r="H32" s="65"/>
      <c r="I32" s="69"/>
      <c r="J32" s="64" t="str">
        <f t="shared" si="4"/>
        <v/>
      </c>
      <c r="K32" s="64" t="str">
        <f t="shared" si="5"/>
        <v/>
      </c>
      <c r="O32" s="330" t="s">
        <v>1261</v>
      </c>
      <c r="P32" s="331">
        <v>121346</v>
      </c>
      <c r="Q32" s="186">
        <f>IF(RECEBÍVEIS!$I$4=0,"",ROUNDDOWN($P32*VLOOKUP(RECEBÍVEIS!$I$4,'REL LINHAS'!$P$121:$Q$219,2,0),0))</f>
        <v>111638</v>
      </c>
      <c r="R32" s="187">
        <f>IF(PERFIL!$C$24="","",PERFIL!$C$24)</f>
        <v>0</v>
      </c>
      <c r="S32" s="187" t="str">
        <f>IF('DESP. ADM.'!$F$91="","",IF('DESP. ADM.'!$F$44="",IF('DESP. ADM.'!$E$91='DESP. ADM.'!$F$91,1,IF(SUM('DESP. ADM.'!$F$91/'DESP. ADM.'!$E$91)&gt;103%,103%,'DESP. ADM.'!$F$91/'DESP. ADM.'!$E$91)),100%-'DESP. ADM.'!$F$44/1100))</f>
        <v/>
      </c>
      <c r="T32" s="185">
        <f>IF(Q32="",'REL LINHAS'!P32,IF(S32="",ROUNDDOWN(SUM(Q32*0.75),0),ROUNDUP(SUM(Q32,Q32*R32)*S32,0)))</f>
        <v>83728</v>
      </c>
    </row>
    <row r="33" spans="1:20" ht="17.25" x14ac:dyDescent="0.2">
      <c r="B33" s="336"/>
      <c r="C33" s="99"/>
      <c r="D33" s="99"/>
      <c r="E33" s="107"/>
      <c r="F33" s="108"/>
      <c r="G33" s="57"/>
      <c r="H33" s="65"/>
      <c r="I33" s="69"/>
      <c r="J33" s="64" t="str">
        <f t="shared" si="4"/>
        <v/>
      </c>
      <c r="K33" s="64" t="str">
        <f t="shared" si="5"/>
        <v/>
      </c>
      <c r="O33" s="330" t="s">
        <v>1262</v>
      </c>
      <c r="P33" s="331">
        <v>105616</v>
      </c>
      <c r="Q33" s="186">
        <f>IF(RECEBÍVEIS!$I$4=0,"",ROUNDDOWN($P33*VLOOKUP(RECEBÍVEIS!$I$4,'REL LINHAS'!$P$121:$Q$219,2,0),0))</f>
        <v>97166</v>
      </c>
      <c r="R33" s="187">
        <f>IF(PERFIL!$C$24="","",PERFIL!$C$24)</f>
        <v>0</v>
      </c>
      <c r="S33" s="187" t="str">
        <f>IF('DESP. ADM.'!$F$91="","",IF('DESP. ADM.'!$F$44="",IF('DESP. ADM.'!$E$91='DESP. ADM.'!$F$91,1,IF(SUM('DESP. ADM.'!$F$91/'DESP. ADM.'!$E$91)&gt;103%,103%,'DESP. ADM.'!$F$91/'DESP. ADM.'!$E$91)),100%-'DESP. ADM.'!$F$44/1100))</f>
        <v/>
      </c>
      <c r="T33" s="185">
        <f>IF(Q33="",'REL LINHAS'!P33,IF(S33="",ROUNDDOWN(SUM(Q33*0.75),0),ROUNDUP(SUM(Q33,Q33*R33)*S33,0)))</f>
        <v>72874</v>
      </c>
    </row>
    <row r="34" spans="1:20" ht="17.25" x14ac:dyDescent="0.2">
      <c r="B34" s="336"/>
      <c r="C34" s="99"/>
      <c r="D34" s="99"/>
      <c r="E34" s="107"/>
      <c r="F34" s="108"/>
      <c r="G34" s="57"/>
      <c r="H34" s="65"/>
      <c r="I34" s="69"/>
      <c r="J34" s="64" t="str">
        <f t="shared" si="4"/>
        <v/>
      </c>
      <c r="K34" s="64" t="str">
        <f t="shared" si="5"/>
        <v/>
      </c>
      <c r="O34" s="330" t="s">
        <v>1263</v>
      </c>
      <c r="P34" s="331">
        <v>92133</v>
      </c>
      <c r="Q34" s="186">
        <f>IF(RECEBÍVEIS!$I$4=0,"",ROUNDDOWN($P34*VLOOKUP(RECEBÍVEIS!$I$4,'REL LINHAS'!$P$121:$Q$219,2,0),0))</f>
        <v>84762</v>
      </c>
      <c r="R34" s="187">
        <f>IF(PERFIL!$C$24="","",PERFIL!$C$24)</f>
        <v>0</v>
      </c>
      <c r="S34" s="187" t="str">
        <f>IF('DESP. ADM.'!$F$91="","",IF('DESP. ADM.'!$F$44="",IF('DESP. ADM.'!$E$91='DESP. ADM.'!$F$91,1,IF(SUM('DESP. ADM.'!$F$91/'DESP. ADM.'!$E$91)&gt;103%,103%,'DESP. ADM.'!$F$91/'DESP. ADM.'!$E$91)),100%-'DESP. ADM.'!$F$44/1100))</f>
        <v/>
      </c>
      <c r="T34" s="185">
        <f>IF(Q34="",'REL LINHAS'!P34,IF(S34="",ROUNDDOWN(SUM(Q34*0.75),0),ROUNDUP(SUM(Q34,Q34*R34)*S34,0)))</f>
        <v>63571</v>
      </c>
    </row>
    <row r="35" spans="1:20" ht="17.25" x14ac:dyDescent="0.2">
      <c r="B35" s="336"/>
      <c r="C35" s="99"/>
      <c r="D35" s="99"/>
      <c r="E35" s="107"/>
      <c r="F35" s="108"/>
      <c r="G35" s="57"/>
      <c r="H35" s="65"/>
      <c r="I35" s="69"/>
      <c r="J35" s="64" t="str">
        <f t="shared" si="4"/>
        <v/>
      </c>
      <c r="K35" s="64" t="str">
        <f t="shared" si="5"/>
        <v/>
      </c>
      <c r="O35" s="330" t="s">
        <v>1264</v>
      </c>
      <c r="P35" s="331">
        <v>169659</v>
      </c>
      <c r="Q35" s="186">
        <f>IF(RECEBÍVEIS!$I$4=0,"",ROUNDDOWN($P35*VLOOKUP(RECEBÍVEIS!$I$4,'REL LINHAS'!$P$121:$Q$219,2,0),0))</f>
        <v>156086</v>
      </c>
      <c r="R35" s="187">
        <f>IF(PERFIL!$C$24="","",PERFIL!$C$24)</f>
        <v>0</v>
      </c>
      <c r="S35" s="187" t="str">
        <f>IF('DESP. ADM.'!$F$91="","",IF('DESP. ADM.'!$F$44="",IF('DESP. ADM.'!$E$91='DESP. ADM.'!$F$91,1,IF(SUM('DESP. ADM.'!$F$91/'DESP. ADM.'!$E$91)&gt;103%,103%,'DESP. ADM.'!$F$91/'DESP. ADM.'!$E$91)),100%-'DESP. ADM.'!$F$44/1100))</f>
        <v/>
      </c>
      <c r="T35" s="185">
        <f>IF(Q35="",'REL LINHAS'!P35,IF(S35="",ROUNDDOWN(SUM(Q35*0.75),0),ROUNDUP(SUM(Q35,Q35*R35)*S35,0)))</f>
        <v>117064</v>
      </c>
    </row>
    <row r="36" spans="1:20" ht="17.25" x14ac:dyDescent="0.2">
      <c r="B36" s="336"/>
      <c r="C36" s="99"/>
      <c r="D36" s="99"/>
      <c r="E36" s="107"/>
      <c r="F36" s="108"/>
      <c r="G36" s="57"/>
      <c r="H36" s="65"/>
      <c r="I36" s="69"/>
      <c r="J36" s="64" t="str">
        <f t="shared" si="4"/>
        <v/>
      </c>
      <c r="K36" s="64" t="str">
        <f t="shared" si="5"/>
        <v/>
      </c>
      <c r="O36" s="330" t="s">
        <v>1265</v>
      </c>
      <c r="P36" s="331">
        <v>106739</v>
      </c>
      <c r="Q36" s="186">
        <f>IF(RECEBÍVEIS!$I$4=0,"",ROUNDDOWN($P36*VLOOKUP(RECEBÍVEIS!$I$4,'REL LINHAS'!$P$121:$Q$219,2,0),0))</f>
        <v>98199</v>
      </c>
      <c r="R36" s="187">
        <f>IF(PERFIL!$C$24="","",PERFIL!$C$24)</f>
        <v>0</v>
      </c>
      <c r="S36" s="187" t="str">
        <f>IF('DESP. ADM.'!$F$91="","",IF('DESP. ADM.'!$F$44="",IF('DESP. ADM.'!$E$91='DESP. ADM.'!$F$91,1,IF(SUM('DESP. ADM.'!$F$91/'DESP. ADM.'!$E$91)&gt;103%,103%,'DESP. ADM.'!$F$91/'DESP. ADM.'!$E$91)),100%-'DESP. ADM.'!$F$44/1100))</f>
        <v/>
      </c>
      <c r="T36" s="185">
        <f>IF(Q36="",'REL LINHAS'!P36,IF(S36="",ROUNDDOWN(SUM(Q36*0.75),0),ROUNDUP(SUM(Q36,Q36*R36)*S36,0)))</f>
        <v>73649</v>
      </c>
    </row>
    <row r="37" spans="1:20" ht="17.25" x14ac:dyDescent="0.2">
      <c r="B37" s="336"/>
      <c r="C37" s="99"/>
      <c r="D37" s="99"/>
      <c r="E37" s="107"/>
      <c r="F37" s="108"/>
      <c r="G37" s="57"/>
      <c r="H37" s="65"/>
      <c r="I37" s="69"/>
      <c r="J37" s="64" t="str">
        <f t="shared" si="4"/>
        <v/>
      </c>
      <c r="K37" s="64" t="str">
        <f t="shared" si="5"/>
        <v/>
      </c>
      <c r="O37" s="330" t="s">
        <v>1442</v>
      </c>
      <c r="P37" s="331">
        <v>134829</v>
      </c>
      <c r="Q37" s="186">
        <f>IF(RECEBÍVEIS!$I$4=0,"",ROUNDDOWN($P37*VLOOKUP(RECEBÍVEIS!$I$4,'REL LINHAS'!$P$121:$Q$219,2,0),0))</f>
        <v>124042</v>
      </c>
      <c r="R37" s="187">
        <f>IF(PERFIL!$C$24="","",PERFIL!$C$24)</f>
        <v>0</v>
      </c>
      <c r="S37" s="187" t="str">
        <f>IF('DESP. ADM.'!$F$91="","",IF('DESP. ADM.'!$F$44="",IF('DESP. ADM.'!$E$91='DESP. ADM.'!$F$91,1,IF(SUM('DESP. ADM.'!$F$91/'DESP. ADM.'!$E$91)&gt;103%,103%,'DESP. ADM.'!$F$91/'DESP. ADM.'!$E$91)),100%-'DESP. ADM.'!$F$44/1100))</f>
        <v/>
      </c>
      <c r="T37" s="185">
        <f>IF(Q37="",'REL LINHAS'!P37,IF(S37="",ROUNDDOWN(SUM(Q37*0.75),0),ROUNDUP(SUM(Q37,Q37*R37)*S37,0)))</f>
        <v>93031</v>
      </c>
    </row>
    <row r="38" spans="1:20" ht="17.25" x14ac:dyDescent="0.2">
      <c r="B38" s="336"/>
      <c r="C38" s="99"/>
      <c r="D38" s="99"/>
      <c r="E38" s="107"/>
      <c r="F38" s="108"/>
      <c r="G38" s="57"/>
      <c r="H38" s="65"/>
      <c r="I38" s="69"/>
      <c r="J38" s="64" t="str">
        <f t="shared" si="4"/>
        <v/>
      </c>
      <c r="K38" s="64" t="str">
        <f t="shared" si="5"/>
        <v/>
      </c>
      <c r="O38" s="330" t="s">
        <v>1443</v>
      </c>
      <c r="P38" s="331">
        <v>148311</v>
      </c>
      <c r="Q38" s="186">
        <f>IF(RECEBÍVEIS!$I$4=0,"",ROUNDDOWN($P38*VLOOKUP(RECEBÍVEIS!$I$4,'REL LINHAS'!$P$121:$Q$219,2,0),0))</f>
        <v>136446</v>
      </c>
      <c r="R38" s="187">
        <f>IF(PERFIL!$C$24="","",PERFIL!$C$24)</f>
        <v>0</v>
      </c>
      <c r="S38" s="187" t="str">
        <f>IF('DESP. ADM.'!$F$91="","",IF('DESP. ADM.'!$F$44="",IF('DESP. ADM.'!$E$91='DESP. ADM.'!$F$91,1,IF(SUM('DESP. ADM.'!$F$91/'DESP. ADM.'!$E$91)&gt;103%,103%,'DESP. ADM.'!$F$91/'DESP. ADM.'!$E$91)),100%-'DESP. ADM.'!$F$44/1100))</f>
        <v/>
      </c>
      <c r="T38" s="185">
        <f>IF(Q38="",'REL LINHAS'!P38,IF(S38="",ROUNDDOWN(SUM(Q38*0.75),0),ROUNDUP(SUM(Q38,Q38*R38)*S38,0)))</f>
        <v>102334</v>
      </c>
    </row>
    <row r="39" spans="1:20" ht="17.25" x14ac:dyDescent="0.2">
      <c r="B39" s="336"/>
      <c r="C39" s="99"/>
      <c r="D39" s="99"/>
      <c r="E39" s="107"/>
      <c r="F39" s="108"/>
      <c r="G39" s="57"/>
      <c r="H39" s="65"/>
      <c r="I39" s="69"/>
      <c r="J39" s="64" t="str">
        <f t="shared" si="4"/>
        <v/>
      </c>
      <c r="K39" s="64" t="str">
        <f t="shared" si="5"/>
        <v/>
      </c>
      <c r="O39" s="330" t="s">
        <v>1444</v>
      </c>
      <c r="P39" s="331">
        <v>188760</v>
      </c>
      <c r="Q39" s="186">
        <f>IF(RECEBÍVEIS!$I$4=0,"",ROUNDDOWN($P39*VLOOKUP(RECEBÍVEIS!$I$4,'REL LINHAS'!$P$121:$Q$219,2,0),0))</f>
        <v>173659</v>
      </c>
      <c r="R39" s="187">
        <f>IF(PERFIL!$C$24="","",PERFIL!$C$24)</f>
        <v>0</v>
      </c>
      <c r="S39" s="187" t="str">
        <f>IF('DESP. ADM.'!$F$91="","",IF('DESP. ADM.'!$F$44="",IF('DESP. ADM.'!$E$91='DESP. ADM.'!$F$91,1,IF(SUM('DESP. ADM.'!$F$91/'DESP. ADM.'!$E$91)&gt;103%,103%,'DESP. ADM.'!$F$91/'DESP. ADM.'!$E$91)),100%-'DESP. ADM.'!$F$44/1100))</f>
        <v/>
      </c>
      <c r="T39" s="185">
        <f>IF(Q39="",'REL LINHAS'!P39,IF(S39="",ROUNDDOWN(SUM(Q39*0.75),0),ROUNDUP(SUM(Q39,Q39*R39)*S39,0)))</f>
        <v>130244</v>
      </c>
    </row>
    <row r="40" spans="1:20" ht="18" customHeight="1" x14ac:dyDescent="0.2">
      <c r="B40" s="561" t="s">
        <v>22</v>
      </c>
      <c r="C40" s="561" t="s">
        <v>177</v>
      </c>
      <c r="D40" s="561" t="s">
        <v>243</v>
      </c>
      <c r="E40" s="561" t="s">
        <v>23</v>
      </c>
      <c r="F40" s="562" t="s">
        <v>234</v>
      </c>
      <c r="G40" s="562"/>
      <c r="H40" s="562"/>
      <c r="I40" s="562"/>
      <c r="J40" s="562"/>
      <c r="K40" s="562"/>
      <c r="O40" s="330" t="s">
        <v>1445</v>
      </c>
      <c r="P40" s="331">
        <v>104492</v>
      </c>
      <c r="Q40" s="186">
        <f>IF(RECEBÍVEIS!$I$4=0,"",ROUNDDOWN($P40*VLOOKUP(RECEBÍVEIS!$I$4,'REL LINHAS'!$P$121:$Q$219,2,0),0))</f>
        <v>96132</v>
      </c>
      <c r="R40" s="187">
        <f>IF(PERFIL!$C$24="","",PERFIL!$C$24)</f>
        <v>0</v>
      </c>
      <c r="S40" s="187" t="str">
        <f>IF('DESP. ADM.'!$F$91="","",IF('DESP. ADM.'!$F$44="",IF('DESP. ADM.'!$E$91='DESP. ADM.'!$F$91,1,IF(SUM('DESP. ADM.'!$F$91/'DESP. ADM.'!$E$91)&gt;103%,103%,'DESP. ADM.'!$F$91/'DESP. ADM.'!$E$91)),100%-'DESP. ADM.'!$F$44/1100))</f>
        <v/>
      </c>
      <c r="T40" s="185">
        <f>IF(Q40="",'REL LINHAS'!P40,IF(S40="",ROUNDDOWN(SUM(Q40*0.75),0),ROUNDUP(SUM(Q40,Q40*R40)*S40,0)))</f>
        <v>72099</v>
      </c>
    </row>
    <row r="41" spans="1:20" ht="21" x14ac:dyDescent="0.2">
      <c r="A41" s="114">
        <v>13</v>
      </c>
      <c r="B41" s="433" t="s">
        <v>1025</v>
      </c>
      <c r="C41" s="115" t="s">
        <v>555</v>
      </c>
      <c r="D41" s="114" t="s">
        <v>556</v>
      </c>
      <c r="E41" s="351" t="str">
        <f>IF(O5="","",O5)</f>
        <v>PADRE ANCHIETA</v>
      </c>
      <c r="F41" s="563">
        <f>IF(B41="","",VLOOKUP(E41,$O$2:$T$120,6,0))</f>
        <v>67447</v>
      </c>
      <c r="G41" s="564"/>
      <c r="H41" s="564"/>
      <c r="I41" s="564"/>
      <c r="J41" s="564"/>
      <c r="K41" s="565"/>
      <c r="O41" s="330" t="s">
        <v>1446</v>
      </c>
      <c r="P41" s="331">
        <v>149435</v>
      </c>
      <c r="Q41" s="186">
        <f>IF(RECEBÍVEIS!$I$4=0,"",ROUNDDOWN($P41*VLOOKUP(RECEBÍVEIS!$I$4,'REL LINHAS'!$P$121:$Q$219,2,0),0))</f>
        <v>137480</v>
      </c>
      <c r="R41" s="187">
        <f>IF(PERFIL!$C$24="","",PERFIL!$C$24)</f>
        <v>0</v>
      </c>
      <c r="S41" s="187" t="str">
        <f>IF('DESP. ADM.'!$F$91="","",IF('DESP. ADM.'!$F$44="",IF('DESP. ADM.'!$E$91='DESP. ADM.'!$F$91,1,IF(SUM('DESP. ADM.'!$F$91/'DESP. ADM.'!$E$91)&gt;103%,103%,'DESP. ADM.'!$F$91/'DESP. ADM.'!$E$91)),100%-'DESP. ADM.'!$F$44/1100))</f>
        <v/>
      </c>
      <c r="T41" s="185">
        <f>IF(Q41="",'REL LINHAS'!P41,IF(S41="",ROUNDDOWN(SUM(Q41*0.75),0),ROUNDUP(SUM(Q41,Q41*R41)*S41,0)))</f>
        <v>103110</v>
      </c>
    </row>
    <row r="42" spans="1:20" ht="43.5" x14ac:dyDescent="0.2">
      <c r="A42" s="166" t="s">
        <v>779</v>
      </c>
      <c r="B42" s="116" t="s">
        <v>0</v>
      </c>
      <c r="C42" s="116" t="s">
        <v>20</v>
      </c>
      <c r="D42" s="116" t="s">
        <v>21</v>
      </c>
      <c r="E42" s="116" t="s">
        <v>1</v>
      </c>
      <c r="F42" s="117" t="s">
        <v>3</v>
      </c>
      <c r="G42" s="116" t="s">
        <v>216</v>
      </c>
      <c r="H42" s="180" t="s">
        <v>242</v>
      </c>
      <c r="I42" s="116" t="s">
        <v>245</v>
      </c>
      <c r="J42" s="116" t="s">
        <v>217</v>
      </c>
      <c r="K42" s="116" t="s">
        <v>218</v>
      </c>
      <c r="O42" s="330" t="s">
        <v>1447</v>
      </c>
      <c r="P42" s="331">
        <v>146064</v>
      </c>
      <c r="Q42" s="186">
        <f>IF(RECEBÍVEIS!$I$4=0,"",ROUNDDOWN($P42*VLOOKUP(RECEBÍVEIS!$I$4,'REL LINHAS'!$P$121:$Q$219,2,0),0))</f>
        <v>134378</v>
      </c>
      <c r="R42" s="187">
        <f>IF(PERFIL!$C$24="","",PERFIL!$C$24)</f>
        <v>0</v>
      </c>
      <c r="S42" s="187" t="str">
        <f>IF('DESP. ADM.'!$F$91="","",IF('DESP. ADM.'!$F$44="",IF('DESP. ADM.'!$E$91='DESP. ADM.'!$F$91,1,IF(SUM('DESP. ADM.'!$F$91/'DESP. ADM.'!$E$91)&gt;103%,103%,'DESP. ADM.'!$F$91/'DESP. ADM.'!$E$91)),100%-'DESP. ADM.'!$F$44/1100))</f>
        <v/>
      </c>
      <c r="T42" s="185">
        <f>IF(Q42="",'REL LINHAS'!P42,IF(S42="",ROUNDDOWN(SUM(Q42*0.75),0),ROUNDUP(SUM(Q42,Q42*R42)*S42,0)))</f>
        <v>100783</v>
      </c>
    </row>
    <row r="43" spans="1:20" ht="17.25" x14ac:dyDescent="0.2">
      <c r="B43" s="338" t="s">
        <v>557</v>
      </c>
      <c r="C43" s="109" t="s">
        <v>558</v>
      </c>
      <c r="D43" s="109" t="s">
        <v>543</v>
      </c>
      <c r="E43" s="107" t="s">
        <v>55</v>
      </c>
      <c r="F43" s="333">
        <v>14</v>
      </c>
      <c r="G43" s="65">
        <v>16</v>
      </c>
      <c r="H43" s="65">
        <v>2</v>
      </c>
      <c r="I43" s="69">
        <f>IF(G43="","",SUM(G43:H43))</f>
        <v>18</v>
      </c>
      <c r="J43" s="64">
        <f>IF(G43="","",ROUNDUP(G43*0.65,0))</f>
        <v>11</v>
      </c>
      <c r="K43" s="64">
        <f>IF(G43="","",ROUNDUP(G43*0.55,0))</f>
        <v>9</v>
      </c>
      <c r="O43" s="330" t="s">
        <v>1450</v>
      </c>
      <c r="P43" s="331">
        <v>138199</v>
      </c>
      <c r="Q43" s="186">
        <f>IF(RECEBÍVEIS!$I$4=0,"",ROUNDDOWN($P43*VLOOKUP(RECEBÍVEIS!$I$4,'REL LINHAS'!$P$121:$Q$219,2,0),0))</f>
        <v>127143</v>
      </c>
      <c r="R43" s="187">
        <f>IF(PERFIL!$C$24="","",PERFIL!$C$24)</f>
        <v>0</v>
      </c>
      <c r="S43" s="187" t="str">
        <f>IF('DESP. ADM.'!$F$91="","",IF('DESP. ADM.'!$F$44="",IF('DESP. ADM.'!$E$91='DESP. ADM.'!$F$91,1,IF(SUM('DESP. ADM.'!$F$91/'DESP. ADM.'!$E$91)&gt;103%,103%,'DESP. ADM.'!$F$91/'DESP. ADM.'!$E$91)),100%-'DESP. ADM.'!$F$44/1100))</f>
        <v/>
      </c>
      <c r="T43" s="185">
        <f>IF(Q43="",'REL LINHAS'!P43,IF(S43="",ROUNDDOWN(SUM(Q43*0.75),0),ROUNDUP(SUM(Q43,Q43*R43)*S43,0)))</f>
        <v>95357</v>
      </c>
    </row>
    <row r="44" spans="1:20" ht="17.25" x14ac:dyDescent="0.2">
      <c r="B44" s="338" t="s">
        <v>559</v>
      </c>
      <c r="C44" s="109" t="s">
        <v>560</v>
      </c>
      <c r="D44" s="109" t="s">
        <v>543</v>
      </c>
      <c r="E44" s="107" t="s">
        <v>265</v>
      </c>
      <c r="F44" s="108">
        <v>12.5</v>
      </c>
      <c r="G44" s="64">
        <v>16</v>
      </c>
      <c r="H44" s="65">
        <v>2</v>
      </c>
      <c r="I44" s="69">
        <f t="shared" ref="I44:I49" si="6">IF(G44="","",SUM(G44:H44))</f>
        <v>18</v>
      </c>
      <c r="J44" s="64">
        <f t="shared" ref="J44:J58" si="7">IF(G44="","",ROUNDUP(G44*0.65,0))</f>
        <v>11</v>
      </c>
      <c r="K44" s="64">
        <f t="shared" ref="K44:K58" si="8">IF(G44="","",ROUNDUP(G44*0.55,0))</f>
        <v>9</v>
      </c>
      <c r="O44" s="330" t="s">
        <v>1451</v>
      </c>
      <c r="P44" s="331">
        <v>125840</v>
      </c>
      <c r="Q44" s="186">
        <f>IF(RECEBÍVEIS!$I$4=0,"",ROUNDDOWN($P44*VLOOKUP(RECEBÍVEIS!$I$4,'REL LINHAS'!$P$121:$Q$219,2,0),0))</f>
        <v>115772</v>
      </c>
      <c r="R44" s="187">
        <f>IF(PERFIL!$C$24="","",PERFIL!$C$24)</f>
        <v>0</v>
      </c>
      <c r="S44" s="187" t="str">
        <f>IF('DESP. ADM.'!$F$91="","",IF('DESP. ADM.'!$F$44="",IF('DESP. ADM.'!$E$91='DESP. ADM.'!$F$91,1,IF(SUM('DESP. ADM.'!$F$91/'DESP. ADM.'!$E$91)&gt;103%,103%,'DESP. ADM.'!$F$91/'DESP. ADM.'!$E$91)),100%-'DESP. ADM.'!$F$44/1100))</f>
        <v/>
      </c>
      <c r="T44" s="185">
        <f>IF(Q44="",'REL LINHAS'!P44,IF(S44="",ROUNDDOWN(SUM(Q44*0.75),0),ROUNDUP(SUM(Q44,Q44*R44)*S44,0)))</f>
        <v>86829</v>
      </c>
    </row>
    <row r="45" spans="1:20" ht="17.25" x14ac:dyDescent="0.2">
      <c r="B45" s="338" t="s">
        <v>561</v>
      </c>
      <c r="C45" s="109" t="s">
        <v>562</v>
      </c>
      <c r="D45" s="109" t="s">
        <v>543</v>
      </c>
      <c r="E45" s="107" t="s">
        <v>265</v>
      </c>
      <c r="F45" s="108">
        <v>12.5</v>
      </c>
      <c r="G45" s="64">
        <v>13</v>
      </c>
      <c r="H45" s="65">
        <v>2</v>
      </c>
      <c r="I45" s="69">
        <f t="shared" si="6"/>
        <v>15</v>
      </c>
      <c r="J45" s="64">
        <f t="shared" si="7"/>
        <v>9</v>
      </c>
      <c r="K45" s="64">
        <f t="shared" si="8"/>
        <v>8</v>
      </c>
      <c r="O45" s="330" t="s">
        <v>1448</v>
      </c>
      <c r="P45" s="331">
        <v>151682</v>
      </c>
      <c r="Q45" s="186">
        <f>IF(RECEBÍVEIS!$I$4=0,"",ROUNDDOWN($P45*VLOOKUP(RECEBÍVEIS!$I$4,'REL LINHAS'!$P$121:$Q$219,2,0),0))</f>
        <v>139547</v>
      </c>
      <c r="R45" s="187">
        <f>IF(PERFIL!$C$24="","",PERFIL!$C$24)</f>
        <v>0</v>
      </c>
      <c r="S45" s="187" t="str">
        <f>IF('DESP. ADM.'!$F$91="","",IF('DESP. ADM.'!$F$44="",IF('DESP. ADM.'!$E$91='DESP. ADM.'!$F$91,1,IF(SUM('DESP. ADM.'!$F$91/'DESP. ADM.'!$E$91)&gt;103%,103%,'DESP. ADM.'!$F$91/'DESP. ADM.'!$E$91)),100%-'DESP. ADM.'!$F$44/1100))</f>
        <v/>
      </c>
      <c r="T45" s="185">
        <f>IF(Q45="",'REL LINHAS'!P45,IF(S45="",ROUNDDOWN(SUM(Q45*0.75),0),ROUNDUP(SUM(Q45,Q45*R45)*S45,0)))</f>
        <v>104660</v>
      </c>
    </row>
    <row r="46" spans="1:20" ht="17.25" x14ac:dyDescent="0.2">
      <c r="B46" s="338" t="s">
        <v>563</v>
      </c>
      <c r="C46" s="109" t="s">
        <v>539</v>
      </c>
      <c r="D46" s="109" t="s">
        <v>564</v>
      </c>
      <c r="E46" s="107" t="s">
        <v>265</v>
      </c>
      <c r="F46" s="108">
        <v>12.5</v>
      </c>
      <c r="G46" s="64">
        <v>12</v>
      </c>
      <c r="H46" s="65">
        <v>2</v>
      </c>
      <c r="I46" s="69">
        <f t="shared" si="6"/>
        <v>14</v>
      </c>
      <c r="J46" s="64">
        <f t="shared" si="7"/>
        <v>8</v>
      </c>
      <c r="K46" s="64">
        <f t="shared" si="8"/>
        <v>7</v>
      </c>
      <c r="O46" s="330" t="s">
        <v>1449</v>
      </c>
      <c r="P46" s="331">
        <v>129211</v>
      </c>
      <c r="Q46" s="186">
        <f>IF(RECEBÍVEIS!$I$4=0,"",ROUNDDOWN($P46*VLOOKUP(RECEBÍVEIS!$I$4,'REL LINHAS'!$P$121:$Q$219,2,0),0))</f>
        <v>118874</v>
      </c>
      <c r="R46" s="187">
        <f>IF(PERFIL!$C$24="","",PERFIL!$C$24)</f>
        <v>0</v>
      </c>
      <c r="S46" s="187" t="str">
        <f>IF('DESP. ADM.'!$F$91="","",IF('DESP. ADM.'!$F$44="",IF('DESP. ADM.'!$E$91='DESP. ADM.'!$F$91,1,IF(SUM('DESP. ADM.'!$F$91/'DESP. ADM.'!$E$91)&gt;103%,103%,'DESP. ADM.'!$F$91/'DESP. ADM.'!$E$91)),100%-'DESP. ADM.'!$F$44/1100))</f>
        <v/>
      </c>
      <c r="T46" s="185">
        <f>IF(Q46="",'REL LINHAS'!P46,IF(S46="",ROUNDDOWN(SUM(Q46*0.75),0),ROUNDUP(SUM(Q46,Q46*R46)*S46,0)))</f>
        <v>89155</v>
      </c>
    </row>
    <row r="47" spans="1:20" ht="17.25" x14ac:dyDescent="0.2">
      <c r="B47" s="338" t="s">
        <v>565</v>
      </c>
      <c r="C47" s="109" t="s">
        <v>539</v>
      </c>
      <c r="D47" s="109" t="s">
        <v>566</v>
      </c>
      <c r="E47" s="107" t="s">
        <v>179</v>
      </c>
      <c r="F47" s="108">
        <v>9.5</v>
      </c>
      <c r="G47" s="64">
        <v>10</v>
      </c>
      <c r="H47" s="65">
        <v>2</v>
      </c>
      <c r="I47" s="69">
        <f t="shared" si="6"/>
        <v>12</v>
      </c>
      <c r="J47" s="64">
        <f t="shared" si="7"/>
        <v>7</v>
      </c>
      <c r="K47" s="64">
        <f t="shared" si="8"/>
        <v>6</v>
      </c>
      <c r="O47" s="330" t="s">
        <v>1452</v>
      </c>
      <c r="P47" s="331">
        <v>146064</v>
      </c>
      <c r="Q47" s="186">
        <f>IF(RECEBÍVEIS!$I$4=0,"",ROUNDDOWN($P47*VLOOKUP(RECEBÍVEIS!$I$4,'REL LINHAS'!$P$121:$Q$219,2,0),0))</f>
        <v>134378</v>
      </c>
      <c r="R47" s="187">
        <f>IF(PERFIL!$C$24="","",PERFIL!$C$24)</f>
        <v>0</v>
      </c>
      <c r="S47" s="187" t="str">
        <f>IF('DESP. ADM.'!$F$91="","",IF('DESP. ADM.'!$F$44="",IF('DESP. ADM.'!$E$91='DESP. ADM.'!$F$91,1,IF(SUM('DESP. ADM.'!$F$91/'DESP. ADM.'!$E$91)&gt;103%,103%,'DESP. ADM.'!$F$91/'DESP. ADM.'!$E$91)),100%-'DESP. ADM.'!$F$44/1100))</f>
        <v/>
      </c>
      <c r="T47" s="185">
        <f>IF(Q47="",'REL LINHAS'!P47,IF(S47="",ROUNDDOWN(SUM(Q47*0.75),0),ROUNDUP(SUM(Q47,Q47*R47)*S47,0)))</f>
        <v>100783</v>
      </c>
    </row>
    <row r="48" spans="1:20" ht="17.25" x14ac:dyDescent="0.2">
      <c r="B48" s="338" t="s">
        <v>567</v>
      </c>
      <c r="C48" s="109" t="s">
        <v>568</v>
      </c>
      <c r="D48" s="109" t="s">
        <v>569</v>
      </c>
      <c r="E48" s="107" t="s">
        <v>179</v>
      </c>
      <c r="F48" s="108">
        <v>9.5</v>
      </c>
      <c r="G48" s="64">
        <v>10</v>
      </c>
      <c r="H48" s="65">
        <v>2</v>
      </c>
      <c r="I48" s="69">
        <f t="shared" si="6"/>
        <v>12</v>
      </c>
      <c r="J48" s="64">
        <f t="shared" si="7"/>
        <v>7</v>
      </c>
      <c r="K48" s="64">
        <f t="shared" si="8"/>
        <v>6</v>
      </c>
      <c r="O48" s="330" t="s">
        <v>1453</v>
      </c>
      <c r="P48" s="331">
        <v>157300</v>
      </c>
      <c r="Q48" s="186">
        <f>IF(RECEBÍVEIS!$I$4=0,"",ROUNDDOWN($P48*VLOOKUP(RECEBÍVEIS!$I$4,'REL LINHAS'!$P$121:$Q$219,2,0),0))</f>
        <v>144716</v>
      </c>
      <c r="R48" s="187">
        <f>IF(PERFIL!$C$24="","",PERFIL!$C$24)</f>
        <v>0</v>
      </c>
      <c r="S48" s="187" t="str">
        <f>IF('DESP. ADM.'!$F$91="","",IF('DESP. ADM.'!$F$44="",IF('DESP. ADM.'!$E$91='DESP. ADM.'!$F$91,1,IF(SUM('DESP. ADM.'!$F$91/'DESP. ADM.'!$E$91)&gt;103%,103%,'DESP. ADM.'!$F$91/'DESP. ADM.'!$E$91)),100%-'DESP. ADM.'!$F$44/1100))</f>
        <v/>
      </c>
      <c r="T48" s="185">
        <f>IF(Q48="",'REL LINHAS'!P48,IF(S48="",ROUNDDOWN(SUM(Q48*0.75),0),ROUNDUP(SUM(Q48,Q48*R48)*S48,0)))</f>
        <v>108537</v>
      </c>
    </row>
    <row r="49" spans="1:20" ht="17.25" x14ac:dyDescent="0.2">
      <c r="B49" s="338" t="s">
        <v>570</v>
      </c>
      <c r="C49" s="109" t="s">
        <v>571</v>
      </c>
      <c r="D49" s="109" t="s">
        <v>572</v>
      </c>
      <c r="E49" s="107" t="s">
        <v>179</v>
      </c>
      <c r="F49" s="108">
        <v>9.5</v>
      </c>
      <c r="G49" s="64">
        <v>10</v>
      </c>
      <c r="H49" s="65">
        <v>1</v>
      </c>
      <c r="I49" s="69">
        <f t="shared" si="6"/>
        <v>11</v>
      </c>
      <c r="J49" s="64">
        <f t="shared" si="7"/>
        <v>7</v>
      </c>
      <c r="K49" s="64">
        <f t="shared" si="8"/>
        <v>6</v>
      </c>
      <c r="O49" s="330" t="s">
        <v>1537</v>
      </c>
      <c r="P49" s="331">
        <v>96627</v>
      </c>
      <c r="Q49" s="186">
        <f>IF(RECEBÍVEIS!$I$4=0,"",ROUNDDOWN($P49*VLOOKUP(RECEBÍVEIS!$I$4,'REL LINHAS'!$P$121:$Q$219,2,0),0))</f>
        <v>88896</v>
      </c>
      <c r="R49" s="187">
        <f>IF(PERFIL!$C$24="","",PERFIL!$C$24)</f>
        <v>0</v>
      </c>
      <c r="S49" s="187" t="str">
        <f>IF('DESP. ADM.'!$F$91="","",IF('DESP. ADM.'!$F$44="",IF('DESP. ADM.'!$E$91='DESP. ADM.'!$F$91,1,IF(SUM('DESP. ADM.'!$F$91/'DESP. ADM.'!$E$91)&gt;103%,103%,'DESP. ADM.'!$F$91/'DESP. ADM.'!$E$91)),100%-'DESP. ADM.'!$F$44/1100))</f>
        <v/>
      </c>
      <c r="T49" s="185">
        <f>IF(Q49="",'REL LINHAS'!P49,IF(S49="",ROUNDDOWN(SUM(Q49*0.75),0),ROUNDUP(SUM(Q49,Q49*R49)*S49,0)))</f>
        <v>66672</v>
      </c>
    </row>
    <row r="50" spans="1:20" ht="17.25" x14ac:dyDescent="0.2">
      <c r="B50" s="338"/>
      <c r="C50" s="109"/>
      <c r="D50" s="109"/>
      <c r="E50" s="107"/>
      <c r="F50" s="108"/>
      <c r="G50" s="64"/>
      <c r="H50" s="65"/>
      <c r="I50" s="69"/>
      <c r="J50" s="64" t="str">
        <f t="shared" si="7"/>
        <v/>
      </c>
      <c r="K50" s="64" t="str">
        <f t="shared" si="8"/>
        <v/>
      </c>
      <c r="O50" s="330" t="s">
        <v>1538</v>
      </c>
      <c r="P50" s="331">
        <v>107863</v>
      </c>
      <c r="Q50" s="186">
        <f>IF(RECEBÍVEIS!$I$4=0,"",ROUNDDOWN($P50*VLOOKUP(RECEBÍVEIS!$I$4,'REL LINHAS'!$P$121:$Q$219,2,0),0))</f>
        <v>99233</v>
      </c>
      <c r="R50" s="187">
        <f>IF(PERFIL!$C$24="","",PERFIL!$C$24)</f>
        <v>0</v>
      </c>
      <c r="S50" s="187" t="str">
        <f>IF('DESP. ADM.'!$F$91="","",IF('DESP. ADM.'!$F$44="",IF('DESP. ADM.'!$E$91='DESP. ADM.'!$F$91,1,IF(SUM('DESP. ADM.'!$F$91/'DESP. ADM.'!$E$91)&gt;103%,103%,'DESP. ADM.'!$F$91/'DESP. ADM.'!$E$91)),100%-'DESP. ADM.'!$F$44/1100))</f>
        <v/>
      </c>
      <c r="T50" s="185">
        <f>IF(Q50="",'REL LINHAS'!P50,IF(S50="",ROUNDDOWN(SUM(Q50*0.75),0),ROUNDUP(SUM(Q50,Q50*R50)*S50,0)))</f>
        <v>74424</v>
      </c>
    </row>
    <row r="51" spans="1:20" ht="17.25" x14ac:dyDescent="0.2">
      <c r="B51" s="338"/>
      <c r="C51" s="109"/>
      <c r="D51" s="109"/>
      <c r="E51" s="107"/>
      <c r="F51" s="108"/>
      <c r="G51" s="64"/>
      <c r="H51" s="65"/>
      <c r="I51" s="69"/>
      <c r="J51" s="64" t="str">
        <f t="shared" si="7"/>
        <v/>
      </c>
      <c r="K51" s="64" t="str">
        <f t="shared" si="8"/>
        <v/>
      </c>
      <c r="O51" s="330" t="s">
        <v>1539</v>
      </c>
      <c r="P51" s="331">
        <v>80897</v>
      </c>
      <c r="Q51" s="186">
        <f>IF(RECEBÍVEIS!$I$4=0,"",ROUNDDOWN($P51*VLOOKUP(RECEBÍVEIS!$I$4,'REL LINHAS'!$P$121:$Q$219,2,0),0))</f>
        <v>74425</v>
      </c>
      <c r="R51" s="187">
        <f>IF(PERFIL!$C$24="","",PERFIL!$C$24)</f>
        <v>0</v>
      </c>
      <c r="S51" s="187" t="str">
        <f>IF('DESP. ADM.'!$F$91="","",IF('DESP. ADM.'!$F$44="",IF('DESP. ADM.'!$E$91='DESP. ADM.'!$F$91,1,IF(SUM('DESP. ADM.'!$F$91/'DESP. ADM.'!$E$91)&gt;103%,103%,'DESP. ADM.'!$F$91/'DESP. ADM.'!$E$91)),100%-'DESP. ADM.'!$F$44/1100))</f>
        <v/>
      </c>
      <c r="T51" s="185">
        <f>IF(Q51="",'REL LINHAS'!P51,IF(S51="",ROUNDDOWN(SUM(Q51*0.75),0),ROUNDUP(SUM(Q51,Q51*R51)*S51,0)))</f>
        <v>55818</v>
      </c>
    </row>
    <row r="52" spans="1:20" ht="17.25" x14ac:dyDescent="0.2">
      <c r="B52" s="338"/>
      <c r="C52" s="109"/>
      <c r="D52" s="109"/>
      <c r="E52" s="107"/>
      <c r="F52" s="108"/>
      <c r="G52" s="64"/>
      <c r="H52" s="65"/>
      <c r="I52" s="69"/>
      <c r="J52" s="64" t="str">
        <f t="shared" si="7"/>
        <v/>
      </c>
      <c r="K52" s="64" t="str">
        <f t="shared" si="8"/>
        <v/>
      </c>
      <c r="O52" s="330" t="s">
        <v>1540</v>
      </c>
      <c r="P52" s="331">
        <v>65167</v>
      </c>
      <c r="Q52" s="186">
        <f>IF(RECEBÍVEIS!$I$4=0,"",ROUNDDOWN($P52*VLOOKUP(RECEBÍVEIS!$I$4,'REL LINHAS'!$P$121:$Q$219,2,0),0))</f>
        <v>59953</v>
      </c>
      <c r="R52" s="187">
        <f>IF(PERFIL!$C$24="","",PERFIL!$C$24)</f>
        <v>0</v>
      </c>
      <c r="S52" s="187" t="str">
        <f>IF('DESP. ADM.'!$F$91="","",IF('DESP. ADM.'!$F$44="",IF('DESP. ADM.'!$E$91='DESP. ADM.'!$F$91,1,IF(SUM('DESP. ADM.'!$F$91/'DESP. ADM.'!$E$91)&gt;103%,103%,'DESP. ADM.'!$F$91/'DESP. ADM.'!$E$91)),100%-'DESP. ADM.'!$F$44/1100))</f>
        <v/>
      </c>
      <c r="T52" s="185">
        <f>IF(Q52="",'REL LINHAS'!P52,IF(S52="",ROUNDDOWN(SUM(Q52*0.75),0),ROUNDUP(SUM(Q52,Q52*R52)*S52,0)))</f>
        <v>44964</v>
      </c>
    </row>
    <row r="53" spans="1:20" ht="17.25" x14ac:dyDescent="0.2">
      <c r="B53" s="338"/>
      <c r="C53" s="109"/>
      <c r="D53" s="109"/>
      <c r="E53" s="107"/>
      <c r="F53" s="108"/>
      <c r="G53" s="64"/>
      <c r="H53" s="65"/>
      <c r="I53" s="69"/>
      <c r="J53" s="64" t="str">
        <f t="shared" si="7"/>
        <v/>
      </c>
      <c r="K53" s="64" t="str">
        <f t="shared" si="8"/>
        <v/>
      </c>
      <c r="O53" s="330" t="s">
        <v>1541</v>
      </c>
      <c r="P53" s="331">
        <v>76403</v>
      </c>
      <c r="Q53" s="186">
        <f>IF(RECEBÍVEIS!$I$4=0,"",ROUNDDOWN($P53*VLOOKUP(RECEBÍVEIS!$I$4,'REL LINHAS'!$P$121:$Q$219,2,0),0))</f>
        <v>70290</v>
      </c>
      <c r="R53" s="187">
        <f>IF(PERFIL!$C$24="","",PERFIL!$C$24)</f>
        <v>0</v>
      </c>
      <c r="S53" s="187" t="str">
        <f>IF('DESP. ADM.'!$F$91="","",IF('DESP. ADM.'!$F$44="",IF('DESP. ADM.'!$E$91='DESP. ADM.'!$F$91,1,IF(SUM('DESP. ADM.'!$F$91/'DESP. ADM.'!$E$91)&gt;103%,103%,'DESP. ADM.'!$F$91/'DESP. ADM.'!$E$91)),100%-'DESP. ADM.'!$F$44/1100))</f>
        <v/>
      </c>
      <c r="T53" s="185">
        <f>IF(Q53="",'REL LINHAS'!P53,IF(S53="",ROUNDDOWN(SUM(Q53*0.75),0),ROUNDUP(SUM(Q53,Q53*R53)*S53,0)))</f>
        <v>52717</v>
      </c>
    </row>
    <row r="54" spans="1:20" ht="17.25" x14ac:dyDescent="0.2">
      <c r="B54" s="338"/>
      <c r="C54" s="109"/>
      <c r="D54" s="109"/>
      <c r="E54" s="107"/>
      <c r="F54" s="108"/>
      <c r="G54" s="64"/>
      <c r="H54" s="65"/>
      <c r="I54" s="69"/>
      <c r="J54" s="64" t="str">
        <f t="shared" si="7"/>
        <v/>
      </c>
      <c r="K54" s="64" t="str">
        <f t="shared" si="8"/>
        <v/>
      </c>
      <c r="O54" s="330" t="s">
        <v>1542</v>
      </c>
      <c r="P54" s="331">
        <v>60673</v>
      </c>
      <c r="Q54" s="186">
        <f>IF(RECEBÍVEIS!$I$4=0,"",ROUNDDOWN($P54*VLOOKUP(RECEBÍVEIS!$I$4,'REL LINHAS'!$P$121:$Q$219,2,0),0))</f>
        <v>55819</v>
      </c>
      <c r="R54" s="187">
        <f>IF(PERFIL!$C$24="","",PERFIL!$C$24)</f>
        <v>0</v>
      </c>
      <c r="S54" s="187" t="str">
        <f>IF('DESP. ADM.'!$F$91="","",IF('DESP. ADM.'!$F$44="",IF('DESP. ADM.'!$E$91='DESP. ADM.'!$F$91,1,IF(SUM('DESP. ADM.'!$F$91/'DESP. ADM.'!$E$91)&gt;103%,103%,'DESP. ADM.'!$F$91/'DESP. ADM.'!$E$91)),100%-'DESP. ADM.'!$F$44/1100))</f>
        <v/>
      </c>
      <c r="T54" s="185">
        <f>IF(Q54="",'REL LINHAS'!P54,IF(S54="",ROUNDDOWN(SUM(Q54*0.75),0),ROUNDUP(SUM(Q54,Q54*R54)*S54,0)))</f>
        <v>41864</v>
      </c>
    </row>
    <row r="55" spans="1:20" ht="17.25" x14ac:dyDescent="0.2">
      <c r="B55" s="338"/>
      <c r="C55" s="109"/>
      <c r="D55" s="109"/>
      <c r="E55" s="107"/>
      <c r="F55" s="108"/>
      <c r="G55" s="64"/>
      <c r="H55" s="65"/>
      <c r="I55" s="69"/>
      <c r="J55" s="64" t="str">
        <f t="shared" si="7"/>
        <v/>
      </c>
      <c r="K55" s="64" t="str">
        <f t="shared" si="8"/>
        <v/>
      </c>
      <c r="O55" s="330" t="s">
        <v>1543</v>
      </c>
      <c r="P55" s="331">
        <v>83144</v>
      </c>
      <c r="Q55" s="186">
        <f>IF(RECEBÍVEIS!$I$4=0,"",ROUNDDOWN($P55*VLOOKUP(RECEBÍVEIS!$I$4,'REL LINHAS'!$P$121:$Q$219,2,0),0))</f>
        <v>76492</v>
      </c>
      <c r="R55" s="187">
        <f>IF(PERFIL!$C$24="","",PERFIL!$C$24)</f>
        <v>0</v>
      </c>
      <c r="S55" s="187" t="str">
        <f>IF('DESP. ADM.'!$F$91="","",IF('DESP. ADM.'!$F$44="",IF('DESP. ADM.'!$E$91='DESP. ADM.'!$F$91,1,IF(SUM('DESP. ADM.'!$F$91/'DESP. ADM.'!$E$91)&gt;103%,103%,'DESP. ADM.'!$F$91/'DESP. ADM.'!$E$91)),100%-'DESP. ADM.'!$F$44/1100))</f>
        <v/>
      </c>
      <c r="T55" s="185">
        <f>IF(Q55="",'REL LINHAS'!P55,IF(S55="",ROUNDDOWN(SUM(Q55*0.75),0),ROUNDUP(SUM(Q55,Q55*R55)*S55,0)))</f>
        <v>57369</v>
      </c>
    </row>
    <row r="56" spans="1:20" ht="17.25" x14ac:dyDescent="0.2">
      <c r="B56" s="338"/>
      <c r="C56" s="109"/>
      <c r="D56" s="109"/>
      <c r="E56" s="107"/>
      <c r="F56" s="108"/>
      <c r="G56" s="64"/>
      <c r="H56" s="65"/>
      <c r="I56" s="69"/>
      <c r="J56" s="64" t="str">
        <f t="shared" si="7"/>
        <v/>
      </c>
      <c r="K56" s="64" t="str">
        <f t="shared" si="8"/>
        <v/>
      </c>
      <c r="O56" s="330" t="s">
        <v>1544</v>
      </c>
      <c r="P56" s="331">
        <v>83144</v>
      </c>
      <c r="Q56" s="186">
        <f>IF(RECEBÍVEIS!$I$4=0,"",ROUNDDOWN($P56*VLOOKUP(RECEBÍVEIS!$I$4,'REL LINHAS'!$P$121:$Q$219,2,0),0))</f>
        <v>76492</v>
      </c>
      <c r="R56" s="187">
        <f>IF(PERFIL!$C$24="","",PERFIL!$C$24)</f>
        <v>0</v>
      </c>
      <c r="S56" s="187" t="str">
        <f>IF('DESP. ADM.'!$F$91="","",IF('DESP. ADM.'!$F$44="",IF('DESP. ADM.'!$E$91='DESP. ADM.'!$F$91,1,IF(SUM('DESP. ADM.'!$F$91/'DESP. ADM.'!$E$91)&gt;103%,103%,'DESP. ADM.'!$F$91/'DESP. ADM.'!$E$91)),100%-'DESP. ADM.'!$F$44/1100))</f>
        <v/>
      </c>
      <c r="T56" s="185">
        <f>IF(Q56="",'REL LINHAS'!P56,IF(S56="",ROUNDDOWN(SUM(Q56*0.75),0),ROUNDUP(SUM(Q56,Q56*R56)*S56,0)))</f>
        <v>57369</v>
      </c>
    </row>
    <row r="57" spans="1:20" ht="17.25" x14ac:dyDescent="0.2">
      <c r="B57" s="338"/>
      <c r="C57" s="109"/>
      <c r="D57" s="109"/>
      <c r="E57" s="107"/>
      <c r="F57" s="108"/>
      <c r="G57" s="64"/>
      <c r="H57" s="65"/>
      <c r="I57" s="69"/>
      <c r="J57" s="64" t="str">
        <f t="shared" si="7"/>
        <v/>
      </c>
      <c r="K57" s="64" t="str">
        <f t="shared" si="8"/>
        <v/>
      </c>
      <c r="O57" s="330" t="s">
        <v>1684</v>
      </c>
      <c r="P57" s="331">
        <v>221882</v>
      </c>
      <c r="Q57" s="186">
        <f>IF(RECEBÍVEIS!$I$4=0,"",ROUNDDOWN($P57*VLOOKUP(RECEBÍVEIS!$I$4,'REL LINHAS'!$P$121:$Q$219,2,0),0))</f>
        <v>204131</v>
      </c>
      <c r="R57" s="187">
        <f>IF(PERFIL!$C$24="","",PERFIL!$C$24)</f>
        <v>0</v>
      </c>
      <c r="S57" s="187" t="str">
        <f>IF('DESP. ADM.'!$F$91="","",IF('DESP. ADM.'!$F$44="",IF('DESP. ADM.'!$E$91='DESP. ADM.'!$F$91,1,IF(SUM('DESP. ADM.'!$F$91/'DESP. ADM.'!$E$91)&gt;103%,103%,'DESP. ADM.'!$F$91/'DESP. ADM.'!$E$91)),100%-'DESP. ADM.'!$F$44/1100))</f>
        <v/>
      </c>
      <c r="T57" s="185">
        <f>IF(Q57="",'REL LINHAS'!P57,IF(S57="",ROUNDDOWN(SUM(Q57*0.75),0),ROUNDUP(SUM(Q57,Q57*R57)*S57,0)))</f>
        <v>153098</v>
      </c>
    </row>
    <row r="58" spans="1:20" ht="17.25" x14ac:dyDescent="0.2">
      <c r="B58" s="338"/>
      <c r="C58" s="109"/>
      <c r="D58" s="109"/>
      <c r="E58" s="107"/>
      <c r="F58" s="108"/>
      <c r="G58" s="64"/>
      <c r="H58" s="65"/>
      <c r="I58" s="69"/>
      <c r="J58" s="64" t="str">
        <f t="shared" si="7"/>
        <v/>
      </c>
      <c r="K58" s="64" t="str">
        <f t="shared" si="8"/>
        <v/>
      </c>
      <c r="O58" s="330" t="s">
        <v>1685</v>
      </c>
      <c r="P58" s="331">
        <v>130334</v>
      </c>
      <c r="Q58" s="186">
        <f>IF(RECEBÍVEIS!$I$4=0,"",ROUNDDOWN($P58*VLOOKUP(RECEBÍVEIS!$I$4,'REL LINHAS'!$P$121:$Q$219,2,0),0))</f>
        <v>119907</v>
      </c>
      <c r="R58" s="187">
        <f>IF(PERFIL!$C$24="","",PERFIL!$C$24)</f>
        <v>0</v>
      </c>
      <c r="S58" s="187" t="str">
        <f>IF('DESP. ADM.'!$F$91="","",IF('DESP. ADM.'!$F$44="",IF('DESP. ADM.'!$E$91='DESP. ADM.'!$F$91,1,IF(SUM('DESP. ADM.'!$F$91/'DESP. ADM.'!$E$91)&gt;103%,103%,'DESP. ADM.'!$F$91/'DESP. ADM.'!$E$91)),100%-'DESP. ADM.'!$F$44/1100))</f>
        <v/>
      </c>
      <c r="T58" s="185">
        <f>IF(Q58="",'REL LINHAS'!P58,IF(S58="",ROUNDDOWN(SUM(Q58*0.75),0),ROUNDUP(SUM(Q58,Q58*R58)*S58,0)))</f>
        <v>89930</v>
      </c>
    </row>
    <row r="59" spans="1:20" ht="18" customHeight="1" x14ac:dyDescent="0.2">
      <c r="B59" s="561" t="s">
        <v>22</v>
      </c>
      <c r="C59" s="561" t="s">
        <v>177</v>
      </c>
      <c r="D59" s="561" t="s">
        <v>243</v>
      </c>
      <c r="E59" s="561" t="s">
        <v>23</v>
      </c>
      <c r="F59" s="562" t="s">
        <v>234</v>
      </c>
      <c r="G59" s="562"/>
      <c r="H59" s="562"/>
      <c r="I59" s="562"/>
      <c r="J59" s="562"/>
      <c r="K59" s="562"/>
      <c r="O59" s="330" t="s">
        <v>1686</v>
      </c>
      <c r="P59" s="331">
        <v>80897</v>
      </c>
      <c r="Q59" s="186">
        <f>IF(RECEBÍVEIS!$I$4=0,"",ROUNDDOWN($P59*VLOOKUP(RECEBÍVEIS!$I$4,'REL LINHAS'!$P$121:$Q$219,2,0),0))</f>
        <v>74425</v>
      </c>
      <c r="R59" s="187">
        <f>IF(PERFIL!$C$24="","",PERFIL!$C$24)</f>
        <v>0</v>
      </c>
      <c r="S59" s="187" t="str">
        <f>IF('DESP. ADM.'!$F$91="","",IF('DESP. ADM.'!$F$44="",IF('DESP. ADM.'!$E$91='DESP. ADM.'!$F$91,1,IF(SUM('DESP. ADM.'!$F$91/'DESP. ADM.'!$E$91)&gt;103%,103%,'DESP. ADM.'!$F$91/'DESP. ADM.'!$E$91)),100%-'DESP. ADM.'!$F$44/1100))</f>
        <v/>
      </c>
      <c r="T59" s="185">
        <f>IF(Q59="",'REL LINHAS'!P59,IF(S59="",ROUNDDOWN(SUM(Q59*0.75),0),ROUNDUP(SUM(Q59,Q59*R59)*S59,0)))</f>
        <v>55818</v>
      </c>
    </row>
    <row r="60" spans="1:20" ht="21" x14ac:dyDescent="0.2">
      <c r="A60" s="114">
        <v>14</v>
      </c>
      <c r="B60" s="432" t="s">
        <v>1145</v>
      </c>
      <c r="C60" s="115" t="s">
        <v>573</v>
      </c>
      <c r="D60" s="114" t="s">
        <v>574</v>
      </c>
      <c r="E60" s="351" t="str">
        <f>IF(O6="","",O6)</f>
        <v>Sabará do Sul</v>
      </c>
      <c r="F60" s="563">
        <f>IF(B60="","",VLOOKUP(E60,$O$2:$T$120,6,0))</f>
        <v>60469</v>
      </c>
      <c r="G60" s="564"/>
      <c r="H60" s="564"/>
      <c r="I60" s="564"/>
      <c r="J60" s="564"/>
      <c r="K60" s="565"/>
      <c r="O60" s="330" t="s">
        <v>1687</v>
      </c>
      <c r="P60" s="331">
        <v>49437</v>
      </c>
      <c r="Q60" s="186">
        <f>IF(RECEBÍVEIS!$I$4=0,"",ROUNDDOWN($P60*VLOOKUP(RECEBÍVEIS!$I$4,'REL LINHAS'!$P$121:$Q$219,2,0),0))</f>
        <v>45482</v>
      </c>
      <c r="R60" s="187">
        <f>IF(PERFIL!$C$24="","",PERFIL!$C$24)</f>
        <v>0</v>
      </c>
      <c r="S60" s="187" t="str">
        <f>IF('DESP. ADM.'!$F$91="","",IF('DESP. ADM.'!$F$44="",IF('DESP. ADM.'!$E$91='DESP. ADM.'!$F$91,1,IF(SUM('DESP. ADM.'!$F$91/'DESP. ADM.'!$E$91)&gt;103%,103%,'DESP. ADM.'!$F$91/'DESP. ADM.'!$E$91)),100%-'DESP. ADM.'!$F$44/1100))</f>
        <v/>
      </c>
      <c r="T60" s="185">
        <f>IF(Q60="",'REL LINHAS'!P60,IF(S60="",ROUNDDOWN(SUM(Q60*0.75),0),ROUNDUP(SUM(Q60,Q60*R60)*S60,0)))</f>
        <v>34111</v>
      </c>
    </row>
    <row r="61" spans="1:20" ht="43.5" x14ac:dyDescent="0.2">
      <c r="A61" s="166" t="s">
        <v>779</v>
      </c>
      <c r="B61" s="116" t="s">
        <v>0</v>
      </c>
      <c r="C61" s="116" t="s">
        <v>20</v>
      </c>
      <c r="D61" s="116" t="s">
        <v>21</v>
      </c>
      <c r="E61" s="116" t="s">
        <v>1</v>
      </c>
      <c r="F61" s="117" t="s">
        <v>3</v>
      </c>
      <c r="G61" s="116" t="s">
        <v>216</v>
      </c>
      <c r="H61" s="180" t="s">
        <v>242</v>
      </c>
      <c r="I61" s="116" t="s">
        <v>245</v>
      </c>
      <c r="J61" s="116" t="s">
        <v>217</v>
      </c>
      <c r="K61" s="116" t="s">
        <v>218</v>
      </c>
      <c r="O61" s="330" t="s">
        <v>1688</v>
      </c>
      <c r="P61" s="331">
        <v>53931</v>
      </c>
      <c r="Q61" s="186">
        <f>IF(RECEBÍVEIS!$I$4=0,"",ROUNDDOWN($P61*VLOOKUP(RECEBÍVEIS!$I$4,'REL LINHAS'!$P$121:$Q$219,2,0),0))</f>
        <v>49616</v>
      </c>
      <c r="R61" s="187">
        <f>IF(PERFIL!$C$24="","",PERFIL!$C$24)</f>
        <v>0</v>
      </c>
      <c r="S61" s="187" t="str">
        <f>IF('DESP. ADM.'!$F$91="","",IF('DESP. ADM.'!$F$44="",IF('DESP. ADM.'!$E$91='DESP. ADM.'!$F$91,1,IF(SUM('DESP. ADM.'!$F$91/'DESP. ADM.'!$E$91)&gt;103%,103%,'DESP. ADM.'!$F$91/'DESP. ADM.'!$E$91)),100%-'DESP. ADM.'!$F$44/1100))</f>
        <v/>
      </c>
      <c r="T61" s="185">
        <f>IF(Q61="",'REL LINHAS'!P61,IF(S61="",ROUNDDOWN(SUM(Q61*0.75),0),ROUNDUP(SUM(Q61,Q61*R61)*S61,0)))</f>
        <v>37212</v>
      </c>
    </row>
    <row r="62" spans="1:20" ht="17.25" x14ac:dyDescent="0.2">
      <c r="B62" s="339" t="s">
        <v>575</v>
      </c>
      <c r="C62" s="101" t="s">
        <v>576</v>
      </c>
      <c r="D62" s="101" t="s">
        <v>577</v>
      </c>
      <c r="E62" s="107" t="s">
        <v>55</v>
      </c>
      <c r="F62" s="333">
        <v>14</v>
      </c>
      <c r="G62" s="64">
        <v>8</v>
      </c>
      <c r="H62" s="65">
        <v>2</v>
      </c>
      <c r="I62" s="69">
        <f>IF(G62="","",SUM(G62:H62))</f>
        <v>10</v>
      </c>
      <c r="J62" s="64">
        <f>IF(G62="","",ROUNDUP(G62*0.65,0))</f>
        <v>6</v>
      </c>
      <c r="K62" s="64">
        <f>IF(G62="","",ROUNDUP(G62*0.55,0))</f>
        <v>5</v>
      </c>
      <c r="O62" s="330" t="s">
        <v>1689</v>
      </c>
      <c r="P62" s="331">
        <v>77526</v>
      </c>
      <c r="Q62" s="186">
        <f>IF(RECEBÍVEIS!$I$4=0,"",ROUNDDOWN($P62*VLOOKUP(RECEBÍVEIS!$I$4,'REL LINHAS'!$P$121:$Q$219,2,0),0))</f>
        <v>71323</v>
      </c>
      <c r="R62" s="187">
        <f>IF(PERFIL!$C$24="","",PERFIL!$C$24)</f>
        <v>0</v>
      </c>
      <c r="S62" s="187" t="str">
        <f>IF('DESP. ADM.'!$F$91="","",IF('DESP. ADM.'!$F$44="",IF('DESP. ADM.'!$E$91='DESP. ADM.'!$F$91,1,IF(SUM('DESP. ADM.'!$F$91/'DESP. ADM.'!$E$91)&gt;103%,103%,'DESP. ADM.'!$F$91/'DESP. ADM.'!$E$91)),100%-'DESP. ADM.'!$F$44/1100))</f>
        <v/>
      </c>
      <c r="T62" s="185">
        <f>IF(Q62="",'REL LINHAS'!P62,IF(S62="",ROUNDDOWN(SUM(Q62*0.75),0),ROUNDUP(SUM(Q62,Q62*R62)*S62,0)))</f>
        <v>53492</v>
      </c>
    </row>
    <row r="63" spans="1:20" ht="17.25" x14ac:dyDescent="0.2">
      <c r="B63" s="339" t="s">
        <v>578</v>
      </c>
      <c r="C63" s="101" t="s">
        <v>579</v>
      </c>
      <c r="D63" s="101" t="s">
        <v>580</v>
      </c>
      <c r="E63" s="107" t="s">
        <v>55</v>
      </c>
      <c r="F63" s="333">
        <v>14</v>
      </c>
      <c r="G63" s="64">
        <v>8</v>
      </c>
      <c r="H63" s="65">
        <v>2</v>
      </c>
      <c r="I63" s="69">
        <f t="shared" ref="I63:I72" si="9">IF(G63="","",SUM(G63:H63))</f>
        <v>10</v>
      </c>
      <c r="J63" s="64">
        <f t="shared" ref="J63:J77" si="10">IF(G63="","",ROUNDUP(G63*0.65,0))</f>
        <v>6</v>
      </c>
      <c r="K63" s="64">
        <f t="shared" ref="K63:K77" si="11">IF(G63="","",ROUNDUP(G63*0.55,0))</f>
        <v>5</v>
      </c>
      <c r="O63" s="330" t="s">
        <v>1690</v>
      </c>
      <c r="P63" s="331">
        <v>60673</v>
      </c>
      <c r="Q63" s="186">
        <f>IF(RECEBÍVEIS!$I$4=0,"",ROUNDDOWN($P63*VLOOKUP(RECEBÍVEIS!$I$4,'REL LINHAS'!$P$121:$Q$219,2,0),0))</f>
        <v>55819</v>
      </c>
      <c r="R63" s="187">
        <f>IF(PERFIL!$C$24="","",PERFIL!$C$24)</f>
        <v>0</v>
      </c>
      <c r="S63" s="187" t="str">
        <f>IF('DESP. ADM.'!$F$91="","",IF('DESP. ADM.'!$F$44="",IF('DESP. ADM.'!$E$91='DESP. ADM.'!$F$91,1,IF(SUM('DESP. ADM.'!$F$91/'DESP. ADM.'!$E$91)&gt;103%,103%,'DESP. ADM.'!$F$91/'DESP. ADM.'!$E$91)),100%-'DESP. ADM.'!$F$44/1100))</f>
        <v/>
      </c>
      <c r="T63" s="185">
        <f>IF(Q63="",'REL LINHAS'!P63,IF(S63="",ROUNDDOWN(SUM(Q63*0.75),0),ROUNDUP(SUM(Q63,Q63*R63)*S63,0)))</f>
        <v>41864</v>
      </c>
    </row>
    <row r="64" spans="1:20" ht="17.25" x14ac:dyDescent="0.2">
      <c r="B64" s="339" t="s">
        <v>581</v>
      </c>
      <c r="C64" s="101" t="s">
        <v>582</v>
      </c>
      <c r="D64" s="101" t="s">
        <v>583</v>
      </c>
      <c r="E64" s="107" t="s">
        <v>55</v>
      </c>
      <c r="F64" s="333">
        <v>14</v>
      </c>
      <c r="G64" s="64">
        <v>8</v>
      </c>
      <c r="H64" s="65">
        <v>2</v>
      </c>
      <c r="I64" s="69">
        <f t="shared" si="9"/>
        <v>10</v>
      </c>
      <c r="J64" s="64">
        <f t="shared" si="10"/>
        <v>6</v>
      </c>
      <c r="K64" s="64">
        <f t="shared" si="11"/>
        <v>5</v>
      </c>
      <c r="O64" s="330" t="s">
        <v>1691</v>
      </c>
      <c r="P64" s="331">
        <v>49437</v>
      </c>
      <c r="Q64" s="186">
        <f>IF(RECEBÍVEIS!$I$4=0,"",ROUNDDOWN($P64*VLOOKUP(RECEBÍVEIS!$I$4,'REL LINHAS'!$P$121:$Q$219,2,0),0))</f>
        <v>45482</v>
      </c>
      <c r="R64" s="187">
        <f>IF(PERFIL!$C$24="","",PERFIL!$C$24)</f>
        <v>0</v>
      </c>
      <c r="S64" s="187" t="str">
        <f>IF('DESP. ADM.'!$F$91="","",IF('DESP. ADM.'!$F$44="",IF('DESP. ADM.'!$E$91='DESP. ADM.'!$F$91,1,IF(SUM('DESP. ADM.'!$F$91/'DESP. ADM.'!$E$91)&gt;103%,103%,'DESP. ADM.'!$F$91/'DESP. ADM.'!$E$91)),100%-'DESP. ADM.'!$F$44/1100))</f>
        <v/>
      </c>
      <c r="T64" s="185">
        <f>IF(Q64="",'REL LINHAS'!P64,IF(S64="",ROUNDDOWN(SUM(Q64*0.75),0),ROUNDUP(SUM(Q64,Q64*R64)*S64,0)))</f>
        <v>34111</v>
      </c>
    </row>
    <row r="65" spans="1:20" ht="17.25" x14ac:dyDescent="0.2">
      <c r="B65" s="339" t="s">
        <v>584</v>
      </c>
      <c r="C65" s="101" t="s">
        <v>585</v>
      </c>
      <c r="D65" s="101" t="s">
        <v>583</v>
      </c>
      <c r="E65" s="107" t="s">
        <v>55</v>
      </c>
      <c r="F65" s="333">
        <v>14</v>
      </c>
      <c r="G65" s="64">
        <v>8</v>
      </c>
      <c r="H65" s="65">
        <v>2</v>
      </c>
      <c r="I65" s="69">
        <f t="shared" si="9"/>
        <v>10</v>
      </c>
      <c r="J65" s="64">
        <f t="shared" si="10"/>
        <v>6</v>
      </c>
      <c r="K65" s="64">
        <f t="shared" si="11"/>
        <v>5</v>
      </c>
      <c r="O65" s="330" t="s">
        <v>1692</v>
      </c>
      <c r="P65" s="331">
        <v>52808</v>
      </c>
      <c r="Q65" s="186">
        <f>IF(RECEBÍVEIS!$I$4=0,"",ROUNDDOWN($P65*VLOOKUP(RECEBÍVEIS!$I$4,'REL LINHAS'!$P$121:$Q$219,2,0),0))</f>
        <v>48583</v>
      </c>
      <c r="R65" s="187">
        <f>IF(PERFIL!$C$24="","",PERFIL!$C$24)</f>
        <v>0</v>
      </c>
      <c r="S65" s="187" t="str">
        <f>IF('DESP. ADM.'!$F$91="","",IF('DESP. ADM.'!$F$44="",IF('DESP. ADM.'!$E$91='DESP. ADM.'!$F$91,1,IF(SUM('DESP. ADM.'!$F$91/'DESP. ADM.'!$E$91)&gt;103%,103%,'DESP. ADM.'!$F$91/'DESP. ADM.'!$E$91)),100%-'DESP. ADM.'!$F$44/1100))</f>
        <v/>
      </c>
      <c r="T65" s="185">
        <f>IF(Q65="",'REL LINHAS'!P65,IF(S65="",ROUNDDOWN(SUM(Q65*0.75),0),ROUNDUP(SUM(Q65,Q65*R65)*S65,0)))</f>
        <v>36437</v>
      </c>
    </row>
    <row r="66" spans="1:20" ht="17.25" x14ac:dyDescent="0.2">
      <c r="B66" s="339" t="s">
        <v>586</v>
      </c>
      <c r="C66" s="101" t="s">
        <v>587</v>
      </c>
      <c r="D66" s="101" t="s">
        <v>588</v>
      </c>
      <c r="E66" s="107" t="s">
        <v>265</v>
      </c>
      <c r="F66" s="108">
        <v>12.5</v>
      </c>
      <c r="G66" s="65">
        <v>6</v>
      </c>
      <c r="H66" s="65">
        <v>2</v>
      </c>
      <c r="I66" s="69">
        <f t="shared" si="9"/>
        <v>8</v>
      </c>
      <c r="J66" s="64">
        <f t="shared" si="10"/>
        <v>4</v>
      </c>
      <c r="K66" s="64">
        <f t="shared" si="11"/>
        <v>4</v>
      </c>
      <c r="O66" s="330" t="s">
        <v>1693</v>
      </c>
      <c r="P66" s="331">
        <v>73032</v>
      </c>
      <c r="Q66" s="186">
        <f>IF(RECEBÍVEIS!$I$4=0,"",ROUNDDOWN($P66*VLOOKUP(RECEBÍVEIS!$I$4,'REL LINHAS'!$P$121:$Q$219,2,0),0))</f>
        <v>67189</v>
      </c>
      <c r="R66" s="187">
        <f>IF(PERFIL!$C$24="","",PERFIL!$C$24)</f>
        <v>0</v>
      </c>
      <c r="S66" s="187" t="str">
        <f>IF('DESP. ADM.'!$F$91="","",IF('DESP. ADM.'!$F$44="",IF('DESP. ADM.'!$E$91='DESP. ADM.'!$F$91,1,IF(SUM('DESP. ADM.'!$F$91/'DESP. ADM.'!$E$91)&gt;103%,103%,'DESP. ADM.'!$F$91/'DESP. ADM.'!$E$91)),100%-'DESP. ADM.'!$F$44/1100))</f>
        <v/>
      </c>
      <c r="T66" s="185">
        <f>IF(Q66="",'REL LINHAS'!P66,IF(S66="",ROUNDDOWN(SUM(Q66*0.75),0),ROUNDUP(SUM(Q66,Q66*R66)*S66,0)))</f>
        <v>50391</v>
      </c>
    </row>
    <row r="67" spans="1:20" ht="17.25" x14ac:dyDescent="0.2">
      <c r="B67" s="339" t="s">
        <v>589</v>
      </c>
      <c r="C67" s="101" t="s">
        <v>590</v>
      </c>
      <c r="D67" s="101" t="s">
        <v>588</v>
      </c>
      <c r="E67" s="107" t="s">
        <v>265</v>
      </c>
      <c r="F67" s="108">
        <v>12.5</v>
      </c>
      <c r="G67" s="64">
        <v>8</v>
      </c>
      <c r="H67" s="65">
        <v>2</v>
      </c>
      <c r="I67" s="69">
        <f t="shared" si="9"/>
        <v>10</v>
      </c>
      <c r="J67" s="64">
        <f t="shared" si="10"/>
        <v>6</v>
      </c>
      <c r="K67" s="64">
        <f t="shared" si="11"/>
        <v>5</v>
      </c>
      <c r="O67" s="330" t="s">
        <v>1694</v>
      </c>
      <c r="P67" s="331">
        <v>89886</v>
      </c>
      <c r="Q67" s="186">
        <f>IF(RECEBÍVEIS!$I$4=0,"",ROUNDDOWN($P67*VLOOKUP(RECEBÍVEIS!$I$4,'REL LINHAS'!$P$121:$Q$219,2,0),0))</f>
        <v>82695</v>
      </c>
      <c r="R67" s="187">
        <f>IF(PERFIL!$C$24="","",PERFIL!$C$24)</f>
        <v>0</v>
      </c>
      <c r="S67" s="187" t="str">
        <f>IF('DESP. ADM.'!$F$91="","",IF('DESP. ADM.'!$F$44="",IF('DESP. ADM.'!$E$91='DESP. ADM.'!$F$91,1,IF(SUM('DESP. ADM.'!$F$91/'DESP. ADM.'!$E$91)&gt;103%,103%,'DESP. ADM.'!$F$91/'DESP. ADM.'!$E$91)),100%-'DESP. ADM.'!$F$44/1100))</f>
        <v/>
      </c>
      <c r="T67" s="185">
        <f>IF(Q67="",'REL LINHAS'!P67,IF(S67="",ROUNDDOWN(SUM(Q67*0.75),0),ROUNDUP(SUM(Q67,Q67*R67)*S67,0)))</f>
        <v>62021</v>
      </c>
    </row>
    <row r="68" spans="1:20" ht="17.25" x14ac:dyDescent="0.2">
      <c r="B68" s="339" t="s">
        <v>591</v>
      </c>
      <c r="C68" s="101" t="s">
        <v>592</v>
      </c>
      <c r="D68" s="101" t="s">
        <v>593</v>
      </c>
      <c r="E68" s="107" t="s">
        <v>265</v>
      </c>
      <c r="F68" s="108">
        <v>12.5</v>
      </c>
      <c r="G68" s="64">
        <v>8</v>
      </c>
      <c r="H68" s="65">
        <v>2</v>
      </c>
      <c r="I68" s="69">
        <f t="shared" si="9"/>
        <v>10</v>
      </c>
      <c r="J68" s="64">
        <f t="shared" si="10"/>
        <v>6</v>
      </c>
      <c r="K68" s="64">
        <f t="shared" si="11"/>
        <v>5</v>
      </c>
      <c r="O68" s="330" t="s">
        <v>1695</v>
      </c>
      <c r="P68" s="331">
        <v>86515</v>
      </c>
      <c r="Q68" s="186">
        <f>IF(RECEBÍVEIS!$I$4=0,"",ROUNDDOWN($P68*VLOOKUP(RECEBÍVEIS!$I$4,'REL LINHAS'!$P$121:$Q$219,2,0),0))</f>
        <v>79593</v>
      </c>
      <c r="R68" s="187">
        <f>IF(PERFIL!$C$24="","",PERFIL!$C$24)</f>
        <v>0</v>
      </c>
      <c r="S68" s="187" t="str">
        <f>IF('DESP. ADM.'!$F$91="","",IF('DESP. ADM.'!$F$44="",IF('DESP. ADM.'!$E$91='DESP. ADM.'!$F$91,1,IF(SUM('DESP. ADM.'!$F$91/'DESP. ADM.'!$E$91)&gt;103%,103%,'DESP. ADM.'!$F$91/'DESP. ADM.'!$E$91)),100%-'DESP. ADM.'!$F$44/1100))</f>
        <v/>
      </c>
      <c r="T68" s="185">
        <f>IF(Q68="",'REL LINHAS'!P68,IF(S68="",ROUNDDOWN(SUM(Q68*0.75),0),ROUNDUP(SUM(Q68,Q68*R68)*S68,0)))</f>
        <v>59694</v>
      </c>
    </row>
    <row r="69" spans="1:20" ht="17.25" x14ac:dyDescent="0.2">
      <c r="B69" s="339" t="s">
        <v>594</v>
      </c>
      <c r="C69" s="101" t="s">
        <v>595</v>
      </c>
      <c r="D69" s="101" t="s">
        <v>596</v>
      </c>
      <c r="E69" s="107" t="s">
        <v>265</v>
      </c>
      <c r="F69" s="108">
        <v>12.5</v>
      </c>
      <c r="G69" s="64">
        <v>8</v>
      </c>
      <c r="H69" s="65">
        <v>2</v>
      </c>
      <c r="I69" s="69">
        <f t="shared" si="9"/>
        <v>10</v>
      </c>
      <c r="J69" s="64">
        <f t="shared" si="10"/>
        <v>6</v>
      </c>
      <c r="K69" s="64">
        <f t="shared" si="11"/>
        <v>5</v>
      </c>
      <c r="O69" s="330" t="s">
        <v>1696</v>
      </c>
      <c r="P69" s="331">
        <v>70785</v>
      </c>
      <c r="Q69" s="186">
        <f>IF(RECEBÍVEIS!$I$4=0,"",ROUNDDOWN($P69*VLOOKUP(RECEBÍVEIS!$I$4,'REL LINHAS'!$P$121:$Q$219,2,0),0))</f>
        <v>65122</v>
      </c>
      <c r="R69" s="187">
        <f>IF(PERFIL!$C$24="","",PERFIL!$C$24)</f>
        <v>0</v>
      </c>
      <c r="S69" s="187" t="str">
        <f>IF('DESP. ADM.'!$F$91="","",IF('DESP. ADM.'!$F$44="",IF('DESP. ADM.'!$E$91='DESP. ADM.'!$F$91,1,IF(SUM('DESP. ADM.'!$F$91/'DESP. ADM.'!$E$91)&gt;103%,103%,'DESP. ADM.'!$F$91/'DESP. ADM.'!$E$91)),100%-'DESP. ADM.'!$F$44/1100))</f>
        <v/>
      </c>
      <c r="T69" s="185">
        <f>IF(Q69="",'REL LINHAS'!P69,IF(S69="",ROUNDDOWN(SUM(Q69*0.75),0),ROUNDUP(SUM(Q69,Q69*R69)*S69,0)))</f>
        <v>48841</v>
      </c>
    </row>
    <row r="70" spans="1:20" ht="17.25" x14ac:dyDescent="0.2">
      <c r="B70" s="339" t="s">
        <v>597</v>
      </c>
      <c r="C70" s="101" t="s">
        <v>598</v>
      </c>
      <c r="D70" s="101" t="s">
        <v>599</v>
      </c>
      <c r="E70" s="107" t="s">
        <v>265</v>
      </c>
      <c r="F70" s="108">
        <v>12.5</v>
      </c>
      <c r="G70" s="64">
        <v>6</v>
      </c>
      <c r="H70" s="65">
        <v>2</v>
      </c>
      <c r="I70" s="69">
        <f t="shared" si="9"/>
        <v>8</v>
      </c>
      <c r="J70" s="64">
        <f t="shared" si="10"/>
        <v>4</v>
      </c>
      <c r="K70" s="64">
        <f t="shared" si="11"/>
        <v>4</v>
      </c>
      <c r="O70" s="330" t="s">
        <v>1697</v>
      </c>
      <c r="P70" s="331">
        <v>108938</v>
      </c>
      <c r="Q70" s="186">
        <f>IF(RECEBÍVEIS!$I$4=0,"",ROUNDDOWN($P70*VLOOKUP(RECEBÍVEIS!$I$4,'REL LINHAS'!$P$121:$Q$219,2,0),0))</f>
        <v>100222</v>
      </c>
      <c r="R70" s="187">
        <f>IF(PERFIL!$C$24="","",PERFIL!$C$24)</f>
        <v>0</v>
      </c>
      <c r="S70" s="187" t="str">
        <f>IF('DESP. ADM.'!$F$91="","",IF('DESP. ADM.'!$F$44="",IF('DESP. ADM.'!$E$91='DESP. ADM.'!$F$91,1,IF(SUM('DESP. ADM.'!$F$91/'DESP. ADM.'!$E$91)&gt;103%,103%,'DESP. ADM.'!$F$91/'DESP. ADM.'!$E$91)),100%-'DESP. ADM.'!$F$44/1100))</f>
        <v/>
      </c>
      <c r="T70" s="185">
        <f>IF(Q70="",'REL LINHAS'!P70,IF(S70="",ROUNDDOWN(SUM(Q70*0.75),0),ROUNDUP(SUM(Q70,Q70*R70)*S70,0)))</f>
        <v>75166</v>
      </c>
    </row>
    <row r="71" spans="1:20" ht="17.25" x14ac:dyDescent="0.2">
      <c r="B71" s="339" t="s">
        <v>600</v>
      </c>
      <c r="C71" s="101" t="s">
        <v>601</v>
      </c>
      <c r="D71" s="101" t="s">
        <v>596</v>
      </c>
      <c r="E71" s="107" t="s">
        <v>179</v>
      </c>
      <c r="F71" s="108">
        <v>9.5</v>
      </c>
      <c r="G71" s="64">
        <v>6</v>
      </c>
      <c r="H71" s="65">
        <v>2</v>
      </c>
      <c r="I71" s="69">
        <f t="shared" si="9"/>
        <v>8</v>
      </c>
      <c r="J71" s="64">
        <f t="shared" si="10"/>
        <v>4</v>
      </c>
      <c r="K71" s="64">
        <f t="shared" si="11"/>
        <v>4</v>
      </c>
      <c r="O71" s="330" t="s">
        <v>1698</v>
      </c>
      <c r="P71" s="331">
        <v>82020</v>
      </c>
      <c r="Q71" s="186">
        <f>IF(RECEBÍVEIS!$I$4=0,"",ROUNDDOWN($P71*VLOOKUP(RECEBÍVEIS!$I$4,'REL LINHAS'!$P$121:$Q$219,2,0),0))</f>
        <v>75458</v>
      </c>
      <c r="R71" s="187">
        <f>IF(PERFIL!$C$24="","",PERFIL!$C$24)</f>
        <v>0</v>
      </c>
      <c r="S71" s="187" t="str">
        <f>IF('DESP. ADM.'!$F$91="","",IF('DESP. ADM.'!$F$44="",IF('DESP. ADM.'!$E$91='DESP. ADM.'!$F$91,1,IF(SUM('DESP. ADM.'!$F$91/'DESP. ADM.'!$E$91)&gt;103%,103%,'DESP. ADM.'!$F$91/'DESP. ADM.'!$E$91)),100%-'DESP. ADM.'!$F$44/1100))</f>
        <v/>
      </c>
      <c r="T71" s="185">
        <f>IF(Q71="",'REL LINHAS'!P71,IF(S71="",ROUNDDOWN(SUM(Q71*0.75),0),ROUNDUP(SUM(Q71,Q71*R71)*S71,0)))</f>
        <v>56593</v>
      </c>
    </row>
    <row r="72" spans="1:20" ht="17.25" x14ac:dyDescent="0.2">
      <c r="B72" s="339" t="s">
        <v>602</v>
      </c>
      <c r="C72" s="101" t="s">
        <v>603</v>
      </c>
      <c r="D72" s="101" t="s">
        <v>604</v>
      </c>
      <c r="E72" s="107" t="s">
        <v>179</v>
      </c>
      <c r="F72" s="108">
        <v>9.5</v>
      </c>
      <c r="G72" s="64">
        <v>4</v>
      </c>
      <c r="H72" s="65">
        <v>2</v>
      </c>
      <c r="I72" s="69">
        <f t="shared" si="9"/>
        <v>6</v>
      </c>
      <c r="J72" s="64">
        <f t="shared" si="10"/>
        <v>3</v>
      </c>
      <c r="K72" s="64">
        <f t="shared" si="11"/>
        <v>3</v>
      </c>
      <c r="O72" s="330" t="s">
        <v>1699</v>
      </c>
      <c r="P72" s="331">
        <v>80897</v>
      </c>
      <c r="Q72" s="186">
        <f>IF(RECEBÍVEIS!$I$4=0,"",ROUNDDOWN($P72*VLOOKUP(RECEBÍVEIS!$I$4,'REL LINHAS'!$P$121:$Q$219,2,0),0))</f>
        <v>74425</v>
      </c>
      <c r="R72" s="187">
        <f>IF(PERFIL!$C$24="","",PERFIL!$C$24)</f>
        <v>0</v>
      </c>
      <c r="S72" s="187" t="str">
        <f>IF('DESP. ADM.'!$F$91="","",IF('DESP. ADM.'!$F$44="",IF('DESP. ADM.'!$E$91='DESP. ADM.'!$F$91,1,IF(SUM('DESP. ADM.'!$F$91/'DESP. ADM.'!$E$91)&gt;103%,103%,'DESP. ADM.'!$F$91/'DESP. ADM.'!$E$91)),100%-'DESP. ADM.'!$F$44/1100))</f>
        <v/>
      </c>
      <c r="T72" s="185">
        <f>IF(Q72="",'REL LINHAS'!P72,IF(S72="",ROUNDDOWN(SUM(Q72*0.75),0),ROUNDUP(SUM(Q72,Q72*R72)*S72,0)))</f>
        <v>55818</v>
      </c>
    </row>
    <row r="73" spans="1:20" ht="17.25" x14ac:dyDescent="0.2">
      <c r="B73" s="339"/>
      <c r="C73" s="101"/>
      <c r="D73" s="101"/>
      <c r="E73" s="107"/>
      <c r="F73" s="108"/>
      <c r="G73" s="64"/>
      <c r="H73" s="65"/>
      <c r="I73" s="69"/>
      <c r="J73" s="64" t="str">
        <f t="shared" si="10"/>
        <v/>
      </c>
      <c r="K73" s="64" t="str">
        <f t="shared" si="11"/>
        <v/>
      </c>
      <c r="O73" s="330" t="s">
        <v>1700</v>
      </c>
      <c r="P73" s="331">
        <v>86515</v>
      </c>
      <c r="Q73" s="186">
        <f>IF(RECEBÍVEIS!$I$4=0,"",ROUNDDOWN($P73*VLOOKUP(RECEBÍVEIS!$I$4,'REL LINHAS'!$P$121:$Q$219,2,0),0))</f>
        <v>79593</v>
      </c>
      <c r="R73" s="187">
        <f>IF(PERFIL!$C$24="","",PERFIL!$C$24)</f>
        <v>0</v>
      </c>
      <c r="S73" s="187" t="str">
        <f>IF('DESP. ADM.'!$F$91="","",IF('DESP. ADM.'!$F$44="",IF('DESP. ADM.'!$E$91='DESP. ADM.'!$F$91,1,IF(SUM('DESP. ADM.'!$F$91/'DESP. ADM.'!$E$91)&gt;103%,103%,'DESP. ADM.'!$F$91/'DESP. ADM.'!$E$91)),100%-'DESP. ADM.'!$F$44/1100))</f>
        <v/>
      </c>
      <c r="T73" s="185">
        <f>IF(Q73="",'REL LINHAS'!P73,IF(S73="",ROUNDDOWN(SUM(Q73*0.75),0),ROUNDUP(SUM(Q73,Q73*R73)*S73,0)))</f>
        <v>59694</v>
      </c>
    </row>
    <row r="74" spans="1:20" ht="17.25" x14ac:dyDescent="0.2">
      <c r="B74" s="339"/>
      <c r="C74" s="101"/>
      <c r="D74" s="101"/>
      <c r="E74" s="107"/>
      <c r="F74" s="108"/>
      <c r="G74" s="64"/>
      <c r="H74" s="65"/>
      <c r="I74" s="69"/>
      <c r="J74" s="64" t="str">
        <f t="shared" si="10"/>
        <v/>
      </c>
      <c r="K74" s="64" t="str">
        <f t="shared" si="11"/>
        <v/>
      </c>
      <c r="O74" s="330" t="s">
        <v>1701</v>
      </c>
      <c r="P74" s="331">
        <v>77526</v>
      </c>
      <c r="Q74" s="186">
        <f>IF(RECEBÍVEIS!$I$4=0,"",ROUNDDOWN($P74*VLOOKUP(RECEBÍVEIS!$I$4,'REL LINHAS'!$P$121:$Q$219,2,0),0))</f>
        <v>71323</v>
      </c>
      <c r="R74" s="187">
        <f>IF(PERFIL!$C$24="","",PERFIL!$C$24)</f>
        <v>0</v>
      </c>
      <c r="S74" s="187" t="str">
        <f>IF('DESP. ADM.'!$F$91="","",IF('DESP. ADM.'!$F$44="",IF('DESP. ADM.'!$E$91='DESP. ADM.'!$F$91,1,IF(SUM('DESP. ADM.'!$F$91/'DESP. ADM.'!$E$91)&gt;103%,103%,'DESP. ADM.'!$F$91/'DESP. ADM.'!$E$91)),100%-'DESP. ADM.'!$F$44/1100))</f>
        <v/>
      </c>
      <c r="T74" s="185">
        <f>IF(Q74="",'REL LINHAS'!P74,IF(S74="",ROUNDDOWN(SUM(Q74*0.75),0),ROUNDUP(SUM(Q74,Q74*R74)*S74,0)))</f>
        <v>53492</v>
      </c>
    </row>
    <row r="75" spans="1:20" ht="17.25" x14ac:dyDescent="0.2">
      <c r="B75" s="339"/>
      <c r="C75" s="101"/>
      <c r="D75" s="101"/>
      <c r="E75" s="107"/>
      <c r="F75" s="108"/>
      <c r="G75" s="64"/>
      <c r="H75" s="65"/>
      <c r="I75" s="69"/>
      <c r="J75" s="64" t="str">
        <f t="shared" si="10"/>
        <v/>
      </c>
      <c r="K75" s="64" t="str">
        <f t="shared" si="11"/>
        <v/>
      </c>
      <c r="O75" s="330" t="s">
        <v>1702</v>
      </c>
      <c r="P75" s="331">
        <v>75279</v>
      </c>
      <c r="Q75" s="186">
        <f>IF(RECEBÍVEIS!$I$4=0,"",ROUNDDOWN($P75*VLOOKUP(RECEBÍVEIS!$I$4,'REL LINHAS'!$P$121:$Q$219,2,0),0))</f>
        <v>69256</v>
      </c>
      <c r="R75" s="187">
        <f>IF(PERFIL!$C$24="","",PERFIL!$C$24)</f>
        <v>0</v>
      </c>
      <c r="S75" s="187" t="str">
        <f>IF('DESP. ADM.'!$F$91="","",IF('DESP. ADM.'!$F$44="",IF('DESP. ADM.'!$E$91='DESP. ADM.'!$F$91,1,IF(SUM('DESP. ADM.'!$F$91/'DESP. ADM.'!$E$91)&gt;103%,103%,'DESP. ADM.'!$F$91/'DESP. ADM.'!$E$91)),100%-'DESP. ADM.'!$F$44/1100))</f>
        <v/>
      </c>
      <c r="T75" s="185">
        <f>IF(Q75="",'REL LINHAS'!P75,IF(S75="",ROUNDDOWN(SUM(Q75*0.75),0),ROUNDUP(SUM(Q75,Q75*R75)*S75,0)))</f>
        <v>51942</v>
      </c>
    </row>
    <row r="76" spans="1:20" ht="17.25" x14ac:dyDescent="0.2">
      <c r="B76" s="339"/>
      <c r="C76" s="101"/>
      <c r="D76" s="101"/>
      <c r="E76" s="107"/>
      <c r="F76" s="108"/>
      <c r="G76" s="64"/>
      <c r="H76" s="65"/>
      <c r="I76" s="69"/>
      <c r="J76" s="64" t="str">
        <f t="shared" si="10"/>
        <v/>
      </c>
      <c r="K76" s="64" t="str">
        <f t="shared" si="11"/>
        <v/>
      </c>
      <c r="O76" s="330" t="s">
        <v>1703</v>
      </c>
      <c r="P76" s="331">
        <v>74155</v>
      </c>
      <c r="Q76" s="186">
        <f>IF(RECEBÍVEIS!$I$4=0,"",ROUNDDOWN($P76*VLOOKUP(RECEBÍVEIS!$I$4,'REL LINHAS'!$P$121:$Q$219,2,0),0))</f>
        <v>68222</v>
      </c>
      <c r="R76" s="187">
        <f>IF(PERFIL!$C$24="","",PERFIL!$C$24)</f>
        <v>0</v>
      </c>
      <c r="S76" s="187" t="str">
        <f>IF('DESP. ADM.'!$F$91="","",IF('DESP. ADM.'!$F$44="",IF('DESP. ADM.'!$E$91='DESP. ADM.'!$F$91,1,IF(SUM('DESP. ADM.'!$F$91/'DESP. ADM.'!$E$91)&gt;103%,103%,'DESP. ADM.'!$F$91/'DESP. ADM.'!$E$91)),100%-'DESP. ADM.'!$F$44/1100))</f>
        <v/>
      </c>
      <c r="T76" s="185">
        <f>IF(Q76="",'REL LINHAS'!P76,IF(S76="",ROUNDDOWN(SUM(Q76*0.75),0),ROUNDUP(SUM(Q76,Q76*R76)*S76,0)))</f>
        <v>51166</v>
      </c>
    </row>
    <row r="77" spans="1:20" ht="17.25" x14ac:dyDescent="0.2">
      <c r="B77" s="339"/>
      <c r="C77" s="101"/>
      <c r="D77" s="101"/>
      <c r="E77" s="107"/>
      <c r="F77" s="108"/>
      <c r="G77" s="64"/>
      <c r="H77" s="65"/>
      <c r="I77" s="69"/>
      <c r="J77" s="64" t="str">
        <f t="shared" si="10"/>
        <v/>
      </c>
      <c r="K77" s="64" t="str">
        <f t="shared" si="11"/>
        <v/>
      </c>
      <c r="O77" s="330" t="s">
        <v>1704</v>
      </c>
      <c r="P77" s="331">
        <v>70785</v>
      </c>
      <c r="Q77" s="186">
        <f>IF(RECEBÍVEIS!$I$4=0,"",ROUNDDOWN($P77*VLOOKUP(RECEBÍVEIS!$I$4,'REL LINHAS'!$P$121:$Q$219,2,0),0))</f>
        <v>65122</v>
      </c>
      <c r="R77" s="187">
        <f>IF(PERFIL!$C$24="","",PERFIL!$C$24)</f>
        <v>0</v>
      </c>
      <c r="S77" s="187" t="str">
        <f>IF('DESP. ADM.'!$F$91="","",IF('DESP. ADM.'!$F$44="",IF('DESP. ADM.'!$E$91='DESP. ADM.'!$F$91,1,IF(SUM('DESP. ADM.'!$F$91/'DESP. ADM.'!$E$91)&gt;103%,103%,'DESP. ADM.'!$F$91/'DESP. ADM.'!$E$91)),100%-'DESP. ADM.'!$F$44/1100))</f>
        <v/>
      </c>
      <c r="T77" s="185">
        <f>IF(Q77="",'REL LINHAS'!P77,IF(S77="",ROUNDDOWN(SUM(Q77*0.75),0),ROUNDUP(SUM(Q77,Q77*R77)*S77,0)))</f>
        <v>48841</v>
      </c>
    </row>
    <row r="78" spans="1:20" ht="18" customHeight="1" x14ac:dyDescent="0.2">
      <c r="B78" s="561" t="s">
        <v>22</v>
      </c>
      <c r="C78" s="561" t="s">
        <v>177</v>
      </c>
      <c r="D78" s="561" t="s">
        <v>243</v>
      </c>
      <c r="E78" s="561" t="s">
        <v>23</v>
      </c>
      <c r="F78" s="562" t="s">
        <v>234</v>
      </c>
      <c r="G78" s="562"/>
      <c r="H78" s="562"/>
      <c r="I78" s="562"/>
      <c r="J78" s="562"/>
      <c r="K78" s="562"/>
      <c r="O78" s="330" t="s">
        <v>2111</v>
      </c>
      <c r="P78" s="331">
        <v>147433</v>
      </c>
      <c r="Q78" s="186">
        <f>IF(RECEBÍVEIS!$I$4=0,"",ROUNDDOWN($P78*VLOOKUP(RECEBÍVEIS!$I$4,'REL LINHAS'!$P$121:$Q$219,2,0),0))</f>
        <v>135638</v>
      </c>
      <c r="R78" s="187">
        <f>IF(PERFIL!$C$24="","",PERFIL!$C$24)</f>
        <v>0</v>
      </c>
      <c r="S78" s="187" t="str">
        <f>IF('DESP. ADM.'!$F$91="","",IF('DESP. ADM.'!$F$44="",IF('DESP. ADM.'!$E$91='DESP. ADM.'!$F$91,1,IF(SUM('DESP. ADM.'!$F$91/'DESP. ADM.'!$E$91)&gt;103%,103%,'DESP. ADM.'!$F$91/'DESP. ADM.'!$E$91)),100%-'DESP. ADM.'!$F$44/1100))</f>
        <v/>
      </c>
      <c r="T78" s="185">
        <f>IF(Q78="",'REL LINHAS'!P78,IF(S78="",ROUNDDOWN(SUM(Q78*0.75),0),ROUNDUP(SUM(Q78,Q78*R78)*S78,0)))</f>
        <v>101728</v>
      </c>
    </row>
    <row r="79" spans="1:20" ht="21" x14ac:dyDescent="0.2">
      <c r="A79" s="114">
        <v>15</v>
      </c>
      <c r="B79" s="587" t="s">
        <v>1157</v>
      </c>
      <c r="C79" s="115" t="s">
        <v>536</v>
      </c>
      <c r="D79" s="114" t="s">
        <v>537</v>
      </c>
      <c r="E79" s="351" t="str">
        <f>IF(O7="","",O7)</f>
        <v>Leopoldina</v>
      </c>
      <c r="F79" s="563">
        <f>IF(B79="","",VLOOKUP(E79,$O$2:$T$120,6,0))</f>
        <v>68223</v>
      </c>
      <c r="G79" s="564"/>
      <c r="H79" s="564"/>
      <c r="I79" s="564"/>
      <c r="J79" s="564"/>
      <c r="K79" s="565"/>
      <c r="O79" s="330" t="s">
        <v>2112</v>
      </c>
      <c r="P79" s="331">
        <v>104492</v>
      </c>
      <c r="Q79" s="186">
        <f>IF(RECEBÍVEIS!$I$4=0,"",ROUNDDOWN($P79*VLOOKUP(RECEBÍVEIS!$I$4,'REL LINHAS'!$P$121:$Q$219,2,0),0))</f>
        <v>96132</v>
      </c>
      <c r="R79" s="187">
        <f>IF(PERFIL!$C$24="","",PERFIL!$C$24)</f>
        <v>0</v>
      </c>
      <c r="S79" s="187" t="str">
        <f>IF('DESP. ADM.'!$F$91="","",IF('DESP. ADM.'!$F$44="",IF('DESP. ADM.'!$E$91='DESP. ADM.'!$F$91,1,IF(SUM('DESP. ADM.'!$F$91/'DESP. ADM.'!$E$91)&gt;103%,103%,'DESP. ADM.'!$F$91/'DESP. ADM.'!$E$91)),100%-'DESP. ADM.'!$F$44/1100))</f>
        <v/>
      </c>
      <c r="T79" s="185">
        <f>IF(Q79="",'REL LINHAS'!P79,IF(S79="",ROUNDDOWN(SUM(Q79*0.75),0),ROUNDUP(SUM(Q79,Q79*R79)*S79,0)))</f>
        <v>72099</v>
      </c>
    </row>
    <row r="80" spans="1:20" ht="43.5" x14ac:dyDescent="0.2">
      <c r="A80" s="166" t="s">
        <v>779</v>
      </c>
      <c r="B80" s="116" t="s">
        <v>0</v>
      </c>
      <c r="C80" s="116" t="s">
        <v>20</v>
      </c>
      <c r="D80" s="116" t="s">
        <v>21</v>
      </c>
      <c r="E80" s="116" t="s">
        <v>1</v>
      </c>
      <c r="F80" s="117" t="s">
        <v>3</v>
      </c>
      <c r="G80" s="116" t="s">
        <v>216</v>
      </c>
      <c r="H80" s="180" t="s">
        <v>242</v>
      </c>
      <c r="I80" s="116" t="s">
        <v>245</v>
      </c>
      <c r="J80" s="116" t="s">
        <v>217</v>
      </c>
      <c r="K80" s="116" t="s">
        <v>218</v>
      </c>
      <c r="O80" s="330" t="s">
        <v>2113</v>
      </c>
      <c r="P80" s="331">
        <v>115728</v>
      </c>
      <c r="Q80" s="186">
        <f>IF(RECEBÍVEIS!$I$4=0,"",ROUNDDOWN($P80*VLOOKUP(RECEBÍVEIS!$I$4,'REL LINHAS'!$P$121:$Q$219,2,0),0))</f>
        <v>106469</v>
      </c>
      <c r="R80" s="187">
        <f>IF(PERFIL!$C$24="","",PERFIL!$C$24)</f>
        <v>0</v>
      </c>
      <c r="S80" s="187" t="str">
        <f>IF('DESP. ADM.'!$F$91="","",IF('DESP. ADM.'!$F$44="",IF('DESP. ADM.'!$E$91='DESP. ADM.'!$F$91,1,IF(SUM('DESP. ADM.'!$F$91/'DESP. ADM.'!$E$91)&gt;103%,103%,'DESP. ADM.'!$F$91/'DESP. ADM.'!$E$91)),100%-'DESP. ADM.'!$F$44/1100))</f>
        <v/>
      </c>
      <c r="T80" s="185">
        <f>IF(Q80="",'REL LINHAS'!P80,IF(S80="",ROUNDDOWN(SUM(Q80*0.75),0),ROUNDUP(SUM(Q80,Q80*R80)*S80,0)))</f>
        <v>79851</v>
      </c>
    </row>
    <row r="81" spans="2:20" ht="17.25" x14ac:dyDescent="0.2">
      <c r="B81" s="340" t="s">
        <v>605</v>
      </c>
      <c r="C81" s="100" t="s">
        <v>606</v>
      </c>
      <c r="D81" s="100" t="s">
        <v>607</v>
      </c>
      <c r="E81" s="107" t="s">
        <v>55</v>
      </c>
      <c r="F81" s="333">
        <v>14</v>
      </c>
      <c r="G81" s="335">
        <v>12</v>
      </c>
      <c r="H81" s="65">
        <v>2</v>
      </c>
      <c r="I81" s="69">
        <f>IF(G81="","",SUM(G81:H81))</f>
        <v>14</v>
      </c>
      <c r="J81" s="64">
        <f>IF(G81="","",ROUNDUP(G81*0.65,0))</f>
        <v>8</v>
      </c>
      <c r="K81" s="64">
        <f>IF(G81="","",ROUNDUP(G81*0.55,0))</f>
        <v>7</v>
      </c>
      <c r="O81" s="330" t="s">
        <v>2114</v>
      </c>
      <c r="P81" s="331">
        <v>162332</v>
      </c>
      <c r="Q81" s="186">
        <f>IF(RECEBÍVEIS!$I$4=0,"",ROUNDDOWN($P81*VLOOKUP(RECEBÍVEIS!$I$4,'REL LINHAS'!$P$121:$Q$219,2,0),0))</f>
        <v>149345</v>
      </c>
      <c r="R81" s="187">
        <f>IF(PERFIL!$C$24="","",PERFIL!$C$24)</f>
        <v>0</v>
      </c>
      <c r="S81" s="187" t="str">
        <f>IF('DESP. ADM.'!$F$91="","",IF('DESP. ADM.'!$F$44="",IF('DESP. ADM.'!$E$91='DESP. ADM.'!$F$91,1,IF(SUM('DESP. ADM.'!$F$91/'DESP. ADM.'!$E$91)&gt;103%,103%,'DESP. ADM.'!$F$91/'DESP. ADM.'!$E$91)),100%-'DESP. ADM.'!$F$44/1100))</f>
        <v/>
      </c>
      <c r="T81" s="185">
        <f>IF(Q81="",'REL LINHAS'!P81,IF(S81="",ROUNDDOWN(SUM(Q81*0.75),0),ROUNDUP(SUM(Q81,Q81*R81)*S81,0)))</f>
        <v>112008</v>
      </c>
    </row>
    <row r="82" spans="2:20" ht="17.25" x14ac:dyDescent="0.2">
      <c r="B82" s="340" t="s">
        <v>608</v>
      </c>
      <c r="C82" s="100" t="s">
        <v>609</v>
      </c>
      <c r="D82" s="100" t="s">
        <v>543</v>
      </c>
      <c r="E82" s="107" t="s">
        <v>265</v>
      </c>
      <c r="F82" s="108">
        <v>12.5</v>
      </c>
      <c r="G82" s="57">
        <v>12</v>
      </c>
      <c r="H82" s="65">
        <v>2</v>
      </c>
      <c r="I82" s="69">
        <f t="shared" ref="I82:I87" si="12">IF(G82="","",SUM(G82:H82))</f>
        <v>14</v>
      </c>
      <c r="J82" s="64">
        <f t="shared" ref="J82:J96" si="13">IF(G82="","",ROUNDUP(G82*0.65,0))</f>
        <v>8</v>
      </c>
      <c r="K82" s="64">
        <f t="shared" ref="K82:K96" si="14">IF(G82="","",ROUNDUP(G82*0.55,0))</f>
        <v>7</v>
      </c>
      <c r="O82" s="330" t="s">
        <v>2115</v>
      </c>
      <c r="P82" s="331">
        <v>99998</v>
      </c>
      <c r="Q82" s="186">
        <f>IF(RECEBÍVEIS!$I$4=0,"",ROUNDDOWN($P82*VLOOKUP(RECEBÍVEIS!$I$4,'REL LINHAS'!$P$121:$Q$219,2,0),0))</f>
        <v>91998</v>
      </c>
      <c r="R82" s="187">
        <f>IF(PERFIL!$C$24="","",PERFIL!$C$24)</f>
        <v>0</v>
      </c>
      <c r="S82" s="187" t="str">
        <f>IF('DESP. ADM.'!$F$91="","",IF('DESP. ADM.'!$F$44="",IF('DESP. ADM.'!$E$91='DESP. ADM.'!$F$91,1,IF(SUM('DESP. ADM.'!$F$91/'DESP. ADM.'!$E$91)&gt;103%,103%,'DESP. ADM.'!$F$91/'DESP. ADM.'!$E$91)),100%-'DESP. ADM.'!$F$44/1100))</f>
        <v/>
      </c>
      <c r="T82" s="185">
        <f>IF(Q82="",'REL LINHAS'!P82,IF(S82="",ROUNDDOWN(SUM(Q82*0.75),0),ROUNDUP(SUM(Q82,Q82*R82)*S82,0)))</f>
        <v>68998</v>
      </c>
    </row>
    <row r="83" spans="2:20" ht="17.25" x14ac:dyDescent="0.2">
      <c r="B83" s="340" t="s">
        <v>610</v>
      </c>
      <c r="C83" s="100" t="s">
        <v>611</v>
      </c>
      <c r="D83" s="100" t="s">
        <v>543</v>
      </c>
      <c r="E83" s="107" t="s">
        <v>265</v>
      </c>
      <c r="F83" s="108">
        <v>12.5</v>
      </c>
      <c r="G83" s="57">
        <v>12</v>
      </c>
      <c r="H83" s="65">
        <v>2</v>
      </c>
      <c r="I83" s="69">
        <f t="shared" si="12"/>
        <v>14</v>
      </c>
      <c r="J83" s="64">
        <f t="shared" si="13"/>
        <v>8</v>
      </c>
      <c r="K83" s="64">
        <f t="shared" si="14"/>
        <v>7</v>
      </c>
      <c r="O83" s="330" t="s">
        <v>2116</v>
      </c>
      <c r="P83" s="331">
        <v>73032</v>
      </c>
      <c r="Q83" s="186">
        <f>IF(RECEBÍVEIS!$I$4=0,"",ROUNDDOWN($P83*VLOOKUP(RECEBÍVEIS!$I$4,'REL LINHAS'!$P$121:$Q$219,2,0),0))</f>
        <v>67189</v>
      </c>
      <c r="R83" s="187">
        <f>IF(PERFIL!$C$24="","",PERFIL!$C$24)</f>
        <v>0</v>
      </c>
      <c r="S83" s="187" t="str">
        <f>IF('DESP. ADM.'!$F$91="","",IF('DESP. ADM.'!$F$44="",IF('DESP. ADM.'!$E$91='DESP. ADM.'!$F$91,1,IF(SUM('DESP. ADM.'!$F$91/'DESP. ADM.'!$E$91)&gt;103%,103%,'DESP. ADM.'!$F$91/'DESP. ADM.'!$E$91)),100%-'DESP. ADM.'!$F$44/1100))</f>
        <v/>
      </c>
      <c r="T83" s="185">
        <f>IF(Q83="",'REL LINHAS'!P83,IF(S83="",ROUNDDOWN(SUM(Q83*0.75),0),ROUNDUP(SUM(Q83,Q83*R83)*S83,0)))</f>
        <v>50391</v>
      </c>
    </row>
    <row r="84" spans="2:20" ht="17.25" x14ac:dyDescent="0.2">
      <c r="B84" s="340" t="s">
        <v>612</v>
      </c>
      <c r="C84" s="100" t="s">
        <v>613</v>
      </c>
      <c r="D84" s="100" t="s">
        <v>543</v>
      </c>
      <c r="E84" s="107" t="s">
        <v>265</v>
      </c>
      <c r="F84" s="108">
        <v>12.5</v>
      </c>
      <c r="G84" s="57">
        <v>12</v>
      </c>
      <c r="H84" s="65">
        <v>2</v>
      </c>
      <c r="I84" s="69">
        <f t="shared" si="12"/>
        <v>14</v>
      </c>
      <c r="J84" s="64">
        <f t="shared" si="13"/>
        <v>8</v>
      </c>
      <c r="K84" s="64">
        <f t="shared" si="14"/>
        <v>7</v>
      </c>
      <c r="O84" s="330" t="s">
        <v>2117</v>
      </c>
      <c r="P84" s="331">
        <v>143231</v>
      </c>
      <c r="Q84" s="186">
        <f>IF(RECEBÍVEIS!$I$4=0,"",ROUNDDOWN($P84*VLOOKUP(RECEBÍVEIS!$I$4,'REL LINHAS'!$P$121:$Q$219,2,0),0))</f>
        <v>131772</v>
      </c>
      <c r="R84" s="187">
        <f>IF(PERFIL!$C$24="","",PERFIL!$C$24)</f>
        <v>0</v>
      </c>
      <c r="S84" s="187" t="str">
        <f>IF('DESP. ADM.'!$F$91="","",IF('DESP. ADM.'!$F$44="",IF('DESP. ADM.'!$E$91='DESP. ADM.'!$F$91,1,IF(SUM('DESP. ADM.'!$F$91/'DESP. ADM.'!$E$91)&gt;103%,103%,'DESP. ADM.'!$F$91/'DESP. ADM.'!$E$91)),100%-'DESP. ADM.'!$F$44/1100))</f>
        <v/>
      </c>
      <c r="T84" s="185">
        <f>IF(Q84="",'REL LINHAS'!P84,IF(S84="",ROUNDDOWN(SUM(Q84*0.75),0),ROUNDUP(SUM(Q84,Q84*R84)*S84,0)))</f>
        <v>98829</v>
      </c>
    </row>
    <row r="85" spans="2:20" ht="17.25" x14ac:dyDescent="0.2">
      <c r="B85" s="340" t="s">
        <v>614</v>
      </c>
      <c r="C85" s="100" t="s">
        <v>615</v>
      </c>
      <c r="D85" s="100" t="s">
        <v>616</v>
      </c>
      <c r="E85" s="107" t="s">
        <v>265</v>
      </c>
      <c r="F85" s="108">
        <v>12.5</v>
      </c>
      <c r="G85" s="57">
        <v>14</v>
      </c>
      <c r="H85" s="65">
        <v>2</v>
      </c>
      <c r="I85" s="69">
        <f t="shared" si="12"/>
        <v>16</v>
      </c>
      <c r="J85" s="64">
        <f t="shared" si="13"/>
        <v>10</v>
      </c>
      <c r="K85" s="64">
        <f t="shared" si="14"/>
        <v>8</v>
      </c>
      <c r="O85" s="330" t="s">
        <v>2118</v>
      </c>
      <c r="P85" s="331">
        <v>101121</v>
      </c>
      <c r="Q85" s="186">
        <f>IF(RECEBÍVEIS!$I$4=0,"",ROUNDDOWN($P85*VLOOKUP(RECEBÍVEIS!$I$4,'REL LINHAS'!$P$121:$Q$219,2,0),0))</f>
        <v>93031</v>
      </c>
      <c r="R85" s="187">
        <f>IF(PERFIL!$C$24="","",PERFIL!$C$24)</f>
        <v>0</v>
      </c>
      <c r="S85" s="187" t="str">
        <f>IF('DESP. ADM.'!$F$91="","",IF('DESP. ADM.'!$F$44="",IF('DESP. ADM.'!$E$91='DESP. ADM.'!$F$91,1,IF(SUM('DESP. ADM.'!$F$91/'DESP. ADM.'!$E$91)&gt;103%,103%,'DESP. ADM.'!$F$91/'DESP. ADM.'!$E$91)),100%-'DESP. ADM.'!$F$44/1100))</f>
        <v/>
      </c>
      <c r="T85" s="185">
        <f>IF(Q85="",'REL LINHAS'!P85,IF(S85="",ROUNDDOWN(SUM(Q85*0.75),0),ROUNDUP(SUM(Q85,Q85*R85)*S85,0)))</f>
        <v>69773</v>
      </c>
    </row>
    <row r="86" spans="2:20" ht="17.25" x14ac:dyDescent="0.2">
      <c r="B86" s="340" t="s">
        <v>617</v>
      </c>
      <c r="C86" s="100" t="s">
        <v>618</v>
      </c>
      <c r="D86" s="100" t="s">
        <v>619</v>
      </c>
      <c r="E86" s="107" t="s">
        <v>265</v>
      </c>
      <c r="F86" s="108">
        <v>12.5</v>
      </c>
      <c r="G86" s="57">
        <v>14</v>
      </c>
      <c r="H86" s="65">
        <v>1</v>
      </c>
      <c r="I86" s="69">
        <f t="shared" si="12"/>
        <v>15</v>
      </c>
      <c r="J86" s="64">
        <f t="shared" si="13"/>
        <v>10</v>
      </c>
      <c r="K86" s="64">
        <f t="shared" si="14"/>
        <v>8</v>
      </c>
      <c r="O86" s="330" t="s">
        <v>2119</v>
      </c>
      <c r="P86" s="331">
        <v>155005</v>
      </c>
      <c r="Q86" s="186">
        <f>IF(RECEBÍVEIS!$I$4=0,"",ROUNDDOWN($P86*VLOOKUP(RECEBÍVEIS!$I$4,'REL LINHAS'!$P$121:$Q$219,2,0),0))</f>
        <v>142604</v>
      </c>
      <c r="R86" s="187">
        <f>IF(PERFIL!$C$24="","",PERFIL!$C$24)</f>
        <v>0</v>
      </c>
      <c r="S86" s="187" t="str">
        <f>IF('DESP. ADM.'!$F$91="","",IF('DESP. ADM.'!$F$44="",IF('DESP. ADM.'!$E$91='DESP. ADM.'!$F$91,1,IF(SUM('DESP. ADM.'!$F$91/'DESP. ADM.'!$E$91)&gt;103%,103%,'DESP. ADM.'!$F$91/'DESP. ADM.'!$E$91)),100%-'DESP. ADM.'!$F$44/1100))</f>
        <v/>
      </c>
      <c r="T86" s="185">
        <f>IF(Q86="",'REL LINHAS'!P86,IF(S86="",ROUNDDOWN(SUM(Q86*0.75),0),ROUNDUP(SUM(Q86,Q86*R86)*S86,0)))</f>
        <v>106953</v>
      </c>
    </row>
    <row r="87" spans="2:20" ht="17.25" x14ac:dyDescent="0.2">
      <c r="B87" s="340" t="s">
        <v>620</v>
      </c>
      <c r="C87" s="100" t="s">
        <v>539</v>
      </c>
      <c r="D87" s="100" t="s">
        <v>621</v>
      </c>
      <c r="E87" s="107" t="s">
        <v>265</v>
      </c>
      <c r="F87" s="108">
        <v>12.5</v>
      </c>
      <c r="G87" s="57">
        <v>12</v>
      </c>
      <c r="H87" s="65">
        <v>1</v>
      </c>
      <c r="I87" s="69">
        <f t="shared" si="12"/>
        <v>13</v>
      </c>
      <c r="J87" s="64">
        <f t="shared" si="13"/>
        <v>8</v>
      </c>
      <c r="K87" s="64">
        <f t="shared" si="14"/>
        <v>7</v>
      </c>
      <c r="O87" s="330" t="s">
        <v>2120</v>
      </c>
      <c r="P87" s="331">
        <v>131458</v>
      </c>
      <c r="Q87" s="186">
        <f>IF(RECEBÍVEIS!$I$4=0,"",ROUNDDOWN($P87*VLOOKUP(RECEBÍVEIS!$I$4,'REL LINHAS'!$P$121:$Q$219,2,0),0))</f>
        <v>120941</v>
      </c>
      <c r="R87" s="187">
        <f>IF(PERFIL!$C$24="","",PERFIL!$C$24)</f>
        <v>0</v>
      </c>
      <c r="S87" s="187" t="str">
        <f>IF('DESP. ADM.'!$F$91="","",IF('DESP. ADM.'!$F$44="",IF('DESP. ADM.'!$E$91='DESP. ADM.'!$F$91,1,IF(SUM('DESP. ADM.'!$F$91/'DESP. ADM.'!$E$91)&gt;103%,103%,'DESP. ADM.'!$F$91/'DESP. ADM.'!$E$91)),100%-'DESP. ADM.'!$F$44/1100))</f>
        <v/>
      </c>
      <c r="T87" s="185">
        <f>IF(Q87="",'REL LINHAS'!P87,IF(S87="",ROUNDDOWN(SUM(Q87*0.75),0),ROUNDUP(SUM(Q87,Q87*R87)*S87,0)))</f>
        <v>90705</v>
      </c>
    </row>
    <row r="88" spans="2:20" ht="17.25" x14ac:dyDescent="0.2">
      <c r="B88" s="340"/>
      <c r="C88" s="100"/>
      <c r="D88" s="100"/>
      <c r="E88" s="107"/>
      <c r="F88" s="108"/>
      <c r="G88" s="57"/>
      <c r="H88" s="65"/>
      <c r="I88" s="69"/>
      <c r="J88" s="64" t="str">
        <f t="shared" si="13"/>
        <v/>
      </c>
      <c r="K88" s="64" t="str">
        <f t="shared" si="14"/>
        <v/>
      </c>
      <c r="O88" s="330" t="s">
        <v>2121</v>
      </c>
      <c r="P88" s="331">
        <v>93256</v>
      </c>
      <c r="Q88" s="186">
        <f>IF(RECEBÍVEIS!$I$4=0,"",ROUNDDOWN($P88*VLOOKUP(RECEBÍVEIS!$I$4,'REL LINHAS'!$P$121:$Q$219,2,0),0))</f>
        <v>85795</v>
      </c>
      <c r="R88" s="187">
        <f>IF(PERFIL!$C$24="","",PERFIL!$C$24)</f>
        <v>0</v>
      </c>
      <c r="S88" s="187" t="str">
        <f>IF('DESP. ADM.'!$F$91="","",IF('DESP. ADM.'!$F$44="",IF('DESP. ADM.'!$E$91='DESP. ADM.'!$F$91,1,IF(SUM('DESP. ADM.'!$F$91/'DESP. ADM.'!$E$91)&gt;103%,103%,'DESP. ADM.'!$F$91/'DESP. ADM.'!$E$91)),100%-'DESP. ADM.'!$F$44/1100))</f>
        <v/>
      </c>
      <c r="T88" s="185">
        <f>IF(Q88="",'REL LINHAS'!P88,IF(S88="",ROUNDDOWN(SUM(Q88*0.75),0),ROUNDUP(SUM(Q88,Q88*R88)*S88,0)))</f>
        <v>64346</v>
      </c>
    </row>
    <row r="89" spans="2:20" ht="17.25" x14ac:dyDescent="0.2">
      <c r="B89" s="340"/>
      <c r="C89" s="100"/>
      <c r="D89" s="100"/>
      <c r="E89" s="107"/>
      <c r="F89" s="108"/>
      <c r="G89" s="57"/>
      <c r="H89" s="65"/>
      <c r="I89" s="69"/>
      <c r="J89" s="64" t="str">
        <f t="shared" si="13"/>
        <v/>
      </c>
      <c r="K89" s="64" t="str">
        <f t="shared" si="14"/>
        <v/>
      </c>
      <c r="O89" s="330" t="s">
        <v>2122</v>
      </c>
      <c r="P89" s="331">
        <v>174244</v>
      </c>
      <c r="Q89" s="186">
        <f>IF(RECEBÍVEIS!$I$4=0,"",ROUNDDOWN($P89*VLOOKUP(RECEBÍVEIS!$I$4,'REL LINHAS'!$P$121:$Q$219,2,0),0))</f>
        <v>160304</v>
      </c>
      <c r="R89" s="187">
        <f>IF(PERFIL!$C$24="","",PERFIL!$C$24)</f>
        <v>0</v>
      </c>
      <c r="S89" s="187" t="str">
        <f>IF('DESP. ADM.'!$F$91="","",IF('DESP. ADM.'!$F$44="",IF('DESP. ADM.'!$E$91='DESP. ADM.'!$F$91,1,IF(SUM('DESP. ADM.'!$F$91/'DESP. ADM.'!$E$91)&gt;103%,103%,'DESP. ADM.'!$F$91/'DESP. ADM.'!$E$91)),100%-'DESP. ADM.'!$F$44/1100))</f>
        <v/>
      </c>
      <c r="T89" s="185">
        <f>IF(Q89="",'REL LINHAS'!P89,IF(S89="",ROUNDDOWN(SUM(Q89*0.75),0),ROUNDUP(SUM(Q89,Q89*R89)*S89,0)))</f>
        <v>120228</v>
      </c>
    </row>
    <row r="90" spans="2:20" ht="17.25" x14ac:dyDescent="0.2">
      <c r="B90" s="340"/>
      <c r="C90" s="100"/>
      <c r="D90" s="100"/>
      <c r="E90" s="107"/>
      <c r="F90" s="108"/>
      <c r="G90" s="57"/>
      <c r="H90" s="65"/>
      <c r="I90" s="69"/>
      <c r="J90" s="64" t="str">
        <f t="shared" si="13"/>
        <v/>
      </c>
      <c r="K90" s="64" t="str">
        <f t="shared" si="14"/>
        <v/>
      </c>
      <c r="O90" s="330" t="s">
        <v>2123</v>
      </c>
      <c r="P90" s="331">
        <v>125840</v>
      </c>
      <c r="Q90" s="186">
        <f>IF(RECEBÍVEIS!$I$4=0,"",ROUNDDOWN($P90*VLOOKUP(RECEBÍVEIS!$I$4,'REL LINHAS'!$P$121:$Q$219,2,0),0))</f>
        <v>115772</v>
      </c>
      <c r="R90" s="187">
        <f>IF(PERFIL!$C$24="","",PERFIL!$C$24)</f>
        <v>0</v>
      </c>
      <c r="S90" s="187" t="str">
        <f>IF('DESP. ADM.'!$F$91="","",IF('DESP. ADM.'!$F$44="",IF('DESP. ADM.'!$E$91='DESP. ADM.'!$F$91,1,IF(SUM('DESP. ADM.'!$F$91/'DESP. ADM.'!$E$91)&gt;103%,103%,'DESP. ADM.'!$F$91/'DESP. ADM.'!$E$91)),100%-'DESP. ADM.'!$F$44/1100))</f>
        <v/>
      </c>
      <c r="T90" s="185">
        <f>IF(Q90="",'REL LINHAS'!P90,IF(S90="",ROUNDDOWN(SUM(Q90*0.75),0),ROUNDUP(SUM(Q90,Q90*R90)*S90,0)))</f>
        <v>86829</v>
      </c>
    </row>
    <row r="91" spans="2:20" ht="17.25" x14ac:dyDescent="0.2">
      <c r="B91" s="340"/>
      <c r="C91" s="100"/>
      <c r="D91" s="100"/>
      <c r="E91" s="107"/>
      <c r="F91" s="108"/>
      <c r="G91" s="57"/>
      <c r="H91" s="65"/>
      <c r="I91" s="69"/>
      <c r="J91" s="64" t="str">
        <f t="shared" si="13"/>
        <v/>
      </c>
      <c r="K91" s="64" t="str">
        <f t="shared" si="14"/>
        <v/>
      </c>
      <c r="O91" s="330" t="s">
        <v>2124</v>
      </c>
      <c r="P91" s="331">
        <v>111233</v>
      </c>
      <c r="Q91" s="186">
        <f>IF(RECEBÍVEIS!$I$4=0,"",ROUNDDOWN($P91*VLOOKUP(RECEBÍVEIS!$I$4,'REL LINHAS'!$P$121:$Q$219,2,0),0))</f>
        <v>102334</v>
      </c>
      <c r="R91" s="187">
        <f>IF(PERFIL!$C$24="","",PERFIL!$C$24)</f>
        <v>0</v>
      </c>
      <c r="S91" s="187" t="str">
        <f>IF('DESP. ADM.'!$F$91="","",IF('DESP. ADM.'!$F$44="",IF('DESP. ADM.'!$E$91='DESP. ADM.'!$F$91,1,IF(SUM('DESP. ADM.'!$F$91/'DESP. ADM.'!$E$91)&gt;103%,103%,'DESP. ADM.'!$F$91/'DESP. ADM.'!$E$91)),100%-'DESP. ADM.'!$F$44/1100))</f>
        <v/>
      </c>
      <c r="T91" s="185">
        <f>IF(Q91="",'REL LINHAS'!P91,IF(S91="",ROUNDDOWN(SUM(Q91*0.75),0),ROUNDUP(SUM(Q91,Q91*R91)*S91,0)))</f>
        <v>76750</v>
      </c>
    </row>
    <row r="92" spans="2:20" ht="17.25" x14ac:dyDescent="0.2">
      <c r="B92" s="340"/>
      <c r="C92" s="100"/>
      <c r="D92" s="100"/>
      <c r="E92" s="107"/>
      <c r="F92" s="108"/>
      <c r="G92" s="57"/>
      <c r="H92" s="65"/>
      <c r="I92" s="69"/>
      <c r="J92" s="64" t="str">
        <f t="shared" si="13"/>
        <v/>
      </c>
      <c r="K92" s="64" t="str">
        <f t="shared" si="14"/>
        <v/>
      </c>
      <c r="O92" s="330" t="s">
        <v>2125</v>
      </c>
      <c r="P92" s="331">
        <v>129211</v>
      </c>
      <c r="Q92" s="186">
        <f>IF(RECEBÍVEIS!$I$4=0,"",ROUNDDOWN($P92*VLOOKUP(RECEBÍVEIS!$I$4,'REL LINHAS'!$P$121:$Q$219,2,0),0))</f>
        <v>118874</v>
      </c>
      <c r="R92" s="187">
        <f>IF(PERFIL!$C$24="","",PERFIL!$C$24)</f>
        <v>0</v>
      </c>
      <c r="S92" s="187" t="str">
        <f>IF('DESP. ADM.'!$F$91="","",IF('DESP. ADM.'!$F$44="",IF('DESP. ADM.'!$E$91='DESP. ADM.'!$F$91,1,IF(SUM('DESP. ADM.'!$F$91/'DESP. ADM.'!$E$91)&gt;103%,103%,'DESP. ADM.'!$F$91/'DESP. ADM.'!$E$91)),100%-'DESP. ADM.'!$F$44/1100))</f>
        <v/>
      </c>
      <c r="T92" s="185">
        <f>IF(Q92="",'REL LINHAS'!P92,IF(S92="",ROUNDDOWN(SUM(Q92*0.75),0),ROUNDUP(SUM(Q92,Q92*R92)*S92,0)))</f>
        <v>89155</v>
      </c>
    </row>
    <row r="93" spans="2:20" ht="17.25" x14ac:dyDescent="0.2">
      <c r="B93" s="340"/>
      <c r="C93" s="100"/>
      <c r="D93" s="100"/>
      <c r="E93" s="107"/>
      <c r="F93" s="108"/>
      <c r="G93" s="57"/>
      <c r="H93" s="65"/>
      <c r="I93" s="69"/>
      <c r="J93" s="64" t="str">
        <f t="shared" si="13"/>
        <v/>
      </c>
      <c r="K93" s="64" t="str">
        <f t="shared" si="14"/>
        <v/>
      </c>
      <c r="O93" s="330" t="s">
        <v>2126</v>
      </c>
      <c r="P93" s="331">
        <v>125840</v>
      </c>
      <c r="Q93" s="186">
        <f>IF(RECEBÍVEIS!$I$4=0,"",ROUNDDOWN($P93*VLOOKUP(RECEBÍVEIS!$I$4,'REL LINHAS'!$P$121:$Q$219,2,0),0))</f>
        <v>115772</v>
      </c>
      <c r="R93" s="187">
        <f>IF(PERFIL!$C$24="","",PERFIL!$C$24)</f>
        <v>0</v>
      </c>
      <c r="S93" s="187" t="str">
        <f>IF('DESP. ADM.'!$F$91="","",IF('DESP. ADM.'!$F$44="",IF('DESP. ADM.'!$E$91='DESP. ADM.'!$F$91,1,IF(SUM('DESP. ADM.'!$F$91/'DESP. ADM.'!$E$91)&gt;103%,103%,'DESP. ADM.'!$F$91/'DESP. ADM.'!$E$91)),100%-'DESP. ADM.'!$F$44/1100))</f>
        <v/>
      </c>
      <c r="T93" s="185">
        <f>IF(Q93="",'REL LINHAS'!P93,IF(S93="",ROUNDDOWN(SUM(Q93*0.75),0),ROUNDUP(SUM(Q93,Q93*R93)*S93,0)))</f>
        <v>86829</v>
      </c>
    </row>
    <row r="94" spans="2:20" ht="17.25" x14ac:dyDescent="0.2">
      <c r="B94" s="340"/>
      <c r="C94" s="100"/>
      <c r="D94" s="100"/>
      <c r="E94" s="107"/>
      <c r="F94" s="108"/>
      <c r="G94" s="57"/>
      <c r="H94" s="65"/>
      <c r="I94" s="69"/>
      <c r="J94" s="64" t="str">
        <f t="shared" si="13"/>
        <v/>
      </c>
      <c r="K94" s="64" t="str">
        <f t="shared" si="14"/>
        <v/>
      </c>
      <c r="O94" s="330" t="s">
        <v>2127</v>
      </c>
      <c r="P94" s="331">
        <v>133705</v>
      </c>
      <c r="Q94" s="186">
        <f>IF(RECEBÍVEIS!$I$4=0,"",ROUNDDOWN($P94*VLOOKUP(RECEBÍVEIS!$I$4,'REL LINHAS'!$P$121:$Q$219,2,0),0))</f>
        <v>123008</v>
      </c>
      <c r="R94" s="187">
        <f>IF(PERFIL!$C$24="","",PERFIL!$C$24)</f>
        <v>0</v>
      </c>
      <c r="S94" s="187" t="str">
        <f>IF('DESP. ADM.'!$F$91="","",IF('DESP. ADM.'!$F$44="",IF('DESP. ADM.'!$E$91='DESP. ADM.'!$F$91,1,IF(SUM('DESP. ADM.'!$F$91/'DESP. ADM.'!$E$91)&gt;103%,103%,'DESP. ADM.'!$F$91/'DESP. ADM.'!$E$91)),100%-'DESP. ADM.'!$F$44/1100))</f>
        <v/>
      </c>
      <c r="T94" s="185">
        <f>IF(Q94="",'REL LINHAS'!P94,IF(S94="",ROUNDDOWN(SUM(Q94*0.75),0),ROUNDUP(SUM(Q94,Q94*R94)*S94,0)))</f>
        <v>92256</v>
      </c>
    </row>
    <row r="95" spans="2:20" ht="17.25" x14ac:dyDescent="0.2">
      <c r="B95" s="340"/>
      <c r="C95" s="100"/>
      <c r="D95" s="100"/>
      <c r="E95" s="107"/>
      <c r="F95" s="108"/>
      <c r="G95" s="57"/>
      <c r="H95" s="65"/>
      <c r="I95" s="69"/>
      <c r="J95" s="64" t="str">
        <f t="shared" si="13"/>
        <v/>
      </c>
      <c r="K95" s="64" t="str">
        <f t="shared" si="14"/>
        <v/>
      </c>
      <c r="O95" s="330" t="s">
        <v>2128</v>
      </c>
      <c r="P95" s="331">
        <v>89886</v>
      </c>
      <c r="Q95" s="186">
        <f>IF(RECEBÍVEIS!$I$4=0,"",ROUNDDOWN($P95*VLOOKUP(RECEBÍVEIS!$I$4,'REL LINHAS'!$P$121:$Q$219,2,0),0))</f>
        <v>82695</v>
      </c>
      <c r="R95" s="187">
        <f>IF(PERFIL!$C$24="","",PERFIL!$C$24)</f>
        <v>0</v>
      </c>
      <c r="S95" s="187" t="str">
        <f>IF('DESP. ADM.'!$F$91="","",IF('DESP. ADM.'!$F$44="",IF('DESP. ADM.'!$E$91='DESP. ADM.'!$F$91,1,IF(SUM('DESP. ADM.'!$F$91/'DESP. ADM.'!$E$91)&gt;103%,103%,'DESP. ADM.'!$F$91/'DESP. ADM.'!$E$91)),100%-'DESP. ADM.'!$F$44/1100))</f>
        <v/>
      </c>
      <c r="T95" s="185">
        <f>IF(Q95="",'REL LINHAS'!P95,IF(S95="",ROUNDDOWN(SUM(Q95*0.75),0),ROUNDUP(SUM(Q95,Q95*R95)*S95,0)))</f>
        <v>62021</v>
      </c>
    </row>
    <row r="96" spans="2:20" ht="17.25" x14ac:dyDescent="0.2">
      <c r="B96" s="340"/>
      <c r="C96" s="100"/>
      <c r="D96" s="100"/>
      <c r="E96" s="107"/>
      <c r="F96" s="108"/>
      <c r="G96" s="57"/>
      <c r="H96" s="65"/>
      <c r="I96" s="69"/>
      <c r="J96" s="64" t="str">
        <f t="shared" si="13"/>
        <v/>
      </c>
      <c r="K96" s="64" t="str">
        <f t="shared" si="14"/>
        <v/>
      </c>
      <c r="O96" s="330" t="s">
        <v>2129</v>
      </c>
      <c r="P96" s="331">
        <v>104492</v>
      </c>
      <c r="Q96" s="186">
        <f>IF(RECEBÍVEIS!$I$4=0,"",ROUNDDOWN($P96*VLOOKUP(RECEBÍVEIS!$I$4,'REL LINHAS'!$P$121:$Q$219,2,0),0))</f>
        <v>96132</v>
      </c>
      <c r="R96" s="187">
        <f>IF(PERFIL!$C$24="","",PERFIL!$C$24)</f>
        <v>0</v>
      </c>
      <c r="S96" s="187" t="str">
        <f>IF('DESP. ADM.'!$F$91="","",IF('DESP. ADM.'!$F$44="",IF('DESP. ADM.'!$E$91='DESP. ADM.'!$F$91,1,IF(SUM('DESP. ADM.'!$F$91/'DESP. ADM.'!$E$91)&gt;103%,103%,'DESP. ADM.'!$F$91/'DESP. ADM.'!$E$91)),100%-'DESP. ADM.'!$F$44/1100))</f>
        <v/>
      </c>
      <c r="T96" s="185">
        <f>IF(Q96="",'REL LINHAS'!P96,IF(S96="",ROUNDDOWN(SUM(Q96*0.75),0),ROUNDUP(SUM(Q96,Q96*R96)*S96,0)))</f>
        <v>72099</v>
      </c>
    </row>
    <row r="97" spans="1:20" ht="18" customHeight="1" x14ac:dyDescent="0.2">
      <c r="B97" s="561" t="s">
        <v>22</v>
      </c>
      <c r="C97" s="561" t="s">
        <v>177</v>
      </c>
      <c r="D97" s="561" t="s">
        <v>243</v>
      </c>
      <c r="E97" s="561" t="s">
        <v>23</v>
      </c>
      <c r="F97" s="562" t="s">
        <v>234</v>
      </c>
      <c r="G97" s="562"/>
      <c r="H97" s="562"/>
      <c r="I97" s="562"/>
      <c r="J97" s="562"/>
      <c r="K97" s="562"/>
      <c r="O97" s="330" t="s">
        <v>2469</v>
      </c>
      <c r="P97" s="331">
        <v>133705</v>
      </c>
      <c r="Q97" s="186">
        <f>IF(RECEBÍVEIS!$I$4=0,"",ROUNDDOWN($P97*VLOOKUP(RECEBÍVEIS!$I$4,'REL LINHAS'!$P$121:$Q$219,2,0),0))</f>
        <v>123008</v>
      </c>
      <c r="R97" s="187">
        <f>IF(PERFIL!$C$24="","",PERFIL!$C$24)</f>
        <v>0</v>
      </c>
      <c r="S97" s="187" t="str">
        <f>IF('DESP. ADM.'!$F$91="","",IF('DESP. ADM.'!$F$44="",IF('DESP. ADM.'!$E$91='DESP. ADM.'!$F$91,1,IF(SUM('DESP. ADM.'!$F$91/'DESP. ADM.'!$E$91)&gt;103%,103%,'DESP. ADM.'!$F$91/'DESP. ADM.'!$E$91)),100%-'DESP. ADM.'!$F$44/1100))</f>
        <v/>
      </c>
      <c r="T97" s="185">
        <f>IF(Q97="",'REL LINHAS'!P97,IF(S97="",ROUNDDOWN(SUM(Q97*0.75),0),ROUNDUP(SUM(Q97,Q97*R97)*S97,0)))</f>
        <v>92256</v>
      </c>
    </row>
    <row r="98" spans="1:20" ht="21" x14ac:dyDescent="0.2">
      <c r="A98" s="114">
        <v>16</v>
      </c>
      <c r="B98" s="435" t="s">
        <v>1136</v>
      </c>
      <c r="C98" s="115" t="s">
        <v>622</v>
      </c>
      <c r="D98" s="114" t="s">
        <v>623</v>
      </c>
      <c r="E98" s="351" t="str">
        <f>IF(O8="","",O8)</f>
        <v>PEDROSO</v>
      </c>
      <c r="F98" s="563">
        <f>IF(B98="","",VLOOKUP(E98,$O$2:$T$120,6,0))</f>
        <v>66672</v>
      </c>
      <c r="G98" s="564"/>
      <c r="H98" s="564"/>
      <c r="I98" s="564"/>
      <c r="J98" s="564"/>
      <c r="K98" s="565"/>
      <c r="O98" s="330" t="s">
        <v>2470</v>
      </c>
      <c r="P98" s="331">
        <v>92133</v>
      </c>
      <c r="Q98" s="186">
        <f>IF(RECEBÍVEIS!$I$4=0,"",ROUNDDOWN($P98*VLOOKUP(RECEBÍVEIS!$I$4,'REL LINHAS'!$P$121:$Q$219,2,0),0))</f>
        <v>84762</v>
      </c>
      <c r="R98" s="187">
        <f>IF(PERFIL!$C$24="","",PERFIL!$C$24)</f>
        <v>0</v>
      </c>
      <c r="S98" s="187" t="str">
        <f>IF('DESP. ADM.'!$F$91="","",IF('DESP. ADM.'!$F$44="",IF('DESP. ADM.'!$E$91='DESP. ADM.'!$F$91,1,IF(SUM('DESP. ADM.'!$F$91/'DESP. ADM.'!$E$91)&gt;103%,103%,'DESP. ADM.'!$F$91/'DESP. ADM.'!$E$91)),100%-'DESP. ADM.'!$F$44/1100))</f>
        <v/>
      </c>
      <c r="T98" s="185">
        <f>IF(Q98="",'REL LINHAS'!P98,IF(S98="",ROUNDDOWN(SUM(Q98*0.75),0),ROUNDUP(SUM(Q98,Q98*R98)*S98,0)))</f>
        <v>63571</v>
      </c>
    </row>
    <row r="99" spans="1:20" ht="43.5" x14ac:dyDescent="0.2">
      <c r="A99" s="166" t="s">
        <v>779</v>
      </c>
      <c r="B99" s="116"/>
      <c r="C99" s="116"/>
      <c r="D99" s="116"/>
      <c r="E99" s="116" t="s">
        <v>1</v>
      </c>
      <c r="F99" s="117" t="s">
        <v>3</v>
      </c>
      <c r="G99" s="116" t="s">
        <v>216</v>
      </c>
      <c r="H99" s="180" t="s">
        <v>242</v>
      </c>
      <c r="I99" s="116" t="s">
        <v>245</v>
      </c>
      <c r="J99" s="116" t="s">
        <v>217</v>
      </c>
      <c r="K99" s="116" t="s">
        <v>218</v>
      </c>
      <c r="O99" s="330" t="s">
        <v>2471</v>
      </c>
      <c r="P99" s="331">
        <v>92133</v>
      </c>
      <c r="Q99" s="186">
        <f>IF(RECEBÍVEIS!$I$4=0,"",ROUNDDOWN($P99*VLOOKUP(RECEBÍVEIS!$I$4,'REL LINHAS'!$P$121:$Q$219,2,0),0))</f>
        <v>84762</v>
      </c>
      <c r="R99" s="187">
        <f>IF(PERFIL!$C$24="","",PERFIL!$C$24)</f>
        <v>0</v>
      </c>
      <c r="S99" s="187" t="str">
        <f>IF('DESP. ADM.'!$F$91="","",IF('DESP. ADM.'!$F$44="",IF('DESP. ADM.'!$E$91='DESP. ADM.'!$F$91,1,IF(SUM('DESP. ADM.'!$F$91/'DESP. ADM.'!$E$91)&gt;103%,103%,'DESP. ADM.'!$F$91/'DESP. ADM.'!$E$91)),100%-'DESP. ADM.'!$F$44/1100))</f>
        <v/>
      </c>
      <c r="T99" s="185">
        <f>IF(Q99="",'REL LINHAS'!P99,IF(S99="",ROUNDDOWN(SUM(Q99*0.75),0),ROUNDUP(SUM(Q99,Q99*R99)*S99,0)))</f>
        <v>63571</v>
      </c>
    </row>
    <row r="100" spans="1:20" ht="17.25" x14ac:dyDescent="0.2">
      <c r="B100" s="341" t="s">
        <v>624</v>
      </c>
      <c r="C100" s="101" t="s">
        <v>625</v>
      </c>
      <c r="D100" s="101" t="s">
        <v>626</v>
      </c>
      <c r="E100" s="107" t="s">
        <v>55</v>
      </c>
      <c r="F100" s="333">
        <v>14</v>
      </c>
      <c r="G100" s="65">
        <v>14</v>
      </c>
      <c r="H100" s="65">
        <v>2</v>
      </c>
      <c r="I100" s="69">
        <f>IF(G100="","",SUM(G100:H100))</f>
        <v>16</v>
      </c>
      <c r="J100" s="64">
        <f>IF(G100="","",ROUNDUP(G100*0.65,0))</f>
        <v>10</v>
      </c>
      <c r="K100" s="64">
        <f>IF(G100="","",ROUNDUP(G100*0.55,0))</f>
        <v>8</v>
      </c>
      <c r="O100" s="330" t="s">
        <v>2472</v>
      </c>
      <c r="P100" s="331">
        <v>84268</v>
      </c>
      <c r="Q100" s="186">
        <f>IF(RECEBÍVEIS!$I$4=0,"",ROUNDDOWN($P100*VLOOKUP(RECEBÍVEIS!$I$4,'REL LINHAS'!$P$121:$Q$219,2,0),0))</f>
        <v>77526</v>
      </c>
      <c r="R100" s="187">
        <f>IF(PERFIL!$C$24="","",PERFIL!$C$24)</f>
        <v>0</v>
      </c>
      <c r="S100" s="187" t="str">
        <f>IF('DESP. ADM.'!$F$91="","",IF('DESP. ADM.'!$F$44="",IF('DESP. ADM.'!$E$91='DESP. ADM.'!$F$91,1,IF(SUM('DESP. ADM.'!$F$91/'DESP. ADM.'!$E$91)&gt;103%,103%,'DESP. ADM.'!$F$91/'DESP. ADM.'!$E$91)),100%-'DESP. ADM.'!$F$44/1100))</f>
        <v/>
      </c>
      <c r="T100" s="185">
        <f>IF(Q100="",'REL LINHAS'!P100,IF(S100="",ROUNDDOWN(SUM(Q100*0.75),0),ROUNDUP(SUM(Q100,Q100*R100)*S100,0)))</f>
        <v>58144</v>
      </c>
    </row>
    <row r="101" spans="1:20" ht="17.25" x14ac:dyDescent="0.2">
      <c r="B101" s="341" t="s">
        <v>627</v>
      </c>
      <c r="C101" s="101" t="s">
        <v>628</v>
      </c>
      <c r="D101" s="101" t="s">
        <v>629</v>
      </c>
      <c r="E101" s="107" t="s">
        <v>55</v>
      </c>
      <c r="F101" s="333">
        <v>14</v>
      </c>
      <c r="G101" s="64">
        <v>14</v>
      </c>
      <c r="H101" s="65">
        <v>2</v>
      </c>
      <c r="I101" s="69">
        <f t="shared" ref="I101:I106" si="15">IF(G101="","",SUM(G101:H101))</f>
        <v>16</v>
      </c>
      <c r="J101" s="64">
        <f t="shared" ref="J101:J115" si="16">IF(G101="","",ROUNDUP(G101*0.65,0))</f>
        <v>10</v>
      </c>
      <c r="K101" s="64">
        <f t="shared" ref="K101:K115" si="17">IF(G101="","",ROUNDUP(G101*0.55,0))</f>
        <v>8</v>
      </c>
      <c r="O101" s="330" t="s">
        <v>2473</v>
      </c>
      <c r="P101" s="331">
        <v>88762</v>
      </c>
      <c r="Q101" s="186">
        <f>IF(RECEBÍVEIS!$I$4=0,"",ROUNDDOWN($P101*VLOOKUP(RECEBÍVEIS!$I$4,'REL LINHAS'!$P$121:$Q$219,2,0),0))</f>
        <v>81661</v>
      </c>
      <c r="R101" s="187">
        <f>IF(PERFIL!$C$24="","",PERFIL!$C$24)</f>
        <v>0</v>
      </c>
      <c r="S101" s="187" t="str">
        <f>IF('DESP. ADM.'!$F$91="","",IF('DESP. ADM.'!$F$44="",IF('DESP. ADM.'!$E$91='DESP. ADM.'!$F$91,1,IF(SUM('DESP. ADM.'!$F$91/'DESP. ADM.'!$E$91)&gt;103%,103%,'DESP. ADM.'!$F$91/'DESP. ADM.'!$E$91)),100%-'DESP. ADM.'!$F$44/1100))</f>
        <v/>
      </c>
      <c r="T101" s="185">
        <f>IF(Q101="",'REL LINHAS'!P101,IF(S101="",ROUNDDOWN(SUM(Q101*0.75),0),ROUNDUP(SUM(Q101,Q101*R101)*S101,0)))</f>
        <v>61245</v>
      </c>
    </row>
    <row r="102" spans="1:20" ht="17.25" x14ac:dyDescent="0.2">
      <c r="B102" s="341" t="s">
        <v>630</v>
      </c>
      <c r="C102" s="101" t="s">
        <v>631</v>
      </c>
      <c r="D102" s="101" t="s">
        <v>629</v>
      </c>
      <c r="E102" s="107" t="s">
        <v>55</v>
      </c>
      <c r="F102" s="333">
        <v>14</v>
      </c>
      <c r="G102" s="64">
        <v>12</v>
      </c>
      <c r="H102" s="65">
        <v>2</v>
      </c>
      <c r="I102" s="69">
        <f t="shared" si="15"/>
        <v>14</v>
      </c>
      <c r="J102" s="64">
        <f t="shared" si="16"/>
        <v>8</v>
      </c>
      <c r="K102" s="64">
        <f t="shared" si="17"/>
        <v>7</v>
      </c>
      <c r="O102" s="330" t="s">
        <v>2474</v>
      </c>
      <c r="P102" s="331">
        <v>96627</v>
      </c>
      <c r="Q102" s="186">
        <f>IF(RECEBÍVEIS!$I$4=0,"",ROUNDDOWN($P102*VLOOKUP(RECEBÍVEIS!$I$4,'REL LINHAS'!$P$121:$Q$219,2,0),0))</f>
        <v>88896</v>
      </c>
      <c r="R102" s="187">
        <f>IF(PERFIL!$C$24="","",PERFIL!$C$24)</f>
        <v>0</v>
      </c>
      <c r="S102" s="187" t="str">
        <f>IF('DESP. ADM.'!$F$91="","",IF('DESP. ADM.'!$F$44="",IF('DESP. ADM.'!$E$91='DESP. ADM.'!$F$91,1,IF(SUM('DESP. ADM.'!$F$91/'DESP. ADM.'!$E$91)&gt;103%,103%,'DESP. ADM.'!$F$91/'DESP. ADM.'!$E$91)),100%-'DESP. ADM.'!$F$44/1100))</f>
        <v/>
      </c>
      <c r="T102" s="185">
        <f>IF(Q102="",'REL LINHAS'!P102,IF(S102="",ROUNDDOWN(SUM(Q102*0.75),0),ROUNDUP(SUM(Q102,Q102*R102)*S102,0)))</f>
        <v>66672</v>
      </c>
    </row>
    <row r="103" spans="1:20" ht="17.25" x14ac:dyDescent="0.2">
      <c r="B103" s="341" t="s">
        <v>632</v>
      </c>
      <c r="C103" s="101" t="s">
        <v>613</v>
      </c>
      <c r="D103" s="101" t="s">
        <v>629</v>
      </c>
      <c r="E103" s="107" t="s">
        <v>265</v>
      </c>
      <c r="F103" s="108">
        <v>12.5</v>
      </c>
      <c r="G103" s="64">
        <v>12</v>
      </c>
      <c r="H103" s="65">
        <v>2</v>
      </c>
      <c r="I103" s="69">
        <f t="shared" si="15"/>
        <v>14</v>
      </c>
      <c r="J103" s="64">
        <f t="shared" si="16"/>
        <v>8</v>
      </c>
      <c r="K103" s="64">
        <f t="shared" si="17"/>
        <v>7</v>
      </c>
      <c r="O103" s="330" t="s">
        <v>2475</v>
      </c>
      <c r="P103" s="331">
        <v>87638</v>
      </c>
      <c r="Q103" s="186">
        <f>IF(RECEBÍVEIS!$I$4=0,"",ROUNDDOWN($P103*VLOOKUP(RECEBÍVEIS!$I$4,'REL LINHAS'!$P$121:$Q$219,2,0),0))</f>
        <v>80626</v>
      </c>
      <c r="R103" s="187">
        <f>IF(PERFIL!$C$24="","",PERFIL!$C$24)</f>
        <v>0</v>
      </c>
      <c r="S103" s="187" t="str">
        <f>IF('DESP. ADM.'!$F$91="","",IF('DESP. ADM.'!$F$44="",IF('DESP. ADM.'!$E$91='DESP. ADM.'!$F$91,1,IF(SUM('DESP. ADM.'!$F$91/'DESP. ADM.'!$E$91)&gt;103%,103%,'DESP. ADM.'!$F$91/'DESP. ADM.'!$E$91)),100%-'DESP. ADM.'!$F$44/1100))</f>
        <v/>
      </c>
      <c r="T103" s="185">
        <f>IF(Q103="",'REL LINHAS'!P103,IF(S103="",ROUNDDOWN(SUM(Q103*0.75),0),ROUNDUP(SUM(Q103,Q103*R103)*S103,0)))</f>
        <v>60469</v>
      </c>
    </row>
    <row r="104" spans="1:20" ht="17.25" x14ac:dyDescent="0.2">
      <c r="B104" s="341" t="s">
        <v>633</v>
      </c>
      <c r="C104" s="101" t="s">
        <v>621</v>
      </c>
      <c r="D104" s="101" t="s">
        <v>634</v>
      </c>
      <c r="E104" s="107" t="s">
        <v>265</v>
      </c>
      <c r="F104" s="108">
        <v>12.5</v>
      </c>
      <c r="G104" s="64">
        <v>12</v>
      </c>
      <c r="H104" s="65">
        <v>2</v>
      </c>
      <c r="I104" s="69">
        <f t="shared" si="15"/>
        <v>14</v>
      </c>
      <c r="J104" s="64">
        <f t="shared" si="16"/>
        <v>8</v>
      </c>
      <c r="K104" s="64">
        <f t="shared" si="17"/>
        <v>7</v>
      </c>
      <c r="O104" s="330" t="s">
        <v>2476</v>
      </c>
      <c r="P104" s="331">
        <v>69661</v>
      </c>
      <c r="Q104" s="186">
        <f>IF(RECEBÍVEIS!$I$4=0,"",ROUNDDOWN($P104*VLOOKUP(RECEBÍVEIS!$I$4,'REL LINHAS'!$P$121:$Q$219,2,0),0))</f>
        <v>64088</v>
      </c>
      <c r="R104" s="187">
        <f>IF(PERFIL!$C$24="","",PERFIL!$C$24)</f>
        <v>0</v>
      </c>
      <c r="S104" s="187" t="str">
        <f>IF('DESP. ADM.'!$F$91="","",IF('DESP. ADM.'!$F$44="",IF('DESP. ADM.'!$E$91='DESP. ADM.'!$F$91,1,IF(SUM('DESP. ADM.'!$F$91/'DESP. ADM.'!$E$91)&gt;103%,103%,'DESP. ADM.'!$F$91/'DESP. ADM.'!$E$91)),100%-'DESP. ADM.'!$F$44/1100))</f>
        <v/>
      </c>
      <c r="T104" s="185">
        <f>IF(Q104="",'REL LINHAS'!P104,IF(S104="",ROUNDDOWN(SUM(Q104*0.75),0),ROUNDUP(SUM(Q104,Q104*R104)*S104,0)))</f>
        <v>48066</v>
      </c>
    </row>
    <row r="105" spans="1:20" ht="17.25" x14ac:dyDescent="0.2">
      <c r="B105" s="341" t="s">
        <v>635</v>
      </c>
      <c r="C105" s="101" t="s">
        <v>636</v>
      </c>
      <c r="D105" s="101" t="s">
        <v>572</v>
      </c>
      <c r="E105" s="107" t="s">
        <v>265</v>
      </c>
      <c r="F105" s="108">
        <v>12.5</v>
      </c>
      <c r="G105" s="64">
        <v>12</v>
      </c>
      <c r="H105" s="65">
        <v>2</v>
      </c>
      <c r="I105" s="69">
        <f t="shared" si="15"/>
        <v>14</v>
      </c>
      <c r="J105" s="64">
        <f t="shared" si="16"/>
        <v>8</v>
      </c>
      <c r="K105" s="64">
        <f t="shared" si="17"/>
        <v>7</v>
      </c>
      <c r="O105" s="330" t="s">
        <v>2477</v>
      </c>
      <c r="P105" s="331">
        <v>98874</v>
      </c>
      <c r="Q105" s="186">
        <f>IF(RECEBÍVEIS!$I$4=0,"",ROUNDDOWN($P105*VLOOKUP(RECEBÍVEIS!$I$4,'REL LINHAS'!$P$121:$Q$219,2,0),0))</f>
        <v>90964</v>
      </c>
      <c r="R105" s="187">
        <f>IF(PERFIL!$C$24="","",PERFIL!$C$24)</f>
        <v>0</v>
      </c>
      <c r="S105" s="187" t="str">
        <f>IF('DESP. ADM.'!$F$91="","",IF('DESP. ADM.'!$F$44="",IF('DESP. ADM.'!$E$91='DESP. ADM.'!$F$91,1,IF(SUM('DESP. ADM.'!$F$91/'DESP. ADM.'!$E$91)&gt;103%,103%,'DESP. ADM.'!$F$91/'DESP. ADM.'!$E$91)),100%-'DESP. ADM.'!$F$44/1100))</f>
        <v/>
      </c>
      <c r="T105" s="185">
        <f>IF(Q105="",'REL LINHAS'!P105,IF(S105="",ROUNDDOWN(SUM(Q105*0.75),0),ROUNDUP(SUM(Q105,Q105*R105)*S105,0)))</f>
        <v>68223</v>
      </c>
    </row>
    <row r="106" spans="1:20" ht="17.25" x14ac:dyDescent="0.2">
      <c r="B106" s="341" t="s">
        <v>637</v>
      </c>
      <c r="C106" s="101" t="s">
        <v>638</v>
      </c>
      <c r="D106" s="101" t="s">
        <v>572</v>
      </c>
      <c r="E106" s="107" t="s">
        <v>265</v>
      </c>
      <c r="F106" s="108">
        <v>12.5</v>
      </c>
      <c r="G106" s="64">
        <v>10</v>
      </c>
      <c r="H106" s="65">
        <v>2</v>
      </c>
      <c r="I106" s="69">
        <f t="shared" si="15"/>
        <v>12</v>
      </c>
      <c r="J106" s="64">
        <f t="shared" si="16"/>
        <v>7</v>
      </c>
      <c r="K106" s="64">
        <f t="shared" si="17"/>
        <v>6</v>
      </c>
      <c r="O106" s="330" t="s">
        <v>2478</v>
      </c>
      <c r="P106" s="331">
        <v>101121</v>
      </c>
      <c r="Q106" s="186">
        <f>IF(RECEBÍVEIS!$I$4=0,"",ROUNDDOWN($P106*VLOOKUP(RECEBÍVEIS!$I$4,'REL LINHAS'!$P$121:$Q$219,2,0),0))</f>
        <v>93031</v>
      </c>
      <c r="R106" s="187">
        <f>IF(PERFIL!$C$24="","",PERFIL!$C$24)</f>
        <v>0</v>
      </c>
      <c r="S106" s="187" t="str">
        <f>IF('DESP. ADM.'!$F$91="","",IF('DESP. ADM.'!$F$44="",IF('DESP. ADM.'!$E$91='DESP. ADM.'!$F$91,1,IF(SUM('DESP. ADM.'!$F$91/'DESP. ADM.'!$E$91)&gt;103%,103%,'DESP. ADM.'!$F$91/'DESP. ADM.'!$E$91)),100%-'DESP. ADM.'!$F$44/1100))</f>
        <v/>
      </c>
      <c r="T106" s="185">
        <f>IF(Q106="",'REL LINHAS'!P106,IF(S106="",ROUNDDOWN(SUM(Q106*0.75),0),ROUNDUP(SUM(Q106,Q106*R106)*S106,0)))</f>
        <v>69773</v>
      </c>
    </row>
    <row r="107" spans="1:20" ht="17.25" x14ac:dyDescent="0.2">
      <c r="B107" s="341"/>
      <c r="C107" s="101"/>
      <c r="D107" s="101"/>
      <c r="E107" s="107"/>
      <c r="F107" s="108"/>
      <c r="G107" s="64"/>
      <c r="H107" s="65"/>
      <c r="I107" s="69"/>
      <c r="J107" s="64" t="str">
        <f t="shared" si="16"/>
        <v/>
      </c>
      <c r="K107" s="64" t="str">
        <f t="shared" si="17"/>
        <v/>
      </c>
      <c r="O107" s="330" t="s">
        <v>2479</v>
      </c>
      <c r="P107" s="331">
        <v>138199</v>
      </c>
      <c r="Q107" s="186">
        <f>IF(RECEBÍVEIS!$I$4=0,"",ROUNDDOWN($P107*VLOOKUP(RECEBÍVEIS!$I$4,'REL LINHAS'!$P$121:$Q$219,2,0),0))</f>
        <v>127143</v>
      </c>
      <c r="R107" s="187">
        <f>IF(PERFIL!$C$24="","",PERFIL!$C$24)</f>
        <v>0</v>
      </c>
      <c r="S107" s="187" t="str">
        <f>IF('DESP. ADM.'!$F$91="","",IF('DESP. ADM.'!$F$44="",IF('DESP. ADM.'!$E$91='DESP. ADM.'!$F$91,1,IF(SUM('DESP. ADM.'!$F$91/'DESP. ADM.'!$E$91)&gt;103%,103%,'DESP. ADM.'!$F$91/'DESP. ADM.'!$E$91)),100%-'DESP. ADM.'!$F$44/1100))</f>
        <v/>
      </c>
      <c r="T107" s="185">
        <f>IF(Q107="",'REL LINHAS'!P107,IF(S107="",ROUNDDOWN(SUM(Q107*0.75),0),ROUNDUP(SUM(Q107,Q107*R107)*S107,0)))</f>
        <v>95357</v>
      </c>
    </row>
    <row r="108" spans="1:20" ht="17.25" x14ac:dyDescent="0.2">
      <c r="B108" s="341"/>
      <c r="C108" s="101"/>
      <c r="D108" s="101"/>
      <c r="E108" s="107"/>
      <c r="F108" s="108"/>
      <c r="G108" s="64"/>
      <c r="H108" s="65"/>
      <c r="I108" s="69"/>
      <c r="J108" s="64" t="str">
        <f t="shared" si="16"/>
        <v/>
      </c>
      <c r="K108" s="64" t="str">
        <f t="shared" si="17"/>
        <v/>
      </c>
      <c r="O108" s="330" t="s">
        <v>2480</v>
      </c>
      <c r="P108" s="331">
        <v>106739</v>
      </c>
      <c r="Q108" s="186">
        <f>IF(RECEBÍVEIS!$I$4=0,"",ROUNDDOWN($P108*VLOOKUP(RECEBÍVEIS!$I$4,'REL LINHAS'!$P$121:$Q$219,2,0),0))</f>
        <v>98199</v>
      </c>
      <c r="R108" s="187">
        <f>IF(PERFIL!$C$24="","",PERFIL!$C$24)</f>
        <v>0</v>
      </c>
      <c r="S108" s="187" t="str">
        <f>IF('DESP. ADM.'!$F$91="","",IF('DESP. ADM.'!$F$44="",IF('DESP. ADM.'!$E$91='DESP. ADM.'!$F$91,1,IF(SUM('DESP. ADM.'!$F$91/'DESP. ADM.'!$E$91)&gt;103%,103%,'DESP. ADM.'!$F$91/'DESP. ADM.'!$E$91)),100%-'DESP. ADM.'!$F$44/1100))</f>
        <v/>
      </c>
      <c r="T108" s="185">
        <f>IF(Q108="",'REL LINHAS'!P108,IF(S108="",ROUNDDOWN(SUM(Q108*0.75),0),ROUNDUP(SUM(Q108,Q108*R108)*S108,0)))</f>
        <v>73649</v>
      </c>
    </row>
    <row r="109" spans="1:20" ht="17.25" x14ac:dyDescent="0.2">
      <c r="B109" s="341"/>
      <c r="C109" s="101"/>
      <c r="D109" s="101"/>
      <c r="E109" s="107"/>
      <c r="F109" s="108"/>
      <c r="G109" s="64"/>
      <c r="H109" s="65"/>
      <c r="I109" s="69"/>
      <c r="J109" s="64" t="str">
        <f t="shared" si="16"/>
        <v/>
      </c>
      <c r="K109" s="64" t="str">
        <f t="shared" si="17"/>
        <v/>
      </c>
      <c r="O109" s="330" t="s">
        <v>2481</v>
      </c>
      <c r="P109" s="331">
        <v>92133</v>
      </c>
      <c r="Q109" s="186">
        <f>IF(RECEBÍVEIS!$I$4=0,"",ROUNDDOWN($P109*VLOOKUP(RECEBÍVEIS!$I$4,'REL LINHAS'!$P$121:$Q$219,2,0),0))</f>
        <v>84762</v>
      </c>
      <c r="R109" s="187">
        <f>IF(PERFIL!$C$24="","",PERFIL!$C$24)</f>
        <v>0</v>
      </c>
      <c r="S109" s="187" t="str">
        <f>IF('DESP. ADM.'!$F$91="","",IF('DESP. ADM.'!$F$44="",IF('DESP. ADM.'!$E$91='DESP. ADM.'!$F$91,1,IF(SUM('DESP. ADM.'!$F$91/'DESP. ADM.'!$E$91)&gt;103%,103%,'DESP. ADM.'!$F$91/'DESP. ADM.'!$E$91)),100%-'DESP. ADM.'!$F$44/1100))</f>
        <v/>
      </c>
      <c r="T109" s="185">
        <f>IF(Q109="",'REL LINHAS'!P109,IF(S109="",ROUNDDOWN(SUM(Q109*0.75),0),ROUNDUP(SUM(Q109,Q109*R109)*S109,0)))</f>
        <v>63571</v>
      </c>
    </row>
    <row r="110" spans="1:20" ht="17.25" x14ac:dyDescent="0.2">
      <c r="B110" s="341"/>
      <c r="C110" s="101"/>
      <c r="D110" s="101"/>
      <c r="E110" s="107"/>
      <c r="F110" s="108"/>
      <c r="G110" s="64"/>
      <c r="H110" s="65"/>
      <c r="I110" s="69"/>
      <c r="J110" s="64" t="str">
        <f t="shared" si="16"/>
        <v/>
      </c>
      <c r="K110" s="64" t="str">
        <f t="shared" si="17"/>
        <v/>
      </c>
      <c r="O110" s="330" t="s">
        <v>2460</v>
      </c>
      <c r="P110" s="331">
        <v>76403</v>
      </c>
      <c r="Q110" s="186">
        <f>IF(RECEBÍVEIS!$I$4=0,"",ROUNDDOWN($P110*VLOOKUP(RECEBÍVEIS!$I$4,'REL LINHAS'!$P$121:$Q$219,2,0),0))</f>
        <v>70290</v>
      </c>
      <c r="R110" s="187">
        <f>IF(PERFIL!$C$24="","",PERFIL!$C$24)</f>
        <v>0</v>
      </c>
      <c r="S110" s="187" t="str">
        <f>IF('DESP. ADM.'!$F$91="","",IF('DESP. ADM.'!$F$44="",IF('DESP. ADM.'!$E$91='DESP. ADM.'!$F$91,1,IF(SUM('DESP. ADM.'!$F$91/'DESP. ADM.'!$E$91)&gt;103%,103%,'DESP. ADM.'!$F$91/'DESP. ADM.'!$E$91)),100%-'DESP. ADM.'!$F$44/1100))</f>
        <v/>
      </c>
      <c r="T110" s="185">
        <f>IF(Q110="",'REL LINHAS'!P110,IF(S110="",ROUNDDOWN(SUM(Q110*0.75),0),ROUNDUP(SUM(Q110,Q110*R110)*S110,0)))</f>
        <v>52717</v>
      </c>
    </row>
    <row r="111" spans="1:20" ht="17.25" x14ac:dyDescent="0.2">
      <c r="B111" s="341"/>
      <c r="C111" s="101"/>
      <c r="D111" s="101"/>
      <c r="E111" s="107"/>
      <c r="F111" s="108"/>
      <c r="G111" s="64"/>
      <c r="H111" s="65"/>
      <c r="I111" s="69"/>
      <c r="J111" s="64" t="str">
        <f t="shared" si="16"/>
        <v/>
      </c>
      <c r="K111" s="64" t="str">
        <f t="shared" si="17"/>
        <v/>
      </c>
      <c r="O111" s="330" t="s">
        <v>2461</v>
      </c>
      <c r="P111" s="331">
        <v>78650</v>
      </c>
      <c r="Q111" s="186">
        <f>IF(RECEBÍVEIS!$I$4=0,"",ROUNDDOWN($P111*VLOOKUP(RECEBÍVEIS!$I$4,'REL LINHAS'!$P$121:$Q$219,2,0),0))</f>
        <v>72358</v>
      </c>
      <c r="R111" s="187">
        <f>IF(PERFIL!$C$24="","",PERFIL!$C$24)</f>
        <v>0</v>
      </c>
      <c r="S111" s="187" t="str">
        <f>IF('DESP. ADM.'!$F$91="","",IF('DESP. ADM.'!$F$44="",IF('DESP. ADM.'!$E$91='DESP. ADM.'!$F$91,1,IF(SUM('DESP. ADM.'!$F$91/'DESP. ADM.'!$E$91)&gt;103%,103%,'DESP. ADM.'!$F$91/'DESP. ADM.'!$E$91)),100%-'DESP. ADM.'!$F$44/1100))</f>
        <v/>
      </c>
      <c r="T111" s="185">
        <f>IF(Q111="",'REL LINHAS'!P111,IF(S111="",ROUNDDOWN(SUM(Q111*0.75),0),ROUNDUP(SUM(Q111,Q111*R111)*S111,0)))</f>
        <v>54268</v>
      </c>
    </row>
    <row r="112" spans="1:20" ht="17.25" x14ac:dyDescent="0.2">
      <c r="B112" s="341"/>
      <c r="C112" s="101"/>
      <c r="D112" s="101"/>
      <c r="E112" s="107"/>
      <c r="F112" s="108"/>
      <c r="G112" s="64"/>
      <c r="H112" s="65"/>
      <c r="I112" s="69"/>
      <c r="J112" s="64" t="str">
        <f t="shared" si="16"/>
        <v/>
      </c>
      <c r="K112" s="64" t="str">
        <f t="shared" si="17"/>
        <v/>
      </c>
      <c r="O112" s="330" t="s">
        <v>2462</v>
      </c>
      <c r="P112" s="331">
        <v>114604</v>
      </c>
      <c r="Q112" s="186">
        <f>IF(RECEBÍVEIS!$I$4=0,"",ROUNDDOWN($P112*VLOOKUP(RECEBÍVEIS!$I$4,'REL LINHAS'!$P$121:$Q$219,2,0),0))</f>
        <v>105435</v>
      </c>
      <c r="R112" s="187">
        <f>IF(PERFIL!$C$24="","",PERFIL!$C$24)</f>
        <v>0</v>
      </c>
      <c r="S112" s="187" t="str">
        <f>IF('DESP. ADM.'!$F$91="","",IF('DESP. ADM.'!$F$44="",IF('DESP. ADM.'!$E$91='DESP. ADM.'!$F$91,1,IF(SUM('DESP. ADM.'!$F$91/'DESP. ADM.'!$E$91)&gt;103%,103%,'DESP. ADM.'!$F$91/'DESP. ADM.'!$E$91)),100%-'DESP. ADM.'!$F$44/1100))</f>
        <v/>
      </c>
      <c r="T112" s="185">
        <f>IF(Q112="",'REL LINHAS'!P112,IF(S112="",ROUNDDOWN(SUM(Q112*0.75),0),ROUNDUP(SUM(Q112,Q112*R112)*S112,0)))</f>
        <v>79076</v>
      </c>
    </row>
    <row r="113" spans="1:20" ht="17.25" x14ac:dyDescent="0.2">
      <c r="B113" s="341"/>
      <c r="C113" s="101"/>
      <c r="D113" s="101"/>
      <c r="E113" s="107"/>
      <c r="F113" s="108"/>
      <c r="G113" s="64"/>
      <c r="H113" s="65"/>
      <c r="I113" s="69"/>
      <c r="J113" s="64" t="str">
        <f t="shared" si="16"/>
        <v/>
      </c>
      <c r="K113" s="64" t="str">
        <f t="shared" si="17"/>
        <v/>
      </c>
      <c r="O113" s="330" t="s">
        <v>2463</v>
      </c>
      <c r="P113" s="331">
        <v>125840</v>
      </c>
      <c r="Q113" s="186">
        <f>IF(RECEBÍVEIS!$I$4=0,"",ROUNDDOWN($P113*VLOOKUP(RECEBÍVEIS!$I$4,'REL LINHAS'!$P$121:$Q$219,2,0),0))</f>
        <v>115772</v>
      </c>
      <c r="R113" s="187">
        <f>IF(PERFIL!$C$24="","",PERFIL!$C$24)</f>
        <v>0</v>
      </c>
      <c r="S113" s="187" t="str">
        <f>IF('DESP. ADM.'!$F$91="","",IF('DESP. ADM.'!$F$44="",IF('DESP. ADM.'!$E$91='DESP. ADM.'!$F$91,1,IF(SUM('DESP. ADM.'!$F$91/'DESP. ADM.'!$E$91)&gt;103%,103%,'DESP. ADM.'!$F$91/'DESP. ADM.'!$E$91)),100%-'DESP. ADM.'!$F$44/1100))</f>
        <v/>
      </c>
      <c r="T113" s="185">
        <f>IF(Q113="",'REL LINHAS'!P113,IF(S113="",ROUNDDOWN(SUM(Q113*0.75),0),ROUNDUP(SUM(Q113,Q113*R113)*S113,0)))</f>
        <v>86829</v>
      </c>
    </row>
    <row r="114" spans="1:20" ht="17.25" x14ac:dyDescent="0.2">
      <c r="B114" s="341"/>
      <c r="C114" s="101"/>
      <c r="D114" s="101"/>
      <c r="E114" s="107"/>
      <c r="F114" s="108"/>
      <c r="G114" s="64"/>
      <c r="H114" s="65"/>
      <c r="I114" s="69"/>
      <c r="J114" s="64" t="str">
        <f t="shared" si="16"/>
        <v/>
      </c>
      <c r="K114" s="64" t="str">
        <f t="shared" si="17"/>
        <v/>
      </c>
      <c r="O114" s="330" t="s">
        <v>2464</v>
      </c>
      <c r="P114" s="331">
        <v>101121</v>
      </c>
      <c r="Q114" s="186">
        <f>IF(RECEBÍVEIS!$I$4=0,"",ROUNDDOWN($P114*VLOOKUP(RECEBÍVEIS!$I$4,'REL LINHAS'!$P$121:$Q$219,2,0),0))</f>
        <v>93031</v>
      </c>
      <c r="R114" s="187">
        <f>IF(PERFIL!$C$24="","",PERFIL!$C$24)</f>
        <v>0</v>
      </c>
      <c r="S114" s="187" t="str">
        <f>IF('DESP. ADM.'!$F$91="","",IF('DESP. ADM.'!$F$44="",IF('DESP. ADM.'!$E$91='DESP. ADM.'!$F$91,1,IF(SUM('DESP. ADM.'!$F$91/'DESP. ADM.'!$E$91)&gt;103%,103%,'DESP. ADM.'!$F$91/'DESP. ADM.'!$E$91)),100%-'DESP. ADM.'!$F$44/1100))</f>
        <v/>
      </c>
      <c r="T114" s="185">
        <f>IF(Q114="",'REL LINHAS'!P114,IF(S114="",ROUNDDOWN(SUM(Q114*0.75),0),ROUNDUP(SUM(Q114,Q114*R114)*S114,0)))</f>
        <v>69773</v>
      </c>
    </row>
    <row r="115" spans="1:20" ht="17.25" x14ac:dyDescent="0.2">
      <c r="B115" s="341"/>
      <c r="C115" s="101"/>
      <c r="D115" s="101"/>
      <c r="E115" s="107"/>
      <c r="F115" s="108"/>
      <c r="G115" s="64"/>
      <c r="H115" s="65"/>
      <c r="I115" s="69"/>
      <c r="J115" s="64" t="str">
        <f t="shared" si="16"/>
        <v/>
      </c>
      <c r="K115" s="64" t="str">
        <f t="shared" si="17"/>
        <v/>
      </c>
      <c r="O115" s="330" t="s">
        <v>2465</v>
      </c>
      <c r="P115" s="331">
        <v>70785</v>
      </c>
      <c r="Q115" s="186">
        <f>IF(RECEBÍVEIS!$I$4=0,"",ROUNDDOWN($P115*VLOOKUP(RECEBÍVEIS!$I$4,'REL LINHAS'!$P$121:$Q$219,2,0),0))</f>
        <v>65122</v>
      </c>
      <c r="R115" s="187">
        <f>IF(PERFIL!$C$24="","",PERFIL!$C$24)</f>
        <v>0</v>
      </c>
      <c r="S115" s="187" t="str">
        <f>IF('DESP. ADM.'!$F$91="","",IF('DESP. ADM.'!$F$44="",IF('DESP. ADM.'!$E$91='DESP. ADM.'!$F$91,1,IF(SUM('DESP. ADM.'!$F$91/'DESP. ADM.'!$E$91)&gt;103%,103%,'DESP. ADM.'!$F$91/'DESP. ADM.'!$E$91)),100%-'DESP. ADM.'!$F$44/1100))</f>
        <v/>
      </c>
      <c r="T115" s="185">
        <f>IF(Q115="",'REL LINHAS'!P115,IF(S115="",ROUNDDOWN(SUM(Q115*0.75),0),ROUNDUP(SUM(Q115,Q115*R115)*S115,0)))</f>
        <v>48841</v>
      </c>
    </row>
    <row r="116" spans="1:20" ht="18" customHeight="1" x14ac:dyDescent="0.2">
      <c r="B116" s="561" t="s">
        <v>22</v>
      </c>
      <c r="C116" s="561" t="s">
        <v>177</v>
      </c>
      <c r="D116" s="561" t="s">
        <v>243</v>
      </c>
      <c r="E116" s="561" t="s">
        <v>23</v>
      </c>
      <c r="F116" s="562" t="s">
        <v>234</v>
      </c>
      <c r="G116" s="562"/>
      <c r="H116" s="562"/>
      <c r="I116" s="562"/>
      <c r="J116" s="562"/>
      <c r="K116" s="562"/>
      <c r="O116" s="330" t="s">
        <v>2466</v>
      </c>
      <c r="P116" s="331">
        <v>74155</v>
      </c>
      <c r="Q116" s="186">
        <f>IF(RECEBÍVEIS!$I$4=0,"",ROUNDDOWN($P116*VLOOKUP(RECEBÍVEIS!$I$4,'REL LINHAS'!$P$121:$Q$219,2,0),0))</f>
        <v>68222</v>
      </c>
      <c r="R116" s="187">
        <f>IF(PERFIL!$C$24="","",PERFIL!$C$24)</f>
        <v>0</v>
      </c>
      <c r="S116" s="187" t="str">
        <f>IF('DESP. ADM.'!$F$91="","",IF('DESP. ADM.'!$F$44="",IF('DESP. ADM.'!$E$91='DESP. ADM.'!$F$91,1,IF(SUM('DESP. ADM.'!$F$91/'DESP. ADM.'!$E$91)&gt;103%,103%,'DESP. ADM.'!$F$91/'DESP. ADM.'!$E$91)),100%-'DESP. ADM.'!$F$44/1100))</f>
        <v/>
      </c>
      <c r="T116" s="185">
        <f>IF(Q116="",'REL LINHAS'!P116,IF(S116="",ROUNDDOWN(SUM(Q116*0.75),0),ROUNDUP(SUM(Q116,Q116*R116)*S116,0)))</f>
        <v>51166</v>
      </c>
    </row>
    <row r="117" spans="1:20" ht="21" x14ac:dyDescent="0.2">
      <c r="A117" s="114">
        <v>17</v>
      </c>
      <c r="B117" s="434" t="s">
        <v>1151</v>
      </c>
      <c r="C117" s="115" t="s">
        <v>498</v>
      </c>
      <c r="D117" s="114" t="s">
        <v>639</v>
      </c>
      <c r="E117" s="351" t="str">
        <f>IF(O9="","",O9)</f>
        <v>CAMPO VERDE</v>
      </c>
      <c r="F117" s="563">
        <f>IF(B117="","",VLOOKUP(E117,$O$2:$T$120,6,0))</f>
        <v>125592</v>
      </c>
      <c r="G117" s="564"/>
      <c r="H117" s="564"/>
      <c r="I117" s="564"/>
      <c r="J117" s="564"/>
      <c r="K117" s="565"/>
      <c r="O117" s="330" t="s">
        <v>2467</v>
      </c>
      <c r="P117" s="331">
        <v>136490</v>
      </c>
      <c r="Q117" s="186">
        <f>IF(RECEBÍVEIS!$I$4=0,"",ROUNDDOWN($P117*VLOOKUP(RECEBÍVEIS!$I$4,'REL LINHAS'!$P$121:$Q$219,2,0),0))</f>
        <v>125570</v>
      </c>
      <c r="R117" s="187">
        <f>IF(PERFIL!$C$24="","",PERFIL!$C$24)</f>
        <v>0</v>
      </c>
      <c r="S117" s="187" t="str">
        <f>IF('DESP. ADM.'!$F$91="","",IF('DESP. ADM.'!$F$44="",IF('DESP. ADM.'!$E$91='DESP. ADM.'!$F$91,1,IF(SUM('DESP. ADM.'!$F$91/'DESP. ADM.'!$E$91)&gt;103%,103%,'DESP. ADM.'!$F$91/'DESP. ADM.'!$E$91)),100%-'DESP. ADM.'!$F$44/1100))</f>
        <v/>
      </c>
      <c r="T117" s="185">
        <f>IF(Q117="",'REL LINHAS'!P117,IF(S117="",ROUNDDOWN(SUM(Q117*0.75),0),ROUNDUP(SUM(Q117,Q117*R117)*S117,0)))</f>
        <v>94177</v>
      </c>
    </row>
    <row r="118" spans="1:20" ht="43.5" x14ac:dyDescent="0.2">
      <c r="A118" s="166" t="s">
        <v>779</v>
      </c>
      <c r="B118" s="116" t="s">
        <v>0</v>
      </c>
      <c r="C118" s="116" t="s">
        <v>20</v>
      </c>
      <c r="D118" s="116" t="s">
        <v>21</v>
      </c>
      <c r="E118" s="116" t="s">
        <v>1</v>
      </c>
      <c r="F118" s="117" t="s">
        <v>3</v>
      </c>
      <c r="G118" s="116" t="s">
        <v>216</v>
      </c>
      <c r="H118" s="180" t="s">
        <v>242</v>
      </c>
      <c r="I118" s="116" t="s">
        <v>245</v>
      </c>
      <c r="J118" s="116" t="s">
        <v>217</v>
      </c>
      <c r="K118" s="116" t="s">
        <v>218</v>
      </c>
      <c r="O118" s="330" t="s">
        <v>2468</v>
      </c>
      <c r="P118" s="331">
        <v>119343</v>
      </c>
      <c r="Q118" s="186">
        <f>IF(RECEBÍVEIS!$I$4=0,"",ROUNDDOWN($P118*VLOOKUP(RECEBÍVEIS!$I$4,'REL LINHAS'!$P$121:$Q$219,2,0),0))</f>
        <v>109795</v>
      </c>
      <c r="R118" s="187">
        <f>IF(PERFIL!$C$24="","",PERFIL!$C$24)</f>
        <v>0</v>
      </c>
      <c r="S118" s="187" t="str">
        <f>IF('DESP. ADM.'!$F$91="","",IF('DESP. ADM.'!$F$44="",IF('DESP. ADM.'!$E$91='DESP. ADM.'!$F$91,1,IF(SUM('DESP. ADM.'!$F$91/'DESP. ADM.'!$E$91)&gt;103%,103%,'DESP. ADM.'!$F$91/'DESP. ADM.'!$E$91)),100%-'DESP. ADM.'!$F$44/1100))</f>
        <v/>
      </c>
      <c r="T118" s="185">
        <f>IF(Q118="",'REL LINHAS'!P118,IF(S118="",ROUNDDOWN(SUM(Q118*0.75),0),ROUNDUP(SUM(Q118,Q118*R118)*S118,0)))</f>
        <v>82346</v>
      </c>
    </row>
    <row r="119" spans="1:20" ht="17.25" x14ac:dyDescent="0.2">
      <c r="B119" s="342" t="s">
        <v>640</v>
      </c>
      <c r="C119" s="102" t="s">
        <v>641</v>
      </c>
      <c r="D119" s="102" t="s">
        <v>642</v>
      </c>
      <c r="E119" s="107" t="s">
        <v>56</v>
      </c>
      <c r="F119" s="333">
        <v>17.5</v>
      </c>
      <c r="G119" s="335">
        <v>14</v>
      </c>
      <c r="H119" s="65">
        <v>2</v>
      </c>
      <c r="I119" s="69">
        <f>IF(G119="","",SUM(G119:H119))</f>
        <v>16</v>
      </c>
      <c r="J119" s="64">
        <f>IF(G119="","",ROUNDUP(G119*0.65,0))</f>
        <v>10</v>
      </c>
      <c r="K119" s="64">
        <f>IF(G119="","",ROUNDUP(G119*0.55,0))</f>
        <v>8</v>
      </c>
      <c r="O119" s="330"/>
      <c r="P119" s="331"/>
      <c r="Q119" s="186"/>
      <c r="R119" s="187"/>
      <c r="S119" s="187"/>
      <c r="T119" s="185"/>
    </row>
    <row r="120" spans="1:20" ht="17.25" x14ac:dyDescent="0.2">
      <c r="B120" s="343" t="s">
        <v>643</v>
      </c>
      <c r="C120" s="102" t="s">
        <v>644</v>
      </c>
      <c r="D120" s="102" t="s">
        <v>642</v>
      </c>
      <c r="E120" s="107" t="s">
        <v>56</v>
      </c>
      <c r="F120" s="333">
        <v>17.5</v>
      </c>
      <c r="G120" s="57">
        <v>10</v>
      </c>
      <c r="H120" s="65">
        <v>2</v>
      </c>
      <c r="I120" s="69">
        <f t="shared" ref="I120:I132" si="18">IF(G120="","",SUM(G120:H120))</f>
        <v>12</v>
      </c>
      <c r="J120" s="64">
        <f t="shared" ref="J120:J134" si="19">IF(G120="","",ROUNDUP(G120*0.65,0))</f>
        <v>7</v>
      </c>
      <c r="K120" s="64">
        <f t="shared" ref="K120:K134" si="20">IF(G120="","",ROUNDUP(G120*0.55,0))</f>
        <v>6</v>
      </c>
      <c r="O120" s="185"/>
      <c r="P120" s="186"/>
      <c r="Q120" s="186" t="str">
        <f>IF(P120="","",ROUNDDOWN($P120*VLOOKUP(RECEBÍVEIS!$I$4,'REL LINHAS'!$P$121:$Q$133,2,0),0))</f>
        <v/>
      </c>
      <c r="R120" s="187"/>
      <c r="S120" s="187"/>
      <c r="T120" s="185"/>
    </row>
    <row r="121" spans="1:20" ht="17.25" x14ac:dyDescent="0.2">
      <c r="B121" s="343" t="s">
        <v>645</v>
      </c>
      <c r="C121" s="102" t="s">
        <v>646</v>
      </c>
      <c r="D121" s="102" t="s">
        <v>642</v>
      </c>
      <c r="E121" s="107" t="s">
        <v>56</v>
      </c>
      <c r="F121" s="333">
        <v>17.5</v>
      </c>
      <c r="G121" s="57">
        <v>14</v>
      </c>
      <c r="H121" s="65">
        <v>2</v>
      </c>
      <c r="I121" s="69">
        <f t="shared" si="18"/>
        <v>16</v>
      </c>
      <c r="J121" s="64">
        <f t="shared" si="19"/>
        <v>10</v>
      </c>
      <c r="K121" s="64">
        <f t="shared" si="20"/>
        <v>8</v>
      </c>
      <c r="P121" s="183" t="s">
        <v>2521</v>
      </c>
      <c r="Q121" s="184">
        <v>0.92</v>
      </c>
    </row>
    <row r="122" spans="1:20" ht="17.25" x14ac:dyDescent="0.2">
      <c r="B122" s="343" t="s">
        <v>647</v>
      </c>
      <c r="C122" s="102" t="s">
        <v>648</v>
      </c>
      <c r="D122" s="110" t="s">
        <v>642</v>
      </c>
      <c r="E122" s="107" t="s">
        <v>55</v>
      </c>
      <c r="F122" s="333">
        <v>14</v>
      </c>
      <c r="G122" s="57">
        <v>12</v>
      </c>
      <c r="H122" s="65">
        <v>2</v>
      </c>
      <c r="I122" s="69">
        <f t="shared" si="18"/>
        <v>14</v>
      </c>
      <c r="J122" s="64">
        <f t="shared" si="19"/>
        <v>8</v>
      </c>
      <c r="K122" s="64">
        <f t="shared" si="20"/>
        <v>7</v>
      </c>
      <c r="P122" s="183" t="s">
        <v>2522</v>
      </c>
      <c r="Q122" s="184">
        <v>0.95</v>
      </c>
    </row>
    <row r="123" spans="1:20" ht="17.25" x14ac:dyDescent="0.2">
      <c r="B123" s="343" t="s">
        <v>649</v>
      </c>
      <c r="C123" s="102" t="s">
        <v>650</v>
      </c>
      <c r="D123" s="102" t="s">
        <v>641</v>
      </c>
      <c r="E123" s="107" t="s">
        <v>55</v>
      </c>
      <c r="F123" s="333">
        <v>14</v>
      </c>
      <c r="G123" s="57">
        <v>14</v>
      </c>
      <c r="H123" s="65">
        <v>2</v>
      </c>
      <c r="I123" s="69">
        <f t="shared" si="18"/>
        <v>16</v>
      </c>
      <c r="J123" s="64">
        <f t="shared" si="19"/>
        <v>10</v>
      </c>
      <c r="K123" s="64">
        <f t="shared" si="20"/>
        <v>8</v>
      </c>
      <c r="P123" s="183" t="s">
        <v>2523</v>
      </c>
      <c r="Q123" s="184">
        <v>0.97</v>
      </c>
    </row>
    <row r="124" spans="1:20" ht="17.25" x14ac:dyDescent="0.2">
      <c r="B124" s="343" t="s">
        <v>651</v>
      </c>
      <c r="C124" s="102" t="s">
        <v>652</v>
      </c>
      <c r="D124" s="110" t="s">
        <v>642</v>
      </c>
      <c r="E124" s="107" t="s">
        <v>265</v>
      </c>
      <c r="F124" s="108">
        <v>12.5</v>
      </c>
      <c r="G124" s="57">
        <v>12</v>
      </c>
      <c r="H124" s="65">
        <v>2</v>
      </c>
      <c r="I124" s="69">
        <f t="shared" si="18"/>
        <v>14</v>
      </c>
      <c r="J124" s="64">
        <f t="shared" si="19"/>
        <v>8</v>
      </c>
      <c r="K124" s="64">
        <f t="shared" si="20"/>
        <v>7</v>
      </c>
      <c r="L124" s="111">
        <f>SUM(I119:I132)</f>
        <v>190</v>
      </c>
      <c r="P124" s="183" t="s">
        <v>2524</v>
      </c>
      <c r="Q124" s="184">
        <v>0.85</v>
      </c>
    </row>
    <row r="125" spans="1:20" ht="17.25" x14ac:dyDescent="0.2">
      <c r="B125" s="343" t="s">
        <v>653</v>
      </c>
      <c r="C125" s="102" t="s">
        <v>650</v>
      </c>
      <c r="D125" s="102" t="s">
        <v>646</v>
      </c>
      <c r="E125" s="107" t="s">
        <v>265</v>
      </c>
      <c r="F125" s="108">
        <v>12.5</v>
      </c>
      <c r="G125" s="57">
        <v>10</v>
      </c>
      <c r="H125" s="65">
        <v>2</v>
      </c>
      <c r="I125" s="69">
        <f t="shared" si="18"/>
        <v>12</v>
      </c>
      <c r="J125" s="64">
        <f t="shared" si="19"/>
        <v>7</v>
      </c>
      <c r="K125" s="64">
        <f t="shared" si="20"/>
        <v>6</v>
      </c>
      <c r="P125" s="183" t="s">
        <v>2525</v>
      </c>
      <c r="Q125" s="184">
        <v>0.75</v>
      </c>
    </row>
    <row r="126" spans="1:20" ht="17.25" x14ac:dyDescent="0.2">
      <c r="B126" s="343" t="s">
        <v>654</v>
      </c>
      <c r="C126" s="102" t="s">
        <v>644</v>
      </c>
      <c r="D126" s="102" t="s">
        <v>646</v>
      </c>
      <c r="E126" s="107" t="s">
        <v>265</v>
      </c>
      <c r="F126" s="108">
        <v>12.5</v>
      </c>
      <c r="G126" s="57">
        <v>10</v>
      </c>
      <c r="H126" s="65">
        <v>2</v>
      </c>
      <c r="I126" s="69">
        <f t="shared" si="18"/>
        <v>12</v>
      </c>
      <c r="J126" s="64">
        <f t="shared" si="19"/>
        <v>7</v>
      </c>
      <c r="K126" s="64">
        <f t="shared" si="20"/>
        <v>6</v>
      </c>
      <c r="P126" s="183" t="s">
        <v>2526</v>
      </c>
      <c r="Q126" s="184">
        <v>0.82</v>
      </c>
    </row>
    <row r="127" spans="1:20" ht="17.25" x14ac:dyDescent="0.2">
      <c r="B127" s="343" t="s">
        <v>655</v>
      </c>
      <c r="C127" s="102" t="s">
        <v>656</v>
      </c>
      <c r="D127" s="110" t="s">
        <v>642</v>
      </c>
      <c r="E127" s="107" t="s">
        <v>265</v>
      </c>
      <c r="F127" s="108">
        <v>12.5</v>
      </c>
      <c r="G127" s="57">
        <v>10</v>
      </c>
      <c r="H127" s="65">
        <v>2</v>
      </c>
      <c r="I127" s="69">
        <f t="shared" si="18"/>
        <v>12</v>
      </c>
      <c r="J127" s="64">
        <f t="shared" si="19"/>
        <v>7</v>
      </c>
      <c r="K127" s="64">
        <f t="shared" si="20"/>
        <v>6</v>
      </c>
      <c r="P127" s="183" t="s">
        <v>2527</v>
      </c>
      <c r="Q127" s="184">
        <v>0.89</v>
      </c>
    </row>
    <row r="128" spans="1:20" ht="17.25" x14ac:dyDescent="0.2">
      <c r="B128" s="343" t="s">
        <v>657</v>
      </c>
      <c r="C128" s="102" t="s">
        <v>644</v>
      </c>
      <c r="D128" s="110" t="s">
        <v>641</v>
      </c>
      <c r="E128" s="107" t="s">
        <v>265</v>
      </c>
      <c r="F128" s="108">
        <v>12.5</v>
      </c>
      <c r="G128" s="57">
        <v>12</v>
      </c>
      <c r="H128" s="65">
        <v>2</v>
      </c>
      <c r="I128" s="69">
        <f t="shared" si="18"/>
        <v>14</v>
      </c>
      <c r="J128" s="64">
        <f t="shared" si="19"/>
        <v>8</v>
      </c>
      <c r="K128" s="64">
        <f t="shared" si="20"/>
        <v>7</v>
      </c>
      <c r="P128" s="183" t="s">
        <v>2528</v>
      </c>
      <c r="Q128" s="184">
        <v>0.92</v>
      </c>
    </row>
    <row r="129" spans="1:17" ht="17.25" x14ac:dyDescent="0.2">
      <c r="B129" s="343" t="s">
        <v>658</v>
      </c>
      <c r="C129" s="102" t="s">
        <v>644</v>
      </c>
      <c r="D129" s="102" t="s">
        <v>659</v>
      </c>
      <c r="E129" s="107" t="s">
        <v>179</v>
      </c>
      <c r="F129" s="108">
        <v>9.5</v>
      </c>
      <c r="G129" s="57">
        <v>12</v>
      </c>
      <c r="H129" s="65">
        <v>2</v>
      </c>
      <c r="I129" s="69">
        <f t="shared" si="18"/>
        <v>14</v>
      </c>
      <c r="J129" s="64">
        <f t="shared" si="19"/>
        <v>8</v>
      </c>
      <c r="K129" s="64">
        <f t="shared" si="20"/>
        <v>7</v>
      </c>
      <c r="P129" s="183" t="s">
        <v>2529</v>
      </c>
      <c r="Q129" s="184">
        <v>0.95</v>
      </c>
    </row>
    <row r="130" spans="1:17" ht="17.25" x14ac:dyDescent="0.2">
      <c r="B130" s="343" t="s">
        <v>660</v>
      </c>
      <c r="C130" s="102" t="s">
        <v>650</v>
      </c>
      <c r="D130" s="102" t="s">
        <v>661</v>
      </c>
      <c r="E130" s="107" t="s">
        <v>179</v>
      </c>
      <c r="F130" s="108">
        <v>9.5</v>
      </c>
      <c r="G130" s="57">
        <v>10</v>
      </c>
      <c r="H130" s="65">
        <v>2</v>
      </c>
      <c r="I130" s="69">
        <f t="shared" si="18"/>
        <v>12</v>
      </c>
      <c r="J130" s="64">
        <f t="shared" si="19"/>
        <v>7</v>
      </c>
      <c r="K130" s="64">
        <f t="shared" si="20"/>
        <v>6</v>
      </c>
      <c r="P130" s="183" t="s">
        <v>2530</v>
      </c>
      <c r="Q130" s="184">
        <v>0.97</v>
      </c>
    </row>
    <row r="131" spans="1:17" ht="17.25" x14ac:dyDescent="0.2">
      <c r="B131" s="343" t="s">
        <v>662</v>
      </c>
      <c r="C131" s="102" t="s">
        <v>659</v>
      </c>
      <c r="D131" s="102" t="s">
        <v>642</v>
      </c>
      <c r="E131" s="107" t="s">
        <v>179</v>
      </c>
      <c r="F131" s="108">
        <v>9.5</v>
      </c>
      <c r="G131" s="57">
        <v>12</v>
      </c>
      <c r="H131" s="65">
        <v>2</v>
      </c>
      <c r="I131" s="69">
        <f t="shared" si="18"/>
        <v>14</v>
      </c>
      <c r="J131" s="64">
        <f t="shared" si="19"/>
        <v>8</v>
      </c>
      <c r="K131" s="64">
        <f t="shared" si="20"/>
        <v>7</v>
      </c>
      <c r="P131" s="183" t="s">
        <v>2531</v>
      </c>
      <c r="Q131" s="184">
        <v>0.82</v>
      </c>
    </row>
    <row r="132" spans="1:17" ht="17.25" x14ac:dyDescent="0.2">
      <c r="B132" s="343" t="s">
        <v>663</v>
      </c>
      <c r="C132" s="102" t="s">
        <v>661</v>
      </c>
      <c r="D132" s="102" t="s">
        <v>642</v>
      </c>
      <c r="E132" s="107" t="s">
        <v>179</v>
      </c>
      <c r="F132" s="108">
        <v>9.5</v>
      </c>
      <c r="G132" s="57">
        <v>10</v>
      </c>
      <c r="H132" s="65">
        <v>2</v>
      </c>
      <c r="I132" s="69">
        <f t="shared" si="18"/>
        <v>12</v>
      </c>
      <c r="J132" s="64">
        <f t="shared" si="19"/>
        <v>7</v>
      </c>
      <c r="K132" s="64">
        <f t="shared" si="20"/>
        <v>6</v>
      </c>
      <c r="P132" s="183" t="s">
        <v>2532</v>
      </c>
      <c r="Q132" s="184">
        <v>0.89</v>
      </c>
    </row>
    <row r="133" spans="1:17" ht="17.25" x14ac:dyDescent="0.2">
      <c r="B133" s="343"/>
      <c r="C133" s="102"/>
      <c r="D133" s="102"/>
      <c r="E133" s="107"/>
      <c r="F133" s="108"/>
      <c r="G133" s="57"/>
      <c r="H133" s="65"/>
      <c r="I133" s="69"/>
      <c r="J133" s="64" t="str">
        <f t="shared" si="19"/>
        <v/>
      </c>
      <c r="K133" s="64" t="str">
        <f t="shared" si="20"/>
        <v/>
      </c>
      <c r="P133" s="183" t="s">
        <v>2520</v>
      </c>
      <c r="Q133" s="184">
        <v>0.92</v>
      </c>
    </row>
    <row r="134" spans="1:17" ht="17.25" x14ac:dyDescent="0.2">
      <c r="B134" s="343"/>
      <c r="C134" s="102"/>
      <c r="D134" s="102"/>
      <c r="E134" s="107"/>
      <c r="F134" s="108"/>
      <c r="G134" s="57"/>
      <c r="H134" s="65"/>
      <c r="I134" s="69"/>
      <c r="J134" s="64" t="str">
        <f t="shared" si="19"/>
        <v/>
      </c>
      <c r="K134" s="64" t="str">
        <f t="shared" si="20"/>
        <v/>
      </c>
      <c r="P134" s="183" t="s">
        <v>2535</v>
      </c>
      <c r="Q134" s="184">
        <v>0.95</v>
      </c>
    </row>
    <row r="135" spans="1:17" ht="18" customHeight="1" x14ac:dyDescent="0.2">
      <c r="B135" s="561" t="s">
        <v>22</v>
      </c>
      <c r="C135" s="561" t="s">
        <v>177</v>
      </c>
      <c r="D135" s="561" t="s">
        <v>243</v>
      </c>
      <c r="E135" s="561" t="s">
        <v>23</v>
      </c>
      <c r="F135" s="562" t="s">
        <v>234</v>
      </c>
      <c r="G135" s="562"/>
      <c r="H135" s="562"/>
      <c r="I135" s="562"/>
      <c r="J135" s="562"/>
      <c r="K135" s="562"/>
      <c r="P135" s="183" t="s">
        <v>2536</v>
      </c>
      <c r="Q135" s="184">
        <v>0.97</v>
      </c>
    </row>
    <row r="136" spans="1:17" ht="21" x14ac:dyDescent="0.2">
      <c r="A136" s="114">
        <v>18</v>
      </c>
      <c r="B136" s="435" t="s">
        <v>1137</v>
      </c>
      <c r="C136" s="115" t="s">
        <v>664</v>
      </c>
      <c r="D136" s="114" t="s">
        <v>623</v>
      </c>
      <c r="E136" s="351" t="str">
        <f>IF(O10="","",O10)</f>
        <v>CANAVIAIS</v>
      </c>
      <c r="F136" s="563">
        <f>IF(B136="","",VLOOKUP(E136,$O$2:$T$120,6,0))</f>
        <v>65121</v>
      </c>
      <c r="G136" s="564"/>
      <c r="H136" s="564"/>
      <c r="I136" s="564"/>
      <c r="J136" s="564"/>
      <c r="K136" s="565"/>
      <c r="P136" s="183" t="s">
        <v>2537</v>
      </c>
      <c r="Q136" s="184">
        <v>0.85</v>
      </c>
    </row>
    <row r="137" spans="1:17" ht="43.5" x14ac:dyDescent="0.2">
      <c r="A137" s="166" t="s">
        <v>779</v>
      </c>
      <c r="B137" s="116" t="s">
        <v>0</v>
      </c>
      <c r="C137" s="116" t="s">
        <v>20</v>
      </c>
      <c r="D137" s="116" t="s">
        <v>21</v>
      </c>
      <c r="E137" s="116" t="s">
        <v>1</v>
      </c>
      <c r="F137" s="117" t="s">
        <v>3</v>
      </c>
      <c r="G137" s="116" t="s">
        <v>216</v>
      </c>
      <c r="H137" s="180" t="s">
        <v>242</v>
      </c>
      <c r="I137" s="116" t="s">
        <v>245</v>
      </c>
      <c r="J137" s="116" t="s">
        <v>217</v>
      </c>
      <c r="K137" s="116" t="s">
        <v>218</v>
      </c>
      <c r="P137" s="183" t="s">
        <v>2538</v>
      </c>
      <c r="Q137" s="184">
        <v>0.75</v>
      </c>
    </row>
    <row r="138" spans="1:17" ht="17.25" x14ac:dyDescent="0.2">
      <c r="B138" s="336" t="s">
        <v>665</v>
      </c>
      <c r="C138" s="103" t="s">
        <v>666</v>
      </c>
      <c r="D138" s="103" t="s">
        <v>667</v>
      </c>
      <c r="E138" s="107" t="s">
        <v>55</v>
      </c>
      <c r="F138" s="333">
        <v>14</v>
      </c>
      <c r="G138" s="65">
        <v>14</v>
      </c>
      <c r="H138" s="65">
        <v>2</v>
      </c>
      <c r="I138" s="69">
        <f>IF(G138="","",SUM(G138:H138))</f>
        <v>16</v>
      </c>
      <c r="J138" s="64">
        <f>IF(G138="","",ROUNDUP(G138*0.65,0))</f>
        <v>10</v>
      </c>
      <c r="K138" s="64">
        <f>IF(G138="","",ROUNDUP(G138*0.55,0))</f>
        <v>8</v>
      </c>
      <c r="P138" s="183" t="s">
        <v>2540</v>
      </c>
      <c r="Q138" s="184">
        <v>0.82</v>
      </c>
    </row>
    <row r="139" spans="1:17" ht="17.25" x14ac:dyDescent="0.2">
      <c r="B139" s="336" t="s">
        <v>668</v>
      </c>
      <c r="C139" s="103" t="s">
        <v>666</v>
      </c>
      <c r="D139" s="103" t="s">
        <v>543</v>
      </c>
      <c r="E139" s="107" t="s">
        <v>55</v>
      </c>
      <c r="F139" s="333">
        <v>14</v>
      </c>
      <c r="G139" s="64">
        <v>14</v>
      </c>
      <c r="H139" s="65">
        <v>2</v>
      </c>
      <c r="I139" s="69">
        <f t="shared" ref="I139:I145" si="21">IF(G139="","",SUM(G139:H139))</f>
        <v>16</v>
      </c>
      <c r="J139" s="64">
        <f t="shared" ref="J139:J153" si="22">IF(G139="","",ROUNDUP(G139*0.65,0))</f>
        <v>10</v>
      </c>
      <c r="K139" s="64">
        <f t="shared" ref="K139:K153" si="23">IF(G139="","",ROUNDUP(G139*0.55,0))</f>
        <v>8</v>
      </c>
      <c r="P139" s="183" t="s">
        <v>2541</v>
      </c>
      <c r="Q139" s="184">
        <v>0.89</v>
      </c>
    </row>
    <row r="140" spans="1:17" ht="17.25" x14ac:dyDescent="0.2">
      <c r="B140" s="336" t="s">
        <v>669</v>
      </c>
      <c r="C140" s="103" t="s">
        <v>670</v>
      </c>
      <c r="D140" s="103" t="s">
        <v>671</v>
      </c>
      <c r="E140" s="107" t="s">
        <v>55</v>
      </c>
      <c r="F140" s="333">
        <v>14</v>
      </c>
      <c r="G140" s="64">
        <v>10</v>
      </c>
      <c r="H140" s="65">
        <v>2</v>
      </c>
      <c r="I140" s="69">
        <f t="shared" si="21"/>
        <v>12</v>
      </c>
      <c r="J140" s="64">
        <f t="shared" si="22"/>
        <v>7</v>
      </c>
      <c r="K140" s="64">
        <f t="shared" si="23"/>
        <v>6</v>
      </c>
      <c r="P140" s="183" t="s">
        <v>2542</v>
      </c>
      <c r="Q140" s="184">
        <v>0.92</v>
      </c>
    </row>
    <row r="141" spans="1:17" ht="17.25" x14ac:dyDescent="0.2">
      <c r="B141" s="336" t="s">
        <v>672</v>
      </c>
      <c r="C141" s="103" t="s">
        <v>673</v>
      </c>
      <c r="D141" s="103" t="s">
        <v>543</v>
      </c>
      <c r="E141" s="107" t="s">
        <v>265</v>
      </c>
      <c r="F141" s="108">
        <v>12.5</v>
      </c>
      <c r="G141" s="64">
        <v>10</v>
      </c>
      <c r="H141" s="65">
        <v>2</v>
      </c>
      <c r="I141" s="69">
        <f t="shared" si="21"/>
        <v>12</v>
      </c>
      <c r="J141" s="64">
        <f t="shared" si="22"/>
        <v>7</v>
      </c>
      <c r="K141" s="64">
        <f t="shared" si="23"/>
        <v>6</v>
      </c>
      <c r="P141" s="183" t="s">
        <v>2543</v>
      </c>
      <c r="Q141" s="184">
        <v>0.95</v>
      </c>
    </row>
    <row r="142" spans="1:17" ht="17.25" x14ac:dyDescent="0.2">
      <c r="B142" s="336" t="s">
        <v>674</v>
      </c>
      <c r="C142" s="103" t="s">
        <v>675</v>
      </c>
      <c r="D142" s="103" t="s">
        <v>543</v>
      </c>
      <c r="E142" s="107" t="s">
        <v>265</v>
      </c>
      <c r="F142" s="108">
        <v>12.5</v>
      </c>
      <c r="G142" s="64">
        <v>10</v>
      </c>
      <c r="H142" s="65">
        <v>2</v>
      </c>
      <c r="I142" s="69">
        <f t="shared" si="21"/>
        <v>12</v>
      </c>
      <c r="J142" s="64">
        <f t="shared" si="22"/>
        <v>7</v>
      </c>
      <c r="K142" s="64">
        <f t="shared" si="23"/>
        <v>6</v>
      </c>
      <c r="P142" s="183" t="s">
        <v>2544</v>
      </c>
      <c r="Q142" s="184">
        <v>0.97</v>
      </c>
    </row>
    <row r="143" spans="1:17" ht="17.25" x14ac:dyDescent="0.2">
      <c r="B143" s="336" t="s">
        <v>676</v>
      </c>
      <c r="C143" s="103" t="s">
        <v>677</v>
      </c>
      <c r="D143" s="103" t="s">
        <v>678</v>
      </c>
      <c r="E143" s="107" t="s">
        <v>265</v>
      </c>
      <c r="F143" s="108">
        <v>12.5</v>
      </c>
      <c r="G143" s="64">
        <v>10</v>
      </c>
      <c r="H143" s="65">
        <v>2</v>
      </c>
      <c r="I143" s="69">
        <f t="shared" si="21"/>
        <v>12</v>
      </c>
      <c r="J143" s="64">
        <f t="shared" si="22"/>
        <v>7</v>
      </c>
      <c r="K143" s="64">
        <f t="shared" si="23"/>
        <v>6</v>
      </c>
      <c r="P143" s="183" t="s">
        <v>2545</v>
      </c>
      <c r="Q143" s="184">
        <v>0.82</v>
      </c>
    </row>
    <row r="144" spans="1:17" ht="17.25" x14ac:dyDescent="0.2">
      <c r="B144" s="336" t="s">
        <v>679</v>
      </c>
      <c r="C144" s="103" t="s">
        <v>625</v>
      </c>
      <c r="D144" s="103" t="s">
        <v>667</v>
      </c>
      <c r="E144" s="107" t="s">
        <v>179</v>
      </c>
      <c r="F144" s="108">
        <v>9.5</v>
      </c>
      <c r="G144" s="64">
        <v>8</v>
      </c>
      <c r="H144" s="65">
        <v>2</v>
      </c>
      <c r="I144" s="69">
        <f t="shared" si="21"/>
        <v>10</v>
      </c>
      <c r="J144" s="64">
        <f t="shared" si="22"/>
        <v>6</v>
      </c>
      <c r="K144" s="64">
        <f t="shared" si="23"/>
        <v>5</v>
      </c>
      <c r="P144" s="183" t="s">
        <v>2546</v>
      </c>
      <c r="Q144" s="184">
        <v>0.89</v>
      </c>
    </row>
    <row r="145" spans="1:17" ht="17.25" x14ac:dyDescent="0.2">
      <c r="B145" s="336" t="s">
        <v>680</v>
      </c>
      <c r="C145" s="103" t="s">
        <v>670</v>
      </c>
      <c r="D145" s="103" t="s">
        <v>673</v>
      </c>
      <c r="E145" s="107" t="s">
        <v>179</v>
      </c>
      <c r="F145" s="108">
        <v>9.5</v>
      </c>
      <c r="G145" s="64">
        <v>8</v>
      </c>
      <c r="H145" s="65">
        <v>2</v>
      </c>
      <c r="I145" s="69">
        <f t="shared" si="21"/>
        <v>10</v>
      </c>
      <c r="J145" s="64">
        <f t="shared" si="22"/>
        <v>6</v>
      </c>
      <c r="K145" s="64">
        <f t="shared" si="23"/>
        <v>5</v>
      </c>
      <c r="P145" s="183" t="s">
        <v>2547</v>
      </c>
      <c r="Q145" s="184">
        <v>0.92</v>
      </c>
    </row>
    <row r="146" spans="1:17" ht="17.25" x14ac:dyDescent="0.2">
      <c r="B146" s="336"/>
      <c r="C146" s="103"/>
      <c r="D146" s="103"/>
      <c r="E146" s="107"/>
      <c r="F146" s="108"/>
      <c r="G146" s="64"/>
      <c r="H146" s="65"/>
      <c r="I146" s="69"/>
      <c r="J146" s="64" t="str">
        <f t="shared" si="22"/>
        <v/>
      </c>
      <c r="K146" s="64" t="str">
        <f t="shared" si="23"/>
        <v/>
      </c>
      <c r="P146" s="183" t="s">
        <v>2548</v>
      </c>
      <c r="Q146" s="184">
        <v>0.95</v>
      </c>
    </row>
    <row r="147" spans="1:17" ht="17.25" x14ac:dyDescent="0.2">
      <c r="B147" s="336"/>
      <c r="C147" s="103"/>
      <c r="D147" s="103"/>
      <c r="E147" s="107"/>
      <c r="F147" s="108"/>
      <c r="G147" s="64"/>
      <c r="H147" s="65"/>
      <c r="I147" s="69"/>
      <c r="J147" s="64" t="str">
        <f t="shared" si="22"/>
        <v/>
      </c>
      <c r="K147" s="64" t="str">
        <f t="shared" si="23"/>
        <v/>
      </c>
      <c r="P147" s="183" t="s">
        <v>2549</v>
      </c>
      <c r="Q147" s="184">
        <v>0.97</v>
      </c>
    </row>
    <row r="148" spans="1:17" ht="17.25" x14ac:dyDescent="0.2">
      <c r="B148" s="336"/>
      <c r="C148" s="103"/>
      <c r="D148" s="103"/>
      <c r="E148" s="107"/>
      <c r="F148" s="108"/>
      <c r="G148" s="64"/>
      <c r="H148" s="65"/>
      <c r="I148" s="69"/>
      <c r="J148" s="64" t="str">
        <f t="shared" si="22"/>
        <v/>
      </c>
      <c r="K148" s="64" t="str">
        <f t="shared" si="23"/>
        <v/>
      </c>
      <c r="P148" s="183" t="s">
        <v>2550</v>
      </c>
      <c r="Q148" s="184">
        <v>0.85</v>
      </c>
    </row>
    <row r="149" spans="1:17" ht="17.25" x14ac:dyDescent="0.2">
      <c r="B149" s="336"/>
      <c r="C149" s="103"/>
      <c r="D149" s="103"/>
      <c r="E149" s="107"/>
      <c r="F149" s="108"/>
      <c r="G149" s="64"/>
      <c r="H149" s="65"/>
      <c r="I149" s="69"/>
      <c r="J149" s="64" t="str">
        <f t="shared" si="22"/>
        <v/>
      </c>
      <c r="K149" s="64" t="str">
        <f t="shared" si="23"/>
        <v/>
      </c>
      <c r="P149" s="183" t="s">
        <v>2551</v>
      </c>
      <c r="Q149" s="184">
        <v>0.75</v>
      </c>
    </row>
    <row r="150" spans="1:17" ht="17.25" x14ac:dyDescent="0.2">
      <c r="B150" s="336"/>
      <c r="C150" s="103"/>
      <c r="D150" s="103"/>
      <c r="E150" s="107"/>
      <c r="F150" s="108"/>
      <c r="G150" s="64"/>
      <c r="H150" s="65"/>
      <c r="I150" s="69"/>
      <c r="J150" s="64" t="str">
        <f t="shared" si="22"/>
        <v/>
      </c>
      <c r="K150" s="64" t="str">
        <f t="shared" si="23"/>
        <v/>
      </c>
      <c r="P150" s="183" t="s">
        <v>2552</v>
      </c>
      <c r="Q150" s="184">
        <v>0.82</v>
      </c>
    </row>
    <row r="151" spans="1:17" ht="17.25" x14ac:dyDescent="0.2">
      <c r="B151" s="336"/>
      <c r="C151" s="103"/>
      <c r="D151" s="103"/>
      <c r="E151" s="107"/>
      <c r="F151" s="108"/>
      <c r="G151" s="64"/>
      <c r="H151" s="65"/>
      <c r="I151" s="69"/>
      <c r="J151" s="64" t="str">
        <f t="shared" si="22"/>
        <v/>
      </c>
      <c r="K151" s="64" t="str">
        <f t="shared" si="23"/>
        <v/>
      </c>
      <c r="P151" s="183" t="s">
        <v>2553</v>
      </c>
      <c r="Q151" s="184">
        <v>0.89</v>
      </c>
    </row>
    <row r="152" spans="1:17" ht="17.25" x14ac:dyDescent="0.2">
      <c r="B152" s="336"/>
      <c r="C152" s="103"/>
      <c r="D152" s="103"/>
      <c r="E152" s="107"/>
      <c r="F152" s="108"/>
      <c r="G152" s="64"/>
      <c r="H152" s="65"/>
      <c r="I152" s="69"/>
      <c r="J152" s="64" t="str">
        <f t="shared" si="22"/>
        <v/>
      </c>
      <c r="K152" s="64" t="str">
        <f t="shared" si="23"/>
        <v/>
      </c>
      <c r="P152" s="183" t="s">
        <v>2554</v>
      </c>
      <c r="Q152" s="184">
        <v>0.92</v>
      </c>
    </row>
    <row r="153" spans="1:17" ht="17.25" x14ac:dyDescent="0.2">
      <c r="B153" s="336"/>
      <c r="C153" s="103"/>
      <c r="D153" s="103"/>
      <c r="E153" s="107"/>
      <c r="F153" s="108"/>
      <c r="G153" s="64"/>
      <c r="H153" s="65"/>
      <c r="I153" s="69"/>
      <c r="J153" s="64" t="str">
        <f t="shared" si="22"/>
        <v/>
      </c>
      <c r="K153" s="64" t="str">
        <f t="shared" si="23"/>
        <v/>
      </c>
      <c r="P153" s="183" t="s">
        <v>2555</v>
      </c>
      <c r="Q153" s="184">
        <v>0.95</v>
      </c>
    </row>
    <row r="154" spans="1:17" ht="18" customHeight="1" x14ac:dyDescent="0.2">
      <c r="B154" s="561" t="s">
        <v>22</v>
      </c>
      <c r="C154" s="561" t="s">
        <v>177</v>
      </c>
      <c r="D154" s="561" t="s">
        <v>243</v>
      </c>
      <c r="E154" s="561" t="s">
        <v>23</v>
      </c>
      <c r="F154" s="562" t="s">
        <v>234</v>
      </c>
      <c r="G154" s="562"/>
      <c r="H154" s="562"/>
      <c r="I154" s="562"/>
      <c r="J154" s="562"/>
      <c r="K154" s="562"/>
      <c r="P154" s="183" t="s">
        <v>2556</v>
      </c>
      <c r="Q154" s="184">
        <v>0.97</v>
      </c>
    </row>
    <row r="155" spans="1:17" ht="21" x14ac:dyDescent="0.2">
      <c r="A155" s="114">
        <v>19</v>
      </c>
      <c r="B155" s="433" t="s">
        <v>1026</v>
      </c>
      <c r="C155" s="115" t="s">
        <v>555</v>
      </c>
      <c r="D155" s="114" t="s">
        <v>556</v>
      </c>
      <c r="E155" s="351" t="str">
        <f>IF(O11="","",O11)</f>
        <v>PEDRA NOVA</v>
      </c>
      <c r="F155" s="563">
        <f>IF(B155="","",VLOOKUP(E155,$O$2:$T$120,6,0))</f>
        <v>122491</v>
      </c>
      <c r="G155" s="564"/>
      <c r="H155" s="564"/>
      <c r="I155" s="564"/>
      <c r="J155" s="564"/>
      <c r="K155" s="565"/>
      <c r="P155" s="183" t="s">
        <v>2557</v>
      </c>
      <c r="Q155" s="184">
        <v>0.82</v>
      </c>
    </row>
    <row r="156" spans="1:17" ht="43.5" x14ac:dyDescent="0.2">
      <c r="A156" s="166" t="s">
        <v>779</v>
      </c>
      <c r="B156" s="116" t="s">
        <v>0</v>
      </c>
      <c r="C156" s="116" t="s">
        <v>20</v>
      </c>
      <c r="D156" s="116" t="s">
        <v>21</v>
      </c>
      <c r="E156" s="116" t="s">
        <v>1</v>
      </c>
      <c r="F156" s="117" t="s">
        <v>3</v>
      </c>
      <c r="G156" s="116" t="s">
        <v>216</v>
      </c>
      <c r="H156" s="180" t="s">
        <v>242</v>
      </c>
      <c r="I156" s="116" t="s">
        <v>245</v>
      </c>
      <c r="J156" s="116" t="s">
        <v>217</v>
      </c>
      <c r="K156" s="116" t="s">
        <v>218</v>
      </c>
      <c r="P156" s="183" t="s">
        <v>2558</v>
      </c>
      <c r="Q156" s="184">
        <v>0.89</v>
      </c>
    </row>
    <row r="157" spans="1:17" ht="17.25" x14ac:dyDescent="0.2">
      <c r="B157" s="344" t="s">
        <v>681</v>
      </c>
      <c r="C157" s="97" t="s">
        <v>682</v>
      </c>
      <c r="D157" s="97" t="s">
        <v>683</v>
      </c>
      <c r="E157" s="107" t="s">
        <v>55</v>
      </c>
      <c r="F157" s="333">
        <v>14</v>
      </c>
      <c r="G157" s="57">
        <v>12</v>
      </c>
      <c r="H157" s="65">
        <v>2</v>
      </c>
      <c r="I157" s="69">
        <f>IF(G157="","",SUM(G157:H157))</f>
        <v>14</v>
      </c>
      <c r="J157" s="64">
        <f>IF(G157="","",ROUNDUP(G157*0.65,0))</f>
        <v>8</v>
      </c>
      <c r="K157" s="64">
        <f>IF(G157="","",ROUNDUP(G157*0.55,0))</f>
        <v>7</v>
      </c>
      <c r="P157" s="183" t="s">
        <v>2559</v>
      </c>
      <c r="Q157" s="184">
        <v>0.92</v>
      </c>
    </row>
    <row r="158" spans="1:17" ht="17.25" x14ac:dyDescent="0.2">
      <c r="B158" s="344" t="s">
        <v>684</v>
      </c>
      <c r="C158" s="97" t="s">
        <v>685</v>
      </c>
      <c r="D158" s="97" t="s">
        <v>686</v>
      </c>
      <c r="E158" s="107" t="s">
        <v>55</v>
      </c>
      <c r="F158" s="333">
        <v>14</v>
      </c>
      <c r="G158" s="57">
        <v>10</v>
      </c>
      <c r="H158" s="65">
        <v>2</v>
      </c>
      <c r="I158" s="69">
        <f t="shared" ref="I158:I172" si="24">IF(G158="","",SUM(G158:H158))</f>
        <v>12</v>
      </c>
      <c r="J158" s="64">
        <f t="shared" ref="J158:J172" si="25">IF(G158="","",ROUNDUP(G158*0.65,0))</f>
        <v>7</v>
      </c>
      <c r="K158" s="64">
        <f t="shared" ref="K158:K172" si="26">IF(G158="","",ROUNDUP(G158*0.55,0))</f>
        <v>6</v>
      </c>
      <c r="P158" s="183" t="s">
        <v>2560</v>
      </c>
      <c r="Q158" s="184">
        <v>0.95</v>
      </c>
    </row>
    <row r="159" spans="1:17" ht="17.25" x14ac:dyDescent="0.2">
      <c r="B159" s="344" t="s">
        <v>687</v>
      </c>
      <c r="C159" s="97" t="s">
        <v>688</v>
      </c>
      <c r="D159" s="97" t="s">
        <v>689</v>
      </c>
      <c r="E159" s="107" t="s">
        <v>55</v>
      </c>
      <c r="F159" s="333">
        <v>14</v>
      </c>
      <c r="G159" s="57">
        <v>8</v>
      </c>
      <c r="H159" s="65">
        <v>2</v>
      </c>
      <c r="I159" s="69">
        <f t="shared" si="24"/>
        <v>10</v>
      </c>
      <c r="J159" s="64">
        <f t="shared" si="25"/>
        <v>6</v>
      </c>
      <c r="K159" s="64">
        <f t="shared" si="26"/>
        <v>5</v>
      </c>
      <c r="P159" s="183" t="s">
        <v>2561</v>
      </c>
      <c r="Q159" s="184">
        <v>0.97</v>
      </c>
    </row>
    <row r="160" spans="1:17" ht="17.25" x14ac:dyDescent="0.2">
      <c r="B160" s="344" t="s">
        <v>690</v>
      </c>
      <c r="C160" s="97" t="s">
        <v>691</v>
      </c>
      <c r="D160" s="97" t="s">
        <v>692</v>
      </c>
      <c r="E160" s="107" t="s">
        <v>55</v>
      </c>
      <c r="F160" s="333">
        <v>14</v>
      </c>
      <c r="G160" s="57">
        <v>8</v>
      </c>
      <c r="H160" s="65">
        <v>2</v>
      </c>
      <c r="I160" s="69">
        <f t="shared" si="24"/>
        <v>10</v>
      </c>
      <c r="J160" s="64">
        <f t="shared" si="25"/>
        <v>6</v>
      </c>
      <c r="K160" s="64">
        <f t="shared" si="26"/>
        <v>5</v>
      </c>
      <c r="P160" s="183" t="s">
        <v>2562</v>
      </c>
      <c r="Q160" s="184">
        <v>0.85</v>
      </c>
    </row>
    <row r="161" spans="1:17" ht="17.25" x14ac:dyDescent="0.2">
      <c r="B161" s="344" t="s">
        <v>693</v>
      </c>
      <c r="C161" s="97" t="s">
        <v>694</v>
      </c>
      <c r="D161" s="97" t="s">
        <v>695</v>
      </c>
      <c r="E161" s="107" t="s">
        <v>265</v>
      </c>
      <c r="F161" s="108">
        <v>12.5</v>
      </c>
      <c r="G161" s="57">
        <v>10</v>
      </c>
      <c r="H161" s="65">
        <v>2</v>
      </c>
      <c r="I161" s="69">
        <f t="shared" si="24"/>
        <v>12</v>
      </c>
      <c r="J161" s="64">
        <f t="shared" si="25"/>
        <v>7</v>
      </c>
      <c r="K161" s="64">
        <f t="shared" si="26"/>
        <v>6</v>
      </c>
      <c r="P161" s="183" t="s">
        <v>2563</v>
      </c>
      <c r="Q161" s="184">
        <v>0.75</v>
      </c>
    </row>
    <row r="162" spans="1:17" ht="17.25" x14ac:dyDescent="0.2">
      <c r="B162" s="344" t="s">
        <v>696</v>
      </c>
      <c r="C162" s="97" t="s">
        <v>697</v>
      </c>
      <c r="D162" s="97" t="s">
        <v>698</v>
      </c>
      <c r="E162" s="107" t="s">
        <v>265</v>
      </c>
      <c r="F162" s="108">
        <v>12.5</v>
      </c>
      <c r="G162" s="57">
        <v>10</v>
      </c>
      <c r="H162" s="65">
        <v>2</v>
      </c>
      <c r="I162" s="69">
        <f t="shared" si="24"/>
        <v>12</v>
      </c>
      <c r="J162" s="64">
        <f t="shared" si="25"/>
        <v>7</v>
      </c>
      <c r="K162" s="64">
        <f t="shared" si="26"/>
        <v>6</v>
      </c>
      <c r="P162" s="183" t="s">
        <v>2564</v>
      </c>
      <c r="Q162" s="184">
        <v>0.82</v>
      </c>
    </row>
    <row r="163" spans="1:17" ht="17.25" x14ac:dyDescent="0.2">
      <c r="B163" s="344" t="s">
        <v>699</v>
      </c>
      <c r="C163" s="97" t="s">
        <v>700</v>
      </c>
      <c r="D163" s="97" t="s">
        <v>701</v>
      </c>
      <c r="E163" s="107" t="s">
        <v>265</v>
      </c>
      <c r="F163" s="108">
        <v>12.5</v>
      </c>
      <c r="G163" s="57">
        <v>10</v>
      </c>
      <c r="H163" s="65">
        <v>2</v>
      </c>
      <c r="I163" s="69">
        <f t="shared" si="24"/>
        <v>12</v>
      </c>
      <c r="J163" s="64">
        <f t="shared" si="25"/>
        <v>7</v>
      </c>
      <c r="K163" s="64">
        <f t="shared" si="26"/>
        <v>6</v>
      </c>
      <c r="P163" s="183" t="s">
        <v>2565</v>
      </c>
      <c r="Q163" s="184">
        <v>0.89</v>
      </c>
    </row>
    <row r="164" spans="1:17" ht="17.25" x14ac:dyDescent="0.2">
      <c r="B164" s="344" t="s">
        <v>702</v>
      </c>
      <c r="C164" s="97" t="s">
        <v>700</v>
      </c>
      <c r="D164" s="97" t="s">
        <v>703</v>
      </c>
      <c r="E164" s="107" t="s">
        <v>265</v>
      </c>
      <c r="F164" s="108">
        <v>12.5</v>
      </c>
      <c r="G164" s="335">
        <v>12</v>
      </c>
      <c r="H164" s="65">
        <v>2</v>
      </c>
      <c r="I164" s="69">
        <f t="shared" si="24"/>
        <v>14</v>
      </c>
      <c r="J164" s="64">
        <f t="shared" si="25"/>
        <v>8</v>
      </c>
      <c r="K164" s="64">
        <f t="shared" si="26"/>
        <v>7</v>
      </c>
      <c r="P164" s="183" t="s">
        <v>2566</v>
      </c>
      <c r="Q164" s="184">
        <v>0.92</v>
      </c>
    </row>
    <row r="165" spans="1:17" ht="17.25" x14ac:dyDescent="0.2">
      <c r="B165" s="344" t="s">
        <v>704</v>
      </c>
      <c r="C165" s="97" t="s">
        <v>705</v>
      </c>
      <c r="D165" s="97" t="s">
        <v>706</v>
      </c>
      <c r="E165" s="107" t="s">
        <v>265</v>
      </c>
      <c r="F165" s="108">
        <v>12.5</v>
      </c>
      <c r="G165" s="57">
        <v>8</v>
      </c>
      <c r="H165" s="65">
        <v>2</v>
      </c>
      <c r="I165" s="69">
        <f t="shared" si="24"/>
        <v>10</v>
      </c>
      <c r="J165" s="64">
        <f t="shared" si="25"/>
        <v>6</v>
      </c>
      <c r="K165" s="64">
        <f t="shared" si="26"/>
        <v>5</v>
      </c>
      <c r="P165" s="183" t="s">
        <v>2567</v>
      </c>
      <c r="Q165" s="184">
        <v>0.95</v>
      </c>
    </row>
    <row r="166" spans="1:17" ht="17.25" x14ac:dyDescent="0.2">
      <c r="B166" s="344" t="s">
        <v>707</v>
      </c>
      <c r="C166" s="97" t="s">
        <v>708</v>
      </c>
      <c r="D166" s="97" t="s">
        <v>709</v>
      </c>
      <c r="E166" s="107" t="s">
        <v>265</v>
      </c>
      <c r="F166" s="108">
        <v>12.5</v>
      </c>
      <c r="G166" s="57">
        <v>10</v>
      </c>
      <c r="H166" s="65">
        <v>2</v>
      </c>
      <c r="I166" s="69">
        <f t="shared" si="24"/>
        <v>12</v>
      </c>
      <c r="J166" s="64">
        <f t="shared" si="25"/>
        <v>7</v>
      </c>
      <c r="K166" s="64">
        <f t="shared" si="26"/>
        <v>6</v>
      </c>
      <c r="P166" s="183" t="s">
        <v>2568</v>
      </c>
      <c r="Q166" s="184">
        <v>0.97</v>
      </c>
    </row>
    <row r="167" spans="1:17" ht="17.25" x14ac:dyDescent="0.2">
      <c r="B167" s="344" t="s">
        <v>710</v>
      </c>
      <c r="C167" s="97" t="s">
        <v>711</v>
      </c>
      <c r="D167" s="97" t="s">
        <v>712</v>
      </c>
      <c r="E167" s="107" t="s">
        <v>265</v>
      </c>
      <c r="F167" s="108">
        <v>12.5</v>
      </c>
      <c r="G167" s="57">
        <v>8</v>
      </c>
      <c r="H167" s="65">
        <v>2</v>
      </c>
      <c r="I167" s="69">
        <f t="shared" si="24"/>
        <v>10</v>
      </c>
      <c r="J167" s="64">
        <f t="shared" si="25"/>
        <v>6</v>
      </c>
      <c r="K167" s="64">
        <f t="shared" si="26"/>
        <v>5</v>
      </c>
      <c r="P167" s="183" t="s">
        <v>2569</v>
      </c>
      <c r="Q167" s="184">
        <v>0.82</v>
      </c>
    </row>
    <row r="168" spans="1:17" ht="17.25" x14ac:dyDescent="0.2">
      <c r="B168" s="344" t="s">
        <v>713</v>
      </c>
      <c r="C168" s="97" t="s">
        <v>714</v>
      </c>
      <c r="D168" s="97" t="s">
        <v>712</v>
      </c>
      <c r="E168" s="107" t="s">
        <v>265</v>
      </c>
      <c r="F168" s="108">
        <v>12.5</v>
      </c>
      <c r="G168" s="57">
        <v>10</v>
      </c>
      <c r="H168" s="65">
        <v>2</v>
      </c>
      <c r="I168" s="69">
        <f t="shared" si="24"/>
        <v>12</v>
      </c>
      <c r="J168" s="64">
        <f t="shared" si="25"/>
        <v>7</v>
      </c>
      <c r="K168" s="64">
        <f t="shared" si="26"/>
        <v>6</v>
      </c>
      <c r="P168" s="183" t="s">
        <v>2570</v>
      </c>
      <c r="Q168" s="184">
        <v>0.89</v>
      </c>
    </row>
    <row r="169" spans="1:17" ht="17.25" x14ac:dyDescent="0.2">
      <c r="B169" s="344" t="s">
        <v>715</v>
      </c>
      <c r="C169" s="97" t="s">
        <v>716</v>
      </c>
      <c r="D169" s="97" t="s">
        <v>689</v>
      </c>
      <c r="E169" s="107" t="s">
        <v>265</v>
      </c>
      <c r="F169" s="108">
        <v>12.5</v>
      </c>
      <c r="G169" s="57">
        <v>10</v>
      </c>
      <c r="H169" s="65">
        <v>2</v>
      </c>
      <c r="I169" s="69">
        <f t="shared" si="24"/>
        <v>12</v>
      </c>
      <c r="J169" s="64">
        <f t="shared" si="25"/>
        <v>7</v>
      </c>
      <c r="K169" s="64">
        <f t="shared" si="26"/>
        <v>6</v>
      </c>
      <c r="P169" s="183" t="s">
        <v>2571</v>
      </c>
      <c r="Q169" s="184">
        <v>0.92</v>
      </c>
    </row>
    <row r="170" spans="1:17" ht="17.25" x14ac:dyDescent="0.2">
      <c r="B170" s="344" t="s">
        <v>717</v>
      </c>
      <c r="C170" s="97" t="s">
        <v>718</v>
      </c>
      <c r="D170" s="97" t="s">
        <v>719</v>
      </c>
      <c r="E170" s="107" t="s">
        <v>265</v>
      </c>
      <c r="F170" s="108">
        <v>12.5</v>
      </c>
      <c r="G170" s="57">
        <v>16</v>
      </c>
      <c r="H170" s="65">
        <v>2</v>
      </c>
      <c r="I170" s="69">
        <f t="shared" si="24"/>
        <v>18</v>
      </c>
      <c r="J170" s="64">
        <f t="shared" si="25"/>
        <v>11</v>
      </c>
      <c r="K170" s="64">
        <f t="shared" si="26"/>
        <v>9</v>
      </c>
      <c r="P170" s="183" t="s">
        <v>2572</v>
      </c>
      <c r="Q170" s="184">
        <v>0.95</v>
      </c>
    </row>
    <row r="171" spans="1:17" ht="17.25" x14ac:dyDescent="0.2">
      <c r="B171" s="344" t="s">
        <v>720</v>
      </c>
      <c r="C171" s="97" t="s">
        <v>721</v>
      </c>
      <c r="D171" s="97" t="s">
        <v>722</v>
      </c>
      <c r="E171" s="107" t="s">
        <v>179</v>
      </c>
      <c r="F171" s="108">
        <v>9.5</v>
      </c>
      <c r="G171" s="57">
        <v>8</v>
      </c>
      <c r="H171" s="65">
        <v>2</v>
      </c>
      <c r="I171" s="69">
        <f t="shared" si="24"/>
        <v>10</v>
      </c>
      <c r="J171" s="64">
        <f t="shared" si="25"/>
        <v>6</v>
      </c>
      <c r="K171" s="64">
        <f t="shared" si="26"/>
        <v>5</v>
      </c>
      <c r="P171" s="183" t="s">
        <v>2573</v>
      </c>
      <c r="Q171" s="184">
        <v>0.97</v>
      </c>
    </row>
    <row r="172" spans="1:17" ht="17.25" x14ac:dyDescent="0.2">
      <c r="B172" s="344" t="s">
        <v>723</v>
      </c>
      <c r="C172" s="97" t="s">
        <v>724</v>
      </c>
      <c r="D172" s="97" t="s">
        <v>725</v>
      </c>
      <c r="E172" s="107" t="s">
        <v>179</v>
      </c>
      <c r="F172" s="108">
        <v>9.5</v>
      </c>
      <c r="G172" s="57">
        <v>8</v>
      </c>
      <c r="H172" s="65">
        <v>2</v>
      </c>
      <c r="I172" s="69">
        <f t="shared" si="24"/>
        <v>10</v>
      </c>
      <c r="J172" s="64">
        <f t="shared" si="25"/>
        <v>6</v>
      </c>
      <c r="K172" s="64">
        <f t="shared" si="26"/>
        <v>5</v>
      </c>
      <c r="P172" s="183" t="s">
        <v>2574</v>
      </c>
      <c r="Q172" s="184">
        <v>0.85</v>
      </c>
    </row>
    <row r="173" spans="1:17" ht="18" customHeight="1" x14ac:dyDescent="0.2">
      <c r="B173" s="561" t="s">
        <v>22</v>
      </c>
      <c r="C173" s="561" t="s">
        <v>177</v>
      </c>
      <c r="D173" s="561" t="s">
        <v>243</v>
      </c>
      <c r="E173" s="561" t="s">
        <v>23</v>
      </c>
      <c r="F173" s="562" t="s">
        <v>234</v>
      </c>
      <c r="G173" s="562"/>
      <c r="H173" s="562"/>
      <c r="I173" s="562"/>
      <c r="J173" s="562"/>
      <c r="K173" s="562"/>
      <c r="P173" s="183" t="s">
        <v>2575</v>
      </c>
      <c r="Q173" s="184">
        <v>0.75</v>
      </c>
    </row>
    <row r="174" spans="1:17" ht="21" x14ac:dyDescent="0.2">
      <c r="A174" s="114">
        <v>20</v>
      </c>
      <c r="B174" s="432" t="s">
        <v>1146</v>
      </c>
      <c r="C174" s="115" t="s">
        <v>573</v>
      </c>
      <c r="D174" s="114" t="s">
        <v>574</v>
      </c>
      <c r="E174" s="329" t="str">
        <f>IF(O12="","",O12)</f>
        <v>FLORILÂNDIA</v>
      </c>
      <c r="F174" s="563">
        <f>IF(B174="","",VLOOKUP(E174,$O$2:$T$120,6,0))</f>
        <v>131794</v>
      </c>
      <c r="G174" s="564"/>
      <c r="H174" s="564"/>
      <c r="I174" s="564"/>
      <c r="J174" s="564"/>
      <c r="K174" s="565"/>
      <c r="P174" s="183" t="s">
        <v>2576</v>
      </c>
      <c r="Q174" s="184">
        <v>0.82</v>
      </c>
    </row>
    <row r="175" spans="1:17" ht="44.25" thickBot="1" x14ac:dyDescent="0.25">
      <c r="A175" s="166" t="s">
        <v>779</v>
      </c>
      <c r="B175" s="116" t="s">
        <v>0</v>
      </c>
      <c r="C175" s="116" t="s">
        <v>20</v>
      </c>
      <c r="D175" s="116" t="s">
        <v>21</v>
      </c>
      <c r="E175" s="116" t="s">
        <v>1</v>
      </c>
      <c r="F175" s="117" t="s">
        <v>3</v>
      </c>
      <c r="G175" s="116" t="s">
        <v>216</v>
      </c>
      <c r="H175" s="180" t="s">
        <v>242</v>
      </c>
      <c r="I175" s="116" t="s">
        <v>245</v>
      </c>
      <c r="J175" s="116" t="s">
        <v>217</v>
      </c>
      <c r="K175" s="116" t="s">
        <v>218</v>
      </c>
      <c r="P175" s="183" t="s">
        <v>2577</v>
      </c>
      <c r="Q175" s="184">
        <v>0.89</v>
      </c>
    </row>
    <row r="176" spans="1:17" ht="17.25" x14ac:dyDescent="0.2">
      <c r="B176" s="348" t="s">
        <v>726</v>
      </c>
      <c r="C176" s="349" t="s">
        <v>543</v>
      </c>
      <c r="D176" s="350" t="s">
        <v>727</v>
      </c>
      <c r="E176" s="346" t="s">
        <v>55</v>
      </c>
      <c r="F176" s="333">
        <v>14</v>
      </c>
      <c r="G176" s="57">
        <v>10</v>
      </c>
      <c r="H176" s="65">
        <v>2</v>
      </c>
      <c r="I176" s="69">
        <f t="shared" ref="I176:I191" si="27">IF(G176="","",SUM(G176:H176))</f>
        <v>12</v>
      </c>
      <c r="J176" s="64">
        <f>IF(G176="","",ROUNDUP(G176*0.65,0))</f>
        <v>7</v>
      </c>
      <c r="K176" s="64">
        <f>IF(G176="","",ROUNDUP(G176*0.55,0))</f>
        <v>6</v>
      </c>
      <c r="P176" s="183" t="s">
        <v>2578</v>
      </c>
      <c r="Q176" s="184">
        <v>0.92</v>
      </c>
    </row>
    <row r="177" spans="2:17" ht="17.25" x14ac:dyDescent="0.2">
      <c r="B177" s="345" t="s">
        <v>728</v>
      </c>
      <c r="C177" s="97" t="s">
        <v>543</v>
      </c>
      <c r="D177" s="181" t="s">
        <v>729</v>
      </c>
      <c r="E177" s="182" t="s">
        <v>55</v>
      </c>
      <c r="F177" s="333">
        <v>14</v>
      </c>
      <c r="G177" s="57">
        <v>8</v>
      </c>
      <c r="H177" s="65">
        <v>2</v>
      </c>
      <c r="I177" s="69">
        <f t="shared" si="27"/>
        <v>10</v>
      </c>
      <c r="J177" s="64">
        <f t="shared" ref="J177:J191" si="28">IF(G177="","",ROUNDUP(G177*0.65,0))</f>
        <v>6</v>
      </c>
      <c r="K177" s="64">
        <f t="shared" ref="K177:K191" si="29">IF(G177="","",ROUNDUP(G177*0.55,0))</f>
        <v>5</v>
      </c>
      <c r="P177" s="183" t="s">
        <v>2579</v>
      </c>
      <c r="Q177" s="184">
        <v>0.95</v>
      </c>
    </row>
    <row r="178" spans="2:17" ht="17.25" x14ac:dyDescent="0.2">
      <c r="B178" s="345" t="s">
        <v>730</v>
      </c>
      <c r="C178" s="97" t="s">
        <v>543</v>
      </c>
      <c r="D178" s="181" t="s">
        <v>731</v>
      </c>
      <c r="E178" s="182" t="s">
        <v>55</v>
      </c>
      <c r="F178" s="333">
        <v>14</v>
      </c>
      <c r="G178" s="57">
        <v>12</v>
      </c>
      <c r="H178" s="65">
        <v>2</v>
      </c>
      <c r="I178" s="69">
        <f t="shared" si="27"/>
        <v>14</v>
      </c>
      <c r="J178" s="64">
        <f t="shared" si="28"/>
        <v>8</v>
      </c>
      <c r="K178" s="64">
        <f t="shared" si="29"/>
        <v>7</v>
      </c>
      <c r="P178" s="183" t="s">
        <v>2580</v>
      </c>
      <c r="Q178" s="184">
        <v>0.97</v>
      </c>
    </row>
    <row r="179" spans="2:17" ht="17.25" x14ac:dyDescent="0.2">
      <c r="B179" s="345" t="s">
        <v>732</v>
      </c>
      <c r="C179" s="97" t="s">
        <v>543</v>
      </c>
      <c r="D179" s="181" t="s">
        <v>733</v>
      </c>
      <c r="E179" s="182" t="s">
        <v>55</v>
      </c>
      <c r="F179" s="333">
        <v>14</v>
      </c>
      <c r="G179" s="57">
        <v>10</v>
      </c>
      <c r="H179" s="65">
        <v>2</v>
      </c>
      <c r="I179" s="69">
        <f t="shared" si="27"/>
        <v>12</v>
      </c>
      <c r="J179" s="64">
        <f t="shared" si="28"/>
        <v>7</v>
      </c>
      <c r="K179" s="64">
        <f t="shared" si="29"/>
        <v>6</v>
      </c>
      <c r="P179" s="183" t="s">
        <v>2581</v>
      </c>
      <c r="Q179" s="184">
        <v>0.82</v>
      </c>
    </row>
    <row r="180" spans="2:17" ht="17.25" x14ac:dyDescent="0.2">
      <c r="B180" s="345" t="s">
        <v>734</v>
      </c>
      <c r="C180" s="97" t="s">
        <v>731</v>
      </c>
      <c r="D180" s="181" t="s">
        <v>735</v>
      </c>
      <c r="E180" s="182" t="s">
        <v>265</v>
      </c>
      <c r="F180" s="108">
        <v>12.5</v>
      </c>
      <c r="G180" s="57">
        <v>10</v>
      </c>
      <c r="H180" s="65">
        <v>2</v>
      </c>
      <c r="I180" s="69">
        <f t="shared" si="27"/>
        <v>12</v>
      </c>
      <c r="J180" s="64">
        <f t="shared" si="28"/>
        <v>7</v>
      </c>
      <c r="K180" s="64">
        <f t="shared" si="29"/>
        <v>6</v>
      </c>
      <c r="P180" s="183" t="s">
        <v>2582</v>
      </c>
      <c r="Q180" s="184">
        <v>0.89</v>
      </c>
    </row>
    <row r="181" spans="2:17" ht="17.25" x14ac:dyDescent="0.2">
      <c r="B181" s="345" t="s">
        <v>736</v>
      </c>
      <c r="C181" s="97" t="s">
        <v>731</v>
      </c>
      <c r="D181" s="181" t="s">
        <v>737</v>
      </c>
      <c r="E181" s="182" t="s">
        <v>265</v>
      </c>
      <c r="F181" s="108">
        <v>12.5</v>
      </c>
      <c r="G181" s="57">
        <v>12</v>
      </c>
      <c r="H181" s="65">
        <v>2</v>
      </c>
      <c r="I181" s="69">
        <f t="shared" si="27"/>
        <v>14</v>
      </c>
      <c r="J181" s="64">
        <f t="shared" si="28"/>
        <v>8</v>
      </c>
      <c r="K181" s="64">
        <f t="shared" si="29"/>
        <v>7</v>
      </c>
      <c r="P181" s="183" t="s">
        <v>2583</v>
      </c>
      <c r="Q181" s="184">
        <v>0.92</v>
      </c>
    </row>
    <row r="182" spans="2:17" ht="17.25" x14ac:dyDescent="0.2">
      <c r="B182" s="345" t="s">
        <v>738</v>
      </c>
      <c r="C182" s="337" t="s">
        <v>739</v>
      </c>
      <c r="D182" s="347" t="s">
        <v>740</v>
      </c>
      <c r="E182" s="182" t="s">
        <v>265</v>
      </c>
      <c r="F182" s="108">
        <v>12.5</v>
      </c>
      <c r="G182" s="57">
        <v>10</v>
      </c>
      <c r="H182" s="65">
        <v>2</v>
      </c>
      <c r="I182" s="69">
        <f t="shared" si="27"/>
        <v>12</v>
      </c>
      <c r="J182" s="64">
        <f t="shared" si="28"/>
        <v>7</v>
      </c>
      <c r="K182" s="64">
        <f t="shared" si="29"/>
        <v>6</v>
      </c>
      <c r="P182" s="183" t="s">
        <v>2584</v>
      </c>
      <c r="Q182" s="184">
        <v>0.95</v>
      </c>
    </row>
    <row r="183" spans="2:17" ht="17.25" x14ac:dyDescent="0.2">
      <c r="B183" s="345" t="s">
        <v>741</v>
      </c>
      <c r="C183" s="337" t="s">
        <v>739</v>
      </c>
      <c r="D183" s="347" t="s">
        <v>742</v>
      </c>
      <c r="E183" s="182" t="s">
        <v>265</v>
      </c>
      <c r="F183" s="108">
        <v>12.5</v>
      </c>
      <c r="G183" s="57">
        <v>8</v>
      </c>
      <c r="H183" s="65">
        <v>2</v>
      </c>
      <c r="I183" s="69">
        <f t="shared" si="27"/>
        <v>10</v>
      </c>
      <c r="J183" s="64">
        <f t="shared" si="28"/>
        <v>6</v>
      </c>
      <c r="K183" s="64">
        <f t="shared" si="29"/>
        <v>5</v>
      </c>
      <c r="P183" s="183" t="s">
        <v>2585</v>
      </c>
      <c r="Q183" s="184">
        <v>0.97</v>
      </c>
    </row>
    <row r="184" spans="2:17" ht="17.25" x14ac:dyDescent="0.2">
      <c r="B184" s="345" t="s">
        <v>743</v>
      </c>
      <c r="C184" s="97" t="s">
        <v>744</v>
      </c>
      <c r="D184" s="181" t="s">
        <v>745</v>
      </c>
      <c r="E184" s="182" t="s">
        <v>265</v>
      </c>
      <c r="F184" s="108">
        <v>12.5</v>
      </c>
      <c r="G184" s="57">
        <v>12</v>
      </c>
      <c r="H184" s="65">
        <v>2</v>
      </c>
      <c r="I184" s="69">
        <f t="shared" si="27"/>
        <v>14</v>
      </c>
      <c r="J184" s="64">
        <f t="shared" si="28"/>
        <v>8</v>
      </c>
      <c r="K184" s="64">
        <f t="shared" si="29"/>
        <v>7</v>
      </c>
      <c r="P184" s="183" t="s">
        <v>2586</v>
      </c>
      <c r="Q184" s="184">
        <v>0.85</v>
      </c>
    </row>
    <row r="185" spans="2:17" ht="17.25" x14ac:dyDescent="0.2">
      <c r="B185" s="345" t="s">
        <v>746</v>
      </c>
      <c r="C185" s="97" t="s">
        <v>744</v>
      </c>
      <c r="D185" s="181" t="s">
        <v>742</v>
      </c>
      <c r="E185" s="182" t="s">
        <v>265</v>
      </c>
      <c r="F185" s="108">
        <v>12.5</v>
      </c>
      <c r="G185" s="57">
        <v>14</v>
      </c>
      <c r="H185" s="65">
        <v>2</v>
      </c>
      <c r="I185" s="69">
        <f t="shared" si="27"/>
        <v>16</v>
      </c>
      <c r="J185" s="64">
        <f t="shared" si="28"/>
        <v>10</v>
      </c>
      <c r="K185" s="64">
        <f t="shared" si="29"/>
        <v>8</v>
      </c>
      <c r="P185" s="183" t="s">
        <v>2587</v>
      </c>
      <c r="Q185" s="184">
        <v>0.75</v>
      </c>
    </row>
    <row r="186" spans="2:17" ht="17.25" x14ac:dyDescent="0.2">
      <c r="B186" s="345" t="s">
        <v>747</v>
      </c>
      <c r="C186" s="97" t="s">
        <v>748</v>
      </c>
      <c r="D186" s="181" t="s">
        <v>749</v>
      </c>
      <c r="E186" s="182" t="s">
        <v>265</v>
      </c>
      <c r="F186" s="108">
        <v>12.5</v>
      </c>
      <c r="G186" s="57">
        <v>16</v>
      </c>
      <c r="H186" s="65">
        <v>2</v>
      </c>
      <c r="I186" s="69">
        <f t="shared" si="27"/>
        <v>18</v>
      </c>
      <c r="J186" s="64">
        <f t="shared" si="28"/>
        <v>11</v>
      </c>
      <c r="K186" s="64">
        <f t="shared" si="29"/>
        <v>9</v>
      </c>
      <c r="P186" s="183" t="s">
        <v>2588</v>
      </c>
      <c r="Q186" s="184">
        <v>0.82</v>
      </c>
    </row>
    <row r="187" spans="2:17" ht="17.25" x14ac:dyDescent="0.2">
      <c r="B187" s="345" t="s">
        <v>750</v>
      </c>
      <c r="C187" s="97" t="s">
        <v>748</v>
      </c>
      <c r="D187" s="181" t="s">
        <v>737</v>
      </c>
      <c r="E187" s="182" t="s">
        <v>265</v>
      </c>
      <c r="F187" s="108">
        <v>12.5</v>
      </c>
      <c r="G187" s="57">
        <v>10</v>
      </c>
      <c r="H187" s="65">
        <v>2</v>
      </c>
      <c r="I187" s="69">
        <f t="shared" si="27"/>
        <v>12</v>
      </c>
      <c r="J187" s="64">
        <f t="shared" si="28"/>
        <v>7</v>
      </c>
      <c r="K187" s="64">
        <f t="shared" si="29"/>
        <v>6</v>
      </c>
      <c r="P187" s="183" t="s">
        <v>2589</v>
      </c>
      <c r="Q187" s="184">
        <v>0.89</v>
      </c>
    </row>
    <row r="188" spans="2:17" ht="17.25" x14ac:dyDescent="0.2">
      <c r="B188" s="345" t="s">
        <v>751</v>
      </c>
      <c r="C188" s="97" t="s">
        <v>735</v>
      </c>
      <c r="D188" s="181" t="s">
        <v>752</v>
      </c>
      <c r="E188" s="182" t="s">
        <v>265</v>
      </c>
      <c r="F188" s="108">
        <v>12.5</v>
      </c>
      <c r="G188" s="57">
        <v>10</v>
      </c>
      <c r="H188" s="65">
        <v>2</v>
      </c>
      <c r="I188" s="69">
        <f t="shared" si="27"/>
        <v>12</v>
      </c>
      <c r="J188" s="64">
        <f t="shared" si="28"/>
        <v>7</v>
      </c>
      <c r="K188" s="64">
        <f t="shared" si="29"/>
        <v>6</v>
      </c>
      <c r="P188" s="183" t="s">
        <v>2590</v>
      </c>
      <c r="Q188" s="184">
        <v>0.92</v>
      </c>
    </row>
    <row r="189" spans="2:17" ht="17.25" x14ac:dyDescent="0.2">
      <c r="B189" s="345" t="s">
        <v>753</v>
      </c>
      <c r="C189" s="97" t="s">
        <v>735</v>
      </c>
      <c r="D189" s="181" t="s">
        <v>737</v>
      </c>
      <c r="E189" s="182" t="s">
        <v>265</v>
      </c>
      <c r="F189" s="108">
        <v>12.5</v>
      </c>
      <c r="G189" s="57">
        <v>14</v>
      </c>
      <c r="H189" s="65">
        <v>2</v>
      </c>
      <c r="I189" s="69">
        <f t="shared" si="27"/>
        <v>16</v>
      </c>
      <c r="J189" s="64">
        <f t="shared" si="28"/>
        <v>10</v>
      </c>
      <c r="K189" s="64">
        <f t="shared" si="29"/>
        <v>8</v>
      </c>
      <c r="P189" s="183" t="s">
        <v>2591</v>
      </c>
      <c r="Q189" s="184">
        <v>0.95</v>
      </c>
    </row>
    <row r="190" spans="2:17" ht="17.25" x14ac:dyDescent="0.2">
      <c r="B190" s="345" t="s">
        <v>754</v>
      </c>
      <c r="C190" s="97" t="s">
        <v>755</v>
      </c>
      <c r="D190" s="181" t="s">
        <v>756</v>
      </c>
      <c r="E190" s="182" t="s">
        <v>265</v>
      </c>
      <c r="F190" s="108">
        <v>12.5</v>
      </c>
      <c r="G190" s="57">
        <v>14</v>
      </c>
      <c r="H190" s="65">
        <v>2</v>
      </c>
      <c r="I190" s="69">
        <f t="shared" si="27"/>
        <v>16</v>
      </c>
      <c r="J190" s="64">
        <f t="shared" si="28"/>
        <v>10</v>
      </c>
      <c r="K190" s="64">
        <f t="shared" si="29"/>
        <v>8</v>
      </c>
      <c r="P190" s="183" t="s">
        <v>2592</v>
      </c>
      <c r="Q190" s="184">
        <v>0.97</v>
      </c>
    </row>
    <row r="191" spans="2:17" ht="17.25" x14ac:dyDescent="0.2">
      <c r="B191" s="345"/>
      <c r="C191" s="112"/>
      <c r="D191" s="112"/>
      <c r="E191" s="107"/>
      <c r="F191" s="108"/>
      <c r="G191" s="57"/>
      <c r="H191" s="65"/>
      <c r="I191" s="69" t="str">
        <f t="shared" si="27"/>
        <v/>
      </c>
      <c r="J191" s="64" t="str">
        <f t="shared" si="28"/>
        <v/>
      </c>
      <c r="K191" s="64" t="str">
        <f t="shared" si="29"/>
        <v/>
      </c>
      <c r="P191" s="183" t="s">
        <v>2593</v>
      </c>
      <c r="Q191" s="184">
        <v>0.82</v>
      </c>
    </row>
    <row r="192" spans="2:17" ht="18" customHeight="1" x14ac:dyDescent="0.2">
      <c r="B192" s="561" t="s">
        <v>22</v>
      </c>
      <c r="C192" s="561" t="s">
        <v>177</v>
      </c>
      <c r="D192" s="561" t="s">
        <v>243</v>
      </c>
      <c r="E192" s="561" t="s">
        <v>23</v>
      </c>
      <c r="F192" s="562" t="s">
        <v>234</v>
      </c>
      <c r="G192" s="562"/>
      <c r="H192" s="562"/>
      <c r="I192" s="562"/>
      <c r="J192" s="562"/>
      <c r="K192" s="562"/>
      <c r="P192" s="183" t="s">
        <v>2594</v>
      </c>
      <c r="Q192" s="184">
        <v>0.89</v>
      </c>
    </row>
    <row r="193" spans="1:17" ht="21" x14ac:dyDescent="0.2">
      <c r="A193" s="114">
        <v>21</v>
      </c>
      <c r="B193" s="432" t="s">
        <v>2651</v>
      </c>
      <c r="C193" s="115" t="s">
        <v>573</v>
      </c>
      <c r="D193" s="114" t="s">
        <v>574</v>
      </c>
      <c r="E193" s="329" t="str">
        <f>IF(O13="","",O13)</f>
        <v>SANTA MARTA</v>
      </c>
      <c r="F193" s="563">
        <f>IF(B193="","",VLOOKUP(E193,$O$2:$T$120,6,0))</f>
        <v>63571</v>
      </c>
      <c r="G193" s="564"/>
      <c r="H193" s="564"/>
      <c r="I193" s="564"/>
      <c r="J193" s="564"/>
      <c r="K193" s="565"/>
      <c r="P193" s="183" t="s">
        <v>2595</v>
      </c>
      <c r="Q193" s="184">
        <v>0.92</v>
      </c>
    </row>
    <row r="194" spans="1:17" ht="43.5" x14ac:dyDescent="0.2">
      <c r="A194" s="166" t="s">
        <v>779</v>
      </c>
      <c r="B194" s="116" t="s">
        <v>0</v>
      </c>
      <c r="C194" s="116" t="s">
        <v>20</v>
      </c>
      <c r="D194" s="116" t="s">
        <v>21</v>
      </c>
      <c r="E194" s="116" t="s">
        <v>1</v>
      </c>
      <c r="F194" s="117" t="s">
        <v>3</v>
      </c>
      <c r="G194" s="116" t="s">
        <v>216</v>
      </c>
      <c r="H194" s="180" t="s">
        <v>242</v>
      </c>
      <c r="I194" s="116" t="s">
        <v>245</v>
      </c>
      <c r="J194" s="116" t="s">
        <v>217</v>
      </c>
      <c r="K194" s="116" t="s">
        <v>218</v>
      </c>
      <c r="P194" s="183" t="s">
        <v>2596</v>
      </c>
      <c r="Q194" s="184">
        <v>0.95</v>
      </c>
    </row>
    <row r="195" spans="1:17" ht="17.25" x14ac:dyDescent="0.2">
      <c r="B195" s="352" t="s">
        <v>780</v>
      </c>
      <c r="C195" s="349" t="s">
        <v>786</v>
      </c>
      <c r="D195" s="349" t="s">
        <v>787</v>
      </c>
      <c r="E195" s="354" t="s">
        <v>265</v>
      </c>
      <c r="F195" s="108">
        <v>12.5</v>
      </c>
      <c r="G195" s="57">
        <v>14</v>
      </c>
      <c r="H195" s="65">
        <v>2</v>
      </c>
      <c r="I195" s="69">
        <f t="shared" ref="I195:I204" si="30">IF(G195="","",SUM(G195:H195))</f>
        <v>16</v>
      </c>
      <c r="J195" s="64">
        <f>IF(G195="","",ROUNDUP(G195*0.65,0))</f>
        <v>10</v>
      </c>
      <c r="K195" s="64">
        <f>IF(G195="","",ROUNDUP(G195*0.55,0))</f>
        <v>8</v>
      </c>
      <c r="P195" s="183" t="s">
        <v>2597</v>
      </c>
      <c r="Q195" s="184">
        <v>0.97</v>
      </c>
    </row>
    <row r="196" spans="1:17" ht="17.25" x14ac:dyDescent="0.2">
      <c r="B196" s="353" t="s">
        <v>781</v>
      </c>
      <c r="C196" s="97" t="s">
        <v>598</v>
      </c>
      <c r="D196" s="97" t="s">
        <v>787</v>
      </c>
      <c r="E196" s="123" t="s">
        <v>265</v>
      </c>
      <c r="F196" s="108">
        <v>12.5</v>
      </c>
      <c r="G196" s="57">
        <v>14</v>
      </c>
      <c r="H196" s="65">
        <v>2</v>
      </c>
      <c r="I196" s="69">
        <f t="shared" si="30"/>
        <v>16</v>
      </c>
      <c r="J196" s="64">
        <f t="shared" ref="J196:J210" si="31">IF(G196="","",ROUNDUP(G196*0.65,0))</f>
        <v>10</v>
      </c>
      <c r="K196" s="64">
        <f t="shared" ref="K196:K210" si="32">IF(G196="","",ROUNDUP(G196*0.55,0))</f>
        <v>8</v>
      </c>
      <c r="P196" s="183" t="s">
        <v>2598</v>
      </c>
      <c r="Q196" s="184">
        <v>0.85</v>
      </c>
    </row>
    <row r="197" spans="1:17" ht="17.25" x14ac:dyDescent="0.2">
      <c r="B197" s="353" t="s">
        <v>782</v>
      </c>
      <c r="C197" s="97" t="s">
        <v>598</v>
      </c>
      <c r="D197" s="97" t="s">
        <v>788</v>
      </c>
      <c r="E197" s="123" t="s">
        <v>265</v>
      </c>
      <c r="F197" s="108">
        <v>12.5</v>
      </c>
      <c r="G197" s="57">
        <v>14</v>
      </c>
      <c r="H197" s="65">
        <v>1</v>
      </c>
      <c r="I197" s="69">
        <f t="shared" si="30"/>
        <v>15</v>
      </c>
      <c r="J197" s="64">
        <f t="shared" si="31"/>
        <v>10</v>
      </c>
      <c r="K197" s="64">
        <f t="shared" si="32"/>
        <v>8</v>
      </c>
      <c r="P197" s="183" t="s">
        <v>2599</v>
      </c>
      <c r="Q197" s="184">
        <v>0.75</v>
      </c>
    </row>
    <row r="198" spans="1:17" ht="17.25" x14ac:dyDescent="0.2">
      <c r="B198" s="353" t="s">
        <v>783</v>
      </c>
      <c r="C198" s="97" t="s">
        <v>598</v>
      </c>
      <c r="D198" s="97" t="s">
        <v>789</v>
      </c>
      <c r="E198" s="123" t="s">
        <v>265</v>
      </c>
      <c r="F198" s="108">
        <v>12.5</v>
      </c>
      <c r="G198" s="57">
        <v>12</v>
      </c>
      <c r="H198" s="65">
        <v>1</v>
      </c>
      <c r="I198" s="69">
        <f t="shared" si="30"/>
        <v>13</v>
      </c>
      <c r="J198" s="64">
        <f t="shared" si="31"/>
        <v>8</v>
      </c>
      <c r="K198" s="64">
        <f t="shared" si="32"/>
        <v>7</v>
      </c>
      <c r="P198" s="183" t="s">
        <v>2600</v>
      </c>
      <c r="Q198" s="184">
        <v>0.82</v>
      </c>
    </row>
    <row r="199" spans="1:17" ht="17.25" x14ac:dyDescent="0.2">
      <c r="B199" s="353" t="s">
        <v>784</v>
      </c>
      <c r="C199" s="97" t="s">
        <v>790</v>
      </c>
      <c r="D199" s="97" t="s">
        <v>788</v>
      </c>
      <c r="E199" s="123" t="s">
        <v>179</v>
      </c>
      <c r="F199" s="108">
        <v>9.5</v>
      </c>
      <c r="G199" s="57">
        <v>14</v>
      </c>
      <c r="H199" s="65">
        <v>1</v>
      </c>
      <c r="I199" s="69">
        <f t="shared" si="30"/>
        <v>15</v>
      </c>
      <c r="J199" s="64">
        <f t="shared" si="31"/>
        <v>10</v>
      </c>
      <c r="K199" s="64">
        <f t="shared" si="32"/>
        <v>8</v>
      </c>
      <c r="P199" s="183" t="s">
        <v>2601</v>
      </c>
      <c r="Q199" s="184">
        <v>0.89</v>
      </c>
    </row>
    <row r="200" spans="1:17" ht="17.25" x14ac:dyDescent="0.2">
      <c r="B200" s="353" t="s">
        <v>785</v>
      </c>
      <c r="C200" s="97" t="s">
        <v>682</v>
      </c>
      <c r="D200" s="97" t="s">
        <v>787</v>
      </c>
      <c r="E200" s="123" t="s">
        <v>179</v>
      </c>
      <c r="F200" s="108">
        <v>9.5</v>
      </c>
      <c r="G200" s="57">
        <v>14</v>
      </c>
      <c r="H200" s="65">
        <v>1</v>
      </c>
      <c r="I200" s="69">
        <f t="shared" si="30"/>
        <v>15</v>
      </c>
      <c r="J200" s="64">
        <f t="shared" si="31"/>
        <v>10</v>
      </c>
      <c r="K200" s="64">
        <f t="shared" si="32"/>
        <v>8</v>
      </c>
      <c r="P200" s="183" t="s">
        <v>2602</v>
      </c>
      <c r="Q200" s="184">
        <v>0.92</v>
      </c>
    </row>
    <row r="201" spans="1:17" ht="17.25" x14ac:dyDescent="0.2">
      <c r="B201" s="325"/>
      <c r="C201" s="97"/>
      <c r="D201" s="97"/>
      <c r="E201" s="123"/>
      <c r="F201" s="108"/>
      <c r="G201" s="64"/>
      <c r="H201" s="65"/>
      <c r="I201" s="69" t="str">
        <f t="shared" si="30"/>
        <v/>
      </c>
      <c r="J201" s="64" t="str">
        <f t="shared" si="31"/>
        <v/>
      </c>
      <c r="K201" s="64" t="str">
        <f t="shared" si="32"/>
        <v/>
      </c>
      <c r="P201" s="183" t="s">
        <v>2603</v>
      </c>
      <c r="Q201" s="184">
        <v>0.95</v>
      </c>
    </row>
    <row r="202" spans="1:17" ht="17.25" x14ac:dyDescent="0.2">
      <c r="B202" s="325"/>
      <c r="C202" s="97"/>
      <c r="D202" s="97"/>
      <c r="E202" s="123"/>
      <c r="F202" s="108"/>
      <c r="G202" s="64"/>
      <c r="H202" s="65"/>
      <c r="I202" s="69" t="str">
        <f t="shared" si="30"/>
        <v/>
      </c>
      <c r="J202" s="64" t="str">
        <f t="shared" si="31"/>
        <v/>
      </c>
      <c r="K202" s="64" t="str">
        <f t="shared" si="32"/>
        <v/>
      </c>
      <c r="P202" s="183" t="s">
        <v>2604</v>
      </c>
      <c r="Q202" s="184">
        <v>0.97</v>
      </c>
    </row>
    <row r="203" spans="1:17" ht="17.25" x14ac:dyDescent="0.2">
      <c r="B203" s="325"/>
      <c r="C203" s="97"/>
      <c r="D203" s="97"/>
      <c r="E203" s="123"/>
      <c r="F203" s="108"/>
      <c r="G203" s="64"/>
      <c r="H203" s="65"/>
      <c r="I203" s="69" t="str">
        <f t="shared" si="30"/>
        <v/>
      </c>
      <c r="J203" s="64" t="str">
        <f t="shared" si="31"/>
        <v/>
      </c>
      <c r="K203" s="64" t="str">
        <f t="shared" si="32"/>
        <v/>
      </c>
      <c r="P203" s="183" t="s">
        <v>2605</v>
      </c>
      <c r="Q203" s="184">
        <v>0.82</v>
      </c>
    </row>
    <row r="204" spans="1:17" ht="17.25" x14ac:dyDescent="0.2">
      <c r="B204" s="325"/>
      <c r="C204" s="97"/>
      <c r="D204" s="97"/>
      <c r="E204" s="123"/>
      <c r="F204" s="108"/>
      <c r="G204" s="64"/>
      <c r="H204" s="65"/>
      <c r="I204" s="69" t="str">
        <f t="shared" si="30"/>
        <v/>
      </c>
      <c r="J204" s="64" t="str">
        <f t="shared" si="31"/>
        <v/>
      </c>
      <c r="K204" s="64" t="str">
        <f t="shared" si="32"/>
        <v/>
      </c>
      <c r="P204" s="183" t="s">
        <v>2606</v>
      </c>
      <c r="Q204" s="184">
        <v>0.89</v>
      </c>
    </row>
    <row r="205" spans="1:17" ht="17.25" x14ac:dyDescent="0.2">
      <c r="B205" s="325"/>
      <c r="C205" s="97"/>
      <c r="D205" s="97"/>
      <c r="E205" s="123"/>
      <c r="F205" s="108"/>
      <c r="G205" s="64"/>
      <c r="H205" s="65"/>
      <c r="I205" s="69"/>
      <c r="J205" s="64" t="str">
        <f t="shared" si="31"/>
        <v/>
      </c>
      <c r="K205" s="64" t="str">
        <f t="shared" si="32"/>
        <v/>
      </c>
      <c r="P205" s="183" t="s">
        <v>2607</v>
      </c>
      <c r="Q205" s="184">
        <v>0.92</v>
      </c>
    </row>
    <row r="206" spans="1:17" ht="17.25" x14ac:dyDescent="0.2">
      <c r="B206" s="325"/>
      <c r="C206" s="97"/>
      <c r="D206" s="97"/>
      <c r="E206" s="123"/>
      <c r="F206" s="108"/>
      <c r="G206" s="64"/>
      <c r="H206" s="65"/>
      <c r="I206" s="69"/>
      <c r="J206" s="64" t="str">
        <f t="shared" si="31"/>
        <v/>
      </c>
      <c r="K206" s="64" t="str">
        <f t="shared" si="32"/>
        <v/>
      </c>
      <c r="P206" s="183" t="s">
        <v>2608</v>
      </c>
      <c r="Q206" s="184">
        <v>0.95</v>
      </c>
    </row>
    <row r="207" spans="1:17" ht="17.25" x14ac:dyDescent="0.2">
      <c r="B207" s="325"/>
      <c r="C207" s="97"/>
      <c r="D207" s="97"/>
      <c r="E207" s="123"/>
      <c r="F207" s="108"/>
      <c r="G207" s="64"/>
      <c r="H207" s="65"/>
      <c r="I207" s="69"/>
      <c r="J207" s="64" t="str">
        <f t="shared" si="31"/>
        <v/>
      </c>
      <c r="K207" s="64" t="str">
        <f t="shared" si="32"/>
        <v/>
      </c>
      <c r="P207" s="183" t="s">
        <v>2609</v>
      </c>
      <c r="Q207" s="184">
        <v>0.97</v>
      </c>
    </row>
    <row r="208" spans="1:17" ht="17.25" x14ac:dyDescent="0.2">
      <c r="B208" s="325"/>
      <c r="C208" s="97"/>
      <c r="D208" s="97"/>
      <c r="E208" s="123"/>
      <c r="F208" s="108"/>
      <c r="G208" s="64"/>
      <c r="H208" s="65"/>
      <c r="I208" s="69"/>
      <c r="J208" s="64" t="str">
        <f t="shared" si="31"/>
        <v/>
      </c>
      <c r="K208" s="64" t="str">
        <f t="shared" si="32"/>
        <v/>
      </c>
      <c r="P208" s="183" t="s">
        <v>2610</v>
      </c>
      <c r="Q208" s="184">
        <v>0.85</v>
      </c>
    </row>
    <row r="209" spans="1:17" ht="17.25" x14ac:dyDescent="0.2">
      <c r="B209" s="325"/>
      <c r="C209" s="97"/>
      <c r="D209" s="97"/>
      <c r="E209" s="123"/>
      <c r="F209" s="108"/>
      <c r="G209" s="64"/>
      <c r="H209" s="65"/>
      <c r="I209" s="69"/>
      <c r="J209" s="64" t="str">
        <f t="shared" si="31"/>
        <v/>
      </c>
      <c r="K209" s="64" t="str">
        <f t="shared" si="32"/>
        <v/>
      </c>
      <c r="P209" s="183" t="s">
        <v>2611</v>
      </c>
      <c r="Q209" s="184">
        <v>0.75</v>
      </c>
    </row>
    <row r="210" spans="1:17" ht="17.25" x14ac:dyDescent="0.2">
      <c r="B210" s="325"/>
      <c r="C210" s="97"/>
      <c r="D210" s="97"/>
      <c r="E210" s="123"/>
      <c r="F210" s="108"/>
      <c r="G210" s="64"/>
      <c r="H210" s="65"/>
      <c r="I210" s="69"/>
      <c r="J210" s="64" t="str">
        <f t="shared" si="31"/>
        <v/>
      </c>
      <c r="K210" s="64" t="str">
        <f t="shared" si="32"/>
        <v/>
      </c>
      <c r="P210" s="183" t="s">
        <v>2612</v>
      </c>
      <c r="Q210" s="184">
        <v>0.82</v>
      </c>
    </row>
    <row r="211" spans="1:17" ht="18" customHeight="1" x14ac:dyDescent="0.2">
      <c r="B211" s="561" t="s">
        <v>22</v>
      </c>
      <c r="C211" s="561" t="s">
        <v>177</v>
      </c>
      <c r="D211" s="561" t="s">
        <v>243</v>
      </c>
      <c r="E211" s="561" t="s">
        <v>23</v>
      </c>
      <c r="F211" s="562" t="s">
        <v>234</v>
      </c>
      <c r="G211" s="562"/>
      <c r="H211" s="562"/>
      <c r="I211" s="562"/>
      <c r="J211" s="562"/>
      <c r="K211" s="562"/>
      <c r="P211" s="183" t="s">
        <v>2613</v>
      </c>
      <c r="Q211" s="184">
        <v>0.89</v>
      </c>
    </row>
    <row r="212" spans="1:17" ht="21" x14ac:dyDescent="0.2">
      <c r="A212" s="114">
        <v>22</v>
      </c>
      <c r="B212" s="587" t="s">
        <v>2638</v>
      </c>
      <c r="C212" s="115" t="s">
        <v>536</v>
      </c>
      <c r="D212" s="114" t="s">
        <v>537</v>
      </c>
      <c r="E212" s="329" t="str">
        <f>IF(O14="","",O14)</f>
        <v>ROMANA</v>
      </c>
      <c r="F212" s="563">
        <f>IF(B212="","",VLOOKUP(E212,$O$2:$T$120,6,0))</f>
        <v>64346</v>
      </c>
      <c r="G212" s="564"/>
      <c r="H212" s="564"/>
      <c r="I212" s="564"/>
      <c r="J212" s="564"/>
      <c r="K212" s="565"/>
      <c r="P212" s="183" t="s">
        <v>2614</v>
      </c>
      <c r="Q212" s="184">
        <v>0.92</v>
      </c>
    </row>
    <row r="213" spans="1:17" ht="44.25" thickBot="1" x14ac:dyDescent="0.25">
      <c r="A213" s="166" t="s">
        <v>779</v>
      </c>
      <c r="B213" s="116" t="s">
        <v>0</v>
      </c>
      <c r="C213" s="116" t="s">
        <v>20</v>
      </c>
      <c r="D213" s="116" t="s">
        <v>21</v>
      </c>
      <c r="E213" s="116" t="s">
        <v>1</v>
      </c>
      <c r="F213" s="117" t="s">
        <v>3</v>
      </c>
      <c r="G213" s="116" t="s">
        <v>216</v>
      </c>
      <c r="H213" s="180" t="s">
        <v>242</v>
      </c>
      <c r="I213" s="116" t="s">
        <v>245</v>
      </c>
      <c r="J213" s="116" t="s">
        <v>217</v>
      </c>
      <c r="K213" s="116" t="s">
        <v>218</v>
      </c>
      <c r="P213" s="183" t="s">
        <v>2615</v>
      </c>
      <c r="Q213" s="184">
        <v>0.95</v>
      </c>
    </row>
    <row r="214" spans="1:17" ht="17.25" x14ac:dyDescent="0.2">
      <c r="B214" s="357" t="s">
        <v>814</v>
      </c>
      <c r="C214" s="355" t="s">
        <v>798</v>
      </c>
      <c r="D214" s="356" t="s">
        <v>799</v>
      </c>
      <c r="E214" s="107" t="s">
        <v>55</v>
      </c>
      <c r="F214" s="333">
        <v>14</v>
      </c>
      <c r="G214" s="57">
        <v>12</v>
      </c>
      <c r="H214" s="65">
        <v>3</v>
      </c>
      <c r="I214" s="69">
        <f t="shared" ref="I214:I229" si="33">IF(G214="","",SUM(G214:H214))</f>
        <v>15</v>
      </c>
      <c r="J214" s="64">
        <f>IF(G214="","",ROUNDUP(G214*0.65,0))</f>
        <v>8</v>
      </c>
      <c r="K214" s="64">
        <f>IF(G214="","",ROUNDUP(G214*0.55,0))</f>
        <v>7</v>
      </c>
      <c r="P214" s="183" t="s">
        <v>2616</v>
      </c>
      <c r="Q214" s="184">
        <v>0.97</v>
      </c>
    </row>
    <row r="215" spans="1:17" ht="17.25" x14ac:dyDescent="0.2">
      <c r="B215" s="358" t="s">
        <v>815</v>
      </c>
      <c r="C215" s="100" t="s">
        <v>800</v>
      </c>
      <c r="D215" s="100" t="s">
        <v>801</v>
      </c>
      <c r="E215" s="107" t="s">
        <v>265</v>
      </c>
      <c r="F215" s="108">
        <v>12.5</v>
      </c>
      <c r="G215" s="57">
        <v>8</v>
      </c>
      <c r="H215" s="65">
        <v>2</v>
      </c>
      <c r="I215" s="69">
        <f t="shared" si="33"/>
        <v>10</v>
      </c>
      <c r="J215" s="64">
        <f t="shared" ref="J215:J229" si="34">IF(G215="","",ROUNDUP(G215*0.65,0))</f>
        <v>6</v>
      </c>
      <c r="K215" s="64">
        <f t="shared" ref="K215:K229" si="35">IF(G215="","",ROUNDUP(G215*0.55,0))</f>
        <v>5</v>
      </c>
      <c r="P215" s="183" t="s">
        <v>2617</v>
      </c>
      <c r="Q215" s="184">
        <v>0.82</v>
      </c>
    </row>
    <row r="216" spans="1:17" ht="17.25" x14ac:dyDescent="0.2">
      <c r="B216" s="358" t="s">
        <v>816</v>
      </c>
      <c r="C216" s="100" t="s">
        <v>800</v>
      </c>
      <c r="D216" s="100" t="s">
        <v>802</v>
      </c>
      <c r="E216" s="107" t="s">
        <v>265</v>
      </c>
      <c r="F216" s="108">
        <v>12.5</v>
      </c>
      <c r="G216" s="57">
        <v>8</v>
      </c>
      <c r="H216" s="65">
        <v>2</v>
      </c>
      <c r="I216" s="69">
        <f t="shared" si="33"/>
        <v>10</v>
      </c>
      <c r="J216" s="64">
        <f t="shared" si="34"/>
        <v>6</v>
      </c>
      <c r="K216" s="64">
        <f t="shared" si="35"/>
        <v>5</v>
      </c>
      <c r="P216" s="183" t="s">
        <v>2618</v>
      </c>
      <c r="Q216" s="184">
        <v>0.89</v>
      </c>
    </row>
    <row r="217" spans="1:17" ht="17.25" x14ac:dyDescent="0.2">
      <c r="B217" s="358" t="s">
        <v>817</v>
      </c>
      <c r="C217" s="100" t="s">
        <v>800</v>
      </c>
      <c r="D217" s="100" t="s">
        <v>803</v>
      </c>
      <c r="E217" s="107" t="s">
        <v>265</v>
      </c>
      <c r="F217" s="108">
        <v>12.5</v>
      </c>
      <c r="G217" s="57">
        <v>7</v>
      </c>
      <c r="H217" s="65">
        <v>2</v>
      </c>
      <c r="I217" s="69">
        <f t="shared" si="33"/>
        <v>9</v>
      </c>
      <c r="J217" s="64">
        <f t="shared" si="34"/>
        <v>5</v>
      </c>
      <c r="K217" s="64">
        <f t="shared" si="35"/>
        <v>4</v>
      </c>
      <c r="P217" s="183" t="s">
        <v>2619</v>
      </c>
      <c r="Q217" s="184">
        <v>0.92</v>
      </c>
    </row>
    <row r="218" spans="1:17" ht="17.25" x14ac:dyDescent="0.2">
      <c r="B218" s="358" t="s">
        <v>818</v>
      </c>
      <c r="C218" s="100" t="s">
        <v>800</v>
      </c>
      <c r="D218" s="100" t="s">
        <v>545</v>
      </c>
      <c r="E218" s="107" t="s">
        <v>265</v>
      </c>
      <c r="F218" s="108">
        <v>12.5</v>
      </c>
      <c r="G218" s="57">
        <v>8</v>
      </c>
      <c r="H218" s="65">
        <v>2</v>
      </c>
      <c r="I218" s="69">
        <f t="shared" si="33"/>
        <v>10</v>
      </c>
      <c r="J218" s="64">
        <f t="shared" si="34"/>
        <v>6</v>
      </c>
      <c r="K218" s="64">
        <f t="shared" si="35"/>
        <v>5</v>
      </c>
      <c r="P218" s="183" t="s">
        <v>2620</v>
      </c>
      <c r="Q218" s="184">
        <v>0.95</v>
      </c>
    </row>
    <row r="219" spans="1:17" ht="17.25" x14ac:dyDescent="0.2">
      <c r="B219" s="358" t="s">
        <v>819</v>
      </c>
      <c r="C219" s="100" t="s">
        <v>800</v>
      </c>
      <c r="D219" s="100" t="s">
        <v>804</v>
      </c>
      <c r="E219" s="107" t="s">
        <v>265</v>
      </c>
      <c r="F219" s="108">
        <v>12.5</v>
      </c>
      <c r="G219" s="57">
        <v>7</v>
      </c>
      <c r="H219" s="65">
        <v>2</v>
      </c>
      <c r="I219" s="69">
        <f t="shared" si="33"/>
        <v>9</v>
      </c>
      <c r="J219" s="64">
        <f t="shared" si="34"/>
        <v>5</v>
      </c>
      <c r="K219" s="64">
        <f t="shared" si="35"/>
        <v>4</v>
      </c>
      <c r="P219" s="183" t="s">
        <v>2621</v>
      </c>
      <c r="Q219" s="184">
        <v>0.97</v>
      </c>
    </row>
    <row r="220" spans="1:17" ht="17.25" x14ac:dyDescent="0.2">
      <c r="B220" s="358" t="s">
        <v>820</v>
      </c>
      <c r="C220" s="100" t="s">
        <v>800</v>
      </c>
      <c r="D220" s="100" t="s">
        <v>805</v>
      </c>
      <c r="E220" s="107" t="s">
        <v>265</v>
      </c>
      <c r="F220" s="108">
        <v>12.5</v>
      </c>
      <c r="G220" s="57">
        <v>7</v>
      </c>
      <c r="H220" s="65">
        <v>2</v>
      </c>
      <c r="I220" s="69">
        <f t="shared" si="33"/>
        <v>9</v>
      </c>
      <c r="J220" s="64">
        <f t="shared" si="34"/>
        <v>5</v>
      </c>
      <c r="K220" s="64">
        <f t="shared" si="35"/>
        <v>4</v>
      </c>
    </row>
    <row r="221" spans="1:17" ht="17.25" x14ac:dyDescent="0.2">
      <c r="B221" s="358" t="s">
        <v>821</v>
      </c>
      <c r="C221" s="100" t="s">
        <v>800</v>
      </c>
      <c r="D221" s="100" t="s">
        <v>806</v>
      </c>
      <c r="E221" s="107" t="s">
        <v>265</v>
      </c>
      <c r="F221" s="108">
        <v>12.5</v>
      </c>
      <c r="G221" s="57">
        <v>4</v>
      </c>
      <c r="H221" s="65">
        <v>1</v>
      </c>
      <c r="I221" s="69">
        <f t="shared" si="33"/>
        <v>5</v>
      </c>
      <c r="J221" s="64">
        <f t="shared" si="34"/>
        <v>3</v>
      </c>
      <c r="K221" s="64">
        <f t="shared" si="35"/>
        <v>3</v>
      </c>
    </row>
    <row r="222" spans="1:17" ht="17.25" x14ac:dyDescent="0.2">
      <c r="B222" s="358" t="s">
        <v>822</v>
      </c>
      <c r="C222" s="100" t="s">
        <v>800</v>
      </c>
      <c r="D222" s="100" t="s">
        <v>807</v>
      </c>
      <c r="E222" s="107" t="s">
        <v>265</v>
      </c>
      <c r="F222" s="108">
        <v>12.5</v>
      </c>
      <c r="G222" s="57">
        <v>7</v>
      </c>
      <c r="H222" s="65">
        <v>1</v>
      </c>
      <c r="I222" s="69">
        <f t="shared" si="33"/>
        <v>8</v>
      </c>
      <c r="J222" s="64">
        <f t="shared" si="34"/>
        <v>5</v>
      </c>
      <c r="K222" s="64">
        <f t="shared" si="35"/>
        <v>4</v>
      </c>
    </row>
    <row r="223" spans="1:17" ht="17.25" x14ac:dyDescent="0.2">
      <c r="B223" s="358" t="s">
        <v>823</v>
      </c>
      <c r="C223" s="100" t="s">
        <v>808</v>
      </c>
      <c r="D223" s="100" t="s">
        <v>809</v>
      </c>
      <c r="E223" s="123" t="s">
        <v>179</v>
      </c>
      <c r="F223" s="108">
        <v>9.5</v>
      </c>
      <c r="G223" s="57">
        <v>5</v>
      </c>
      <c r="H223" s="65">
        <v>1</v>
      </c>
      <c r="I223" s="69">
        <f t="shared" si="33"/>
        <v>6</v>
      </c>
      <c r="J223" s="64">
        <f t="shared" si="34"/>
        <v>4</v>
      </c>
      <c r="K223" s="64">
        <f t="shared" si="35"/>
        <v>3</v>
      </c>
    </row>
    <row r="224" spans="1:17" ht="17.25" x14ac:dyDescent="0.2">
      <c r="B224" s="358" t="s">
        <v>824</v>
      </c>
      <c r="C224" s="100" t="s">
        <v>810</v>
      </c>
      <c r="D224" s="100" t="s">
        <v>811</v>
      </c>
      <c r="E224" s="123" t="s">
        <v>179</v>
      </c>
      <c r="F224" s="108">
        <v>9.5</v>
      </c>
      <c r="G224" s="57">
        <v>5</v>
      </c>
      <c r="H224" s="65">
        <v>2</v>
      </c>
      <c r="I224" s="69">
        <f t="shared" si="33"/>
        <v>7</v>
      </c>
      <c r="J224" s="64">
        <f t="shared" si="34"/>
        <v>4</v>
      </c>
      <c r="K224" s="64">
        <f t="shared" si="35"/>
        <v>3</v>
      </c>
    </row>
    <row r="225" spans="1:11" ht="17.25" x14ac:dyDescent="0.2">
      <c r="B225" s="358" t="s">
        <v>825</v>
      </c>
      <c r="C225" s="100" t="s">
        <v>812</v>
      </c>
      <c r="D225" s="100" t="s">
        <v>813</v>
      </c>
      <c r="E225" s="123" t="s">
        <v>179</v>
      </c>
      <c r="F225" s="108">
        <v>9.5</v>
      </c>
      <c r="G225" s="57">
        <v>5</v>
      </c>
      <c r="H225" s="65">
        <v>2</v>
      </c>
      <c r="I225" s="69">
        <f t="shared" si="33"/>
        <v>7</v>
      </c>
      <c r="J225" s="64">
        <f t="shared" si="34"/>
        <v>4</v>
      </c>
      <c r="K225" s="64">
        <f t="shared" si="35"/>
        <v>3</v>
      </c>
    </row>
    <row r="226" spans="1:11" ht="17.25" x14ac:dyDescent="0.2">
      <c r="B226" s="325"/>
      <c r="C226" s="112"/>
      <c r="D226" s="112"/>
      <c r="E226" s="107"/>
      <c r="F226" s="108"/>
      <c r="G226" s="57"/>
      <c r="H226" s="65"/>
      <c r="I226" s="69" t="str">
        <f t="shared" si="33"/>
        <v/>
      </c>
      <c r="J226" s="64" t="str">
        <f t="shared" si="34"/>
        <v/>
      </c>
      <c r="K226" s="64" t="str">
        <f t="shared" si="35"/>
        <v/>
      </c>
    </row>
    <row r="227" spans="1:11" ht="17.25" x14ac:dyDescent="0.2">
      <c r="B227" s="325"/>
      <c r="C227" s="112"/>
      <c r="D227" s="112"/>
      <c r="E227" s="107"/>
      <c r="F227" s="108"/>
      <c r="G227" s="57"/>
      <c r="H227" s="65"/>
      <c r="I227" s="69" t="str">
        <f t="shared" si="33"/>
        <v/>
      </c>
      <c r="J227" s="64" t="str">
        <f t="shared" si="34"/>
        <v/>
      </c>
      <c r="K227" s="64" t="str">
        <f t="shared" si="35"/>
        <v/>
      </c>
    </row>
    <row r="228" spans="1:11" ht="17.25" x14ac:dyDescent="0.2">
      <c r="B228" s="325"/>
      <c r="C228" s="112"/>
      <c r="D228" s="112"/>
      <c r="E228" s="107"/>
      <c r="F228" s="108"/>
      <c r="G228" s="57"/>
      <c r="H228" s="65"/>
      <c r="I228" s="69" t="str">
        <f t="shared" si="33"/>
        <v/>
      </c>
      <c r="J228" s="64" t="str">
        <f t="shared" si="34"/>
        <v/>
      </c>
      <c r="K228" s="64" t="str">
        <f t="shared" si="35"/>
        <v/>
      </c>
    </row>
    <row r="229" spans="1:11" ht="17.25" x14ac:dyDescent="0.2">
      <c r="B229" s="325"/>
      <c r="C229" s="112"/>
      <c r="D229" s="112"/>
      <c r="E229" s="107"/>
      <c r="F229" s="108"/>
      <c r="G229" s="57"/>
      <c r="H229" s="65"/>
      <c r="I229" s="69" t="str">
        <f t="shared" si="33"/>
        <v/>
      </c>
      <c r="J229" s="64" t="str">
        <f t="shared" si="34"/>
        <v/>
      </c>
      <c r="K229" s="64" t="str">
        <f t="shared" si="35"/>
        <v/>
      </c>
    </row>
    <row r="230" spans="1:11" ht="18" customHeight="1" x14ac:dyDescent="0.2">
      <c r="B230" s="561" t="s">
        <v>22</v>
      </c>
      <c r="C230" s="561" t="s">
        <v>177</v>
      </c>
      <c r="D230" s="561" t="s">
        <v>243</v>
      </c>
      <c r="E230" s="561" t="s">
        <v>23</v>
      </c>
      <c r="F230" s="562" t="s">
        <v>234</v>
      </c>
      <c r="G230" s="562"/>
      <c r="H230" s="562"/>
      <c r="I230" s="562"/>
      <c r="J230" s="562"/>
      <c r="K230" s="562"/>
    </row>
    <row r="231" spans="1:11" ht="21" x14ac:dyDescent="0.2">
      <c r="A231" s="114">
        <v>23</v>
      </c>
      <c r="B231" s="436" t="s">
        <v>2681</v>
      </c>
      <c r="C231" s="115" t="s">
        <v>2699</v>
      </c>
      <c r="D231" s="114" t="s">
        <v>1209</v>
      </c>
      <c r="E231" s="329" t="str">
        <f>IF(O15="","",O15)</f>
        <v>CANDIDO ISIDORIO</v>
      </c>
      <c r="F231" s="563">
        <f>IF(B231="","",VLOOKUP(E231,$O$2:$T$120,6,0))</f>
        <v>49616</v>
      </c>
      <c r="G231" s="564"/>
      <c r="H231" s="564"/>
      <c r="I231" s="564"/>
      <c r="J231" s="564"/>
      <c r="K231" s="565"/>
    </row>
    <row r="232" spans="1:11" ht="43.5" x14ac:dyDescent="0.2">
      <c r="A232" s="166" t="s">
        <v>779</v>
      </c>
      <c r="B232" s="116" t="s">
        <v>0</v>
      </c>
      <c r="C232" s="116" t="s">
        <v>20</v>
      </c>
      <c r="D232" s="116" t="s">
        <v>21</v>
      </c>
      <c r="E232" s="116" t="s">
        <v>1</v>
      </c>
      <c r="F232" s="117" t="s">
        <v>3</v>
      </c>
      <c r="G232" s="116" t="s">
        <v>216</v>
      </c>
      <c r="H232" s="180" t="s">
        <v>242</v>
      </c>
      <c r="I232" s="116" t="s">
        <v>245</v>
      </c>
      <c r="J232" s="116" t="s">
        <v>217</v>
      </c>
      <c r="K232" s="116" t="s">
        <v>218</v>
      </c>
    </row>
    <row r="233" spans="1:11" ht="17.25" x14ac:dyDescent="0.2">
      <c r="B233" s="359" t="s">
        <v>826</v>
      </c>
      <c r="C233" s="112" t="s">
        <v>836</v>
      </c>
      <c r="D233" s="112" t="s">
        <v>837</v>
      </c>
      <c r="E233" s="107" t="s">
        <v>179</v>
      </c>
      <c r="F233" s="108">
        <v>9.5</v>
      </c>
      <c r="G233" s="57">
        <v>4</v>
      </c>
      <c r="H233" s="65">
        <v>1</v>
      </c>
      <c r="I233" s="69">
        <f t="shared" ref="I233:I248" si="36">IF(G233="","",SUM(G233:H233))</f>
        <v>5</v>
      </c>
      <c r="J233" s="64">
        <f>IF(G233="","",ROUNDUP(G233*0.65,0))</f>
        <v>3</v>
      </c>
      <c r="K233" s="64">
        <f>IF(G233="","",ROUNDUP(G233*0.55,0))</f>
        <v>3</v>
      </c>
    </row>
    <row r="234" spans="1:11" ht="17.25" x14ac:dyDescent="0.2">
      <c r="B234" s="359" t="s">
        <v>828</v>
      </c>
      <c r="C234" s="112" t="s">
        <v>839</v>
      </c>
      <c r="D234" s="112" t="s">
        <v>838</v>
      </c>
      <c r="E234" s="107" t="s">
        <v>179</v>
      </c>
      <c r="F234" s="108">
        <v>9.5</v>
      </c>
      <c r="G234" s="57">
        <v>6</v>
      </c>
      <c r="H234" s="65">
        <v>1</v>
      </c>
      <c r="I234" s="69">
        <f>IF(G234="","",SUM(G234:H234))</f>
        <v>7</v>
      </c>
      <c r="J234" s="64">
        <f>IF(G234="","",ROUNDUP(G234*0.65,0))</f>
        <v>4</v>
      </c>
      <c r="K234" s="64">
        <f>IF(G234="","",ROUNDUP(G234*0.55,0))</f>
        <v>4</v>
      </c>
    </row>
    <row r="235" spans="1:11" ht="17.25" x14ac:dyDescent="0.2">
      <c r="B235" s="359" t="s">
        <v>830</v>
      </c>
      <c r="C235" s="112" t="s">
        <v>841</v>
      </c>
      <c r="D235" s="112" t="s">
        <v>838</v>
      </c>
      <c r="E235" s="107" t="s">
        <v>179</v>
      </c>
      <c r="F235" s="108">
        <v>9.5</v>
      </c>
      <c r="G235" s="57">
        <v>6</v>
      </c>
      <c r="H235" s="65">
        <v>2</v>
      </c>
      <c r="I235" s="69">
        <f>IF(G235="","",SUM(G235:H235))</f>
        <v>8</v>
      </c>
      <c r="J235" s="64">
        <f>IF(G235="","",ROUNDUP(G235*0.65,0))</f>
        <v>4</v>
      </c>
      <c r="K235" s="64">
        <f>IF(G235="","",ROUNDUP(G235*0.55,0))</f>
        <v>4</v>
      </c>
    </row>
    <row r="236" spans="1:11" ht="17.25" x14ac:dyDescent="0.2">
      <c r="B236" s="359" t="s">
        <v>827</v>
      </c>
      <c r="C236" s="112" t="s">
        <v>836</v>
      </c>
      <c r="D236" s="112" t="s">
        <v>838</v>
      </c>
      <c r="E236" s="107" t="s">
        <v>265</v>
      </c>
      <c r="F236" s="108">
        <v>12.5</v>
      </c>
      <c r="G236" s="57">
        <v>4</v>
      </c>
      <c r="H236" s="65">
        <v>1</v>
      </c>
      <c r="I236" s="69">
        <f>IF(G236="","",SUM(G236:H236))</f>
        <v>5</v>
      </c>
      <c r="J236" s="64">
        <f>IF(G236="","",ROUNDUP(G236*0.65,0))</f>
        <v>3</v>
      </c>
      <c r="K236" s="64">
        <f>IF(G236="","",ROUNDUP(G236*0.55,0))</f>
        <v>3</v>
      </c>
    </row>
    <row r="237" spans="1:11" ht="17.25" x14ac:dyDescent="0.2">
      <c r="B237" s="359" t="s">
        <v>829</v>
      </c>
      <c r="C237" s="112" t="s">
        <v>840</v>
      </c>
      <c r="D237" s="112" t="s">
        <v>838</v>
      </c>
      <c r="E237" s="107" t="s">
        <v>265</v>
      </c>
      <c r="F237" s="108">
        <v>12.5</v>
      </c>
      <c r="G237" s="57">
        <v>8</v>
      </c>
      <c r="H237" s="65">
        <v>2</v>
      </c>
      <c r="I237" s="69">
        <f>IF(G237="","",SUM(G237:H237))</f>
        <v>10</v>
      </c>
      <c r="J237" s="64">
        <f>IF(G237="","",ROUNDUP(G237*0.65,0))</f>
        <v>6</v>
      </c>
      <c r="K237" s="64">
        <f>IF(G237="","",ROUNDUP(G237*0.55,0))</f>
        <v>5</v>
      </c>
    </row>
    <row r="238" spans="1:11" ht="17.25" x14ac:dyDescent="0.2">
      <c r="B238" s="359" t="s">
        <v>831</v>
      </c>
      <c r="C238" s="112" t="s">
        <v>842</v>
      </c>
      <c r="D238" s="112" t="s">
        <v>838</v>
      </c>
      <c r="E238" s="107" t="s">
        <v>265</v>
      </c>
      <c r="F238" s="108">
        <v>12.5</v>
      </c>
      <c r="G238" s="57">
        <v>8</v>
      </c>
      <c r="H238" s="65">
        <v>2</v>
      </c>
      <c r="I238" s="69">
        <f t="shared" si="36"/>
        <v>10</v>
      </c>
      <c r="J238" s="64">
        <f t="shared" ref="J238:J248" si="37">IF(G238="","",ROUNDUP(G238*0.65,0))</f>
        <v>6</v>
      </c>
      <c r="K238" s="64">
        <f t="shared" ref="K238:K248" si="38">IF(G238="","",ROUNDUP(G238*0.55,0))</f>
        <v>5</v>
      </c>
    </row>
    <row r="239" spans="1:11" ht="17.25" x14ac:dyDescent="0.2">
      <c r="B239" s="359" t="s">
        <v>832</v>
      </c>
      <c r="C239" s="112" t="s">
        <v>843</v>
      </c>
      <c r="D239" s="112" t="s">
        <v>838</v>
      </c>
      <c r="E239" s="107" t="s">
        <v>265</v>
      </c>
      <c r="F239" s="108">
        <v>12.5</v>
      </c>
      <c r="G239" s="57">
        <v>6</v>
      </c>
      <c r="H239" s="65">
        <v>1</v>
      </c>
      <c r="I239" s="69">
        <f t="shared" si="36"/>
        <v>7</v>
      </c>
      <c r="J239" s="64">
        <f t="shared" si="37"/>
        <v>4</v>
      </c>
      <c r="K239" s="64">
        <f t="shared" si="38"/>
        <v>4</v>
      </c>
    </row>
    <row r="240" spans="1:11" ht="17.25" x14ac:dyDescent="0.2">
      <c r="B240" s="359" t="s">
        <v>833</v>
      </c>
      <c r="C240" s="112" t="s">
        <v>844</v>
      </c>
      <c r="D240" s="112" t="s">
        <v>838</v>
      </c>
      <c r="E240" s="107" t="s">
        <v>265</v>
      </c>
      <c r="F240" s="108">
        <v>12.5</v>
      </c>
      <c r="G240" s="57">
        <v>8</v>
      </c>
      <c r="H240" s="65">
        <v>2</v>
      </c>
      <c r="I240" s="69">
        <f t="shared" si="36"/>
        <v>10</v>
      </c>
      <c r="J240" s="64">
        <f t="shared" si="37"/>
        <v>6</v>
      </c>
      <c r="K240" s="64">
        <f t="shared" si="38"/>
        <v>5</v>
      </c>
    </row>
    <row r="241" spans="1:11" ht="17.25" x14ac:dyDescent="0.2">
      <c r="B241" s="359" t="s">
        <v>834</v>
      </c>
      <c r="C241" s="112" t="s">
        <v>845</v>
      </c>
      <c r="D241" s="112" t="s">
        <v>838</v>
      </c>
      <c r="E241" s="107" t="s">
        <v>265</v>
      </c>
      <c r="F241" s="108">
        <v>12.5</v>
      </c>
      <c r="G241" s="57">
        <v>6</v>
      </c>
      <c r="H241" s="65">
        <v>2</v>
      </c>
      <c r="I241" s="69">
        <f t="shared" si="36"/>
        <v>8</v>
      </c>
      <c r="J241" s="64">
        <f t="shared" si="37"/>
        <v>4</v>
      </c>
      <c r="K241" s="64">
        <f t="shared" si="38"/>
        <v>4</v>
      </c>
    </row>
    <row r="242" spans="1:11" ht="17.25" x14ac:dyDescent="0.2">
      <c r="B242" s="359" t="s">
        <v>835</v>
      </c>
      <c r="C242" s="112" t="s">
        <v>846</v>
      </c>
      <c r="D242" s="112" t="s">
        <v>838</v>
      </c>
      <c r="E242" s="107" t="s">
        <v>265</v>
      </c>
      <c r="F242" s="108">
        <v>12.5</v>
      </c>
      <c r="G242" s="57">
        <v>8</v>
      </c>
      <c r="H242" s="65">
        <v>2</v>
      </c>
      <c r="I242" s="69">
        <f t="shared" si="36"/>
        <v>10</v>
      </c>
      <c r="J242" s="64">
        <f t="shared" si="37"/>
        <v>6</v>
      </c>
      <c r="K242" s="64">
        <f t="shared" si="38"/>
        <v>5</v>
      </c>
    </row>
    <row r="243" spans="1:11" ht="17.25" x14ac:dyDescent="0.2">
      <c r="B243" s="325"/>
      <c r="C243" s="112"/>
      <c r="D243" s="112"/>
      <c r="E243" s="107"/>
      <c r="F243" s="108"/>
      <c r="G243" s="57"/>
      <c r="H243" s="65"/>
      <c r="I243" s="69" t="str">
        <f t="shared" si="36"/>
        <v/>
      </c>
      <c r="J243" s="64" t="str">
        <f t="shared" si="37"/>
        <v/>
      </c>
      <c r="K243" s="64" t="str">
        <f t="shared" si="38"/>
        <v/>
      </c>
    </row>
    <row r="244" spans="1:11" ht="17.25" x14ac:dyDescent="0.2">
      <c r="B244" s="325"/>
      <c r="C244" s="112"/>
      <c r="D244" s="112"/>
      <c r="E244" s="107"/>
      <c r="F244" s="108"/>
      <c r="G244" s="57"/>
      <c r="H244" s="65"/>
      <c r="I244" s="69" t="str">
        <f t="shared" si="36"/>
        <v/>
      </c>
      <c r="J244" s="64" t="str">
        <f t="shared" si="37"/>
        <v/>
      </c>
      <c r="K244" s="64" t="str">
        <f t="shared" si="38"/>
        <v/>
      </c>
    </row>
    <row r="245" spans="1:11" ht="17.25" x14ac:dyDescent="0.2">
      <c r="B245" s="325"/>
      <c r="C245" s="112"/>
      <c r="D245" s="112"/>
      <c r="E245" s="107"/>
      <c r="F245" s="108"/>
      <c r="G245" s="57"/>
      <c r="H245" s="65"/>
      <c r="I245" s="69" t="str">
        <f t="shared" si="36"/>
        <v/>
      </c>
      <c r="J245" s="64" t="str">
        <f t="shared" si="37"/>
        <v/>
      </c>
      <c r="K245" s="64" t="str">
        <f t="shared" si="38"/>
        <v/>
      </c>
    </row>
    <row r="246" spans="1:11" ht="17.25" x14ac:dyDescent="0.2">
      <c r="B246" s="325"/>
      <c r="C246" s="112"/>
      <c r="D246" s="112"/>
      <c r="E246" s="107"/>
      <c r="F246" s="108"/>
      <c r="G246" s="57"/>
      <c r="H246" s="65"/>
      <c r="I246" s="69" t="str">
        <f>IF(G246="","",SUM(G246:H246))</f>
        <v/>
      </c>
      <c r="J246" s="64" t="str">
        <f>IF(G246="","",ROUNDUP(G246*0.65,0))</f>
        <v/>
      </c>
      <c r="K246" s="64" t="str">
        <f>IF(G246="","",ROUNDUP(G246*0.55,0))</f>
        <v/>
      </c>
    </row>
    <row r="247" spans="1:11" ht="17.25" x14ac:dyDescent="0.2">
      <c r="B247" s="325"/>
      <c r="C247" s="112"/>
      <c r="D247" s="112"/>
      <c r="E247" s="107"/>
      <c r="F247" s="108"/>
      <c r="G247" s="57"/>
      <c r="H247" s="65"/>
      <c r="I247" s="69" t="str">
        <f t="shared" si="36"/>
        <v/>
      </c>
      <c r="J247" s="64" t="str">
        <f t="shared" si="37"/>
        <v/>
      </c>
      <c r="K247" s="64" t="str">
        <f t="shared" si="38"/>
        <v/>
      </c>
    </row>
    <row r="248" spans="1:11" ht="17.25" x14ac:dyDescent="0.2">
      <c r="B248" s="325"/>
      <c r="C248" s="112"/>
      <c r="D248" s="112"/>
      <c r="E248" s="107"/>
      <c r="F248" s="108"/>
      <c r="G248" s="57"/>
      <c r="H248" s="65"/>
      <c r="I248" s="69" t="str">
        <f t="shared" si="36"/>
        <v/>
      </c>
      <c r="J248" s="64" t="str">
        <f t="shared" si="37"/>
        <v/>
      </c>
      <c r="K248" s="64" t="str">
        <f t="shared" si="38"/>
        <v/>
      </c>
    </row>
    <row r="249" spans="1:11" ht="18" customHeight="1" x14ac:dyDescent="0.2">
      <c r="B249" s="561" t="s">
        <v>22</v>
      </c>
      <c r="C249" s="561" t="s">
        <v>177</v>
      </c>
      <c r="D249" s="561" t="s">
        <v>243</v>
      </c>
      <c r="E249" s="561" t="s">
        <v>23</v>
      </c>
      <c r="F249" s="562" t="s">
        <v>234</v>
      </c>
      <c r="G249" s="562"/>
      <c r="H249" s="562"/>
      <c r="I249" s="562"/>
      <c r="J249" s="562"/>
      <c r="K249" s="562"/>
    </row>
    <row r="250" spans="1:11" ht="21" x14ac:dyDescent="0.2">
      <c r="A250" s="114">
        <v>24</v>
      </c>
      <c r="B250" s="438" t="s">
        <v>2669</v>
      </c>
      <c r="C250" s="115" t="s">
        <v>861</v>
      </c>
      <c r="D250" s="114" t="s">
        <v>862</v>
      </c>
      <c r="E250" s="329" t="str">
        <f>IF(O16="","",O16)</f>
        <v>TAIACUPEBA</v>
      </c>
      <c r="F250" s="563">
        <f>IF(B250="","",VLOOKUP(E250,$O$2:$T$120,6,0))</f>
        <v>58144</v>
      </c>
      <c r="G250" s="564"/>
      <c r="H250" s="564"/>
      <c r="I250" s="564"/>
      <c r="J250" s="564"/>
      <c r="K250" s="565"/>
    </row>
    <row r="251" spans="1:11" ht="43.5" x14ac:dyDescent="0.2">
      <c r="A251" s="166" t="s">
        <v>779</v>
      </c>
      <c r="B251" s="116" t="s">
        <v>0</v>
      </c>
      <c r="C251" s="116" t="s">
        <v>20</v>
      </c>
      <c r="D251" s="116" t="s">
        <v>21</v>
      </c>
      <c r="E251" s="116" t="s">
        <v>1</v>
      </c>
      <c r="F251" s="117" t="s">
        <v>3</v>
      </c>
      <c r="G251" s="116" t="s">
        <v>216</v>
      </c>
      <c r="H251" s="180" t="s">
        <v>242</v>
      </c>
      <c r="I251" s="116" t="s">
        <v>245</v>
      </c>
      <c r="J251" s="116" t="s">
        <v>217</v>
      </c>
      <c r="K251" s="116" t="s">
        <v>218</v>
      </c>
    </row>
    <row r="252" spans="1:11" ht="17.25" x14ac:dyDescent="0.35">
      <c r="B252" s="360" t="s">
        <v>847</v>
      </c>
      <c r="C252" s="152" t="s">
        <v>854</v>
      </c>
      <c r="D252" s="152" t="s">
        <v>855</v>
      </c>
      <c r="E252" s="107" t="s">
        <v>265</v>
      </c>
      <c r="F252" s="108">
        <v>12.5</v>
      </c>
      <c r="G252" s="57">
        <v>10</v>
      </c>
      <c r="H252" s="65">
        <v>2</v>
      </c>
      <c r="I252" s="69">
        <f t="shared" ref="I252:I267" si="39">IF(G252="","",SUM(G252:H252))</f>
        <v>12</v>
      </c>
      <c r="J252" s="64">
        <f>IF(G252="","",ROUNDUP(G252*0.65,0))</f>
        <v>7</v>
      </c>
      <c r="K252" s="64">
        <f>IF(G252="","",ROUNDUP(G252*0.55,0))</f>
        <v>6</v>
      </c>
    </row>
    <row r="253" spans="1:11" ht="17.25" x14ac:dyDescent="0.35">
      <c r="B253" s="360" t="s">
        <v>848</v>
      </c>
      <c r="C253" s="152" t="s">
        <v>854</v>
      </c>
      <c r="D253" s="152" t="s">
        <v>856</v>
      </c>
      <c r="E253" s="107" t="s">
        <v>265</v>
      </c>
      <c r="F253" s="108">
        <v>12.5</v>
      </c>
      <c r="G253" s="57">
        <v>10</v>
      </c>
      <c r="H253" s="65">
        <v>2</v>
      </c>
      <c r="I253" s="69">
        <f t="shared" si="39"/>
        <v>12</v>
      </c>
      <c r="J253" s="64">
        <f t="shared" ref="J253:J267" si="40">IF(G253="","",ROUNDUP(G253*0.65,0))</f>
        <v>7</v>
      </c>
      <c r="K253" s="64">
        <f t="shared" ref="K253:K267" si="41">IF(G253="","",ROUNDUP(G253*0.55,0))</f>
        <v>6</v>
      </c>
    </row>
    <row r="254" spans="1:11" ht="17.25" x14ac:dyDescent="0.35">
      <c r="B254" s="360" t="s">
        <v>849</v>
      </c>
      <c r="C254" s="152" t="s">
        <v>857</v>
      </c>
      <c r="D254" s="152" t="s">
        <v>856</v>
      </c>
      <c r="E254" s="107" t="s">
        <v>265</v>
      </c>
      <c r="F254" s="108">
        <v>12.5</v>
      </c>
      <c r="G254" s="57">
        <v>14</v>
      </c>
      <c r="H254" s="65">
        <v>2</v>
      </c>
      <c r="I254" s="69">
        <f t="shared" si="39"/>
        <v>16</v>
      </c>
      <c r="J254" s="64">
        <f t="shared" si="40"/>
        <v>10</v>
      </c>
      <c r="K254" s="64">
        <f t="shared" si="41"/>
        <v>8</v>
      </c>
    </row>
    <row r="255" spans="1:11" ht="17.25" x14ac:dyDescent="0.35">
      <c r="B255" s="360" t="s">
        <v>850</v>
      </c>
      <c r="C255" s="152" t="s">
        <v>858</v>
      </c>
      <c r="D255" s="152" t="s">
        <v>856</v>
      </c>
      <c r="E255" s="107" t="s">
        <v>265</v>
      </c>
      <c r="F255" s="108">
        <v>12.5</v>
      </c>
      <c r="G255" s="57">
        <v>10</v>
      </c>
      <c r="H255" s="65">
        <v>1</v>
      </c>
      <c r="I255" s="69">
        <f t="shared" si="39"/>
        <v>11</v>
      </c>
      <c r="J255" s="64">
        <f t="shared" si="40"/>
        <v>7</v>
      </c>
      <c r="K255" s="64">
        <f t="shared" si="41"/>
        <v>6</v>
      </c>
    </row>
    <row r="256" spans="1:11" ht="17.25" x14ac:dyDescent="0.35">
      <c r="B256" s="360" t="s">
        <v>851</v>
      </c>
      <c r="C256" s="152" t="s">
        <v>858</v>
      </c>
      <c r="D256" s="152" t="s">
        <v>859</v>
      </c>
      <c r="E256" s="107" t="s">
        <v>265</v>
      </c>
      <c r="F256" s="108">
        <v>12.5</v>
      </c>
      <c r="G256" s="57">
        <v>8</v>
      </c>
      <c r="H256" s="65">
        <v>1</v>
      </c>
      <c r="I256" s="69">
        <f t="shared" si="39"/>
        <v>9</v>
      </c>
      <c r="J256" s="64">
        <f t="shared" si="40"/>
        <v>6</v>
      </c>
      <c r="K256" s="64">
        <f t="shared" si="41"/>
        <v>5</v>
      </c>
    </row>
    <row r="257" spans="1:11" ht="17.25" x14ac:dyDescent="0.35">
      <c r="B257" s="360" t="s">
        <v>852</v>
      </c>
      <c r="C257" s="152" t="s">
        <v>638</v>
      </c>
      <c r="D257" s="152" t="s">
        <v>583</v>
      </c>
      <c r="E257" s="107" t="s">
        <v>179</v>
      </c>
      <c r="F257" s="108">
        <v>9.5</v>
      </c>
      <c r="G257" s="57">
        <v>11</v>
      </c>
      <c r="H257" s="65">
        <v>1</v>
      </c>
      <c r="I257" s="69">
        <f t="shared" si="39"/>
        <v>12</v>
      </c>
      <c r="J257" s="64">
        <f t="shared" si="40"/>
        <v>8</v>
      </c>
      <c r="K257" s="64">
        <f t="shared" si="41"/>
        <v>7</v>
      </c>
    </row>
    <row r="258" spans="1:11" ht="17.25" x14ac:dyDescent="0.35">
      <c r="B258" s="360" t="s">
        <v>853</v>
      </c>
      <c r="C258" s="152" t="s">
        <v>638</v>
      </c>
      <c r="D258" s="152" t="s">
        <v>860</v>
      </c>
      <c r="E258" s="107" t="s">
        <v>179</v>
      </c>
      <c r="F258" s="108">
        <v>9.5</v>
      </c>
      <c r="G258" s="57">
        <v>12</v>
      </c>
      <c r="H258" s="65">
        <v>1</v>
      </c>
      <c r="I258" s="69">
        <f t="shared" si="39"/>
        <v>13</v>
      </c>
      <c r="J258" s="64">
        <f t="shared" si="40"/>
        <v>8</v>
      </c>
      <c r="K258" s="64">
        <f t="shared" si="41"/>
        <v>7</v>
      </c>
    </row>
    <row r="259" spans="1:11" ht="17.25" x14ac:dyDescent="0.35">
      <c r="B259" s="328"/>
      <c r="C259" s="152"/>
      <c r="D259" s="152"/>
      <c r="E259" s="107"/>
      <c r="F259" s="108"/>
      <c r="G259" s="57"/>
      <c r="H259" s="65"/>
      <c r="I259" s="69" t="str">
        <f t="shared" si="39"/>
        <v/>
      </c>
      <c r="J259" s="64" t="str">
        <f t="shared" si="40"/>
        <v/>
      </c>
      <c r="K259" s="64" t="str">
        <f t="shared" si="41"/>
        <v/>
      </c>
    </row>
    <row r="260" spans="1:11" ht="17.25" x14ac:dyDescent="0.35">
      <c r="B260" s="328"/>
      <c r="C260" s="112"/>
      <c r="D260" s="113"/>
      <c r="E260" s="107"/>
      <c r="F260" s="108"/>
      <c r="G260" s="57"/>
      <c r="H260" s="65"/>
      <c r="I260" s="69" t="str">
        <f t="shared" si="39"/>
        <v/>
      </c>
      <c r="J260" s="64" t="str">
        <f t="shared" si="40"/>
        <v/>
      </c>
      <c r="K260" s="64" t="str">
        <f t="shared" si="41"/>
        <v/>
      </c>
    </row>
    <row r="261" spans="1:11" ht="17.25" x14ac:dyDescent="0.35">
      <c r="B261" s="328"/>
      <c r="C261" s="112"/>
      <c r="D261" s="112"/>
      <c r="E261" s="107"/>
      <c r="F261" s="108"/>
      <c r="G261" s="57"/>
      <c r="H261" s="65"/>
      <c r="I261" s="69" t="str">
        <f t="shared" si="39"/>
        <v/>
      </c>
      <c r="J261" s="64" t="str">
        <f t="shared" si="40"/>
        <v/>
      </c>
      <c r="K261" s="64" t="str">
        <f t="shared" si="41"/>
        <v/>
      </c>
    </row>
    <row r="262" spans="1:11" ht="17.25" x14ac:dyDescent="0.35">
      <c r="B262" s="328"/>
      <c r="C262" s="112"/>
      <c r="D262" s="112"/>
      <c r="E262" s="107"/>
      <c r="F262" s="108"/>
      <c r="G262" s="57"/>
      <c r="H262" s="65"/>
      <c r="I262" s="69" t="str">
        <f t="shared" si="39"/>
        <v/>
      </c>
      <c r="J262" s="64" t="str">
        <f t="shared" si="40"/>
        <v/>
      </c>
      <c r="K262" s="64" t="str">
        <f t="shared" si="41"/>
        <v/>
      </c>
    </row>
    <row r="263" spans="1:11" ht="17.25" x14ac:dyDescent="0.35">
      <c r="B263" s="328"/>
      <c r="C263" s="112"/>
      <c r="D263" s="112"/>
      <c r="E263" s="107"/>
      <c r="F263" s="108"/>
      <c r="G263" s="57"/>
      <c r="H263" s="65"/>
      <c r="I263" s="69" t="str">
        <f t="shared" si="39"/>
        <v/>
      </c>
      <c r="J263" s="64" t="str">
        <f t="shared" si="40"/>
        <v/>
      </c>
      <c r="K263" s="64" t="str">
        <f t="shared" si="41"/>
        <v/>
      </c>
    </row>
    <row r="264" spans="1:11" ht="17.25" x14ac:dyDescent="0.35">
      <c r="B264" s="328"/>
      <c r="C264" s="112"/>
      <c r="D264" s="112"/>
      <c r="E264" s="107"/>
      <c r="F264" s="108"/>
      <c r="G264" s="57"/>
      <c r="H264" s="65"/>
      <c r="I264" s="69" t="str">
        <f t="shared" si="39"/>
        <v/>
      </c>
      <c r="J264" s="64" t="str">
        <f t="shared" si="40"/>
        <v/>
      </c>
      <c r="K264" s="64" t="str">
        <f t="shared" si="41"/>
        <v/>
      </c>
    </row>
    <row r="265" spans="1:11" ht="17.25" x14ac:dyDescent="0.35">
      <c r="B265" s="328"/>
      <c r="C265" s="112"/>
      <c r="D265" s="112"/>
      <c r="E265" s="107"/>
      <c r="F265" s="108"/>
      <c r="G265" s="57"/>
      <c r="H265" s="65"/>
      <c r="I265" s="69" t="str">
        <f t="shared" si="39"/>
        <v/>
      </c>
      <c r="J265" s="64" t="str">
        <f t="shared" si="40"/>
        <v/>
      </c>
      <c r="K265" s="64" t="str">
        <f t="shared" si="41"/>
        <v/>
      </c>
    </row>
    <row r="266" spans="1:11" ht="17.25" x14ac:dyDescent="0.35">
      <c r="B266" s="328"/>
      <c r="C266" s="112"/>
      <c r="D266" s="112"/>
      <c r="E266" s="107"/>
      <c r="F266" s="108"/>
      <c r="G266" s="57"/>
      <c r="H266" s="65"/>
      <c r="I266" s="69" t="str">
        <f t="shared" si="39"/>
        <v/>
      </c>
      <c r="J266" s="64" t="str">
        <f t="shared" si="40"/>
        <v/>
      </c>
      <c r="K266" s="64" t="str">
        <f t="shared" si="41"/>
        <v/>
      </c>
    </row>
    <row r="267" spans="1:11" ht="17.25" x14ac:dyDescent="0.35">
      <c r="B267" s="328"/>
      <c r="C267" s="112"/>
      <c r="D267" s="112"/>
      <c r="E267" s="107"/>
      <c r="F267" s="108"/>
      <c r="G267" s="57"/>
      <c r="H267" s="65"/>
      <c r="I267" s="69" t="str">
        <f t="shared" si="39"/>
        <v/>
      </c>
      <c r="J267" s="64" t="str">
        <f t="shared" si="40"/>
        <v/>
      </c>
      <c r="K267" s="64" t="str">
        <f t="shared" si="41"/>
        <v/>
      </c>
    </row>
    <row r="268" spans="1:11" ht="18" customHeight="1" x14ac:dyDescent="0.2">
      <c r="B268" s="561" t="s">
        <v>22</v>
      </c>
      <c r="C268" s="561" t="s">
        <v>177</v>
      </c>
      <c r="D268" s="561" t="s">
        <v>243</v>
      </c>
      <c r="E268" s="561" t="s">
        <v>23</v>
      </c>
      <c r="F268" s="562" t="s">
        <v>234</v>
      </c>
      <c r="G268" s="562"/>
      <c r="H268" s="562"/>
      <c r="I268" s="562"/>
      <c r="J268" s="562"/>
      <c r="K268" s="562"/>
    </row>
    <row r="269" spans="1:11" ht="21" x14ac:dyDescent="0.2">
      <c r="A269" s="114">
        <v>25</v>
      </c>
      <c r="B269" s="438" t="s">
        <v>2670</v>
      </c>
      <c r="C269" s="115" t="s">
        <v>861</v>
      </c>
      <c r="D269" s="114" t="s">
        <v>862</v>
      </c>
      <c r="E269" s="329" t="str">
        <f>IF(O17="","",O17)</f>
        <v>SÃO LUCAS</v>
      </c>
      <c r="F269" s="563">
        <f>IF(B269="","",VLOOKUP(E269,$O$2:$T$120,6,0))</f>
        <v>54268</v>
      </c>
      <c r="G269" s="564"/>
      <c r="H269" s="564"/>
      <c r="I269" s="564"/>
      <c r="J269" s="564"/>
      <c r="K269" s="565"/>
    </row>
    <row r="270" spans="1:11" ht="43.5" x14ac:dyDescent="0.2">
      <c r="A270" s="166" t="s">
        <v>779</v>
      </c>
      <c r="B270" s="116" t="s">
        <v>0</v>
      </c>
      <c r="C270" s="116" t="s">
        <v>20</v>
      </c>
      <c r="D270" s="116" t="s">
        <v>21</v>
      </c>
      <c r="E270" s="116" t="s">
        <v>1</v>
      </c>
      <c r="F270" s="117" t="s">
        <v>3</v>
      </c>
      <c r="G270" s="116" t="s">
        <v>216</v>
      </c>
      <c r="H270" s="180" t="s">
        <v>242</v>
      </c>
      <c r="I270" s="116" t="s">
        <v>245</v>
      </c>
      <c r="J270" s="116" t="s">
        <v>217</v>
      </c>
      <c r="K270" s="116" t="s">
        <v>218</v>
      </c>
    </row>
    <row r="271" spans="1:11" ht="17.25" x14ac:dyDescent="0.35">
      <c r="B271" s="361" t="s">
        <v>863</v>
      </c>
      <c r="C271" s="152" t="s">
        <v>870</v>
      </c>
      <c r="D271" s="152" t="s">
        <v>871</v>
      </c>
      <c r="E271" s="107" t="s">
        <v>265</v>
      </c>
      <c r="F271" s="108">
        <v>12.5</v>
      </c>
      <c r="G271" s="57">
        <v>10</v>
      </c>
      <c r="H271" s="65">
        <v>2</v>
      </c>
      <c r="I271" s="69">
        <f t="shared" ref="I271:I286" si="42">IF(G271="","",SUM(G271:H271))</f>
        <v>12</v>
      </c>
      <c r="J271" s="64">
        <f>IF(G271="","",ROUNDUP(G271*0.65,0))</f>
        <v>7</v>
      </c>
      <c r="K271" s="64">
        <f>IF(G271="","",ROUNDUP(G271*0.55,0))</f>
        <v>6</v>
      </c>
    </row>
    <row r="272" spans="1:11" ht="17.25" x14ac:dyDescent="0.35">
      <c r="B272" s="361" t="s">
        <v>864</v>
      </c>
      <c r="C272" s="152" t="s">
        <v>872</v>
      </c>
      <c r="D272" s="152" t="s">
        <v>543</v>
      </c>
      <c r="E272" s="107" t="s">
        <v>265</v>
      </c>
      <c r="F272" s="108">
        <v>12.5</v>
      </c>
      <c r="G272" s="57">
        <v>10</v>
      </c>
      <c r="H272" s="65">
        <v>2</v>
      </c>
      <c r="I272" s="69">
        <f t="shared" si="42"/>
        <v>12</v>
      </c>
      <c r="J272" s="64">
        <f t="shared" ref="J272:J286" si="43">IF(G272="","",ROUNDUP(G272*0.65,0))</f>
        <v>7</v>
      </c>
      <c r="K272" s="64">
        <f t="shared" ref="K272:K286" si="44">IF(G272="","",ROUNDUP(G272*0.55,0))</f>
        <v>6</v>
      </c>
    </row>
    <row r="273" spans="1:11" ht="17.25" x14ac:dyDescent="0.35">
      <c r="B273" s="361" t="s">
        <v>865</v>
      </c>
      <c r="C273" s="152" t="s">
        <v>873</v>
      </c>
      <c r="D273" s="152" t="s">
        <v>543</v>
      </c>
      <c r="E273" s="107" t="s">
        <v>265</v>
      </c>
      <c r="F273" s="108">
        <v>12.5</v>
      </c>
      <c r="G273" s="57">
        <v>12</v>
      </c>
      <c r="H273" s="65">
        <v>2</v>
      </c>
      <c r="I273" s="69">
        <f t="shared" si="42"/>
        <v>14</v>
      </c>
      <c r="J273" s="64">
        <f t="shared" si="43"/>
        <v>8</v>
      </c>
      <c r="K273" s="64">
        <f t="shared" si="44"/>
        <v>7</v>
      </c>
    </row>
    <row r="274" spans="1:11" ht="17.25" x14ac:dyDescent="0.35">
      <c r="B274" s="361" t="s">
        <v>866</v>
      </c>
      <c r="C274" s="152" t="s">
        <v>874</v>
      </c>
      <c r="D274" s="152" t="s">
        <v>543</v>
      </c>
      <c r="E274" s="107" t="s">
        <v>265</v>
      </c>
      <c r="F274" s="108">
        <v>12.5</v>
      </c>
      <c r="G274" s="57">
        <v>10</v>
      </c>
      <c r="H274" s="65">
        <v>2</v>
      </c>
      <c r="I274" s="69">
        <f t="shared" si="42"/>
        <v>12</v>
      </c>
      <c r="J274" s="64">
        <f t="shared" si="43"/>
        <v>7</v>
      </c>
      <c r="K274" s="64">
        <f t="shared" si="44"/>
        <v>6</v>
      </c>
    </row>
    <row r="275" spans="1:11" ht="17.25" x14ac:dyDescent="0.35">
      <c r="B275" s="361" t="s">
        <v>867</v>
      </c>
      <c r="C275" s="152" t="s">
        <v>875</v>
      </c>
      <c r="D275" s="152" t="s">
        <v>876</v>
      </c>
      <c r="E275" s="107" t="s">
        <v>179</v>
      </c>
      <c r="F275" s="108">
        <v>9.5</v>
      </c>
      <c r="G275" s="57">
        <v>8</v>
      </c>
      <c r="H275" s="65">
        <v>2</v>
      </c>
      <c r="I275" s="69">
        <f t="shared" si="42"/>
        <v>10</v>
      </c>
      <c r="J275" s="64">
        <f t="shared" si="43"/>
        <v>6</v>
      </c>
      <c r="K275" s="64">
        <f t="shared" si="44"/>
        <v>5</v>
      </c>
    </row>
    <row r="276" spans="1:11" ht="17.25" x14ac:dyDescent="0.35">
      <c r="B276" s="361" t="s">
        <v>868</v>
      </c>
      <c r="C276" s="152" t="s">
        <v>877</v>
      </c>
      <c r="D276" s="152" t="s">
        <v>876</v>
      </c>
      <c r="E276" s="107" t="s">
        <v>179</v>
      </c>
      <c r="F276" s="108">
        <v>9.5</v>
      </c>
      <c r="G276" s="57">
        <v>10</v>
      </c>
      <c r="H276" s="65">
        <v>3</v>
      </c>
      <c r="I276" s="69">
        <f t="shared" si="42"/>
        <v>13</v>
      </c>
      <c r="J276" s="64">
        <f t="shared" si="43"/>
        <v>7</v>
      </c>
      <c r="K276" s="64">
        <f t="shared" si="44"/>
        <v>6</v>
      </c>
    </row>
    <row r="277" spans="1:11" ht="17.25" x14ac:dyDescent="0.35">
      <c r="B277" s="361" t="s">
        <v>869</v>
      </c>
      <c r="C277" s="152" t="s">
        <v>878</v>
      </c>
      <c r="D277" s="152" t="s">
        <v>876</v>
      </c>
      <c r="E277" s="107" t="s">
        <v>179</v>
      </c>
      <c r="F277" s="108">
        <v>9.5</v>
      </c>
      <c r="G277" s="57">
        <v>10</v>
      </c>
      <c r="H277" s="65">
        <v>2</v>
      </c>
      <c r="I277" s="69">
        <f t="shared" si="42"/>
        <v>12</v>
      </c>
      <c r="J277" s="64">
        <f t="shared" si="43"/>
        <v>7</v>
      </c>
      <c r="K277" s="64">
        <f t="shared" si="44"/>
        <v>6</v>
      </c>
    </row>
    <row r="278" spans="1:11" ht="17.25" x14ac:dyDescent="0.35">
      <c r="B278" s="328"/>
      <c r="C278" s="152"/>
      <c r="D278" s="152"/>
      <c r="E278" s="107"/>
      <c r="F278" s="108"/>
      <c r="G278" s="57"/>
      <c r="H278" s="65"/>
      <c r="I278" s="69" t="str">
        <f t="shared" si="42"/>
        <v/>
      </c>
      <c r="J278" s="64" t="str">
        <f t="shared" si="43"/>
        <v/>
      </c>
      <c r="K278" s="64" t="str">
        <f t="shared" si="44"/>
        <v/>
      </c>
    </row>
    <row r="279" spans="1:11" ht="17.25" x14ac:dyDescent="0.35">
      <c r="B279" s="328"/>
      <c r="C279" s="112"/>
      <c r="D279" s="113"/>
      <c r="E279" s="107"/>
      <c r="F279" s="108"/>
      <c r="G279" s="57"/>
      <c r="H279" s="65"/>
      <c r="I279" s="69" t="str">
        <f t="shared" si="42"/>
        <v/>
      </c>
      <c r="J279" s="64" t="str">
        <f t="shared" si="43"/>
        <v/>
      </c>
      <c r="K279" s="64" t="str">
        <f t="shared" si="44"/>
        <v/>
      </c>
    </row>
    <row r="280" spans="1:11" ht="17.25" x14ac:dyDescent="0.35">
      <c r="B280" s="328"/>
      <c r="C280" s="112"/>
      <c r="D280" s="112"/>
      <c r="E280" s="107"/>
      <c r="F280" s="108"/>
      <c r="G280" s="57"/>
      <c r="H280" s="65"/>
      <c r="I280" s="69" t="str">
        <f t="shared" si="42"/>
        <v/>
      </c>
      <c r="J280" s="64" t="str">
        <f t="shared" si="43"/>
        <v/>
      </c>
      <c r="K280" s="64" t="str">
        <f t="shared" si="44"/>
        <v/>
      </c>
    </row>
    <row r="281" spans="1:11" ht="17.25" x14ac:dyDescent="0.35">
      <c r="B281" s="328"/>
      <c r="C281" s="112"/>
      <c r="D281" s="112"/>
      <c r="E281" s="107"/>
      <c r="F281" s="108"/>
      <c r="G281" s="57"/>
      <c r="H281" s="65"/>
      <c r="I281" s="69" t="str">
        <f t="shared" si="42"/>
        <v/>
      </c>
      <c r="J281" s="64" t="str">
        <f t="shared" si="43"/>
        <v/>
      </c>
      <c r="K281" s="64" t="str">
        <f t="shared" si="44"/>
        <v/>
      </c>
    </row>
    <row r="282" spans="1:11" ht="17.25" x14ac:dyDescent="0.35">
      <c r="B282" s="328"/>
      <c r="C282" s="112"/>
      <c r="D282" s="112"/>
      <c r="E282" s="107"/>
      <c r="F282" s="108"/>
      <c r="G282" s="57"/>
      <c r="H282" s="65"/>
      <c r="I282" s="69" t="str">
        <f t="shared" si="42"/>
        <v/>
      </c>
      <c r="J282" s="64" t="str">
        <f t="shared" si="43"/>
        <v/>
      </c>
      <c r="K282" s="64" t="str">
        <f t="shared" si="44"/>
        <v/>
      </c>
    </row>
    <row r="283" spans="1:11" ht="17.25" x14ac:dyDescent="0.35">
      <c r="B283" s="328"/>
      <c r="C283" s="112"/>
      <c r="D283" s="112"/>
      <c r="E283" s="107"/>
      <c r="F283" s="108"/>
      <c r="G283" s="57"/>
      <c r="H283" s="65"/>
      <c r="I283" s="69" t="str">
        <f t="shared" si="42"/>
        <v/>
      </c>
      <c r="J283" s="64" t="str">
        <f t="shared" si="43"/>
        <v/>
      </c>
      <c r="K283" s="64" t="str">
        <f t="shared" si="44"/>
        <v/>
      </c>
    </row>
    <row r="284" spans="1:11" ht="17.25" x14ac:dyDescent="0.35">
      <c r="B284" s="328"/>
      <c r="C284" s="112"/>
      <c r="D284" s="112"/>
      <c r="E284" s="107"/>
      <c r="F284" s="108"/>
      <c r="G284" s="57"/>
      <c r="H284" s="65"/>
      <c r="I284" s="69" t="str">
        <f t="shared" si="42"/>
        <v/>
      </c>
      <c r="J284" s="64" t="str">
        <f t="shared" si="43"/>
        <v/>
      </c>
      <c r="K284" s="64" t="str">
        <f t="shared" si="44"/>
        <v/>
      </c>
    </row>
    <row r="285" spans="1:11" ht="17.25" x14ac:dyDescent="0.35">
      <c r="B285" s="328"/>
      <c r="C285" s="112"/>
      <c r="D285" s="112"/>
      <c r="E285" s="107"/>
      <c r="F285" s="108"/>
      <c r="G285" s="57"/>
      <c r="H285" s="65"/>
      <c r="I285" s="69" t="str">
        <f t="shared" si="42"/>
        <v/>
      </c>
      <c r="J285" s="64" t="str">
        <f t="shared" si="43"/>
        <v/>
      </c>
      <c r="K285" s="64" t="str">
        <f t="shared" si="44"/>
        <v/>
      </c>
    </row>
    <row r="286" spans="1:11" ht="17.25" x14ac:dyDescent="0.35">
      <c r="B286" s="328"/>
      <c r="C286" s="112"/>
      <c r="D286" s="112"/>
      <c r="E286" s="107"/>
      <c r="F286" s="108"/>
      <c r="G286" s="57"/>
      <c r="H286" s="65"/>
      <c r="I286" s="69" t="str">
        <f t="shared" si="42"/>
        <v/>
      </c>
      <c r="J286" s="64" t="str">
        <f t="shared" si="43"/>
        <v/>
      </c>
      <c r="K286" s="64" t="str">
        <f t="shared" si="44"/>
        <v/>
      </c>
    </row>
    <row r="287" spans="1:11" ht="18" customHeight="1" x14ac:dyDescent="0.2">
      <c r="B287" s="561" t="s">
        <v>22</v>
      </c>
      <c r="C287" s="561" t="s">
        <v>177</v>
      </c>
      <c r="D287" s="561" t="s">
        <v>243</v>
      </c>
      <c r="E287" s="561" t="s">
        <v>23</v>
      </c>
      <c r="F287" s="562" t="s">
        <v>234</v>
      </c>
      <c r="G287" s="562"/>
      <c r="H287" s="562"/>
      <c r="I287" s="562"/>
      <c r="J287" s="562"/>
      <c r="K287" s="562"/>
    </row>
    <row r="288" spans="1:11" ht="21" x14ac:dyDescent="0.2">
      <c r="A288" s="114">
        <v>26</v>
      </c>
      <c r="B288" s="432" t="s">
        <v>2625</v>
      </c>
      <c r="C288" s="115" t="s">
        <v>573</v>
      </c>
      <c r="D288" s="114" t="s">
        <v>574</v>
      </c>
      <c r="E288" s="329" t="str">
        <f>IF(O18="","",O18)</f>
        <v>GRACIOSA</v>
      </c>
      <c r="F288" s="563">
        <f>IF(B288="","",VLOOKUP(E288,$O$2:$T$120,6,0))</f>
        <v>57369</v>
      </c>
      <c r="G288" s="564"/>
      <c r="H288" s="564"/>
      <c r="I288" s="564"/>
      <c r="J288" s="564"/>
      <c r="K288" s="565"/>
    </row>
    <row r="289" spans="1:11" ht="43.5" x14ac:dyDescent="0.2">
      <c r="A289" s="166" t="s">
        <v>779</v>
      </c>
      <c r="B289" s="116" t="s">
        <v>0</v>
      </c>
      <c r="C289" s="116" t="s">
        <v>20</v>
      </c>
      <c r="D289" s="116" t="s">
        <v>21</v>
      </c>
      <c r="E289" s="116" t="s">
        <v>1</v>
      </c>
      <c r="F289" s="117" t="s">
        <v>3</v>
      </c>
      <c r="G289" s="116" t="s">
        <v>216</v>
      </c>
      <c r="H289" s="180" t="s">
        <v>242</v>
      </c>
      <c r="I289" s="116" t="s">
        <v>245</v>
      </c>
      <c r="J289" s="116" t="s">
        <v>217</v>
      </c>
      <c r="K289" s="116" t="s">
        <v>218</v>
      </c>
    </row>
    <row r="290" spans="1:11" ht="17.25" x14ac:dyDescent="0.2">
      <c r="B290" s="362" t="s">
        <v>879</v>
      </c>
      <c r="C290" s="112" t="s">
        <v>888</v>
      </c>
      <c r="D290" s="112" t="s">
        <v>889</v>
      </c>
      <c r="E290" s="107" t="s">
        <v>265</v>
      </c>
      <c r="F290" s="108">
        <v>12.5</v>
      </c>
      <c r="G290" s="57">
        <v>8</v>
      </c>
      <c r="H290" s="65">
        <v>2</v>
      </c>
      <c r="I290" s="69">
        <f t="shared" ref="I290:I305" si="45">IF(G290="","",SUM(G290:H290))</f>
        <v>10</v>
      </c>
      <c r="J290" s="64">
        <f>IF(G290="","",ROUNDUP(G290*0.65,0))</f>
        <v>6</v>
      </c>
      <c r="K290" s="64">
        <f>IF(G290="","",ROUNDUP(G290*0.55,0))</f>
        <v>5</v>
      </c>
    </row>
    <row r="291" spans="1:11" ht="17.25" x14ac:dyDescent="0.2">
      <c r="B291" s="362" t="s">
        <v>880</v>
      </c>
      <c r="C291" s="112" t="s">
        <v>890</v>
      </c>
      <c r="D291" s="112" t="s">
        <v>543</v>
      </c>
      <c r="E291" s="107" t="s">
        <v>265</v>
      </c>
      <c r="F291" s="108">
        <v>12.5</v>
      </c>
      <c r="G291" s="57">
        <v>12</v>
      </c>
      <c r="H291" s="65">
        <v>2</v>
      </c>
      <c r="I291" s="69">
        <f t="shared" si="45"/>
        <v>14</v>
      </c>
      <c r="J291" s="64">
        <f t="shared" ref="J291:J305" si="46">IF(G291="","",ROUNDUP(G291*0.65,0))</f>
        <v>8</v>
      </c>
      <c r="K291" s="64">
        <f t="shared" ref="K291:K305" si="47">IF(G291="","",ROUNDUP(G291*0.55,0))</f>
        <v>7</v>
      </c>
    </row>
    <row r="292" spans="1:11" ht="17.25" x14ac:dyDescent="0.2">
      <c r="B292" s="362" t="s">
        <v>881</v>
      </c>
      <c r="C292" s="112" t="s">
        <v>891</v>
      </c>
      <c r="D292" s="112" t="s">
        <v>543</v>
      </c>
      <c r="E292" s="107" t="s">
        <v>265</v>
      </c>
      <c r="F292" s="108">
        <v>12.5</v>
      </c>
      <c r="G292" s="57">
        <v>12</v>
      </c>
      <c r="H292" s="65">
        <v>2</v>
      </c>
      <c r="I292" s="69">
        <f t="shared" si="45"/>
        <v>14</v>
      </c>
      <c r="J292" s="64">
        <f t="shared" si="46"/>
        <v>8</v>
      </c>
      <c r="K292" s="64">
        <f t="shared" si="47"/>
        <v>7</v>
      </c>
    </row>
    <row r="293" spans="1:11" ht="17.25" x14ac:dyDescent="0.2">
      <c r="B293" s="362" t="s">
        <v>882</v>
      </c>
      <c r="C293" s="112" t="s">
        <v>892</v>
      </c>
      <c r="D293" s="112" t="s">
        <v>543</v>
      </c>
      <c r="E293" s="107" t="s">
        <v>265</v>
      </c>
      <c r="F293" s="108">
        <v>12.5</v>
      </c>
      <c r="G293" s="57">
        <v>8</v>
      </c>
      <c r="H293" s="65">
        <v>2</v>
      </c>
      <c r="I293" s="69">
        <f t="shared" si="45"/>
        <v>10</v>
      </c>
      <c r="J293" s="64">
        <f t="shared" si="46"/>
        <v>6</v>
      </c>
      <c r="K293" s="64">
        <f t="shared" si="47"/>
        <v>5</v>
      </c>
    </row>
    <row r="294" spans="1:11" ht="17.25" x14ac:dyDescent="0.2">
      <c r="B294" s="362" t="s">
        <v>883</v>
      </c>
      <c r="C294" s="112" t="s">
        <v>875</v>
      </c>
      <c r="D294" s="112" t="s">
        <v>893</v>
      </c>
      <c r="E294" s="107" t="s">
        <v>179</v>
      </c>
      <c r="F294" s="108">
        <v>9.5</v>
      </c>
      <c r="G294" s="57">
        <v>8</v>
      </c>
      <c r="H294" s="65">
        <v>2</v>
      </c>
      <c r="I294" s="69">
        <f t="shared" si="45"/>
        <v>10</v>
      </c>
      <c r="J294" s="64">
        <f t="shared" si="46"/>
        <v>6</v>
      </c>
      <c r="K294" s="64">
        <f t="shared" si="47"/>
        <v>5</v>
      </c>
    </row>
    <row r="295" spans="1:11" ht="17.25" x14ac:dyDescent="0.2">
      <c r="B295" s="362" t="s">
        <v>884</v>
      </c>
      <c r="C295" s="112" t="s">
        <v>877</v>
      </c>
      <c r="D295" s="112" t="s">
        <v>893</v>
      </c>
      <c r="E295" s="107" t="s">
        <v>179</v>
      </c>
      <c r="F295" s="108">
        <v>9.5</v>
      </c>
      <c r="G295" s="57">
        <v>8</v>
      </c>
      <c r="H295" s="65">
        <v>2</v>
      </c>
      <c r="I295" s="69">
        <f t="shared" si="45"/>
        <v>10</v>
      </c>
      <c r="J295" s="64">
        <f t="shared" si="46"/>
        <v>6</v>
      </c>
      <c r="K295" s="64">
        <f t="shared" si="47"/>
        <v>5</v>
      </c>
    </row>
    <row r="296" spans="1:11" ht="17.25" x14ac:dyDescent="0.2">
      <c r="B296" s="362" t="s">
        <v>885</v>
      </c>
      <c r="C296" s="112" t="s">
        <v>878</v>
      </c>
      <c r="D296" s="112" t="s">
        <v>543</v>
      </c>
      <c r="E296" s="107" t="s">
        <v>179</v>
      </c>
      <c r="F296" s="108">
        <v>9.5</v>
      </c>
      <c r="G296" s="57">
        <v>10</v>
      </c>
      <c r="H296" s="65">
        <v>2</v>
      </c>
      <c r="I296" s="69">
        <f t="shared" si="45"/>
        <v>12</v>
      </c>
      <c r="J296" s="64">
        <f t="shared" si="46"/>
        <v>7</v>
      </c>
      <c r="K296" s="64">
        <f t="shared" si="47"/>
        <v>6</v>
      </c>
    </row>
    <row r="297" spans="1:11" ht="17.25" x14ac:dyDescent="0.2">
      <c r="B297" s="363" t="s">
        <v>886</v>
      </c>
      <c r="C297" s="112" t="s">
        <v>890</v>
      </c>
      <c r="D297" s="112" t="s">
        <v>543</v>
      </c>
      <c r="E297" s="107" t="s">
        <v>1019</v>
      </c>
      <c r="F297" s="108">
        <v>16.5</v>
      </c>
      <c r="G297" s="57">
        <v>4</v>
      </c>
      <c r="H297" s="65">
        <v>1</v>
      </c>
      <c r="I297" s="69">
        <f t="shared" si="45"/>
        <v>5</v>
      </c>
      <c r="J297" s="64">
        <f t="shared" si="46"/>
        <v>3</v>
      </c>
      <c r="K297" s="64">
        <f t="shared" si="47"/>
        <v>3</v>
      </c>
    </row>
    <row r="298" spans="1:11" ht="17.25" x14ac:dyDescent="0.2">
      <c r="B298" s="363" t="s">
        <v>887</v>
      </c>
      <c r="C298" s="112" t="s">
        <v>891</v>
      </c>
      <c r="D298" s="112" t="s">
        <v>894</v>
      </c>
      <c r="E298" s="107" t="s">
        <v>1019</v>
      </c>
      <c r="F298" s="108">
        <v>16.5</v>
      </c>
      <c r="G298" s="57">
        <v>4</v>
      </c>
      <c r="H298" s="65">
        <v>1</v>
      </c>
      <c r="I298" s="69">
        <f t="shared" si="45"/>
        <v>5</v>
      </c>
      <c r="J298" s="64">
        <f t="shared" si="46"/>
        <v>3</v>
      </c>
      <c r="K298" s="64">
        <f t="shared" si="47"/>
        <v>3</v>
      </c>
    </row>
    <row r="299" spans="1:11" ht="17.25" x14ac:dyDescent="0.35">
      <c r="B299" s="328"/>
      <c r="C299" s="112"/>
      <c r="D299" s="112"/>
      <c r="E299" s="107"/>
      <c r="F299" s="108"/>
      <c r="G299" s="57"/>
      <c r="H299" s="65"/>
      <c r="I299" s="69" t="str">
        <f t="shared" si="45"/>
        <v/>
      </c>
      <c r="J299" s="64" t="str">
        <f t="shared" si="46"/>
        <v/>
      </c>
      <c r="K299" s="64" t="str">
        <f t="shared" si="47"/>
        <v/>
      </c>
    </row>
    <row r="300" spans="1:11" ht="17.25" x14ac:dyDescent="0.35">
      <c r="B300" s="328"/>
      <c r="C300" s="112"/>
      <c r="D300" s="112"/>
      <c r="E300" s="107"/>
      <c r="F300" s="108"/>
      <c r="G300" s="57"/>
      <c r="H300" s="65"/>
      <c r="I300" s="69" t="str">
        <f t="shared" si="45"/>
        <v/>
      </c>
      <c r="J300" s="64" t="str">
        <f t="shared" si="46"/>
        <v/>
      </c>
      <c r="K300" s="64" t="str">
        <f t="shared" si="47"/>
        <v/>
      </c>
    </row>
    <row r="301" spans="1:11" ht="17.25" x14ac:dyDescent="0.35">
      <c r="B301" s="328"/>
      <c r="C301" s="112"/>
      <c r="D301" s="112"/>
      <c r="E301" s="107"/>
      <c r="F301" s="108"/>
      <c r="G301" s="57"/>
      <c r="H301" s="65"/>
      <c r="I301" s="69" t="str">
        <f t="shared" si="45"/>
        <v/>
      </c>
      <c r="J301" s="64" t="str">
        <f t="shared" si="46"/>
        <v/>
      </c>
      <c r="K301" s="64" t="str">
        <f t="shared" si="47"/>
        <v/>
      </c>
    </row>
    <row r="302" spans="1:11" ht="17.25" x14ac:dyDescent="0.35">
      <c r="B302" s="328"/>
      <c r="C302" s="112"/>
      <c r="D302" s="112"/>
      <c r="E302" s="107"/>
      <c r="F302" s="108"/>
      <c r="G302" s="57"/>
      <c r="H302" s="65"/>
      <c r="I302" s="69" t="str">
        <f t="shared" si="45"/>
        <v/>
      </c>
      <c r="J302" s="64" t="str">
        <f t="shared" si="46"/>
        <v/>
      </c>
      <c r="K302" s="64" t="str">
        <f t="shared" si="47"/>
        <v/>
      </c>
    </row>
    <row r="303" spans="1:11" ht="17.25" x14ac:dyDescent="0.35">
      <c r="B303" s="328"/>
      <c r="C303" s="112"/>
      <c r="D303" s="112"/>
      <c r="E303" s="107"/>
      <c r="F303" s="108"/>
      <c r="G303" s="57"/>
      <c r="H303" s="65"/>
      <c r="I303" s="69" t="str">
        <f t="shared" si="45"/>
        <v/>
      </c>
      <c r="J303" s="64" t="str">
        <f t="shared" si="46"/>
        <v/>
      </c>
      <c r="K303" s="64" t="str">
        <f t="shared" si="47"/>
        <v/>
      </c>
    </row>
    <row r="304" spans="1:11" ht="17.25" x14ac:dyDescent="0.35">
      <c r="B304" s="328"/>
      <c r="C304" s="112"/>
      <c r="D304" s="112"/>
      <c r="E304" s="107"/>
      <c r="F304" s="108"/>
      <c r="G304" s="57"/>
      <c r="H304" s="65"/>
      <c r="I304" s="69" t="str">
        <f t="shared" si="45"/>
        <v/>
      </c>
      <c r="J304" s="64" t="str">
        <f t="shared" si="46"/>
        <v/>
      </c>
      <c r="K304" s="64" t="str">
        <f t="shared" si="47"/>
        <v/>
      </c>
    </row>
    <row r="305" spans="1:11" ht="17.25" x14ac:dyDescent="0.35">
      <c r="B305" s="328"/>
      <c r="C305" s="112"/>
      <c r="D305" s="112"/>
      <c r="E305" s="107"/>
      <c r="F305" s="108"/>
      <c r="G305" s="57"/>
      <c r="H305" s="65"/>
      <c r="I305" s="69" t="str">
        <f t="shared" si="45"/>
        <v/>
      </c>
      <c r="J305" s="64" t="str">
        <f t="shared" si="46"/>
        <v/>
      </c>
      <c r="K305" s="64" t="str">
        <f t="shared" si="47"/>
        <v/>
      </c>
    </row>
    <row r="306" spans="1:11" ht="18" customHeight="1" x14ac:dyDescent="0.2">
      <c r="B306" s="561" t="s">
        <v>22</v>
      </c>
      <c r="C306" s="561" t="s">
        <v>177</v>
      </c>
      <c r="D306" s="561" t="s">
        <v>243</v>
      </c>
      <c r="E306" s="561" t="s">
        <v>23</v>
      </c>
      <c r="F306" s="562" t="s">
        <v>234</v>
      </c>
      <c r="G306" s="562"/>
      <c r="H306" s="562"/>
      <c r="I306" s="562"/>
      <c r="J306" s="562"/>
      <c r="K306" s="562"/>
    </row>
    <row r="307" spans="1:11" ht="21" x14ac:dyDescent="0.2">
      <c r="A307" s="114">
        <v>27</v>
      </c>
      <c r="B307" s="438" t="s">
        <v>2673</v>
      </c>
      <c r="C307" s="115" t="s">
        <v>861</v>
      </c>
      <c r="D307" s="114" t="s">
        <v>862</v>
      </c>
      <c r="E307" s="329" t="str">
        <f>IF(O19="","",O19)</f>
        <v>SANTA IFIGÊNIA</v>
      </c>
      <c r="F307" s="563">
        <f>IF(B307="","",VLOOKUP(E307,$O$2:$T$120,6,0))</f>
        <v>66672</v>
      </c>
      <c r="G307" s="564"/>
      <c r="H307" s="564"/>
      <c r="I307" s="564"/>
      <c r="J307" s="564"/>
      <c r="K307" s="565"/>
    </row>
    <row r="308" spans="1:11" ht="43.5" x14ac:dyDescent="0.2">
      <c r="A308" s="166" t="s">
        <v>779</v>
      </c>
      <c r="B308" s="116" t="s">
        <v>0</v>
      </c>
      <c r="C308" s="116" t="s">
        <v>20</v>
      </c>
      <c r="D308" s="116" t="s">
        <v>21</v>
      </c>
      <c r="E308" s="116" t="s">
        <v>1</v>
      </c>
      <c r="F308" s="117" t="s">
        <v>3</v>
      </c>
      <c r="G308" s="116" t="s">
        <v>216</v>
      </c>
      <c r="H308" s="180" t="s">
        <v>242</v>
      </c>
      <c r="I308" s="116" t="s">
        <v>245</v>
      </c>
      <c r="J308" s="116" t="s">
        <v>217</v>
      </c>
      <c r="K308" s="116" t="s">
        <v>218</v>
      </c>
    </row>
    <row r="309" spans="1:11" ht="17.25" x14ac:dyDescent="0.2">
      <c r="B309" s="364" t="s">
        <v>903</v>
      </c>
      <c r="C309" s="112" t="s">
        <v>895</v>
      </c>
      <c r="D309" s="113" t="s">
        <v>896</v>
      </c>
      <c r="E309" s="107" t="s">
        <v>265</v>
      </c>
      <c r="F309" s="108">
        <v>12.5</v>
      </c>
      <c r="G309" s="57">
        <v>12</v>
      </c>
      <c r="H309" s="65">
        <v>3</v>
      </c>
      <c r="I309" s="69">
        <f t="shared" ref="I309:I324" si="48">IF(G309="","",SUM(G309:H309))</f>
        <v>15</v>
      </c>
      <c r="J309" s="64">
        <f>IF(G309="","",ROUNDUP(G309*0.65,0))</f>
        <v>8</v>
      </c>
      <c r="K309" s="64">
        <f>IF(G309="","",ROUNDUP(G309*0.55,0))</f>
        <v>7</v>
      </c>
    </row>
    <row r="310" spans="1:11" ht="17.25" x14ac:dyDescent="0.2">
      <c r="B310" s="364" t="s">
        <v>904</v>
      </c>
      <c r="C310" s="112" t="s">
        <v>897</v>
      </c>
      <c r="D310" s="113" t="s">
        <v>896</v>
      </c>
      <c r="E310" s="107" t="s">
        <v>265</v>
      </c>
      <c r="F310" s="108">
        <v>12.5</v>
      </c>
      <c r="G310" s="57">
        <v>12</v>
      </c>
      <c r="H310" s="65">
        <v>2</v>
      </c>
      <c r="I310" s="69">
        <f t="shared" si="48"/>
        <v>14</v>
      </c>
      <c r="J310" s="64">
        <f t="shared" ref="J310:J324" si="49">IF(G310="","",ROUNDUP(G310*0.65,0))</f>
        <v>8</v>
      </c>
      <c r="K310" s="64">
        <f t="shared" ref="K310:K324" si="50">IF(G310="","",ROUNDUP(G310*0.55,0))</f>
        <v>7</v>
      </c>
    </row>
    <row r="311" spans="1:11" ht="17.25" x14ac:dyDescent="0.2">
      <c r="B311" s="364" t="s">
        <v>905</v>
      </c>
      <c r="C311" s="112" t="s">
        <v>898</v>
      </c>
      <c r="D311" s="113" t="s">
        <v>896</v>
      </c>
      <c r="E311" s="107" t="s">
        <v>265</v>
      </c>
      <c r="F311" s="108">
        <v>12.5</v>
      </c>
      <c r="G311" s="57">
        <v>10</v>
      </c>
      <c r="H311" s="65">
        <v>2</v>
      </c>
      <c r="I311" s="69">
        <f t="shared" si="48"/>
        <v>12</v>
      </c>
      <c r="J311" s="64">
        <f t="shared" si="49"/>
        <v>7</v>
      </c>
      <c r="K311" s="64">
        <f t="shared" si="50"/>
        <v>6</v>
      </c>
    </row>
    <row r="312" spans="1:11" ht="17.25" x14ac:dyDescent="0.2">
      <c r="B312" s="364" t="s">
        <v>906</v>
      </c>
      <c r="C312" s="112" t="s">
        <v>899</v>
      </c>
      <c r="D312" s="113" t="s">
        <v>896</v>
      </c>
      <c r="E312" s="107" t="s">
        <v>265</v>
      </c>
      <c r="F312" s="108">
        <v>12.5</v>
      </c>
      <c r="G312" s="57">
        <v>10</v>
      </c>
      <c r="H312" s="65">
        <v>2</v>
      </c>
      <c r="I312" s="69">
        <f t="shared" si="48"/>
        <v>12</v>
      </c>
      <c r="J312" s="64">
        <f t="shared" si="49"/>
        <v>7</v>
      </c>
      <c r="K312" s="64">
        <f t="shared" si="50"/>
        <v>6</v>
      </c>
    </row>
    <row r="313" spans="1:11" ht="17.25" x14ac:dyDescent="0.2">
      <c r="B313" s="364" t="s">
        <v>907</v>
      </c>
      <c r="C313" s="112" t="s">
        <v>900</v>
      </c>
      <c r="D313" s="113" t="s">
        <v>896</v>
      </c>
      <c r="E313" s="107" t="s">
        <v>265</v>
      </c>
      <c r="F313" s="108">
        <v>12.5</v>
      </c>
      <c r="G313" s="57">
        <v>10</v>
      </c>
      <c r="H313" s="65">
        <v>2</v>
      </c>
      <c r="I313" s="69">
        <f t="shared" si="48"/>
        <v>12</v>
      </c>
      <c r="J313" s="64">
        <f t="shared" si="49"/>
        <v>7</v>
      </c>
      <c r="K313" s="64">
        <f t="shared" si="50"/>
        <v>6</v>
      </c>
    </row>
    <row r="314" spans="1:11" ht="17.25" x14ac:dyDescent="0.2">
      <c r="B314" s="364" t="s">
        <v>908</v>
      </c>
      <c r="C314" s="112" t="s">
        <v>897</v>
      </c>
      <c r="D314" s="113" t="s">
        <v>901</v>
      </c>
      <c r="E314" s="107" t="s">
        <v>179</v>
      </c>
      <c r="F314" s="108">
        <v>9.5</v>
      </c>
      <c r="G314" s="57">
        <v>12</v>
      </c>
      <c r="H314" s="65">
        <v>1</v>
      </c>
      <c r="I314" s="69">
        <f t="shared" si="48"/>
        <v>13</v>
      </c>
      <c r="J314" s="64">
        <f t="shared" si="49"/>
        <v>8</v>
      </c>
      <c r="K314" s="64">
        <f t="shared" si="50"/>
        <v>7</v>
      </c>
    </row>
    <row r="315" spans="1:11" ht="17.25" x14ac:dyDescent="0.2">
      <c r="B315" s="364" t="s">
        <v>909</v>
      </c>
      <c r="C315" s="112" t="s">
        <v>895</v>
      </c>
      <c r="D315" s="113" t="s">
        <v>902</v>
      </c>
      <c r="E315" s="107" t="s">
        <v>179</v>
      </c>
      <c r="F315" s="108">
        <v>9.5</v>
      </c>
      <c r="G315" s="57">
        <v>10</v>
      </c>
      <c r="H315" s="65">
        <v>1</v>
      </c>
      <c r="I315" s="69">
        <f t="shared" si="48"/>
        <v>11</v>
      </c>
      <c r="J315" s="64">
        <f t="shared" si="49"/>
        <v>7</v>
      </c>
      <c r="K315" s="64">
        <f t="shared" si="50"/>
        <v>6</v>
      </c>
    </row>
    <row r="316" spans="1:11" ht="17.25" x14ac:dyDescent="0.2">
      <c r="B316" s="364" t="s">
        <v>910</v>
      </c>
      <c r="C316" s="112" t="s">
        <v>898</v>
      </c>
      <c r="D316" s="113" t="s">
        <v>902</v>
      </c>
      <c r="E316" s="107" t="s">
        <v>179</v>
      </c>
      <c r="F316" s="108">
        <v>9.5</v>
      </c>
      <c r="G316" s="57">
        <v>10</v>
      </c>
      <c r="H316" s="65">
        <v>1</v>
      </c>
      <c r="I316" s="69">
        <f t="shared" si="48"/>
        <v>11</v>
      </c>
      <c r="J316" s="64">
        <f t="shared" si="49"/>
        <v>7</v>
      </c>
      <c r="K316" s="64">
        <f t="shared" si="50"/>
        <v>6</v>
      </c>
    </row>
    <row r="317" spans="1:11" ht="17.25" x14ac:dyDescent="0.35">
      <c r="B317" s="328"/>
      <c r="C317" s="112"/>
      <c r="D317" s="113"/>
      <c r="E317" s="107"/>
      <c r="F317" s="108"/>
      <c r="G317" s="57"/>
      <c r="H317" s="65"/>
      <c r="I317" s="69" t="str">
        <f t="shared" si="48"/>
        <v/>
      </c>
      <c r="J317" s="64" t="str">
        <f t="shared" si="49"/>
        <v/>
      </c>
      <c r="K317" s="64" t="str">
        <f t="shared" si="50"/>
        <v/>
      </c>
    </row>
    <row r="318" spans="1:11" ht="17.25" x14ac:dyDescent="0.35">
      <c r="B318" s="328"/>
      <c r="C318" s="112"/>
      <c r="D318" s="112"/>
      <c r="E318" s="107"/>
      <c r="F318" s="108"/>
      <c r="G318" s="57"/>
      <c r="H318" s="65"/>
      <c r="I318" s="69" t="str">
        <f t="shared" si="48"/>
        <v/>
      </c>
      <c r="J318" s="64" t="str">
        <f t="shared" si="49"/>
        <v/>
      </c>
      <c r="K318" s="64" t="str">
        <f t="shared" si="50"/>
        <v/>
      </c>
    </row>
    <row r="319" spans="1:11" ht="17.25" x14ac:dyDescent="0.35">
      <c r="B319" s="328"/>
      <c r="C319" s="112"/>
      <c r="D319" s="112"/>
      <c r="E319" s="107"/>
      <c r="F319" s="108"/>
      <c r="G319" s="57"/>
      <c r="H319" s="65"/>
      <c r="I319" s="69" t="str">
        <f t="shared" si="48"/>
        <v/>
      </c>
      <c r="J319" s="64" t="str">
        <f t="shared" si="49"/>
        <v/>
      </c>
      <c r="K319" s="64" t="str">
        <f t="shared" si="50"/>
        <v/>
      </c>
    </row>
    <row r="320" spans="1:11" ht="17.25" x14ac:dyDescent="0.35">
      <c r="B320" s="328"/>
      <c r="C320" s="112"/>
      <c r="D320" s="112"/>
      <c r="E320" s="107"/>
      <c r="F320" s="108"/>
      <c r="G320" s="57"/>
      <c r="H320" s="65"/>
      <c r="I320" s="69" t="str">
        <f t="shared" si="48"/>
        <v/>
      </c>
      <c r="J320" s="64" t="str">
        <f t="shared" si="49"/>
        <v/>
      </c>
      <c r="K320" s="64" t="str">
        <f t="shared" si="50"/>
        <v/>
      </c>
    </row>
    <row r="321" spans="1:11" ht="17.25" x14ac:dyDescent="0.35">
      <c r="B321" s="328"/>
      <c r="C321" s="112"/>
      <c r="D321" s="112"/>
      <c r="E321" s="107"/>
      <c r="F321" s="108"/>
      <c r="G321" s="57"/>
      <c r="H321" s="65"/>
      <c r="I321" s="69" t="str">
        <f t="shared" si="48"/>
        <v/>
      </c>
      <c r="J321" s="64" t="str">
        <f t="shared" si="49"/>
        <v/>
      </c>
      <c r="K321" s="64" t="str">
        <f t="shared" si="50"/>
        <v/>
      </c>
    </row>
    <row r="322" spans="1:11" ht="17.25" x14ac:dyDescent="0.35">
      <c r="B322" s="328"/>
      <c r="C322" s="112"/>
      <c r="D322" s="112"/>
      <c r="E322" s="107"/>
      <c r="F322" s="108"/>
      <c r="G322" s="57"/>
      <c r="H322" s="65"/>
      <c r="I322" s="69" t="str">
        <f t="shared" si="48"/>
        <v/>
      </c>
      <c r="J322" s="64" t="str">
        <f t="shared" si="49"/>
        <v/>
      </c>
      <c r="K322" s="64" t="str">
        <f t="shared" si="50"/>
        <v/>
      </c>
    </row>
    <row r="323" spans="1:11" ht="17.25" x14ac:dyDescent="0.35">
      <c r="B323" s="328"/>
      <c r="C323" s="112"/>
      <c r="D323" s="112"/>
      <c r="E323" s="107"/>
      <c r="F323" s="108"/>
      <c r="G323" s="57"/>
      <c r="H323" s="65"/>
      <c r="I323" s="69" t="str">
        <f t="shared" si="48"/>
        <v/>
      </c>
      <c r="J323" s="64" t="str">
        <f t="shared" si="49"/>
        <v/>
      </c>
      <c r="K323" s="64" t="str">
        <f t="shared" si="50"/>
        <v/>
      </c>
    </row>
    <row r="324" spans="1:11" ht="17.25" x14ac:dyDescent="0.35">
      <c r="B324" s="328"/>
      <c r="C324" s="112"/>
      <c r="D324" s="112"/>
      <c r="E324" s="107"/>
      <c r="F324" s="108"/>
      <c r="G324" s="57"/>
      <c r="H324" s="65"/>
      <c r="I324" s="69" t="str">
        <f t="shared" si="48"/>
        <v/>
      </c>
      <c r="J324" s="64" t="str">
        <f t="shared" si="49"/>
        <v/>
      </c>
      <c r="K324" s="64" t="str">
        <f t="shared" si="50"/>
        <v/>
      </c>
    </row>
    <row r="325" spans="1:11" ht="18" customHeight="1" x14ac:dyDescent="0.2">
      <c r="B325" s="561" t="s">
        <v>22</v>
      </c>
      <c r="C325" s="561" t="s">
        <v>177</v>
      </c>
      <c r="D325" s="561" t="s">
        <v>243</v>
      </c>
      <c r="E325" s="561" t="s">
        <v>23</v>
      </c>
      <c r="F325" s="562" t="s">
        <v>234</v>
      </c>
      <c r="G325" s="562"/>
      <c r="H325" s="562"/>
      <c r="I325" s="562"/>
      <c r="J325" s="562"/>
      <c r="K325" s="562"/>
    </row>
    <row r="326" spans="1:11" ht="21" x14ac:dyDescent="0.2">
      <c r="A326" s="114">
        <v>28</v>
      </c>
      <c r="B326" s="434" t="s">
        <v>2659</v>
      </c>
      <c r="C326" s="115" t="s">
        <v>498</v>
      </c>
      <c r="D326" s="114" t="s">
        <v>639</v>
      </c>
      <c r="E326" s="329" t="str">
        <f>IF(O20="","",O20)</f>
        <v>RONDON</v>
      </c>
      <c r="F326" s="563">
        <f>IF(B326="","",VLOOKUP(E326,$O$2:$T$120,6,0))</f>
        <v>114018</v>
      </c>
      <c r="G326" s="564"/>
      <c r="H326" s="564"/>
      <c r="I326" s="564"/>
      <c r="J326" s="564"/>
      <c r="K326" s="565"/>
    </row>
    <row r="327" spans="1:11" ht="43.5" x14ac:dyDescent="0.2">
      <c r="A327" s="166" t="s">
        <v>779</v>
      </c>
      <c r="B327" s="116" t="s">
        <v>0</v>
      </c>
      <c r="C327" s="116" t="s">
        <v>20</v>
      </c>
      <c r="D327" s="116" t="s">
        <v>21</v>
      </c>
      <c r="E327" s="116" t="s">
        <v>1</v>
      </c>
      <c r="F327" s="117" t="s">
        <v>3</v>
      </c>
      <c r="G327" s="116" t="s">
        <v>216</v>
      </c>
      <c r="H327" s="180" t="s">
        <v>242</v>
      </c>
      <c r="I327" s="116" t="s">
        <v>245</v>
      </c>
      <c r="J327" s="116" t="s">
        <v>217</v>
      </c>
      <c r="K327" s="116" t="s">
        <v>218</v>
      </c>
    </row>
    <row r="328" spans="1:11" ht="17.25" x14ac:dyDescent="0.2">
      <c r="B328" s="364" t="s">
        <v>911</v>
      </c>
      <c r="C328" s="112" t="s">
        <v>921</v>
      </c>
      <c r="D328" s="112" t="s">
        <v>922</v>
      </c>
      <c r="E328" s="107" t="s">
        <v>56</v>
      </c>
      <c r="F328" s="333">
        <v>17.5</v>
      </c>
      <c r="G328" s="57">
        <v>14</v>
      </c>
      <c r="H328" s="65">
        <v>1</v>
      </c>
      <c r="I328" s="69">
        <f t="shared" ref="I328:I343" si="51">IF(G328="","",SUM(G328:H328))</f>
        <v>15</v>
      </c>
      <c r="J328" s="64">
        <f>IF(G328="","",ROUNDUP(G328*0.65,0))</f>
        <v>10</v>
      </c>
      <c r="K328" s="64">
        <f>IF(G328="","",ROUNDUP(G328*0.55,0))</f>
        <v>8</v>
      </c>
    </row>
    <row r="329" spans="1:11" ht="17.25" x14ac:dyDescent="0.2">
      <c r="B329" s="364" t="s">
        <v>912</v>
      </c>
      <c r="C329" s="112" t="s">
        <v>923</v>
      </c>
      <c r="D329" s="112" t="s">
        <v>922</v>
      </c>
      <c r="E329" s="107" t="s">
        <v>265</v>
      </c>
      <c r="F329" s="108">
        <v>12.5</v>
      </c>
      <c r="G329" s="57">
        <v>12</v>
      </c>
      <c r="H329" s="65">
        <v>2</v>
      </c>
      <c r="I329" s="69">
        <f t="shared" si="51"/>
        <v>14</v>
      </c>
      <c r="J329" s="64">
        <f t="shared" ref="J329:J343" si="52">IF(G329="","",ROUNDUP(G329*0.65,0))</f>
        <v>8</v>
      </c>
      <c r="K329" s="64">
        <f t="shared" ref="K329:K343" si="53">IF(G329="","",ROUNDUP(G329*0.55,0))</f>
        <v>7</v>
      </c>
    </row>
    <row r="330" spans="1:11" ht="17.25" x14ac:dyDescent="0.2">
      <c r="B330" s="364" t="s">
        <v>913</v>
      </c>
      <c r="C330" s="112" t="s">
        <v>924</v>
      </c>
      <c r="D330" s="112" t="s">
        <v>922</v>
      </c>
      <c r="E330" s="107" t="s">
        <v>265</v>
      </c>
      <c r="F330" s="108">
        <v>12.5</v>
      </c>
      <c r="G330" s="57">
        <v>10</v>
      </c>
      <c r="H330" s="65">
        <v>1</v>
      </c>
      <c r="I330" s="69">
        <f t="shared" si="51"/>
        <v>11</v>
      </c>
      <c r="J330" s="64">
        <f t="shared" si="52"/>
        <v>7</v>
      </c>
      <c r="K330" s="64">
        <f t="shared" si="53"/>
        <v>6</v>
      </c>
    </row>
    <row r="331" spans="1:11" ht="17.25" x14ac:dyDescent="0.2">
      <c r="B331" s="364" t="s">
        <v>914</v>
      </c>
      <c r="C331" s="112" t="s">
        <v>925</v>
      </c>
      <c r="D331" s="112" t="s">
        <v>922</v>
      </c>
      <c r="E331" s="107" t="s">
        <v>265</v>
      </c>
      <c r="F331" s="108">
        <v>12.5</v>
      </c>
      <c r="G331" s="57">
        <v>10</v>
      </c>
      <c r="H331" s="65">
        <v>1</v>
      </c>
      <c r="I331" s="69">
        <f t="shared" si="51"/>
        <v>11</v>
      </c>
      <c r="J331" s="64">
        <f t="shared" si="52"/>
        <v>7</v>
      </c>
      <c r="K331" s="64">
        <f t="shared" si="53"/>
        <v>6</v>
      </c>
    </row>
    <row r="332" spans="1:11" ht="17.25" x14ac:dyDescent="0.2">
      <c r="B332" s="364" t="s">
        <v>915</v>
      </c>
      <c r="C332" s="112" t="s">
        <v>925</v>
      </c>
      <c r="D332" s="112" t="s">
        <v>926</v>
      </c>
      <c r="E332" s="107" t="s">
        <v>265</v>
      </c>
      <c r="F332" s="108">
        <v>12.5</v>
      </c>
      <c r="G332" s="57">
        <v>12</v>
      </c>
      <c r="H332" s="65">
        <v>2</v>
      </c>
      <c r="I332" s="69">
        <f t="shared" si="51"/>
        <v>14</v>
      </c>
      <c r="J332" s="64">
        <f t="shared" si="52"/>
        <v>8</v>
      </c>
      <c r="K332" s="64">
        <f t="shared" si="53"/>
        <v>7</v>
      </c>
    </row>
    <row r="333" spans="1:11" ht="17.25" x14ac:dyDescent="0.2">
      <c r="B333" s="364" t="s">
        <v>916</v>
      </c>
      <c r="C333" s="112" t="s">
        <v>925</v>
      </c>
      <c r="D333" s="112" t="s">
        <v>927</v>
      </c>
      <c r="E333" s="107" t="s">
        <v>265</v>
      </c>
      <c r="F333" s="108">
        <v>12.5</v>
      </c>
      <c r="G333" s="57">
        <v>12</v>
      </c>
      <c r="H333" s="65">
        <v>2</v>
      </c>
      <c r="I333" s="69">
        <f t="shared" si="51"/>
        <v>14</v>
      </c>
      <c r="J333" s="64">
        <f t="shared" si="52"/>
        <v>8</v>
      </c>
      <c r="K333" s="64">
        <f t="shared" si="53"/>
        <v>7</v>
      </c>
    </row>
    <row r="334" spans="1:11" ht="17.25" x14ac:dyDescent="0.2">
      <c r="B334" s="364" t="s">
        <v>917</v>
      </c>
      <c r="C334" s="112" t="s">
        <v>928</v>
      </c>
      <c r="D334" s="112" t="s">
        <v>922</v>
      </c>
      <c r="E334" s="107" t="s">
        <v>265</v>
      </c>
      <c r="F334" s="108">
        <v>12.5</v>
      </c>
      <c r="G334" s="57">
        <v>10</v>
      </c>
      <c r="H334" s="65">
        <v>1</v>
      </c>
      <c r="I334" s="69">
        <f t="shared" si="51"/>
        <v>11</v>
      </c>
      <c r="J334" s="64">
        <f t="shared" si="52"/>
        <v>7</v>
      </c>
      <c r="K334" s="64">
        <f t="shared" si="53"/>
        <v>6</v>
      </c>
    </row>
    <row r="335" spans="1:11" ht="17.25" x14ac:dyDescent="0.2">
      <c r="B335" s="364" t="s">
        <v>918</v>
      </c>
      <c r="C335" s="112" t="s">
        <v>929</v>
      </c>
      <c r="D335" s="112" t="s">
        <v>930</v>
      </c>
      <c r="E335" s="107" t="s">
        <v>265</v>
      </c>
      <c r="F335" s="108">
        <v>12.5</v>
      </c>
      <c r="G335" s="57">
        <v>14</v>
      </c>
      <c r="H335" s="65">
        <v>1</v>
      </c>
      <c r="I335" s="69">
        <f t="shared" si="51"/>
        <v>15</v>
      </c>
      <c r="J335" s="64">
        <f t="shared" si="52"/>
        <v>10</v>
      </c>
      <c r="K335" s="64">
        <f t="shared" si="53"/>
        <v>8</v>
      </c>
    </row>
    <row r="336" spans="1:11" ht="17.25" x14ac:dyDescent="0.2">
      <c r="B336" s="364" t="s">
        <v>919</v>
      </c>
      <c r="C336" s="112" t="s">
        <v>931</v>
      </c>
      <c r="D336" s="112" t="s">
        <v>922</v>
      </c>
      <c r="E336" s="107" t="s">
        <v>179</v>
      </c>
      <c r="F336" s="108">
        <v>9.5</v>
      </c>
      <c r="G336" s="57">
        <v>10</v>
      </c>
      <c r="H336" s="65">
        <v>1</v>
      </c>
      <c r="I336" s="69">
        <f t="shared" si="51"/>
        <v>11</v>
      </c>
      <c r="J336" s="64">
        <f t="shared" si="52"/>
        <v>7</v>
      </c>
      <c r="K336" s="64">
        <f t="shared" si="53"/>
        <v>6</v>
      </c>
    </row>
    <row r="337" spans="1:11" ht="17.25" x14ac:dyDescent="0.2">
      <c r="B337" s="364" t="s">
        <v>920</v>
      </c>
      <c r="C337" s="112" t="s">
        <v>932</v>
      </c>
      <c r="D337" s="112" t="s">
        <v>922</v>
      </c>
      <c r="E337" s="107" t="s">
        <v>179</v>
      </c>
      <c r="F337" s="108">
        <v>9.5</v>
      </c>
      <c r="G337" s="57">
        <v>8</v>
      </c>
      <c r="H337" s="65">
        <v>1</v>
      </c>
      <c r="I337" s="69">
        <f t="shared" si="51"/>
        <v>9</v>
      </c>
      <c r="J337" s="64">
        <f t="shared" si="52"/>
        <v>6</v>
      </c>
      <c r="K337" s="64">
        <f t="shared" si="53"/>
        <v>5</v>
      </c>
    </row>
    <row r="338" spans="1:11" ht="17.25" x14ac:dyDescent="0.35">
      <c r="B338" s="328"/>
      <c r="C338" s="112"/>
      <c r="D338" s="112"/>
      <c r="E338" s="107"/>
      <c r="F338" s="108"/>
      <c r="G338" s="57"/>
      <c r="H338" s="65"/>
      <c r="I338" s="69" t="str">
        <f t="shared" si="51"/>
        <v/>
      </c>
      <c r="J338" s="64" t="str">
        <f t="shared" si="52"/>
        <v/>
      </c>
      <c r="K338" s="64" t="str">
        <f t="shared" si="53"/>
        <v/>
      </c>
    </row>
    <row r="339" spans="1:11" ht="17.25" x14ac:dyDescent="0.35">
      <c r="B339" s="328"/>
      <c r="C339" s="112"/>
      <c r="D339" s="112"/>
      <c r="E339" s="107"/>
      <c r="F339" s="108"/>
      <c r="G339" s="57"/>
      <c r="H339" s="65"/>
      <c r="I339" s="69" t="str">
        <f t="shared" si="51"/>
        <v/>
      </c>
      <c r="J339" s="64" t="str">
        <f t="shared" si="52"/>
        <v/>
      </c>
      <c r="K339" s="64" t="str">
        <f t="shared" si="53"/>
        <v/>
      </c>
    </row>
    <row r="340" spans="1:11" ht="17.25" x14ac:dyDescent="0.35">
      <c r="B340" s="328"/>
      <c r="C340" s="112"/>
      <c r="D340" s="112"/>
      <c r="E340" s="107"/>
      <c r="F340" s="108"/>
      <c r="G340" s="57"/>
      <c r="H340" s="65"/>
      <c r="I340" s="69" t="str">
        <f t="shared" si="51"/>
        <v/>
      </c>
      <c r="J340" s="64" t="str">
        <f t="shared" si="52"/>
        <v/>
      </c>
      <c r="K340" s="64" t="str">
        <f t="shared" si="53"/>
        <v/>
      </c>
    </row>
    <row r="341" spans="1:11" ht="17.25" x14ac:dyDescent="0.35">
      <c r="B341" s="328"/>
      <c r="C341" s="112"/>
      <c r="D341" s="112"/>
      <c r="E341" s="107"/>
      <c r="F341" s="108"/>
      <c r="G341" s="57"/>
      <c r="H341" s="65"/>
      <c r="I341" s="69" t="str">
        <f t="shared" si="51"/>
        <v/>
      </c>
      <c r="J341" s="64" t="str">
        <f t="shared" si="52"/>
        <v/>
      </c>
      <c r="K341" s="64" t="str">
        <f t="shared" si="53"/>
        <v/>
      </c>
    </row>
    <row r="342" spans="1:11" ht="17.25" x14ac:dyDescent="0.35">
      <c r="B342" s="328"/>
      <c r="C342" s="112"/>
      <c r="D342" s="112"/>
      <c r="E342" s="107"/>
      <c r="F342" s="108"/>
      <c r="G342" s="57"/>
      <c r="H342" s="65"/>
      <c r="I342" s="69" t="str">
        <f t="shared" si="51"/>
        <v/>
      </c>
      <c r="J342" s="64" t="str">
        <f t="shared" si="52"/>
        <v/>
      </c>
      <c r="K342" s="64" t="str">
        <f t="shared" si="53"/>
        <v/>
      </c>
    </row>
    <row r="343" spans="1:11" ht="17.25" x14ac:dyDescent="0.35">
      <c r="B343" s="328"/>
      <c r="C343" s="112"/>
      <c r="D343" s="112"/>
      <c r="E343" s="107"/>
      <c r="F343" s="108"/>
      <c r="G343" s="57"/>
      <c r="H343" s="65"/>
      <c r="I343" s="69" t="str">
        <f t="shared" si="51"/>
        <v/>
      </c>
      <c r="J343" s="64" t="str">
        <f t="shared" si="52"/>
        <v/>
      </c>
      <c r="K343" s="64" t="str">
        <f t="shared" si="53"/>
        <v/>
      </c>
    </row>
    <row r="344" spans="1:11" ht="18" customHeight="1" x14ac:dyDescent="0.2">
      <c r="B344" s="561" t="s">
        <v>22</v>
      </c>
      <c r="C344" s="561" t="s">
        <v>177</v>
      </c>
      <c r="D344" s="561" t="s">
        <v>243</v>
      </c>
      <c r="E344" s="561" t="s">
        <v>23</v>
      </c>
      <c r="F344" s="566" t="s">
        <v>234</v>
      </c>
      <c r="G344" s="567"/>
      <c r="H344" s="567"/>
      <c r="I344" s="567"/>
      <c r="J344" s="567"/>
      <c r="K344" s="568"/>
    </row>
    <row r="345" spans="1:11" ht="21" x14ac:dyDescent="0.2">
      <c r="A345" s="114" t="s">
        <v>1031</v>
      </c>
      <c r="B345" s="434" t="s">
        <v>2654</v>
      </c>
      <c r="C345" s="115" t="s">
        <v>498</v>
      </c>
      <c r="D345" s="114" t="s">
        <v>639</v>
      </c>
      <c r="E345" s="329" t="str">
        <f>IF($O$21="","",$O$21)</f>
        <v>MNR - Área 1.1</v>
      </c>
      <c r="F345" s="563">
        <f>IF(B345="","",VLOOKUP(E345,$O$2:$T$120,6,0))</f>
        <v>144198</v>
      </c>
      <c r="G345" s="564"/>
      <c r="H345" s="564"/>
      <c r="I345" s="564"/>
      <c r="J345" s="564"/>
      <c r="K345" s="565"/>
    </row>
    <row r="346" spans="1:11" ht="43.5" x14ac:dyDescent="0.2">
      <c r="A346" s="166" t="s">
        <v>779</v>
      </c>
      <c r="B346" s="116" t="s">
        <v>0</v>
      </c>
      <c r="C346" s="116" t="s">
        <v>20</v>
      </c>
      <c r="D346" s="116" t="s">
        <v>21</v>
      </c>
      <c r="E346" s="116" t="s">
        <v>1</v>
      </c>
      <c r="F346" s="117" t="s">
        <v>3</v>
      </c>
      <c r="G346" s="116" t="s">
        <v>216</v>
      </c>
      <c r="H346" s="180" t="s">
        <v>242</v>
      </c>
      <c r="I346" s="116" t="s">
        <v>245</v>
      </c>
      <c r="J346" s="116" t="s">
        <v>217</v>
      </c>
      <c r="K346" s="116" t="s">
        <v>218</v>
      </c>
    </row>
    <row r="347" spans="1:11" ht="17.25" x14ac:dyDescent="0.2">
      <c r="B347" s="393">
        <v>1101</v>
      </c>
      <c r="C347" s="112" t="s">
        <v>1158</v>
      </c>
      <c r="D347" s="112" t="s">
        <v>1159</v>
      </c>
      <c r="E347" s="107" t="s">
        <v>265</v>
      </c>
      <c r="F347" s="108">
        <v>12.5</v>
      </c>
      <c r="G347" s="57">
        <v>15</v>
      </c>
      <c r="H347" s="65">
        <v>3</v>
      </c>
      <c r="I347" s="69">
        <f>IF(G347="","",SUM(G347:H347))</f>
        <v>18</v>
      </c>
      <c r="J347" s="64">
        <f>IF(G347="","",ROUNDUP(G347*0.65,0))</f>
        <v>10</v>
      </c>
      <c r="K347" s="64">
        <f>IF(G347="","",ROUNDUP(G347*0.55,0))</f>
        <v>9</v>
      </c>
    </row>
    <row r="348" spans="1:11" ht="17.25" x14ac:dyDescent="0.2">
      <c r="B348" s="393">
        <v>1102</v>
      </c>
      <c r="C348" s="112" t="s">
        <v>1158</v>
      </c>
      <c r="D348" s="112" t="s">
        <v>1160</v>
      </c>
      <c r="E348" s="107" t="s">
        <v>265</v>
      </c>
      <c r="F348" s="108">
        <v>12.5</v>
      </c>
      <c r="G348" s="57">
        <v>15</v>
      </c>
      <c r="H348" s="65">
        <v>4</v>
      </c>
      <c r="I348" s="69">
        <f t="shared" ref="I348:I357" si="54">IF(G348="","",SUM(G348:H348))</f>
        <v>19</v>
      </c>
      <c r="J348" s="64">
        <f t="shared" ref="J348:J362" si="55">IF(G348="","",ROUNDUP(G348*0.65,0))</f>
        <v>10</v>
      </c>
      <c r="K348" s="64">
        <f t="shared" ref="K348:K362" si="56">IF(G348="","",ROUNDUP(G348*0.55,0))</f>
        <v>9</v>
      </c>
    </row>
    <row r="349" spans="1:11" ht="17.25" x14ac:dyDescent="0.2">
      <c r="B349" s="393">
        <v>1103</v>
      </c>
      <c r="C349" s="112" t="s">
        <v>1158</v>
      </c>
      <c r="D349" s="112" t="s">
        <v>1161</v>
      </c>
      <c r="E349" s="107" t="s">
        <v>265</v>
      </c>
      <c r="F349" s="108">
        <v>12.5</v>
      </c>
      <c r="G349" s="57">
        <v>20</v>
      </c>
      <c r="H349" s="65">
        <v>3</v>
      </c>
      <c r="I349" s="69">
        <f t="shared" si="54"/>
        <v>23</v>
      </c>
      <c r="J349" s="64">
        <f t="shared" si="55"/>
        <v>13</v>
      </c>
      <c r="K349" s="64">
        <f t="shared" si="56"/>
        <v>11</v>
      </c>
    </row>
    <row r="350" spans="1:11" ht="17.25" x14ac:dyDescent="0.2">
      <c r="B350" s="393">
        <v>1104</v>
      </c>
      <c r="C350" s="112" t="s">
        <v>1158</v>
      </c>
      <c r="D350" s="112" t="s">
        <v>1162</v>
      </c>
      <c r="E350" s="107" t="s">
        <v>265</v>
      </c>
      <c r="F350" s="108">
        <v>12.5</v>
      </c>
      <c r="G350" s="57">
        <v>20</v>
      </c>
      <c r="H350" s="65">
        <v>5</v>
      </c>
      <c r="I350" s="69">
        <f t="shared" si="54"/>
        <v>25</v>
      </c>
      <c r="J350" s="64">
        <f t="shared" si="55"/>
        <v>13</v>
      </c>
      <c r="K350" s="64">
        <f t="shared" si="56"/>
        <v>11</v>
      </c>
    </row>
    <row r="351" spans="1:11" ht="17.25" x14ac:dyDescent="0.2">
      <c r="B351" s="393">
        <v>1105</v>
      </c>
      <c r="C351" s="112" t="s">
        <v>1163</v>
      </c>
      <c r="D351" s="112" t="s">
        <v>1164</v>
      </c>
      <c r="E351" s="107" t="s">
        <v>55</v>
      </c>
      <c r="F351" s="333">
        <v>14</v>
      </c>
      <c r="G351" s="57">
        <v>22</v>
      </c>
      <c r="H351" s="65">
        <v>3</v>
      </c>
      <c r="I351" s="69">
        <f t="shared" si="54"/>
        <v>25</v>
      </c>
      <c r="J351" s="64">
        <f t="shared" si="55"/>
        <v>15</v>
      </c>
      <c r="K351" s="64">
        <f t="shared" si="56"/>
        <v>13</v>
      </c>
    </row>
    <row r="352" spans="1:11" ht="17.25" x14ac:dyDescent="0.2">
      <c r="B352" s="393">
        <v>1106</v>
      </c>
      <c r="C352" s="112" t="s">
        <v>1163</v>
      </c>
      <c r="D352" s="112" t="s">
        <v>1165</v>
      </c>
      <c r="E352" s="107" t="s">
        <v>55</v>
      </c>
      <c r="F352" s="333">
        <v>14</v>
      </c>
      <c r="G352" s="57">
        <v>22</v>
      </c>
      <c r="H352" s="65">
        <v>3</v>
      </c>
      <c r="I352" s="69">
        <f t="shared" si="54"/>
        <v>25</v>
      </c>
      <c r="J352" s="64">
        <f t="shared" si="55"/>
        <v>15</v>
      </c>
      <c r="K352" s="64">
        <f t="shared" si="56"/>
        <v>13</v>
      </c>
    </row>
    <row r="353" spans="1:11" ht="17.25" x14ac:dyDescent="0.2">
      <c r="B353" s="393">
        <v>1107</v>
      </c>
      <c r="C353" s="112" t="s">
        <v>1165</v>
      </c>
      <c r="D353" s="112" t="s">
        <v>1166</v>
      </c>
      <c r="E353" s="107" t="s">
        <v>56</v>
      </c>
      <c r="F353" s="333">
        <v>17.5</v>
      </c>
      <c r="G353" s="57">
        <v>20</v>
      </c>
      <c r="H353" s="65">
        <v>5</v>
      </c>
      <c r="I353" s="69">
        <f t="shared" si="54"/>
        <v>25</v>
      </c>
      <c r="J353" s="64">
        <f t="shared" si="55"/>
        <v>13</v>
      </c>
      <c r="K353" s="64">
        <f t="shared" si="56"/>
        <v>11</v>
      </c>
    </row>
    <row r="354" spans="1:11" ht="17.25" x14ac:dyDescent="0.2">
      <c r="B354" s="393">
        <v>1108</v>
      </c>
      <c r="C354" s="112" t="s">
        <v>1163</v>
      </c>
      <c r="D354" s="112" t="s">
        <v>1166</v>
      </c>
      <c r="E354" s="107" t="s">
        <v>56</v>
      </c>
      <c r="F354" s="333">
        <v>17.5</v>
      </c>
      <c r="G354" s="57">
        <v>20</v>
      </c>
      <c r="H354" s="65">
        <v>5</v>
      </c>
      <c r="I354" s="69">
        <f t="shared" si="54"/>
        <v>25</v>
      </c>
      <c r="J354" s="64">
        <f t="shared" si="55"/>
        <v>13</v>
      </c>
      <c r="K354" s="64">
        <f t="shared" si="56"/>
        <v>11</v>
      </c>
    </row>
    <row r="355" spans="1:11" ht="17.25" x14ac:dyDescent="0.2">
      <c r="B355" s="393">
        <v>1109</v>
      </c>
      <c r="C355" s="112" t="s">
        <v>1165</v>
      </c>
      <c r="D355" s="112" t="s">
        <v>1167</v>
      </c>
      <c r="E355" s="107" t="s">
        <v>57</v>
      </c>
      <c r="F355" s="108">
        <v>23</v>
      </c>
      <c r="G355" s="57">
        <v>16</v>
      </c>
      <c r="H355" s="65">
        <v>3</v>
      </c>
      <c r="I355" s="69">
        <f t="shared" si="54"/>
        <v>19</v>
      </c>
      <c r="J355" s="64">
        <f t="shared" si="55"/>
        <v>11</v>
      </c>
      <c r="K355" s="64">
        <f t="shared" si="56"/>
        <v>9</v>
      </c>
    </row>
    <row r="356" spans="1:11" ht="17.25" x14ac:dyDescent="0.2">
      <c r="B356" s="393">
        <v>1110</v>
      </c>
      <c r="C356" s="112" t="s">
        <v>1163</v>
      </c>
      <c r="D356" s="112" t="s">
        <v>1168</v>
      </c>
      <c r="E356" s="107" t="s">
        <v>57</v>
      </c>
      <c r="F356" s="108">
        <v>23</v>
      </c>
      <c r="G356" s="57">
        <v>16</v>
      </c>
      <c r="H356" s="65">
        <v>5</v>
      </c>
      <c r="I356" s="69">
        <f t="shared" si="54"/>
        <v>21</v>
      </c>
      <c r="J356" s="64">
        <f t="shared" si="55"/>
        <v>11</v>
      </c>
      <c r="K356" s="64">
        <f t="shared" si="56"/>
        <v>9</v>
      </c>
    </row>
    <row r="357" spans="1:11" ht="17.25" x14ac:dyDescent="0.2">
      <c r="B357" s="332"/>
      <c r="C357" s="112"/>
      <c r="D357" s="112"/>
      <c r="E357" s="107"/>
      <c r="F357" s="108"/>
      <c r="G357" s="57"/>
      <c r="H357" s="65"/>
      <c r="I357" s="69" t="str">
        <f t="shared" si="54"/>
        <v/>
      </c>
      <c r="J357" s="64" t="str">
        <f t="shared" si="55"/>
        <v/>
      </c>
      <c r="K357" s="64" t="str">
        <f t="shared" si="56"/>
        <v/>
      </c>
    </row>
    <row r="358" spans="1:11" ht="17.25" x14ac:dyDescent="0.2">
      <c r="B358" s="332"/>
      <c r="C358" s="112"/>
      <c r="D358" s="112"/>
      <c r="E358" s="107"/>
      <c r="F358" s="108"/>
      <c r="G358" s="57"/>
      <c r="H358" s="65"/>
      <c r="I358" s="69"/>
      <c r="J358" s="64" t="str">
        <f t="shared" si="55"/>
        <v/>
      </c>
      <c r="K358" s="64" t="str">
        <f t="shared" si="56"/>
        <v/>
      </c>
    </row>
    <row r="359" spans="1:11" ht="17.25" x14ac:dyDescent="0.2">
      <c r="B359" s="332"/>
      <c r="C359" s="112"/>
      <c r="D359" s="112"/>
      <c r="E359" s="107"/>
      <c r="F359" s="108"/>
      <c r="G359" s="57"/>
      <c r="H359" s="65"/>
      <c r="I359" s="69"/>
      <c r="J359" s="64" t="str">
        <f t="shared" si="55"/>
        <v/>
      </c>
      <c r="K359" s="64" t="str">
        <f t="shared" si="56"/>
        <v/>
      </c>
    </row>
    <row r="360" spans="1:11" ht="17.25" x14ac:dyDescent="0.2">
      <c r="B360" s="332"/>
      <c r="C360" s="112"/>
      <c r="D360" s="112"/>
      <c r="E360" s="107"/>
      <c r="F360" s="108"/>
      <c r="G360" s="57"/>
      <c r="H360" s="65"/>
      <c r="I360" s="69"/>
      <c r="J360" s="64" t="str">
        <f t="shared" si="55"/>
        <v/>
      </c>
      <c r="K360" s="64" t="str">
        <f t="shared" si="56"/>
        <v/>
      </c>
    </row>
    <row r="361" spans="1:11" ht="17.25" x14ac:dyDescent="0.2">
      <c r="B361" s="332"/>
      <c r="C361" s="112"/>
      <c r="D361" s="112"/>
      <c r="E361" s="107"/>
      <c r="F361" s="108"/>
      <c r="G361" s="57"/>
      <c r="H361" s="65"/>
      <c r="I361" s="69"/>
      <c r="J361" s="64" t="str">
        <f t="shared" si="55"/>
        <v/>
      </c>
      <c r="K361" s="64" t="str">
        <f t="shared" si="56"/>
        <v/>
      </c>
    </row>
    <row r="362" spans="1:11" ht="17.25" x14ac:dyDescent="0.2">
      <c r="B362" s="332"/>
      <c r="C362" s="112"/>
      <c r="D362" s="112"/>
      <c r="E362" s="107"/>
      <c r="F362" s="108"/>
      <c r="G362" s="57"/>
      <c r="H362" s="65"/>
      <c r="I362" s="69"/>
      <c r="J362" s="64" t="str">
        <f t="shared" si="55"/>
        <v/>
      </c>
      <c r="K362" s="64" t="str">
        <f t="shared" si="56"/>
        <v/>
      </c>
    </row>
    <row r="363" spans="1:11" ht="18" customHeight="1" x14ac:dyDescent="0.2">
      <c r="B363" s="561" t="s">
        <v>22</v>
      </c>
      <c r="C363" s="561" t="s">
        <v>177</v>
      </c>
      <c r="D363" s="561" t="s">
        <v>243</v>
      </c>
      <c r="E363" s="561" t="s">
        <v>23</v>
      </c>
      <c r="F363" s="562" t="s">
        <v>234</v>
      </c>
      <c r="G363" s="562"/>
      <c r="H363" s="562"/>
      <c r="I363" s="562"/>
      <c r="J363" s="562"/>
      <c r="K363" s="562"/>
    </row>
    <row r="364" spans="1:11" ht="21" x14ac:dyDescent="0.2">
      <c r="A364" s="114" t="s">
        <v>1032</v>
      </c>
      <c r="B364" s="432" t="s">
        <v>2637</v>
      </c>
      <c r="C364" s="115" t="s">
        <v>573</v>
      </c>
      <c r="D364" s="114" t="s">
        <v>574</v>
      </c>
      <c r="E364" s="329" t="str">
        <f>IF($O$22="","",$O$22)</f>
        <v>MNR - Área 1.2</v>
      </c>
      <c r="F364" s="563">
        <f>IF(B364="","",VLOOKUP(E364,$O$2:$T$120,6,0))</f>
        <v>100783</v>
      </c>
      <c r="G364" s="564"/>
      <c r="H364" s="564"/>
      <c r="I364" s="564"/>
      <c r="J364" s="564"/>
      <c r="K364" s="565"/>
    </row>
    <row r="365" spans="1:11" ht="43.5" x14ac:dyDescent="0.2">
      <c r="A365" s="166" t="s">
        <v>779</v>
      </c>
      <c r="B365" s="116" t="s">
        <v>0</v>
      </c>
      <c r="C365" s="116" t="s">
        <v>20</v>
      </c>
      <c r="D365" s="116" t="s">
        <v>21</v>
      </c>
      <c r="E365" s="116" t="s">
        <v>1</v>
      </c>
      <c r="F365" s="117" t="s">
        <v>3</v>
      </c>
      <c r="G365" s="116" t="s">
        <v>216</v>
      </c>
      <c r="H365" s="180" t="s">
        <v>242</v>
      </c>
      <c r="I365" s="116" t="s">
        <v>245</v>
      </c>
      <c r="J365" s="116" t="s">
        <v>217</v>
      </c>
      <c r="K365" s="116" t="s">
        <v>218</v>
      </c>
    </row>
    <row r="366" spans="1:11" ht="17.25" x14ac:dyDescent="0.2">
      <c r="B366" s="393">
        <v>1201</v>
      </c>
      <c r="C366" s="99" t="s">
        <v>1169</v>
      </c>
      <c r="D366" s="99" t="s">
        <v>1170</v>
      </c>
      <c r="E366" s="107" t="s">
        <v>265</v>
      </c>
      <c r="F366" s="108">
        <v>12.5</v>
      </c>
      <c r="G366" s="57">
        <v>20</v>
      </c>
      <c r="H366" s="65">
        <v>4</v>
      </c>
      <c r="I366" s="69">
        <f>IF(G366="","",SUM(G366:H366))</f>
        <v>24</v>
      </c>
      <c r="J366" s="64">
        <f>IF(G366="","",ROUNDUP(G366*0.65,0))</f>
        <v>13</v>
      </c>
      <c r="K366" s="64">
        <f>IF(G366="","",ROUNDUP(G366*0.55,0))</f>
        <v>11</v>
      </c>
    </row>
    <row r="367" spans="1:11" ht="17.25" x14ac:dyDescent="0.2">
      <c r="B367" s="393">
        <v>1202</v>
      </c>
      <c r="C367" s="99" t="s">
        <v>1163</v>
      </c>
      <c r="D367" s="99" t="s">
        <v>1171</v>
      </c>
      <c r="E367" s="107" t="s">
        <v>265</v>
      </c>
      <c r="F367" s="108">
        <v>12.5</v>
      </c>
      <c r="G367" s="57">
        <v>20</v>
      </c>
      <c r="H367" s="65">
        <v>3</v>
      </c>
      <c r="I367" s="69">
        <f t="shared" ref="I367:I372" si="57">IF(G367="","",SUM(G367:H367))</f>
        <v>23</v>
      </c>
      <c r="J367" s="64">
        <f t="shared" ref="J367:J381" si="58">IF(G367="","",ROUNDUP(G367*0.65,0))</f>
        <v>13</v>
      </c>
      <c r="K367" s="64">
        <f t="shared" ref="K367:K381" si="59">IF(G367="","",ROUNDUP(G367*0.55,0))</f>
        <v>11</v>
      </c>
    </row>
    <row r="368" spans="1:11" ht="17.25" x14ac:dyDescent="0.2">
      <c r="B368" s="393">
        <v>1203</v>
      </c>
      <c r="C368" s="99" t="s">
        <v>1169</v>
      </c>
      <c r="D368" s="99" t="s">
        <v>1172</v>
      </c>
      <c r="E368" s="107" t="s">
        <v>265</v>
      </c>
      <c r="F368" s="108">
        <v>12.5</v>
      </c>
      <c r="G368" s="57">
        <v>20</v>
      </c>
      <c r="H368" s="65">
        <v>3</v>
      </c>
      <c r="I368" s="69">
        <f t="shared" si="57"/>
        <v>23</v>
      </c>
      <c r="J368" s="64">
        <f t="shared" si="58"/>
        <v>13</v>
      </c>
      <c r="K368" s="64">
        <f t="shared" si="59"/>
        <v>11</v>
      </c>
    </row>
    <row r="369" spans="1:11" ht="17.25" x14ac:dyDescent="0.2">
      <c r="B369" s="393">
        <v>1204</v>
      </c>
      <c r="C369" s="99" t="s">
        <v>1163</v>
      </c>
      <c r="D369" s="99" t="s">
        <v>1169</v>
      </c>
      <c r="E369" s="107" t="s">
        <v>55</v>
      </c>
      <c r="F369" s="333">
        <v>14</v>
      </c>
      <c r="G369" s="57">
        <v>15</v>
      </c>
      <c r="H369" s="65">
        <v>2</v>
      </c>
      <c r="I369" s="69">
        <f t="shared" si="57"/>
        <v>17</v>
      </c>
      <c r="J369" s="64">
        <f t="shared" si="58"/>
        <v>10</v>
      </c>
      <c r="K369" s="64">
        <f t="shared" si="59"/>
        <v>9</v>
      </c>
    </row>
    <row r="370" spans="1:11" ht="17.25" x14ac:dyDescent="0.2">
      <c r="B370" s="393">
        <v>1205</v>
      </c>
      <c r="C370" s="99" t="s">
        <v>1173</v>
      </c>
      <c r="D370" s="99" t="s">
        <v>1174</v>
      </c>
      <c r="E370" s="107" t="s">
        <v>55</v>
      </c>
      <c r="F370" s="333">
        <v>14</v>
      </c>
      <c r="G370" s="57">
        <v>15</v>
      </c>
      <c r="H370" s="65">
        <v>3</v>
      </c>
      <c r="I370" s="69">
        <f t="shared" si="57"/>
        <v>18</v>
      </c>
      <c r="J370" s="64">
        <f t="shared" si="58"/>
        <v>10</v>
      </c>
      <c r="K370" s="64">
        <f t="shared" si="59"/>
        <v>9</v>
      </c>
    </row>
    <row r="371" spans="1:11" ht="17.25" x14ac:dyDescent="0.2">
      <c r="B371" s="393">
        <v>1206</v>
      </c>
      <c r="C371" s="99" t="s">
        <v>1163</v>
      </c>
      <c r="D371" s="99" t="s">
        <v>1175</v>
      </c>
      <c r="E371" s="107" t="s">
        <v>56</v>
      </c>
      <c r="F371" s="333">
        <v>17.5</v>
      </c>
      <c r="G371" s="57">
        <v>20</v>
      </c>
      <c r="H371" s="65">
        <v>5</v>
      </c>
      <c r="I371" s="69">
        <f t="shared" si="57"/>
        <v>25</v>
      </c>
      <c r="J371" s="64">
        <f t="shared" si="58"/>
        <v>13</v>
      </c>
      <c r="K371" s="64">
        <f t="shared" si="59"/>
        <v>11</v>
      </c>
    </row>
    <row r="372" spans="1:11" ht="17.25" x14ac:dyDescent="0.2">
      <c r="B372" s="393">
        <v>1207</v>
      </c>
      <c r="C372" s="99" t="s">
        <v>1165</v>
      </c>
      <c r="D372" s="99" t="s">
        <v>1176</v>
      </c>
      <c r="E372" s="107" t="s">
        <v>56</v>
      </c>
      <c r="F372" s="333">
        <v>17.5</v>
      </c>
      <c r="G372" s="57">
        <v>20</v>
      </c>
      <c r="H372" s="65">
        <v>5</v>
      </c>
      <c r="I372" s="69">
        <f t="shared" si="57"/>
        <v>25</v>
      </c>
      <c r="J372" s="64">
        <f t="shared" si="58"/>
        <v>13</v>
      </c>
      <c r="K372" s="64">
        <f t="shared" si="59"/>
        <v>11</v>
      </c>
    </row>
    <row r="373" spans="1:11" ht="17.25" x14ac:dyDescent="0.2">
      <c r="B373" s="336"/>
      <c r="C373" s="99"/>
      <c r="D373" s="99"/>
      <c r="E373" s="107"/>
      <c r="F373" s="108"/>
      <c r="G373" s="57"/>
      <c r="H373" s="65"/>
      <c r="I373" s="69"/>
      <c r="J373" s="64" t="str">
        <f t="shared" si="58"/>
        <v/>
      </c>
      <c r="K373" s="64" t="str">
        <f t="shared" si="59"/>
        <v/>
      </c>
    </row>
    <row r="374" spans="1:11" ht="17.25" x14ac:dyDescent="0.2">
      <c r="B374" s="336"/>
      <c r="C374" s="99"/>
      <c r="D374" s="99"/>
      <c r="E374" s="107"/>
      <c r="F374" s="108"/>
      <c r="G374" s="57"/>
      <c r="H374" s="65"/>
      <c r="I374" s="69"/>
      <c r="J374" s="64" t="str">
        <f t="shared" si="58"/>
        <v/>
      </c>
      <c r="K374" s="64" t="str">
        <f t="shared" si="59"/>
        <v/>
      </c>
    </row>
    <row r="375" spans="1:11" ht="17.25" x14ac:dyDescent="0.2">
      <c r="B375" s="336"/>
      <c r="C375" s="99"/>
      <c r="D375" s="99"/>
      <c r="E375" s="107"/>
      <c r="F375" s="108"/>
      <c r="G375" s="57"/>
      <c r="H375" s="65"/>
      <c r="I375" s="69"/>
      <c r="J375" s="64" t="str">
        <f t="shared" si="58"/>
        <v/>
      </c>
      <c r="K375" s="64" t="str">
        <f t="shared" si="59"/>
        <v/>
      </c>
    </row>
    <row r="376" spans="1:11" ht="17.25" x14ac:dyDescent="0.2">
      <c r="B376" s="336"/>
      <c r="C376" s="99"/>
      <c r="D376" s="99"/>
      <c r="E376" s="107"/>
      <c r="F376" s="108"/>
      <c r="G376" s="57"/>
      <c r="H376" s="65"/>
      <c r="I376" s="69"/>
      <c r="J376" s="64" t="str">
        <f t="shared" si="58"/>
        <v/>
      </c>
      <c r="K376" s="64" t="str">
        <f t="shared" si="59"/>
        <v/>
      </c>
    </row>
    <row r="377" spans="1:11" ht="17.25" x14ac:dyDescent="0.2">
      <c r="B377" s="336"/>
      <c r="C377" s="99"/>
      <c r="D377" s="99"/>
      <c r="E377" s="107"/>
      <c r="F377" s="108"/>
      <c r="G377" s="57"/>
      <c r="H377" s="65"/>
      <c r="I377" s="69"/>
      <c r="J377" s="64" t="str">
        <f t="shared" si="58"/>
        <v/>
      </c>
      <c r="K377" s="64" t="str">
        <f t="shared" si="59"/>
        <v/>
      </c>
    </row>
    <row r="378" spans="1:11" ht="17.25" x14ac:dyDescent="0.2">
      <c r="B378" s="336"/>
      <c r="C378" s="99"/>
      <c r="D378" s="99"/>
      <c r="E378" s="107"/>
      <c r="F378" s="108"/>
      <c r="G378" s="57"/>
      <c r="H378" s="65"/>
      <c r="I378" s="69"/>
      <c r="J378" s="64" t="str">
        <f t="shared" si="58"/>
        <v/>
      </c>
      <c r="K378" s="64" t="str">
        <f t="shared" si="59"/>
        <v/>
      </c>
    </row>
    <row r="379" spans="1:11" ht="17.25" x14ac:dyDescent="0.2">
      <c r="B379" s="336"/>
      <c r="C379" s="99"/>
      <c r="D379" s="99"/>
      <c r="E379" s="107"/>
      <c r="F379" s="108"/>
      <c r="G379" s="57"/>
      <c r="H379" s="65"/>
      <c r="I379" s="69"/>
      <c r="J379" s="64" t="str">
        <f t="shared" si="58"/>
        <v/>
      </c>
      <c r="K379" s="64" t="str">
        <f t="shared" si="59"/>
        <v/>
      </c>
    </row>
    <row r="380" spans="1:11" ht="17.25" x14ac:dyDescent="0.2">
      <c r="B380" s="336"/>
      <c r="C380" s="99"/>
      <c r="D380" s="99"/>
      <c r="E380" s="107"/>
      <c r="F380" s="108"/>
      <c r="G380" s="57"/>
      <c r="H380" s="65"/>
      <c r="I380" s="69"/>
      <c r="J380" s="64" t="str">
        <f t="shared" si="58"/>
        <v/>
      </c>
      <c r="K380" s="64" t="str">
        <f t="shared" si="59"/>
        <v/>
      </c>
    </row>
    <row r="381" spans="1:11" ht="17.25" x14ac:dyDescent="0.2">
      <c r="B381" s="336"/>
      <c r="C381" s="99"/>
      <c r="D381" s="99"/>
      <c r="E381" s="107"/>
      <c r="F381" s="108"/>
      <c r="G381" s="57"/>
      <c r="H381" s="65"/>
      <c r="I381" s="69"/>
      <c r="J381" s="64" t="str">
        <f t="shared" si="58"/>
        <v/>
      </c>
      <c r="K381" s="64" t="str">
        <f t="shared" si="59"/>
        <v/>
      </c>
    </row>
    <row r="382" spans="1:11" ht="18" customHeight="1" x14ac:dyDescent="0.2">
      <c r="B382" s="561" t="s">
        <v>22</v>
      </c>
      <c r="C382" s="561" t="s">
        <v>177</v>
      </c>
      <c r="D382" s="561" t="s">
        <v>243</v>
      </c>
      <c r="E382" s="561" t="s">
        <v>23</v>
      </c>
      <c r="F382" s="562" t="s">
        <v>234</v>
      </c>
      <c r="G382" s="562"/>
      <c r="H382" s="562"/>
      <c r="I382" s="562"/>
      <c r="J382" s="562"/>
      <c r="K382" s="562"/>
    </row>
    <row r="383" spans="1:11" ht="21" x14ac:dyDescent="0.2">
      <c r="A383" s="114" t="s">
        <v>1033</v>
      </c>
      <c r="B383" s="434" t="s">
        <v>2710</v>
      </c>
      <c r="C383" s="115" t="s">
        <v>498</v>
      </c>
      <c r="D383" s="114" t="s">
        <v>639</v>
      </c>
      <c r="E383" s="329" t="str">
        <f>IF($O$23="","",$O$23)</f>
        <v>MNR - Área 2.1</v>
      </c>
      <c r="F383" s="563">
        <f>IF(B383="","",VLOOKUP(E383,$O$2:$T$120,6,0))</f>
        <v>116498</v>
      </c>
      <c r="G383" s="564"/>
      <c r="H383" s="564"/>
      <c r="I383" s="564"/>
      <c r="J383" s="564"/>
      <c r="K383" s="565"/>
    </row>
    <row r="384" spans="1:11" ht="43.5" x14ac:dyDescent="0.2">
      <c r="A384" s="166" t="s">
        <v>779</v>
      </c>
      <c r="B384" s="116" t="s">
        <v>0</v>
      </c>
      <c r="C384" s="116" t="s">
        <v>20</v>
      </c>
      <c r="D384" s="116" t="s">
        <v>21</v>
      </c>
      <c r="E384" s="116" t="s">
        <v>1</v>
      </c>
      <c r="F384" s="117" t="s">
        <v>3</v>
      </c>
      <c r="G384" s="116" t="s">
        <v>216</v>
      </c>
      <c r="H384" s="180" t="s">
        <v>242</v>
      </c>
      <c r="I384" s="116" t="s">
        <v>245</v>
      </c>
      <c r="J384" s="116" t="s">
        <v>217</v>
      </c>
      <c r="K384" s="116" t="s">
        <v>218</v>
      </c>
    </row>
    <row r="385" spans="2:11" ht="17.25" x14ac:dyDescent="0.2">
      <c r="B385" s="394">
        <v>2101</v>
      </c>
      <c r="C385" s="99" t="s">
        <v>1177</v>
      </c>
      <c r="D385" s="99" t="s">
        <v>1174</v>
      </c>
      <c r="E385" s="107" t="s">
        <v>265</v>
      </c>
      <c r="F385" s="108">
        <v>12.5</v>
      </c>
      <c r="G385" s="57">
        <v>20</v>
      </c>
      <c r="H385" s="65">
        <v>4</v>
      </c>
      <c r="I385" s="69">
        <f>IF(G385="","",SUM(G385:H385))</f>
        <v>24</v>
      </c>
      <c r="J385" s="64">
        <f>IF(G385="","",ROUNDUP(G385*0.65,0))</f>
        <v>13</v>
      </c>
      <c r="K385" s="64">
        <f>IF(G385="","",ROUNDUP(G385*0.55,0))</f>
        <v>11</v>
      </c>
    </row>
    <row r="386" spans="2:11" ht="17.25" x14ac:dyDescent="0.2">
      <c r="B386" s="394">
        <v>2102</v>
      </c>
      <c r="C386" s="99" t="s">
        <v>1177</v>
      </c>
      <c r="D386" s="99" t="s">
        <v>1167</v>
      </c>
      <c r="E386" s="107" t="s">
        <v>265</v>
      </c>
      <c r="F386" s="108">
        <v>12.5</v>
      </c>
      <c r="G386" s="57">
        <v>20</v>
      </c>
      <c r="H386" s="65">
        <v>3</v>
      </c>
      <c r="I386" s="69">
        <f t="shared" ref="I386:I391" si="60">IF(G386="","",SUM(G386:H386))</f>
        <v>23</v>
      </c>
      <c r="J386" s="64">
        <f t="shared" ref="J386:J400" si="61">IF(G386="","",ROUNDUP(G386*0.65,0))</f>
        <v>13</v>
      </c>
      <c r="K386" s="64">
        <f t="shared" ref="K386:K400" si="62">IF(G386="","",ROUNDUP(G386*0.55,0))</f>
        <v>11</v>
      </c>
    </row>
    <row r="387" spans="2:11" ht="17.25" x14ac:dyDescent="0.2">
      <c r="B387" s="394">
        <v>2103</v>
      </c>
      <c r="C387" s="99" t="s">
        <v>1178</v>
      </c>
      <c r="D387" s="99" t="s">
        <v>1179</v>
      </c>
      <c r="E387" s="107" t="s">
        <v>265</v>
      </c>
      <c r="F387" s="108">
        <v>12.5</v>
      </c>
      <c r="G387" s="57">
        <v>15</v>
      </c>
      <c r="H387" s="65">
        <v>3</v>
      </c>
      <c r="I387" s="69">
        <f t="shared" si="60"/>
        <v>18</v>
      </c>
      <c r="J387" s="64">
        <f t="shared" si="61"/>
        <v>10</v>
      </c>
      <c r="K387" s="64">
        <f t="shared" si="62"/>
        <v>9</v>
      </c>
    </row>
    <row r="388" spans="2:11" ht="17.25" x14ac:dyDescent="0.2">
      <c r="B388" s="394">
        <v>2104</v>
      </c>
      <c r="C388" s="99" t="s">
        <v>1180</v>
      </c>
      <c r="D388" s="99" t="s">
        <v>1172</v>
      </c>
      <c r="E388" s="107" t="s">
        <v>55</v>
      </c>
      <c r="F388" s="333">
        <v>14</v>
      </c>
      <c r="G388" s="57">
        <v>22</v>
      </c>
      <c r="H388" s="65">
        <v>4</v>
      </c>
      <c r="I388" s="69">
        <f t="shared" si="60"/>
        <v>26</v>
      </c>
      <c r="J388" s="64">
        <f t="shared" si="61"/>
        <v>15</v>
      </c>
      <c r="K388" s="64">
        <f t="shared" si="62"/>
        <v>13</v>
      </c>
    </row>
    <row r="389" spans="2:11" ht="17.25" x14ac:dyDescent="0.2">
      <c r="B389" s="394">
        <v>2105</v>
      </c>
      <c r="C389" s="99" t="s">
        <v>531</v>
      </c>
      <c r="D389" s="99" t="s">
        <v>1167</v>
      </c>
      <c r="E389" s="107" t="s">
        <v>55</v>
      </c>
      <c r="F389" s="333">
        <v>14</v>
      </c>
      <c r="G389" s="57">
        <v>20</v>
      </c>
      <c r="H389" s="65">
        <v>4</v>
      </c>
      <c r="I389" s="69">
        <f t="shared" si="60"/>
        <v>24</v>
      </c>
      <c r="J389" s="64">
        <f t="shared" si="61"/>
        <v>13</v>
      </c>
      <c r="K389" s="64">
        <f t="shared" si="62"/>
        <v>11</v>
      </c>
    </row>
    <row r="390" spans="2:11" ht="17.25" x14ac:dyDescent="0.2">
      <c r="B390" s="394">
        <v>2106</v>
      </c>
      <c r="C390" s="99" t="s">
        <v>1170</v>
      </c>
      <c r="D390" s="99" t="s">
        <v>1179</v>
      </c>
      <c r="E390" s="107" t="s">
        <v>56</v>
      </c>
      <c r="F390" s="333">
        <v>17.5</v>
      </c>
      <c r="G390" s="57">
        <v>20</v>
      </c>
      <c r="H390" s="65">
        <v>3</v>
      </c>
      <c r="I390" s="69">
        <f t="shared" si="60"/>
        <v>23</v>
      </c>
      <c r="J390" s="64">
        <f t="shared" si="61"/>
        <v>13</v>
      </c>
      <c r="K390" s="64">
        <f t="shared" si="62"/>
        <v>11</v>
      </c>
    </row>
    <row r="391" spans="2:11" ht="17.25" x14ac:dyDescent="0.2">
      <c r="B391" s="394">
        <v>2107</v>
      </c>
      <c r="C391" s="99" t="s">
        <v>1167</v>
      </c>
      <c r="D391" s="99" t="s">
        <v>1181</v>
      </c>
      <c r="E391" s="107" t="s">
        <v>56</v>
      </c>
      <c r="F391" s="333">
        <v>17.5</v>
      </c>
      <c r="G391" s="57">
        <v>20</v>
      </c>
      <c r="H391" s="65">
        <v>2</v>
      </c>
      <c r="I391" s="69">
        <f t="shared" si="60"/>
        <v>22</v>
      </c>
      <c r="J391" s="64">
        <f t="shared" si="61"/>
        <v>13</v>
      </c>
      <c r="K391" s="64">
        <f t="shared" si="62"/>
        <v>11</v>
      </c>
    </row>
    <row r="392" spans="2:11" ht="17.25" x14ac:dyDescent="0.2">
      <c r="B392" s="338"/>
      <c r="C392" s="109"/>
      <c r="D392" s="109"/>
      <c r="E392" s="107"/>
      <c r="F392" s="108"/>
      <c r="G392" s="57"/>
      <c r="H392" s="65"/>
      <c r="I392" s="69"/>
      <c r="J392" s="64" t="str">
        <f t="shared" si="61"/>
        <v/>
      </c>
      <c r="K392" s="64" t="str">
        <f t="shared" si="62"/>
        <v/>
      </c>
    </row>
    <row r="393" spans="2:11" ht="17.25" x14ac:dyDescent="0.2">
      <c r="B393" s="338"/>
      <c r="C393" s="109"/>
      <c r="D393" s="109"/>
      <c r="E393" s="107"/>
      <c r="F393" s="108"/>
      <c r="G393" s="64"/>
      <c r="H393" s="65"/>
      <c r="I393" s="69"/>
      <c r="J393" s="64" t="str">
        <f t="shared" si="61"/>
        <v/>
      </c>
      <c r="K393" s="64" t="str">
        <f t="shared" si="62"/>
        <v/>
      </c>
    </row>
    <row r="394" spans="2:11" ht="17.25" x14ac:dyDescent="0.2">
      <c r="B394" s="338"/>
      <c r="C394" s="109"/>
      <c r="D394" s="109"/>
      <c r="E394" s="107"/>
      <c r="F394" s="108"/>
      <c r="G394" s="64"/>
      <c r="H394" s="65"/>
      <c r="I394" s="69"/>
      <c r="J394" s="64" t="str">
        <f t="shared" si="61"/>
        <v/>
      </c>
      <c r="K394" s="64" t="str">
        <f t="shared" si="62"/>
        <v/>
      </c>
    </row>
    <row r="395" spans="2:11" ht="17.25" x14ac:dyDescent="0.2">
      <c r="B395" s="338"/>
      <c r="C395" s="109"/>
      <c r="D395" s="109"/>
      <c r="E395" s="107"/>
      <c r="F395" s="108"/>
      <c r="G395" s="64"/>
      <c r="H395" s="65"/>
      <c r="I395" s="69"/>
      <c r="J395" s="64" t="str">
        <f t="shared" si="61"/>
        <v/>
      </c>
      <c r="K395" s="64" t="str">
        <f t="shared" si="62"/>
        <v/>
      </c>
    </row>
    <row r="396" spans="2:11" ht="17.25" x14ac:dyDescent="0.2">
      <c r="B396" s="338"/>
      <c r="C396" s="109"/>
      <c r="D396" s="109"/>
      <c r="E396" s="107"/>
      <c r="F396" s="108"/>
      <c r="G396" s="64"/>
      <c r="H396" s="65"/>
      <c r="I396" s="69"/>
      <c r="J396" s="64" t="str">
        <f t="shared" si="61"/>
        <v/>
      </c>
      <c r="K396" s="64" t="str">
        <f t="shared" si="62"/>
        <v/>
      </c>
    </row>
    <row r="397" spans="2:11" ht="17.25" x14ac:dyDescent="0.2">
      <c r="B397" s="338"/>
      <c r="C397" s="109"/>
      <c r="D397" s="109"/>
      <c r="E397" s="107"/>
      <c r="F397" s="108"/>
      <c r="G397" s="64"/>
      <c r="H397" s="65"/>
      <c r="I397" s="69"/>
      <c r="J397" s="64" t="str">
        <f t="shared" si="61"/>
        <v/>
      </c>
      <c r="K397" s="64" t="str">
        <f t="shared" si="62"/>
        <v/>
      </c>
    </row>
    <row r="398" spans="2:11" ht="17.25" x14ac:dyDescent="0.2">
      <c r="B398" s="338"/>
      <c r="C398" s="109"/>
      <c r="D398" s="109"/>
      <c r="E398" s="107"/>
      <c r="F398" s="108"/>
      <c r="G398" s="64"/>
      <c r="H398" s="65"/>
      <c r="I398" s="69"/>
      <c r="J398" s="64" t="str">
        <f t="shared" si="61"/>
        <v/>
      </c>
      <c r="K398" s="64" t="str">
        <f t="shared" si="62"/>
        <v/>
      </c>
    </row>
    <row r="399" spans="2:11" ht="17.25" x14ac:dyDescent="0.2">
      <c r="B399" s="338"/>
      <c r="C399" s="109"/>
      <c r="D399" s="109"/>
      <c r="E399" s="107"/>
      <c r="F399" s="108"/>
      <c r="G399" s="64"/>
      <c r="H399" s="65"/>
      <c r="I399" s="69"/>
      <c r="J399" s="64" t="str">
        <f t="shared" si="61"/>
        <v/>
      </c>
      <c r="K399" s="64" t="str">
        <f t="shared" si="62"/>
        <v/>
      </c>
    </row>
    <row r="400" spans="2:11" ht="17.25" x14ac:dyDescent="0.2">
      <c r="B400" s="338"/>
      <c r="C400" s="109"/>
      <c r="D400" s="109"/>
      <c r="E400" s="107"/>
      <c r="F400" s="108"/>
      <c r="G400" s="64"/>
      <c r="H400" s="65"/>
      <c r="I400" s="69"/>
      <c r="J400" s="64" t="str">
        <f t="shared" si="61"/>
        <v/>
      </c>
      <c r="K400" s="64" t="str">
        <f t="shared" si="62"/>
        <v/>
      </c>
    </row>
    <row r="401" spans="1:11" ht="18" customHeight="1" x14ac:dyDescent="0.2">
      <c r="B401" s="561" t="s">
        <v>22</v>
      </c>
      <c r="C401" s="561" t="s">
        <v>177</v>
      </c>
      <c r="D401" s="561" t="s">
        <v>243</v>
      </c>
      <c r="E401" s="561" t="s">
        <v>23</v>
      </c>
      <c r="F401" s="562" t="s">
        <v>234</v>
      </c>
      <c r="G401" s="562"/>
      <c r="H401" s="562"/>
      <c r="I401" s="562"/>
      <c r="J401" s="562"/>
      <c r="K401" s="562"/>
    </row>
    <row r="402" spans="1:11" ht="21" x14ac:dyDescent="0.2">
      <c r="A402" s="114" t="s">
        <v>1034</v>
      </c>
      <c r="B402" s="439" t="s">
        <v>2661</v>
      </c>
      <c r="C402" s="115" t="s">
        <v>1133</v>
      </c>
      <c r="D402" s="114" t="s">
        <v>1563</v>
      </c>
      <c r="E402" s="329" t="str">
        <f>IF($O$24="","",$O$24)</f>
        <v>MNR - Área 2.2</v>
      </c>
      <c r="F402" s="563">
        <f>IF(B402="","",VLOOKUP(E402,$O$2:$T$120,6,0))</f>
        <v>89930</v>
      </c>
      <c r="G402" s="564"/>
      <c r="H402" s="564"/>
      <c r="I402" s="564"/>
      <c r="J402" s="564"/>
      <c r="K402" s="565"/>
    </row>
    <row r="403" spans="1:11" ht="43.5" x14ac:dyDescent="0.2">
      <c r="A403" s="166" t="s">
        <v>779</v>
      </c>
      <c r="B403" s="116" t="s">
        <v>0</v>
      </c>
      <c r="C403" s="116" t="s">
        <v>20</v>
      </c>
      <c r="D403" s="116" t="s">
        <v>21</v>
      </c>
      <c r="E403" s="116" t="s">
        <v>1</v>
      </c>
      <c r="F403" s="117" t="s">
        <v>3</v>
      </c>
      <c r="G403" s="116" t="s">
        <v>216</v>
      </c>
      <c r="H403" s="180" t="s">
        <v>242</v>
      </c>
      <c r="I403" s="116" t="s">
        <v>245</v>
      </c>
      <c r="J403" s="116" t="s">
        <v>217</v>
      </c>
      <c r="K403" s="116" t="s">
        <v>218</v>
      </c>
    </row>
    <row r="404" spans="1:11" ht="17.25" x14ac:dyDescent="0.2">
      <c r="B404" s="394">
        <v>2201</v>
      </c>
      <c r="C404" s="99" t="s">
        <v>1182</v>
      </c>
      <c r="D404" s="99" t="s">
        <v>531</v>
      </c>
      <c r="E404" s="107" t="s">
        <v>265</v>
      </c>
      <c r="F404" s="108">
        <v>12.5</v>
      </c>
      <c r="G404" s="57">
        <v>20</v>
      </c>
      <c r="H404" s="65">
        <v>3</v>
      </c>
      <c r="I404" s="69">
        <f>IF(G404="","",SUM(G404:H404))</f>
        <v>23</v>
      </c>
      <c r="J404" s="64">
        <f>IF(G404="","",ROUNDUP(G404*0.65,0))</f>
        <v>13</v>
      </c>
      <c r="K404" s="64">
        <f>IF(G404="","",ROUNDUP(G404*0.55,0))</f>
        <v>11</v>
      </c>
    </row>
    <row r="405" spans="1:11" ht="17.25" x14ac:dyDescent="0.2">
      <c r="B405" s="394">
        <v>2202</v>
      </c>
      <c r="C405" s="99" t="s">
        <v>1165</v>
      </c>
      <c r="D405" s="99" t="s">
        <v>531</v>
      </c>
      <c r="E405" s="107" t="s">
        <v>265</v>
      </c>
      <c r="F405" s="108">
        <v>12.5</v>
      </c>
      <c r="G405" s="57">
        <v>20</v>
      </c>
      <c r="H405" s="65">
        <v>3</v>
      </c>
      <c r="I405" s="69">
        <f t="shared" ref="I405:I414" si="63">IF(G405="","",SUM(G405:H405))</f>
        <v>23</v>
      </c>
      <c r="J405" s="64">
        <f t="shared" ref="J405:J419" si="64">IF(G405="","",ROUNDUP(G405*0.65,0))</f>
        <v>13</v>
      </c>
      <c r="K405" s="64">
        <f t="shared" ref="K405:K419" si="65">IF(G405="","",ROUNDUP(G405*0.55,0))</f>
        <v>11</v>
      </c>
    </row>
    <row r="406" spans="1:11" ht="17.25" x14ac:dyDescent="0.2">
      <c r="B406" s="394">
        <v>2203</v>
      </c>
      <c r="C406" s="99" t="s">
        <v>1183</v>
      </c>
      <c r="D406" s="99" t="s">
        <v>1176</v>
      </c>
      <c r="E406" s="107" t="s">
        <v>265</v>
      </c>
      <c r="F406" s="108">
        <v>12.5</v>
      </c>
      <c r="G406" s="57">
        <v>20</v>
      </c>
      <c r="H406" s="65">
        <v>2</v>
      </c>
      <c r="I406" s="69">
        <f t="shared" si="63"/>
        <v>22</v>
      </c>
      <c r="J406" s="64">
        <f t="shared" si="64"/>
        <v>13</v>
      </c>
      <c r="K406" s="64">
        <f t="shared" si="65"/>
        <v>11</v>
      </c>
    </row>
    <row r="407" spans="1:11" ht="17.25" x14ac:dyDescent="0.2">
      <c r="B407" s="394">
        <v>2204</v>
      </c>
      <c r="C407" s="99" t="s">
        <v>1184</v>
      </c>
      <c r="D407" s="99" t="s">
        <v>1177</v>
      </c>
      <c r="E407" s="107" t="s">
        <v>265</v>
      </c>
      <c r="F407" s="108">
        <v>12.5</v>
      </c>
      <c r="G407" s="57">
        <v>20</v>
      </c>
      <c r="H407" s="65">
        <v>2</v>
      </c>
      <c r="I407" s="69">
        <f t="shared" si="63"/>
        <v>22</v>
      </c>
      <c r="J407" s="64">
        <f t="shared" si="64"/>
        <v>13</v>
      </c>
      <c r="K407" s="64">
        <f t="shared" si="65"/>
        <v>11</v>
      </c>
    </row>
    <row r="408" spans="1:11" ht="17.25" x14ac:dyDescent="0.2">
      <c r="B408" s="394">
        <v>2205</v>
      </c>
      <c r="C408" s="99" t="s">
        <v>1183</v>
      </c>
      <c r="D408" s="99" t="s">
        <v>1185</v>
      </c>
      <c r="E408" s="107" t="s">
        <v>55</v>
      </c>
      <c r="F408" s="333">
        <v>14</v>
      </c>
      <c r="G408" s="57">
        <v>18</v>
      </c>
      <c r="H408" s="65">
        <v>2</v>
      </c>
      <c r="I408" s="69">
        <f t="shared" si="63"/>
        <v>20</v>
      </c>
      <c r="J408" s="64">
        <f t="shared" si="64"/>
        <v>12</v>
      </c>
      <c r="K408" s="64">
        <f t="shared" si="65"/>
        <v>10</v>
      </c>
    </row>
    <row r="409" spans="1:11" ht="17.25" x14ac:dyDescent="0.2">
      <c r="B409" s="394">
        <v>2206</v>
      </c>
      <c r="C409" s="99" t="s">
        <v>1178</v>
      </c>
      <c r="D409" s="99" t="s">
        <v>531</v>
      </c>
      <c r="E409" s="107" t="s">
        <v>55</v>
      </c>
      <c r="F409" s="333">
        <v>14</v>
      </c>
      <c r="G409" s="57">
        <v>18</v>
      </c>
      <c r="H409" s="65">
        <v>2</v>
      </c>
      <c r="I409" s="69">
        <f t="shared" si="63"/>
        <v>20</v>
      </c>
      <c r="J409" s="64">
        <f t="shared" si="64"/>
        <v>12</v>
      </c>
      <c r="K409" s="64">
        <f t="shared" si="65"/>
        <v>10</v>
      </c>
    </row>
    <row r="410" spans="1:11" ht="17.25" x14ac:dyDescent="0.2">
      <c r="B410" s="339"/>
      <c r="C410" s="101"/>
      <c r="D410" s="101"/>
      <c r="E410" s="107"/>
      <c r="F410" s="108"/>
      <c r="G410" s="57"/>
      <c r="H410" s="65"/>
      <c r="I410" s="69" t="str">
        <f t="shared" si="63"/>
        <v/>
      </c>
      <c r="J410" s="64" t="str">
        <f t="shared" si="64"/>
        <v/>
      </c>
      <c r="K410" s="64" t="str">
        <f t="shared" si="65"/>
        <v/>
      </c>
    </row>
    <row r="411" spans="1:11" ht="17.25" x14ac:dyDescent="0.2">
      <c r="B411" s="339"/>
      <c r="C411" s="101"/>
      <c r="D411" s="101"/>
      <c r="E411" s="107"/>
      <c r="F411" s="108"/>
      <c r="G411" s="64"/>
      <c r="H411" s="65"/>
      <c r="I411" s="69" t="str">
        <f t="shared" si="63"/>
        <v/>
      </c>
      <c r="J411" s="64" t="str">
        <f t="shared" si="64"/>
        <v/>
      </c>
      <c r="K411" s="64" t="str">
        <f t="shared" si="65"/>
        <v/>
      </c>
    </row>
    <row r="412" spans="1:11" ht="17.25" x14ac:dyDescent="0.2">
      <c r="B412" s="339"/>
      <c r="C412" s="101"/>
      <c r="D412" s="101"/>
      <c r="E412" s="107"/>
      <c r="F412" s="108"/>
      <c r="G412" s="64"/>
      <c r="H412" s="65"/>
      <c r="I412" s="69" t="str">
        <f t="shared" si="63"/>
        <v/>
      </c>
      <c r="J412" s="64" t="str">
        <f t="shared" si="64"/>
        <v/>
      </c>
      <c r="K412" s="64" t="str">
        <f t="shared" si="65"/>
        <v/>
      </c>
    </row>
    <row r="413" spans="1:11" ht="17.25" x14ac:dyDescent="0.2">
      <c r="B413" s="339"/>
      <c r="C413" s="101"/>
      <c r="D413" s="101"/>
      <c r="E413" s="107"/>
      <c r="F413" s="108"/>
      <c r="G413" s="64"/>
      <c r="H413" s="65"/>
      <c r="I413" s="69" t="str">
        <f t="shared" si="63"/>
        <v/>
      </c>
      <c r="J413" s="64" t="str">
        <f t="shared" si="64"/>
        <v/>
      </c>
      <c r="K413" s="64" t="str">
        <f t="shared" si="65"/>
        <v/>
      </c>
    </row>
    <row r="414" spans="1:11" ht="17.25" x14ac:dyDescent="0.2">
      <c r="B414" s="339"/>
      <c r="C414" s="101"/>
      <c r="D414" s="101"/>
      <c r="E414" s="107"/>
      <c r="F414" s="108"/>
      <c r="G414" s="64"/>
      <c r="H414" s="65"/>
      <c r="I414" s="69" t="str">
        <f t="shared" si="63"/>
        <v/>
      </c>
      <c r="J414" s="64" t="str">
        <f t="shared" si="64"/>
        <v/>
      </c>
      <c r="K414" s="64" t="str">
        <f t="shared" si="65"/>
        <v/>
      </c>
    </row>
    <row r="415" spans="1:11" ht="17.25" x14ac:dyDescent="0.2">
      <c r="B415" s="339"/>
      <c r="C415" s="101"/>
      <c r="D415" s="101"/>
      <c r="E415" s="107"/>
      <c r="F415" s="108"/>
      <c r="G415" s="64"/>
      <c r="H415" s="65"/>
      <c r="I415" s="69"/>
      <c r="J415" s="64" t="str">
        <f t="shared" si="64"/>
        <v/>
      </c>
      <c r="K415" s="64" t="str">
        <f t="shared" si="65"/>
        <v/>
      </c>
    </row>
    <row r="416" spans="1:11" ht="17.25" x14ac:dyDescent="0.2">
      <c r="B416" s="339"/>
      <c r="C416" s="101"/>
      <c r="D416" s="101"/>
      <c r="E416" s="107"/>
      <c r="F416" s="108"/>
      <c r="G416" s="64"/>
      <c r="H416" s="65"/>
      <c r="I416" s="69"/>
      <c r="J416" s="64" t="str">
        <f t="shared" si="64"/>
        <v/>
      </c>
      <c r="K416" s="64" t="str">
        <f t="shared" si="65"/>
        <v/>
      </c>
    </row>
    <row r="417" spans="1:11" ht="17.25" x14ac:dyDescent="0.2">
      <c r="B417" s="339"/>
      <c r="C417" s="101"/>
      <c r="D417" s="101"/>
      <c r="E417" s="107"/>
      <c r="F417" s="108"/>
      <c r="G417" s="64"/>
      <c r="H417" s="65"/>
      <c r="I417" s="69"/>
      <c r="J417" s="64" t="str">
        <f t="shared" si="64"/>
        <v/>
      </c>
      <c r="K417" s="64" t="str">
        <f t="shared" si="65"/>
        <v/>
      </c>
    </row>
    <row r="418" spans="1:11" ht="17.25" x14ac:dyDescent="0.2">
      <c r="B418" s="339"/>
      <c r="C418" s="101"/>
      <c r="D418" s="101"/>
      <c r="E418" s="107"/>
      <c r="F418" s="108"/>
      <c r="G418" s="64"/>
      <c r="H418" s="65"/>
      <c r="I418" s="69"/>
      <c r="J418" s="64" t="str">
        <f t="shared" si="64"/>
        <v/>
      </c>
      <c r="K418" s="64" t="str">
        <f t="shared" si="65"/>
        <v/>
      </c>
    </row>
    <row r="419" spans="1:11" ht="17.25" x14ac:dyDescent="0.2">
      <c r="B419" s="339"/>
      <c r="C419" s="101"/>
      <c r="D419" s="101"/>
      <c r="E419" s="107"/>
      <c r="F419" s="108"/>
      <c r="G419" s="64"/>
      <c r="H419" s="65"/>
      <c r="I419" s="69"/>
      <c r="J419" s="64" t="str">
        <f t="shared" si="64"/>
        <v/>
      </c>
      <c r="K419" s="64" t="str">
        <f t="shared" si="65"/>
        <v/>
      </c>
    </row>
    <row r="420" spans="1:11" ht="18" customHeight="1" x14ac:dyDescent="0.2">
      <c r="B420" s="561" t="s">
        <v>22</v>
      </c>
      <c r="C420" s="561" t="s">
        <v>177</v>
      </c>
      <c r="D420" s="561" t="s">
        <v>243</v>
      </c>
      <c r="E420" s="561" t="s">
        <v>23</v>
      </c>
      <c r="F420" s="562" t="s">
        <v>234</v>
      </c>
      <c r="G420" s="562"/>
      <c r="H420" s="562"/>
      <c r="I420" s="562"/>
      <c r="J420" s="562"/>
      <c r="K420" s="562"/>
    </row>
    <row r="421" spans="1:11" ht="21" x14ac:dyDescent="0.2">
      <c r="A421" s="114" t="s">
        <v>1035</v>
      </c>
      <c r="B421" s="434" t="s">
        <v>2655</v>
      </c>
      <c r="C421" s="115" t="s">
        <v>498</v>
      </c>
      <c r="D421" s="114" t="s">
        <v>639</v>
      </c>
      <c r="E421" s="329" t="str">
        <f>IF($O$25="","",$O$25)</f>
        <v>MNR - Área 3.1</v>
      </c>
      <c r="F421" s="563">
        <f>IF(B421="","",VLOOKUP(E421,$O$2:$T$120,6,0))</f>
        <v>122491</v>
      </c>
      <c r="G421" s="564"/>
      <c r="H421" s="564"/>
      <c r="I421" s="564"/>
      <c r="J421" s="564"/>
      <c r="K421" s="565"/>
    </row>
    <row r="422" spans="1:11" ht="43.5" x14ac:dyDescent="0.2">
      <c r="A422" s="166" t="s">
        <v>779</v>
      </c>
      <c r="B422" s="116" t="s">
        <v>0</v>
      </c>
      <c r="C422" s="116" t="s">
        <v>20</v>
      </c>
      <c r="D422" s="116" t="s">
        <v>21</v>
      </c>
      <c r="E422" s="116" t="s">
        <v>1</v>
      </c>
      <c r="F422" s="117" t="s">
        <v>3</v>
      </c>
      <c r="G422" s="116" t="s">
        <v>216</v>
      </c>
      <c r="H422" s="180" t="s">
        <v>242</v>
      </c>
      <c r="I422" s="116" t="s">
        <v>245</v>
      </c>
      <c r="J422" s="116" t="s">
        <v>217</v>
      </c>
      <c r="K422" s="116" t="s">
        <v>218</v>
      </c>
    </row>
    <row r="423" spans="1:11" ht="17.25" x14ac:dyDescent="0.2">
      <c r="B423" s="395">
        <v>3101</v>
      </c>
      <c r="C423" s="99" t="s">
        <v>1167</v>
      </c>
      <c r="D423" s="99" t="s">
        <v>1186</v>
      </c>
      <c r="E423" s="107" t="s">
        <v>265</v>
      </c>
      <c r="F423" s="108">
        <v>12.5</v>
      </c>
      <c r="G423" s="57">
        <v>20</v>
      </c>
      <c r="H423" s="65">
        <v>3</v>
      </c>
      <c r="I423" s="69">
        <f>IF(G423="","",SUM(G423:H423))</f>
        <v>23</v>
      </c>
      <c r="J423" s="64">
        <f>IF(G423="","",ROUNDUP(G423*0.65,0))</f>
        <v>13</v>
      </c>
      <c r="K423" s="64">
        <f>IF(G423="","",ROUNDUP(G423*0.55,0))</f>
        <v>11</v>
      </c>
    </row>
    <row r="424" spans="1:11" ht="17.25" x14ac:dyDescent="0.2">
      <c r="B424" s="395">
        <v>3102</v>
      </c>
      <c r="C424" s="99" t="s">
        <v>1187</v>
      </c>
      <c r="D424" s="99" t="s">
        <v>1172</v>
      </c>
      <c r="E424" s="107" t="s">
        <v>265</v>
      </c>
      <c r="F424" s="108">
        <v>12.5</v>
      </c>
      <c r="G424" s="57">
        <v>20</v>
      </c>
      <c r="H424" s="65">
        <v>3</v>
      </c>
      <c r="I424" s="69">
        <f t="shared" ref="I424:I434" si="66">IF(G424="","",SUM(G424:H424))</f>
        <v>23</v>
      </c>
      <c r="J424" s="64">
        <f t="shared" ref="J424:J438" si="67">IF(G424="","",ROUNDUP(G424*0.65,0))</f>
        <v>13</v>
      </c>
      <c r="K424" s="64">
        <f t="shared" ref="K424:K438" si="68">IF(G424="","",ROUNDUP(G424*0.55,0))</f>
        <v>11</v>
      </c>
    </row>
    <row r="425" spans="1:11" ht="17.25" x14ac:dyDescent="0.2">
      <c r="B425" s="395">
        <v>3103</v>
      </c>
      <c r="C425" s="99" t="s">
        <v>1188</v>
      </c>
      <c r="D425" s="99" t="s">
        <v>1167</v>
      </c>
      <c r="E425" s="107" t="s">
        <v>265</v>
      </c>
      <c r="F425" s="108">
        <v>12.5</v>
      </c>
      <c r="G425" s="57">
        <v>20</v>
      </c>
      <c r="H425" s="65">
        <v>4</v>
      </c>
      <c r="I425" s="69">
        <f t="shared" si="66"/>
        <v>24</v>
      </c>
      <c r="J425" s="64">
        <f t="shared" si="67"/>
        <v>13</v>
      </c>
      <c r="K425" s="64">
        <f t="shared" si="68"/>
        <v>11</v>
      </c>
    </row>
    <row r="426" spans="1:11" ht="17.25" x14ac:dyDescent="0.2">
      <c r="B426" s="395">
        <v>3104</v>
      </c>
      <c r="C426" s="99" t="s">
        <v>1186</v>
      </c>
      <c r="D426" s="99" t="s">
        <v>531</v>
      </c>
      <c r="E426" s="107" t="s">
        <v>55</v>
      </c>
      <c r="F426" s="333">
        <v>14</v>
      </c>
      <c r="G426" s="57">
        <v>20</v>
      </c>
      <c r="H426" s="65">
        <v>2</v>
      </c>
      <c r="I426" s="69">
        <f t="shared" si="66"/>
        <v>22</v>
      </c>
      <c r="J426" s="64">
        <f t="shared" si="67"/>
        <v>13</v>
      </c>
      <c r="K426" s="64">
        <f t="shared" si="68"/>
        <v>11</v>
      </c>
    </row>
    <row r="427" spans="1:11" ht="17.25" x14ac:dyDescent="0.2">
      <c r="B427" s="395">
        <v>3105</v>
      </c>
      <c r="C427" s="99" t="s">
        <v>1188</v>
      </c>
      <c r="D427" s="99" t="s">
        <v>1172</v>
      </c>
      <c r="E427" s="107" t="s">
        <v>55</v>
      </c>
      <c r="F427" s="333">
        <v>14</v>
      </c>
      <c r="G427" s="57">
        <v>20</v>
      </c>
      <c r="H427" s="65">
        <v>3</v>
      </c>
      <c r="I427" s="69">
        <f t="shared" si="66"/>
        <v>23</v>
      </c>
      <c r="J427" s="64">
        <f t="shared" si="67"/>
        <v>13</v>
      </c>
      <c r="K427" s="64">
        <f t="shared" si="68"/>
        <v>11</v>
      </c>
    </row>
    <row r="428" spans="1:11" ht="17.25" x14ac:dyDescent="0.2">
      <c r="B428" s="395">
        <v>3106</v>
      </c>
      <c r="C428" s="99" t="s">
        <v>1189</v>
      </c>
      <c r="D428" s="99" t="s">
        <v>1167</v>
      </c>
      <c r="E428" s="107" t="s">
        <v>56</v>
      </c>
      <c r="F428" s="333">
        <v>17.5</v>
      </c>
      <c r="G428" s="57">
        <v>20</v>
      </c>
      <c r="H428" s="65">
        <v>2</v>
      </c>
      <c r="I428" s="69">
        <f t="shared" si="66"/>
        <v>22</v>
      </c>
      <c r="J428" s="64">
        <f t="shared" si="67"/>
        <v>13</v>
      </c>
      <c r="K428" s="64">
        <f t="shared" si="68"/>
        <v>11</v>
      </c>
    </row>
    <row r="429" spans="1:11" ht="17.25" x14ac:dyDescent="0.2">
      <c r="B429" s="395">
        <v>3107</v>
      </c>
      <c r="C429" s="99" t="s">
        <v>1179</v>
      </c>
      <c r="D429" s="99" t="s">
        <v>1190</v>
      </c>
      <c r="E429" s="107" t="s">
        <v>56</v>
      </c>
      <c r="F429" s="333">
        <v>17.5</v>
      </c>
      <c r="G429" s="57">
        <v>20</v>
      </c>
      <c r="H429" s="65">
        <v>3</v>
      </c>
      <c r="I429" s="69">
        <f t="shared" si="66"/>
        <v>23</v>
      </c>
      <c r="J429" s="64">
        <f t="shared" si="67"/>
        <v>13</v>
      </c>
      <c r="K429" s="64">
        <f t="shared" si="68"/>
        <v>11</v>
      </c>
    </row>
    <row r="430" spans="1:11" ht="17.25" x14ac:dyDescent="0.2">
      <c r="B430" s="395">
        <v>3108</v>
      </c>
      <c r="C430" s="99" t="s">
        <v>1189</v>
      </c>
      <c r="D430" s="99" t="s">
        <v>1167</v>
      </c>
      <c r="E430" s="107" t="s">
        <v>57</v>
      </c>
      <c r="F430" s="108">
        <v>23</v>
      </c>
      <c r="G430" s="57">
        <v>18</v>
      </c>
      <c r="H430" s="65">
        <v>2</v>
      </c>
      <c r="I430" s="69">
        <f t="shared" si="66"/>
        <v>20</v>
      </c>
      <c r="J430" s="64">
        <f t="shared" si="67"/>
        <v>12</v>
      </c>
      <c r="K430" s="64">
        <f t="shared" si="68"/>
        <v>10</v>
      </c>
    </row>
    <row r="431" spans="1:11" ht="17.25" x14ac:dyDescent="0.2">
      <c r="B431" s="340"/>
      <c r="C431" s="100"/>
      <c r="D431" s="100"/>
      <c r="E431" s="107"/>
      <c r="F431" s="108"/>
      <c r="G431" s="57"/>
      <c r="H431" s="65"/>
      <c r="I431" s="69" t="str">
        <f t="shared" si="66"/>
        <v/>
      </c>
      <c r="J431" s="64" t="str">
        <f t="shared" si="67"/>
        <v/>
      </c>
      <c r="K431" s="64" t="str">
        <f t="shared" si="68"/>
        <v/>
      </c>
    </row>
    <row r="432" spans="1:11" ht="17.25" x14ac:dyDescent="0.2">
      <c r="B432" s="340"/>
      <c r="C432" s="100"/>
      <c r="D432" s="100"/>
      <c r="E432" s="107"/>
      <c r="F432" s="108"/>
      <c r="G432" s="57"/>
      <c r="H432" s="65"/>
      <c r="I432" s="69" t="str">
        <f t="shared" si="66"/>
        <v/>
      </c>
      <c r="J432" s="64" t="str">
        <f t="shared" si="67"/>
        <v/>
      </c>
      <c r="K432" s="64" t="str">
        <f t="shared" si="68"/>
        <v/>
      </c>
    </row>
    <row r="433" spans="1:11" ht="17.25" x14ac:dyDescent="0.2">
      <c r="B433" s="340"/>
      <c r="C433" s="100"/>
      <c r="D433" s="100"/>
      <c r="E433" s="107"/>
      <c r="F433" s="108"/>
      <c r="G433" s="57"/>
      <c r="H433" s="65"/>
      <c r="I433" s="69" t="str">
        <f t="shared" si="66"/>
        <v/>
      </c>
      <c r="J433" s="64" t="str">
        <f t="shared" si="67"/>
        <v/>
      </c>
      <c r="K433" s="64" t="str">
        <f t="shared" si="68"/>
        <v/>
      </c>
    </row>
    <row r="434" spans="1:11" ht="17.25" x14ac:dyDescent="0.2">
      <c r="B434" s="340"/>
      <c r="C434" s="100"/>
      <c r="D434" s="100"/>
      <c r="E434" s="107"/>
      <c r="F434" s="108"/>
      <c r="G434" s="57"/>
      <c r="H434" s="65"/>
      <c r="I434" s="69" t="str">
        <f t="shared" si="66"/>
        <v/>
      </c>
      <c r="J434" s="64" t="str">
        <f t="shared" si="67"/>
        <v/>
      </c>
      <c r="K434" s="64" t="str">
        <f t="shared" si="68"/>
        <v/>
      </c>
    </row>
    <row r="435" spans="1:11" ht="17.25" x14ac:dyDescent="0.2">
      <c r="B435" s="340"/>
      <c r="C435" s="100"/>
      <c r="D435" s="100"/>
      <c r="E435" s="107"/>
      <c r="F435" s="108"/>
      <c r="G435" s="57"/>
      <c r="H435" s="65"/>
      <c r="I435" s="69"/>
      <c r="J435" s="64" t="str">
        <f t="shared" si="67"/>
        <v/>
      </c>
      <c r="K435" s="64" t="str">
        <f t="shared" si="68"/>
        <v/>
      </c>
    </row>
    <row r="436" spans="1:11" ht="17.25" x14ac:dyDescent="0.2">
      <c r="B436" s="340"/>
      <c r="C436" s="100"/>
      <c r="D436" s="100"/>
      <c r="E436" s="107"/>
      <c r="F436" s="108"/>
      <c r="G436" s="57"/>
      <c r="H436" s="65"/>
      <c r="I436" s="69"/>
      <c r="J436" s="64" t="str">
        <f t="shared" si="67"/>
        <v/>
      </c>
      <c r="K436" s="64" t="str">
        <f t="shared" si="68"/>
        <v/>
      </c>
    </row>
    <row r="437" spans="1:11" ht="17.25" x14ac:dyDescent="0.2">
      <c r="B437" s="340"/>
      <c r="C437" s="100"/>
      <c r="D437" s="100"/>
      <c r="E437" s="107"/>
      <c r="F437" s="108"/>
      <c r="G437" s="57"/>
      <c r="H437" s="65"/>
      <c r="I437" s="69"/>
      <c r="J437" s="64" t="str">
        <f t="shared" si="67"/>
        <v/>
      </c>
      <c r="K437" s="64" t="str">
        <f t="shared" si="68"/>
        <v/>
      </c>
    </row>
    <row r="438" spans="1:11" ht="17.25" x14ac:dyDescent="0.2">
      <c r="B438" s="340"/>
      <c r="C438" s="100"/>
      <c r="D438" s="100"/>
      <c r="E438" s="107"/>
      <c r="F438" s="108"/>
      <c r="G438" s="57"/>
      <c r="H438" s="65"/>
      <c r="I438" s="69"/>
      <c r="J438" s="64" t="str">
        <f t="shared" si="67"/>
        <v/>
      </c>
      <c r="K438" s="64" t="str">
        <f t="shared" si="68"/>
        <v/>
      </c>
    </row>
    <row r="439" spans="1:11" ht="18" customHeight="1" x14ac:dyDescent="0.2">
      <c r="B439" s="561" t="s">
        <v>22</v>
      </c>
      <c r="C439" s="561" t="s">
        <v>177</v>
      </c>
      <c r="D439" s="561" t="s">
        <v>243</v>
      </c>
      <c r="E439" s="561" t="s">
        <v>23</v>
      </c>
      <c r="F439" s="562" t="s">
        <v>234</v>
      </c>
      <c r="G439" s="562"/>
      <c r="H439" s="562"/>
      <c r="I439" s="562"/>
      <c r="J439" s="562"/>
      <c r="K439" s="562"/>
    </row>
    <row r="440" spans="1:11" ht="21" x14ac:dyDescent="0.2">
      <c r="A440" s="114" t="s">
        <v>1036</v>
      </c>
      <c r="B440" s="439" t="s">
        <v>2662</v>
      </c>
      <c r="C440" s="115" t="s">
        <v>1133</v>
      </c>
      <c r="D440" s="114" t="s">
        <v>1563</v>
      </c>
      <c r="E440" s="329" t="str">
        <f>IF($O$26="","",$O$26)</f>
        <v>MNR - Área 3.2</v>
      </c>
      <c r="F440" s="563">
        <f>IF(B440="","",VLOOKUP(E440,$O$2:$T$120,6,0))</f>
        <v>89930</v>
      </c>
      <c r="G440" s="564"/>
      <c r="H440" s="564"/>
      <c r="I440" s="564"/>
      <c r="J440" s="564"/>
      <c r="K440" s="565"/>
    </row>
    <row r="441" spans="1:11" ht="43.5" x14ac:dyDescent="0.2">
      <c r="A441" s="166" t="s">
        <v>779</v>
      </c>
      <c r="B441" s="116"/>
      <c r="C441" s="116"/>
      <c r="D441" s="116"/>
      <c r="E441" s="116" t="s">
        <v>1</v>
      </c>
      <c r="F441" s="117" t="s">
        <v>3</v>
      </c>
      <c r="G441" s="116" t="s">
        <v>216</v>
      </c>
      <c r="H441" s="180" t="s">
        <v>242</v>
      </c>
      <c r="I441" s="116" t="s">
        <v>245</v>
      </c>
      <c r="J441" s="116" t="s">
        <v>217</v>
      </c>
      <c r="K441" s="116" t="s">
        <v>218</v>
      </c>
    </row>
    <row r="442" spans="1:11" ht="17.25" x14ac:dyDescent="0.2">
      <c r="B442" s="395">
        <v>3201</v>
      </c>
      <c r="C442" s="99" t="s">
        <v>1191</v>
      </c>
      <c r="D442" s="99" t="s">
        <v>1192</v>
      </c>
      <c r="E442" s="107" t="s">
        <v>265</v>
      </c>
      <c r="F442" s="108">
        <v>12.5</v>
      </c>
      <c r="G442" s="57">
        <v>20</v>
      </c>
      <c r="H442" s="65">
        <v>4</v>
      </c>
      <c r="I442" s="69">
        <f>IF(G442="","",SUM(G442:H442))</f>
        <v>24</v>
      </c>
      <c r="J442" s="64">
        <f>IF(G442="","",ROUNDUP(G442*0.65,0))</f>
        <v>13</v>
      </c>
      <c r="K442" s="64">
        <f>IF(G442="","",ROUNDUP(G442*0.55,0))</f>
        <v>11</v>
      </c>
    </row>
    <row r="443" spans="1:11" ht="17.25" x14ac:dyDescent="0.2">
      <c r="B443" s="395">
        <v>3202</v>
      </c>
      <c r="C443" s="99" t="s">
        <v>1193</v>
      </c>
      <c r="D443" s="99" t="s">
        <v>1194</v>
      </c>
      <c r="E443" s="107" t="s">
        <v>265</v>
      </c>
      <c r="F443" s="108">
        <v>12.5</v>
      </c>
      <c r="G443" s="57">
        <v>20</v>
      </c>
      <c r="H443" s="65">
        <v>3</v>
      </c>
      <c r="I443" s="69">
        <f t="shared" ref="I443:I448" si="69">IF(G443="","",SUM(G443:H443))</f>
        <v>23</v>
      </c>
      <c r="J443" s="64">
        <f t="shared" ref="J443:J457" si="70">IF(G443="","",ROUNDUP(G443*0.65,0))</f>
        <v>13</v>
      </c>
      <c r="K443" s="64">
        <f t="shared" ref="K443:K457" si="71">IF(G443="","",ROUNDUP(G443*0.55,0))</f>
        <v>11</v>
      </c>
    </row>
    <row r="444" spans="1:11" ht="17.25" x14ac:dyDescent="0.2">
      <c r="B444" s="395">
        <v>3203</v>
      </c>
      <c r="C444" s="99" t="s">
        <v>1193</v>
      </c>
      <c r="D444" s="99" t="s">
        <v>1195</v>
      </c>
      <c r="E444" s="107" t="s">
        <v>265</v>
      </c>
      <c r="F444" s="108">
        <v>12.5</v>
      </c>
      <c r="G444" s="57">
        <v>20</v>
      </c>
      <c r="H444" s="65">
        <v>3</v>
      </c>
      <c r="I444" s="69">
        <f t="shared" si="69"/>
        <v>23</v>
      </c>
      <c r="J444" s="64">
        <f t="shared" si="70"/>
        <v>13</v>
      </c>
      <c r="K444" s="64">
        <f t="shared" si="71"/>
        <v>11</v>
      </c>
    </row>
    <row r="445" spans="1:11" ht="17.25" x14ac:dyDescent="0.2">
      <c r="B445" s="395">
        <v>3204</v>
      </c>
      <c r="C445" s="99" t="s">
        <v>1196</v>
      </c>
      <c r="D445" s="99" t="s">
        <v>1197</v>
      </c>
      <c r="E445" s="107" t="s">
        <v>265</v>
      </c>
      <c r="F445" s="108">
        <v>12.5</v>
      </c>
      <c r="G445" s="57">
        <v>20</v>
      </c>
      <c r="H445" s="65">
        <v>3</v>
      </c>
      <c r="I445" s="69">
        <f t="shared" si="69"/>
        <v>23</v>
      </c>
      <c r="J445" s="64">
        <f t="shared" si="70"/>
        <v>13</v>
      </c>
      <c r="K445" s="64">
        <f t="shared" si="71"/>
        <v>11</v>
      </c>
    </row>
    <row r="446" spans="1:11" ht="17.25" x14ac:dyDescent="0.2">
      <c r="B446" s="395">
        <v>3205</v>
      </c>
      <c r="C446" s="99" t="s">
        <v>1193</v>
      </c>
      <c r="D446" s="99" t="s">
        <v>1187</v>
      </c>
      <c r="E446" s="107" t="s">
        <v>265</v>
      </c>
      <c r="F446" s="108">
        <v>12.5</v>
      </c>
      <c r="G446" s="57">
        <v>18</v>
      </c>
      <c r="H446" s="65">
        <v>3</v>
      </c>
      <c r="I446" s="69">
        <f t="shared" si="69"/>
        <v>21</v>
      </c>
      <c r="J446" s="64">
        <f t="shared" si="70"/>
        <v>12</v>
      </c>
      <c r="K446" s="64">
        <f t="shared" si="71"/>
        <v>10</v>
      </c>
    </row>
    <row r="447" spans="1:11" ht="17.25" x14ac:dyDescent="0.2">
      <c r="B447" s="395">
        <v>3206</v>
      </c>
      <c r="C447" s="99" t="s">
        <v>1198</v>
      </c>
      <c r="D447" s="99" t="s">
        <v>1187</v>
      </c>
      <c r="E447" s="107" t="s">
        <v>265</v>
      </c>
      <c r="F447" s="108">
        <v>12.5</v>
      </c>
      <c r="G447" s="57">
        <v>18</v>
      </c>
      <c r="H447" s="65">
        <v>3</v>
      </c>
      <c r="I447" s="69">
        <f t="shared" si="69"/>
        <v>21</v>
      </c>
      <c r="J447" s="64">
        <f t="shared" si="70"/>
        <v>12</v>
      </c>
      <c r="K447" s="64">
        <f t="shared" si="71"/>
        <v>10</v>
      </c>
    </row>
    <row r="448" spans="1:11" ht="17.25" x14ac:dyDescent="0.2">
      <c r="B448" s="341"/>
      <c r="C448" s="101"/>
      <c r="D448" s="101"/>
      <c r="E448" s="107"/>
      <c r="F448" s="108"/>
      <c r="G448" s="57"/>
      <c r="H448" s="65"/>
      <c r="I448" s="69" t="str">
        <f t="shared" si="69"/>
        <v/>
      </c>
      <c r="J448" s="64" t="str">
        <f t="shared" si="70"/>
        <v/>
      </c>
      <c r="K448" s="64" t="str">
        <f t="shared" si="71"/>
        <v/>
      </c>
    </row>
    <row r="449" spans="1:11" ht="17.25" x14ac:dyDescent="0.2">
      <c r="B449" s="341"/>
      <c r="C449" s="101"/>
      <c r="D449" s="101"/>
      <c r="E449" s="107"/>
      <c r="F449" s="108"/>
      <c r="G449" s="57"/>
      <c r="H449" s="65"/>
      <c r="I449" s="69"/>
      <c r="J449" s="64" t="str">
        <f t="shared" si="70"/>
        <v/>
      </c>
      <c r="K449" s="64" t="str">
        <f t="shared" si="71"/>
        <v/>
      </c>
    </row>
    <row r="450" spans="1:11" ht="17.25" x14ac:dyDescent="0.2">
      <c r="B450" s="341"/>
      <c r="C450" s="101"/>
      <c r="D450" s="101"/>
      <c r="E450" s="107"/>
      <c r="F450" s="108"/>
      <c r="G450" s="64"/>
      <c r="H450" s="65"/>
      <c r="I450" s="69"/>
      <c r="J450" s="64" t="str">
        <f t="shared" si="70"/>
        <v/>
      </c>
      <c r="K450" s="64" t="str">
        <f t="shared" si="71"/>
        <v/>
      </c>
    </row>
    <row r="451" spans="1:11" ht="17.25" x14ac:dyDescent="0.2">
      <c r="B451" s="341"/>
      <c r="C451" s="101"/>
      <c r="D451" s="101"/>
      <c r="E451" s="107"/>
      <c r="F451" s="108"/>
      <c r="G451" s="64"/>
      <c r="H451" s="65"/>
      <c r="I451" s="69"/>
      <c r="J451" s="64" t="str">
        <f t="shared" si="70"/>
        <v/>
      </c>
      <c r="K451" s="64" t="str">
        <f t="shared" si="71"/>
        <v/>
      </c>
    </row>
    <row r="452" spans="1:11" ht="17.25" x14ac:dyDescent="0.2">
      <c r="B452" s="341"/>
      <c r="C452" s="101"/>
      <c r="D452" s="101"/>
      <c r="E452" s="107"/>
      <c r="F452" s="108"/>
      <c r="G452" s="64"/>
      <c r="H452" s="65"/>
      <c r="I452" s="69"/>
      <c r="J452" s="64" t="str">
        <f t="shared" si="70"/>
        <v/>
      </c>
      <c r="K452" s="64" t="str">
        <f t="shared" si="71"/>
        <v/>
      </c>
    </row>
    <row r="453" spans="1:11" ht="17.25" x14ac:dyDescent="0.2">
      <c r="B453" s="341"/>
      <c r="C453" s="101"/>
      <c r="D453" s="101"/>
      <c r="E453" s="107"/>
      <c r="F453" s="108"/>
      <c r="G453" s="64"/>
      <c r="H453" s="65"/>
      <c r="I453" s="69"/>
      <c r="J453" s="64" t="str">
        <f t="shared" si="70"/>
        <v/>
      </c>
      <c r="K453" s="64" t="str">
        <f t="shared" si="71"/>
        <v/>
      </c>
    </row>
    <row r="454" spans="1:11" ht="17.25" x14ac:dyDescent="0.2">
      <c r="B454" s="341"/>
      <c r="C454" s="101"/>
      <c r="D454" s="101"/>
      <c r="E454" s="107"/>
      <c r="F454" s="108"/>
      <c r="G454" s="64"/>
      <c r="H454" s="65"/>
      <c r="I454" s="69"/>
      <c r="J454" s="64" t="str">
        <f t="shared" si="70"/>
        <v/>
      </c>
      <c r="K454" s="64" t="str">
        <f t="shared" si="71"/>
        <v/>
      </c>
    </row>
    <row r="455" spans="1:11" ht="17.25" x14ac:dyDescent="0.2">
      <c r="B455" s="341"/>
      <c r="C455" s="101"/>
      <c r="D455" s="101"/>
      <c r="E455" s="107"/>
      <c r="F455" s="108"/>
      <c r="G455" s="64"/>
      <c r="H455" s="65"/>
      <c r="I455" s="69"/>
      <c r="J455" s="64" t="str">
        <f t="shared" si="70"/>
        <v/>
      </c>
      <c r="K455" s="64" t="str">
        <f t="shared" si="71"/>
        <v/>
      </c>
    </row>
    <row r="456" spans="1:11" ht="17.25" x14ac:dyDescent="0.2">
      <c r="B456" s="341"/>
      <c r="C456" s="101"/>
      <c r="D456" s="101"/>
      <c r="E456" s="107"/>
      <c r="F456" s="108"/>
      <c r="G456" s="64"/>
      <c r="H456" s="65"/>
      <c r="I456" s="69"/>
      <c r="J456" s="64" t="str">
        <f t="shared" si="70"/>
        <v/>
      </c>
      <c r="K456" s="64" t="str">
        <f t="shared" si="71"/>
        <v/>
      </c>
    </row>
    <row r="457" spans="1:11" ht="17.25" x14ac:dyDescent="0.2">
      <c r="B457" s="341"/>
      <c r="C457" s="101"/>
      <c r="D457" s="101"/>
      <c r="E457" s="107"/>
      <c r="F457" s="108"/>
      <c r="G457" s="64"/>
      <c r="H457" s="65"/>
      <c r="I457" s="69"/>
      <c r="J457" s="64" t="str">
        <f t="shared" si="70"/>
        <v/>
      </c>
      <c r="K457" s="64" t="str">
        <f t="shared" si="71"/>
        <v/>
      </c>
    </row>
    <row r="458" spans="1:11" ht="18" customHeight="1" x14ac:dyDescent="0.2">
      <c r="B458" s="561" t="s">
        <v>22</v>
      </c>
      <c r="C458" s="561" t="s">
        <v>177</v>
      </c>
      <c r="D458" s="561" t="s">
        <v>243</v>
      </c>
      <c r="E458" s="561" t="s">
        <v>23</v>
      </c>
      <c r="F458" s="562" t="s">
        <v>234</v>
      </c>
      <c r="G458" s="562"/>
      <c r="H458" s="562"/>
      <c r="I458" s="562"/>
      <c r="J458" s="562"/>
      <c r="K458" s="562"/>
    </row>
    <row r="459" spans="1:11" ht="21" x14ac:dyDescent="0.2">
      <c r="A459" s="114" t="s">
        <v>1037</v>
      </c>
      <c r="B459" s="434" t="s">
        <v>2518</v>
      </c>
      <c r="C459" s="115" t="s">
        <v>498</v>
      </c>
      <c r="D459" s="114" t="s">
        <v>639</v>
      </c>
      <c r="E459" s="329" t="str">
        <f>IF($O$27="","",$O$27)</f>
        <v>MNR - Área 4.1</v>
      </c>
      <c r="F459" s="563">
        <f>IF(B459="","",VLOOKUP(E459,$O$2:$T$120,6,0))</f>
        <v>132138</v>
      </c>
      <c r="G459" s="564"/>
      <c r="H459" s="564"/>
      <c r="I459" s="564"/>
      <c r="J459" s="564"/>
      <c r="K459" s="565"/>
    </row>
    <row r="460" spans="1:11" ht="43.5" x14ac:dyDescent="0.2">
      <c r="A460" s="166" t="s">
        <v>779</v>
      </c>
      <c r="B460" s="116" t="s">
        <v>0</v>
      </c>
      <c r="C460" s="116" t="s">
        <v>20</v>
      </c>
      <c r="D460" s="116" t="s">
        <v>21</v>
      </c>
      <c r="E460" s="116" t="s">
        <v>1</v>
      </c>
      <c r="F460" s="117" t="s">
        <v>3</v>
      </c>
      <c r="G460" s="116" t="s">
        <v>216</v>
      </c>
      <c r="H460" s="180" t="s">
        <v>242</v>
      </c>
      <c r="I460" s="116" t="s">
        <v>245</v>
      </c>
      <c r="J460" s="116" t="s">
        <v>217</v>
      </c>
      <c r="K460" s="116" t="s">
        <v>218</v>
      </c>
    </row>
    <row r="461" spans="1:11" ht="17.25" x14ac:dyDescent="0.2">
      <c r="B461" s="396">
        <v>4101</v>
      </c>
      <c r="C461" s="99" t="s">
        <v>1199</v>
      </c>
      <c r="D461" s="99" t="s">
        <v>1193</v>
      </c>
      <c r="E461" s="107" t="s">
        <v>265</v>
      </c>
      <c r="F461" s="108">
        <v>12.5</v>
      </c>
      <c r="G461" s="57">
        <v>22</v>
      </c>
      <c r="H461" s="65">
        <v>3</v>
      </c>
      <c r="I461" s="69">
        <f>IF(G461="","",SUM(G461:H461))</f>
        <v>25</v>
      </c>
      <c r="J461" s="64">
        <f>IF(G461="","",ROUNDUP(G461*0.65,0))</f>
        <v>15</v>
      </c>
      <c r="K461" s="64">
        <f>IF(G461="","",ROUNDUP(G461*0.55,0))</f>
        <v>13</v>
      </c>
    </row>
    <row r="462" spans="1:11" ht="17.25" x14ac:dyDescent="0.2">
      <c r="B462" s="396">
        <v>4102</v>
      </c>
      <c r="C462" s="99" t="s">
        <v>1200</v>
      </c>
      <c r="D462" s="99" t="s">
        <v>1201</v>
      </c>
      <c r="E462" s="107" t="s">
        <v>265</v>
      </c>
      <c r="F462" s="108">
        <v>12.5</v>
      </c>
      <c r="G462" s="57">
        <v>16</v>
      </c>
      <c r="H462" s="65">
        <v>4</v>
      </c>
      <c r="I462" s="69">
        <f t="shared" ref="I462:I474" si="72">IF(G462="","",SUM(G462:H462))</f>
        <v>20</v>
      </c>
      <c r="J462" s="64">
        <f t="shared" ref="J462:J476" si="73">IF(G462="","",ROUNDUP(G462*0.65,0))</f>
        <v>11</v>
      </c>
      <c r="K462" s="64">
        <f t="shared" ref="K462:K476" si="74">IF(G462="","",ROUNDUP(G462*0.55,0))</f>
        <v>9</v>
      </c>
    </row>
    <row r="463" spans="1:11" ht="17.25" x14ac:dyDescent="0.2">
      <c r="B463" s="396">
        <v>4103</v>
      </c>
      <c r="C463" s="99" t="s">
        <v>1202</v>
      </c>
      <c r="D463" s="99" t="s">
        <v>1187</v>
      </c>
      <c r="E463" s="107" t="s">
        <v>265</v>
      </c>
      <c r="F463" s="108">
        <v>12.5</v>
      </c>
      <c r="G463" s="57">
        <v>16</v>
      </c>
      <c r="H463" s="65">
        <v>4</v>
      </c>
      <c r="I463" s="69">
        <f t="shared" si="72"/>
        <v>20</v>
      </c>
      <c r="J463" s="64">
        <f t="shared" si="73"/>
        <v>11</v>
      </c>
      <c r="K463" s="64">
        <f t="shared" si="74"/>
        <v>9</v>
      </c>
    </row>
    <row r="464" spans="1:11" ht="17.25" x14ac:dyDescent="0.2">
      <c r="B464" s="396">
        <v>4104</v>
      </c>
      <c r="C464" s="99" t="s">
        <v>1186</v>
      </c>
      <c r="D464" s="99" t="s">
        <v>1182</v>
      </c>
      <c r="E464" s="107" t="s">
        <v>265</v>
      </c>
      <c r="F464" s="108">
        <v>12.5</v>
      </c>
      <c r="G464" s="57">
        <v>22</v>
      </c>
      <c r="H464" s="65">
        <v>3</v>
      </c>
      <c r="I464" s="69">
        <f t="shared" si="72"/>
        <v>25</v>
      </c>
      <c r="J464" s="64">
        <f t="shared" si="73"/>
        <v>15</v>
      </c>
      <c r="K464" s="64">
        <f t="shared" si="74"/>
        <v>13</v>
      </c>
    </row>
    <row r="465" spans="1:11" ht="17.25" x14ac:dyDescent="0.2">
      <c r="B465" s="396">
        <v>4105</v>
      </c>
      <c r="C465" s="99" t="s">
        <v>1201</v>
      </c>
      <c r="D465" s="99" t="s">
        <v>1203</v>
      </c>
      <c r="E465" s="107" t="s">
        <v>265</v>
      </c>
      <c r="F465" s="108">
        <v>12.5</v>
      </c>
      <c r="G465" s="57">
        <v>22</v>
      </c>
      <c r="H465" s="65">
        <v>3</v>
      </c>
      <c r="I465" s="69">
        <f t="shared" si="72"/>
        <v>25</v>
      </c>
      <c r="J465" s="64">
        <f t="shared" si="73"/>
        <v>15</v>
      </c>
      <c r="K465" s="64">
        <f t="shared" si="74"/>
        <v>13</v>
      </c>
    </row>
    <row r="466" spans="1:11" ht="17.25" x14ac:dyDescent="0.2">
      <c r="B466" s="396">
        <v>4106</v>
      </c>
      <c r="C466" s="99" t="s">
        <v>1201</v>
      </c>
      <c r="D466" s="99" t="s">
        <v>1187</v>
      </c>
      <c r="E466" s="107" t="s">
        <v>55</v>
      </c>
      <c r="F466" s="333">
        <v>14</v>
      </c>
      <c r="G466" s="57">
        <v>15</v>
      </c>
      <c r="H466" s="65">
        <v>5</v>
      </c>
      <c r="I466" s="69">
        <f t="shared" si="72"/>
        <v>20</v>
      </c>
      <c r="J466" s="64">
        <f t="shared" si="73"/>
        <v>10</v>
      </c>
      <c r="K466" s="64">
        <f t="shared" si="74"/>
        <v>9</v>
      </c>
    </row>
    <row r="467" spans="1:11" ht="17.25" x14ac:dyDescent="0.2">
      <c r="B467" s="396">
        <v>4107</v>
      </c>
      <c r="C467" s="99" t="s">
        <v>1201</v>
      </c>
      <c r="D467" s="99" t="s">
        <v>1167</v>
      </c>
      <c r="E467" s="107" t="s">
        <v>55</v>
      </c>
      <c r="F467" s="333">
        <v>14</v>
      </c>
      <c r="G467" s="57">
        <v>15</v>
      </c>
      <c r="H467" s="65">
        <v>5</v>
      </c>
      <c r="I467" s="69">
        <f t="shared" si="72"/>
        <v>20</v>
      </c>
      <c r="J467" s="64">
        <f t="shared" si="73"/>
        <v>10</v>
      </c>
      <c r="K467" s="64">
        <f t="shared" si="74"/>
        <v>9</v>
      </c>
    </row>
    <row r="468" spans="1:11" ht="17.25" x14ac:dyDescent="0.2">
      <c r="B468" s="396">
        <v>4108</v>
      </c>
      <c r="C468" s="99" t="s">
        <v>1181</v>
      </c>
      <c r="D468" s="99" t="s">
        <v>1167</v>
      </c>
      <c r="E468" s="107" t="s">
        <v>57</v>
      </c>
      <c r="F468" s="108">
        <v>23</v>
      </c>
      <c r="G468" s="57">
        <v>18</v>
      </c>
      <c r="H468" s="65">
        <v>2</v>
      </c>
      <c r="I468" s="69">
        <f t="shared" si="72"/>
        <v>20</v>
      </c>
      <c r="J468" s="64">
        <f t="shared" si="73"/>
        <v>12</v>
      </c>
      <c r="K468" s="64">
        <f t="shared" si="74"/>
        <v>10</v>
      </c>
    </row>
    <row r="469" spans="1:11" ht="17.25" x14ac:dyDescent="0.2">
      <c r="B469" s="343"/>
      <c r="C469" s="102"/>
      <c r="D469" s="110"/>
      <c r="E469" s="107"/>
      <c r="F469" s="108"/>
      <c r="G469" s="57"/>
      <c r="H469" s="65"/>
      <c r="I469" s="69" t="str">
        <f t="shared" si="72"/>
        <v/>
      </c>
      <c r="J469" s="64" t="str">
        <f t="shared" si="73"/>
        <v/>
      </c>
      <c r="K469" s="64" t="str">
        <f t="shared" si="74"/>
        <v/>
      </c>
    </row>
    <row r="470" spans="1:11" ht="17.25" x14ac:dyDescent="0.2">
      <c r="B470" s="343"/>
      <c r="C470" s="102"/>
      <c r="D470" s="110"/>
      <c r="E470" s="107"/>
      <c r="F470" s="108"/>
      <c r="G470" s="57"/>
      <c r="H470" s="65"/>
      <c r="I470" s="69" t="str">
        <f t="shared" si="72"/>
        <v/>
      </c>
      <c r="J470" s="64" t="str">
        <f t="shared" si="73"/>
        <v/>
      </c>
      <c r="K470" s="64" t="str">
        <f t="shared" si="74"/>
        <v/>
      </c>
    </row>
    <row r="471" spans="1:11" ht="17.25" x14ac:dyDescent="0.2">
      <c r="B471" s="343"/>
      <c r="C471" s="102"/>
      <c r="D471" s="102"/>
      <c r="E471" s="107"/>
      <c r="F471" s="108"/>
      <c r="G471" s="57"/>
      <c r="H471" s="65"/>
      <c r="I471" s="69" t="str">
        <f t="shared" si="72"/>
        <v/>
      </c>
      <c r="J471" s="64" t="str">
        <f t="shared" si="73"/>
        <v/>
      </c>
      <c r="K471" s="64" t="str">
        <f t="shared" si="74"/>
        <v/>
      </c>
    </row>
    <row r="472" spans="1:11" ht="17.25" x14ac:dyDescent="0.2">
      <c r="B472" s="343"/>
      <c r="C472" s="102"/>
      <c r="D472" s="102"/>
      <c r="E472" s="107"/>
      <c r="F472" s="108"/>
      <c r="G472" s="57"/>
      <c r="H472" s="65"/>
      <c r="I472" s="69" t="str">
        <f t="shared" si="72"/>
        <v/>
      </c>
      <c r="J472" s="64" t="str">
        <f t="shared" si="73"/>
        <v/>
      </c>
      <c r="K472" s="64" t="str">
        <f t="shared" si="74"/>
        <v/>
      </c>
    </row>
    <row r="473" spans="1:11" ht="17.25" x14ac:dyDescent="0.2">
      <c r="B473" s="343"/>
      <c r="C473" s="102"/>
      <c r="D473" s="102"/>
      <c r="E473" s="107"/>
      <c r="F473" s="108"/>
      <c r="G473" s="57"/>
      <c r="H473" s="65"/>
      <c r="I473" s="69" t="str">
        <f t="shared" si="72"/>
        <v/>
      </c>
      <c r="J473" s="64" t="str">
        <f t="shared" si="73"/>
        <v/>
      </c>
      <c r="K473" s="64" t="str">
        <f t="shared" si="74"/>
        <v/>
      </c>
    </row>
    <row r="474" spans="1:11" ht="17.25" x14ac:dyDescent="0.2">
      <c r="B474" s="343"/>
      <c r="C474" s="102"/>
      <c r="D474" s="102"/>
      <c r="E474" s="107"/>
      <c r="F474" s="108"/>
      <c r="G474" s="57"/>
      <c r="H474" s="65"/>
      <c r="I474" s="69" t="str">
        <f t="shared" si="72"/>
        <v/>
      </c>
      <c r="J474" s="64" t="str">
        <f t="shared" si="73"/>
        <v/>
      </c>
      <c r="K474" s="64" t="str">
        <f t="shared" si="74"/>
        <v/>
      </c>
    </row>
    <row r="475" spans="1:11" ht="17.25" x14ac:dyDescent="0.2">
      <c r="B475" s="343"/>
      <c r="C475" s="102"/>
      <c r="D475" s="102"/>
      <c r="E475" s="107"/>
      <c r="F475" s="108"/>
      <c r="G475" s="57"/>
      <c r="H475" s="65"/>
      <c r="I475" s="69"/>
      <c r="J475" s="64" t="str">
        <f t="shared" si="73"/>
        <v/>
      </c>
      <c r="K475" s="64" t="str">
        <f t="shared" si="74"/>
        <v/>
      </c>
    </row>
    <row r="476" spans="1:11" ht="17.25" x14ac:dyDescent="0.2">
      <c r="B476" s="343"/>
      <c r="C476" s="102"/>
      <c r="D476" s="102"/>
      <c r="E476" s="107"/>
      <c r="F476" s="108"/>
      <c r="G476" s="57"/>
      <c r="H476" s="65"/>
      <c r="I476" s="69"/>
      <c r="J476" s="64" t="str">
        <f t="shared" si="73"/>
        <v/>
      </c>
      <c r="K476" s="64" t="str">
        <f t="shared" si="74"/>
        <v/>
      </c>
    </row>
    <row r="477" spans="1:11" ht="18" customHeight="1" x14ac:dyDescent="0.2">
      <c r="B477" s="561" t="s">
        <v>22</v>
      </c>
      <c r="C477" s="561" t="s">
        <v>177</v>
      </c>
      <c r="D477" s="561" t="s">
        <v>243</v>
      </c>
      <c r="E477" s="561" t="s">
        <v>23</v>
      </c>
      <c r="F477" s="562" t="s">
        <v>234</v>
      </c>
      <c r="G477" s="562"/>
      <c r="H477" s="562"/>
      <c r="I477" s="562"/>
      <c r="J477" s="562"/>
      <c r="K477" s="562"/>
    </row>
    <row r="478" spans="1:11" ht="21" x14ac:dyDescent="0.2">
      <c r="A478" s="114" t="s">
        <v>1038</v>
      </c>
      <c r="B478" s="439" t="s">
        <v>2663</v>
      </c>
      <c r="C478" s="115" t="s">
        <v>1133</v>
      </c>
      <c r="D478" s="114" t="s">
        <v>1563</v>
      </c>
      <c r="E478" s="329" t="str">
        <f>IF($O$28="","",$O$28)</f>
        <v>MNR - Área 4.2</v>
      </c>
      <c r="F478" s="563">
        <f>IF(B478="","",VLOOKUP(E478,$O$2:$T$120,6,0))</f>
        <v>75975</v>
      </c>
      <c r="G478" s="564"/>
      <c r="H478" s="564"/>
      <c r="I478" s="564"/>
      <c r="J478" s="564"/>
      <c r="K478" s="565"/>
    </row>
    <row r="479" spans="1:11" ht="43.5" x14ac:dyDescent="0.2">
      <c r="A479" s="166" t="s">
        <v>779</v>
      </c>
      <c r="B479" s="116" t="s">
        <v>0</v>
      </c>
      <c r="C479" s="116" t="s">
        <v>20</v>
      </c>
      <c r="D479" s="116" t="s">
        <v>21</v>
      </c>
      <c r="E479" s="116" t="s">
        <v>1</v>
      </c>
      <c r="F479" s="117" t="s">
        <v>3</v>
      </c>
      <c r="G479" s="116" t="s">
        <v>216</v>
      </c>
      <c r="H479" s="180" t="s">
        <v>242</v>
      </c>
      <c r="I479" s="116" t="s">
        <v>245</v>
      </c>
      <c r="J479" s="116" t="s">
        <v>217</v>
      </c>
      <c r="K479" s="116" t="s">
        <v>218</v>
      </c>
    </row>
    <row r="480" spans="1:11" ht="17.25" x14ac:dyDescent="0.2">
      <c r="B480" s="396">
        <v>4201</v>
      </c>
      <c r="C480" s="99" t="s">
        <v>1202</v>
      </c>
      <c r="D480" s="99" t="s">
        <v>1186</v>
      </c>
      <c r="E480" s="107" t="s">
        <v>265</v>
      </c>
      <c r="F480" s="108">
        <v>12.5</v>
      </c>
      <c r="G480" s="57">
        <v>20</v>
      </c>
      <c r="H480" s="65">
        <v>3</v>
      </c>
      <c r="I480" s="69">
        <f>IF(G480="","",SUM(G480:H480))</f>
        <v>23</v>
      </c>
      <c r="J480" s="64">
        <f>IF(G480="","",ROUNDUP(G480*0.65,0))</f>
        <v>13</v>
      </c>
      <c r="K480" s="64">
        <f>IF(G480="","",ROUNDUP(G480*0.55,0))</f>
        <v>11</v>
      </c>
    </row>
    <row r="481" spans="2:11" ht="17.25" x14ac:dyDescent="0.2">
      <c r="B481" s="396">
        <v>4202</v>
      </c>
      <c r="C481" s="99" t="s">
        <v>1204</v>
      </c>
      <c r="D481" s="99" t="s">
        <v>1205</v>
      </c>
      <c r="E481" s="107" t="s">
        <v>265</v>
      </c>
      <c r="F481" s="108">
        <v>12.5</v>
      </c>
      <c r="G481" s="57">
        <v>16</v>
      </c>
      <c r="H481" s="65">
        <v>2</v>
      </c>
      <c r="I481" s="69">
        <f t="shared" ref="I481:I487" si="75">IF(G481="","",SUM(G481:H481))</f>
        <v>18</v>
      </c>
      <c r="J481" s="64">
        <f t="shared" ref="J481:J495" si="76">IF(G481="","",ROUNDUP(G481*0.65,0))</f>
        <v>11</v>
      </c>
      <c r="K481" s="64">
        <f t="shared" ref="K481:K495" si="77">IF(G481="","",ROUNDUP(G481*0.55,0))</f>
        <v>9</v>
      </c>
    </row>
    <row r="482" spans="2:11" ht="17.25" x14ac:dyDescent="0.2">
      <c r="B482" s="396">
        <v>4203</v>
      </c>
      <c r="C482" s="99" t="s">
        <v>1204</v>
      </c>
      <c r="D482" s="99" t="s">
        <v>1186</v>
      </c>
      <c r="E482" s="107" t="s">
        <v>265</v>
      </c>
      <c r="F482" s="108">
        <v>12.5</v>
      </c>
      <c r="G482" s="57">
        <v>20</v>
      </c>
      <c r="H482" s="65">
        <v>2</v>
      </c>
      <c r="I482" s="69">
        <f t="shared" si="75"/>
        <v>22</v>
      </c>
      <c r="J482" s="64">
        <f t="shared" si="76"/>
        <v>13</v>
      </c>
      <c r="K482" s="64">
        <f t="shared" si="77"/>
        <v>11</v>
      </c>
    </row>
    <row r="483" spans="2:11" ht="17.25" x14ac:dyDescent="0.2">
      <c r="B483" s="396">
        <v>4204</v>
      </c>
      <c r="C483" s="99" t="s">
        <v>1206</v>
      </c>
      <c r="D483" s="99" t="s">
        <v>1187</v>
      </c>
      <c r="E483" s="107" t="s">
        <v>265</v>
      </c>
      <c r="F483" s="108">
        <v>12.5</v>
      </c>
      <c r="G483" s="57">
        <v>20</v>
      </c>
      <c r="H483" s="65">
        <v>2</v>
      </c>
      <c r="I483" s="69">
        <f t="shared" si="75"/>
        <v>22</v>
      </c>
      <c r="J483" s="64">
        <f t="shared" si="76"/>
        <v>13</v>
      </c>
      <c r="K483" s="64">
        <f t="shared" si="77"/>
        <v>11</v>
      </c>
    </row>
    <row r="484" spans="2:11" ht="17.25" x14ac:dyDescent="0.2">
      <c r="B484" s="396">
        <v>4205</v>
      </c>
      <c r="C484" s="99" t="s">
        <v>1207</v>
      </c>
      <c r="D484" s="99" t="s">
        <v>1187</v>
      </c>
      <c r="E484" s="107" t="s">
        <v>179</v>
      </c>
      <c r="F484" s="108">
        <v>9.5</v>
      </c>
      <c r="G484" s="57">
        <v>12</v>
      </c>
      <c r="H484" s="65">
        <v>2</v>
      </c>
      <c r="I484" s="69">
        <f t="shared" si="75"/>
        <v>14</v>
      </c>
      <c r="J484" s="64">
        <f t="shared" si="76"/>
        <v>8</v>
      </c>
      <c r="K484" s="64">
        <f t="shared" si="77"/>
        <v>7</v>
      </c>
    </row>
    <row r="485" spans="2:11" ht="17.25" x14ac:dyDescent="0.2">
      <c r="B485" s="396">
        <v>4206</v>
      </c>
      <c r="C485" s="99" t="s">
        <v>1208</v>
      </c>
      <c r="D485" s="99" t="s">
        <v>1187</v>
      </c>
      <c r="E485" s="107" t="s">
        <v>179</v>
      </c>
      <c r="F485" s="108">
        <v>9.5</v>
      </c>
      <c r="G485" s="57">
        <v>10</v>
      </c>
      <c r="H485" s="65">
        <v>1</v>
      </c>
      <c r="I485" s="69">
        <f t="shared" si="75"/>
        <v>11</v>
      </c>
      <c r="J485" s="64">
        <f t="shared" si="76"/>
        <v>7</v>
      </c>
      <c r="K485" s="64">
        <f t="shared" si="77"/>
        <v>6</v>
      </c>
    </row>
    <row r="486" spans="2:11" ht="17.25" x14ac:dyDescent="0.2">
      <c r="B486" s="336"/>
      <c r="C486" s="99"/>
      <c r="D486" s="99"/>
      <c r="E486" s="107"/>
      <c r="F486" s="108"/>
      <c r="G486" s="57"/>
      <c r="H486" s="65"/>
      <c r="I486" s="69" t="str">
        <f t="shared" si="75"/>
        <v/>
      </c>
      <c r="J486" s="64" t="str">
        <f t="shared" si="76"/>
        <v/>
      </c>
      <c r="K486" s="64" t="str">
        <f t="shared" si="77"/>
        <v/>
      </c>
    </row>
    <row r="487" spans="2:11" ht="17.25" x14ac:dyDescent="0.2">
      <c r="B487" s="336"/>
      <c r="C487" s="103"/>
      <c r="D487" s="103"/>
      <c r="E487" s="107"/>
      <c r="F487" s="108"/>
      <c r="G487" s="64"/>
      <c r="H487" s="65"/>
      <c r="I487" s="69" t="str">
        <f t="shared" si="75"/>
        <v/>
      </c>
      <c r="J487" s="64" t="str">
        <f t="shared" si="76"/>
        <v/>
      </c>
      <c r="K487" s="64" t="str">
        <f t="shared" si="77"/>
        <v/>
      </c>
    </row>
    <row r="488" spans="2:11" ht="17.25" x14ac:dyDescent="0.2">
      <c r="B488" s="336"/>
      <c r="C488" s="103"/>
      <c r="D488" s="103"/>
      <c r="E488" s="107"/>
      <c r="F488" s="108"/>
      <c r="G488" s="64"/>
      <c r="H488" s="65"/>
      <c r="I488" s="69"/>
      <c r="J488" s="64" t="str">
        <f t="shared" si="76"/>
        <v/>
      </c>
      <c r="K488" s="64" t="str">
        <f t="shared" si="77"/>
        <v/>
      </c>
    </row>
    <row r="489" spans="2:11" ht="17.25" x14ac:dyDescent="0.2">
      <c r="B489" s="336"/>
      <c r="C489" s="103"/>
      <c r="D489" s="103"/>
      <c r="E489" s="107"/>
      <c r="F489" s="108"/>
      <c r="G489" s="64"/>
      <c r="H489" s="65"/>
      <c r="I489" s="69"/>
      <c r="J489" s="64" t="str">
        <f t="shared" si="76"/>
        <v/>
      </c>
      <c r="K489" s="64" t="str">
        <f t="shared" si="77"/>
        <v/>
      </c>
    </row>
    <row r="490" spans="2:11" ht="17.25" x14ac:dyDescent="0.2">
      <c r="B490" s="336"/>
      <c r="C490" s="103"/>
      <c r="D490" s="103"/>
      <c r="E490" s="107"/>
      <c r="F490" s="108"/>
      <c r="G490" s="64"/>
      <c r="H490" s="65"/>
      <c r="I490" s="69"/>
      <c r="J490" s="64" t="str">
        <f t="shared" si="76"/>
        <v/>
      </c>
      <c r="K490" s="64" t="str">
        <f t="shared" si="77"/>
        <v/>
      </c>
    </row>
    <row r="491" spans="2:11" ht="17.25" x14ac:dyDescent="0.2">
      <c r="B491" s="336"/>
      <c r="C491" s="103"/>
      <c r="D491" s="103"/>
      <c r="E491" s="107"/>
      <c r="F491" s="108"/>
      <c r="G491" s="64"/>
      <c r="H491" s="65"/>
      <c r="I491" s="69"/>
      <c r="J491" s="64" t="str">
        <f t="shared" si="76"/>
        <v/>
      </c>
      <c r="K491" s="64" t="str">
        <f t="shared" si="77"/>
        <v/>
      </c>
    </row>
    <row r="492" spans="2:11" ht="17.25" x14ac:dyDescent="0.2">
      <c r="B492" s="336"/>
      <c r="C492" s="103"/>
      <c r="D492" s="103"/>
      <c r="E492" s="107"/>
      <c r="F492" s="108"/>
      <c r="G492" s="64"/>
      <c r="H492" s="65"/>
      <c r="I492" s="69"/>
      <c r="J492" s="64" t="str">
        <f t="shared" si="76"/>
        <v/>
      </c>
      <c r="K492" s="64" t="str">
        <f t="shared" si="77"/>
        <v/>
      </c>
    </row>
    <row r="493" spans="2:11" ht="17.25" x14ac:dyDescent="0.2">
      <c r="B493" s="336"/>
      <c r="C493" s="103"/>
      <c r="D493" s="103"/>
      <c r="E493" s="107"/>
      <c r="F493" s="108"/>
      <c r="G493" s="64"/>
      <c r="H493" s="65"/>
      <c r="I493" s="69"/>
      <c r="J493" s="64" t="str">
        <f t="shared" si="76"/>
        <v/>
      </c>
      <c r="K493" s="64" t="str">
        <f t="shared" si="77"/>
        <v/>
      </c>
    </row>
    <row r="494" spans="2:11" ht="17.25" x14ac:dyDescent="0.2">
      <c r="B494" s="336"/>
      <c r="C494" s="103"/>
      <c r="D494" s="103"/>
      <c r="E494" s="107"/>
      <c r="F494" s="108"/>
      <c r="G494" s="64"/>
      <c r="H494" s="65"/>
      <c r="I494" s="69"/>
      <c r="J494" s="64" t="str">
        <f t="shared" si="76"/>
        <v/>
      </c>
      <c r="K494" s="64" t="str">
        <f t="shared" si="77"/>
        <v/>
      </c>
    </row>
    <row r="495" spans="2:11" ht="17.25" x14ac:dyDescent="0.2">
      <c r="B495" s="336"/>
      <c r="C495" s="103"/>
      <c r="D495" s="103"/>
      <c r="E495" s="107"/>
      <c r="F495" s="108"/>
      <c r="G495" s="64"/>
      <c r="H495" s="65"/>
      <c r="I495" s="69"/>
      <c r="J495" s="64" t="str">
        <f t="shared" si="76"/>
        <v/>
      </c>
      <c r="K495" s="64" t="str">
        <f t="shared" si="77"/>
        <v/>
      </c>
    </row>
    <row r="496" spans="2:11" ht="18" customHeight="1" x14ac:dyDescent="0.2">
      <c r="B496" s="561" t="s">
        <v>22</v>
      </c>
      <c r="C496" s="561" t="s">
        <v>177</v>
      </c>
      <c r="D496" s="561" t="s">
        <v>243</v>
      </c>
      <c r="E496" s="561" t="s">
        <v>23</v>
      </c>
      <c r="F496" s="562" t="s">
        <v>234</v>
      </c>
      <c r="G496" s="562"/>
      <c r="H496" s="562"/>
      <c r="I496" s="562"/>
      <c r="J496" s="562"/>
      <c r="K496" s="562"/>
    </row>
    <row r="497" spans="1:11" ht="21" x14ac:dyDescent="0.2">
      <c r="A497" s="114" t="s">
        <v>1039</v>
      </c>
      <c r="B497" s="434" t="s">
        <v>2519</v>
      </c>
      <c r="C497" s="115" t="s">
        <v>498</v>
      </c>
      <c r="D497" s="114" t="s">
        <v>639</v>
      </c>
      <c r="E497" s="329" t="str">
        <f>IF($O$29="","",$O$29)</f>
        <v>MNR - Área 5.1</v>
      </c>
      <c r="F497" s="563">
        <f>IF(B497="","",VLOOKUP(E497,$O$2:$T$120,6,0))</f>
        <v>126255</v>
      </c>
      <c r="G497" s="564"/>
      <c r="H497" s="564"/>
      <c r="I497" s="564"/>
      <c r="J497" s="564"/>
      <c r="K497" s="565"/>
    </row>
    <row r="498" spans="1:11" ht="43.5" x14ac:dyDescent="0.2">
      <c r="A498" s="166" t="s">
        <v>779</v>
      </c>
      <c r="B498" s="116" t="s">
        <v>0</v>
      </c>
      <c r="C498" s="116" t="s">
        <v>20</v>
      </c>
      <c r="D498" s="116" t="s">
        <v>21</v>
      </c>
      <c r="E498" s="116" t="s">
        <v>1</v>
      </c>
      <c r="F498" s="117" t="s">
        <v>3</v>
      </c>
      <c r="G498" s="116" t="s">
        <v>216</v>
      </c>
      <c r="H498" s="180" t="s">
        <v>242</v>
      </c>
      <c r="I498" s="116" t="s">
        <v>245</v>
      </c>
      <c r="J498" s="116" t="s">
        <v>217</v>
      </c>
      <c r="K498" s="116" t="s">
        <v>218</v>
      </c>
    </row>
    <row r="499" spans="1:11" ht="17.25" x14ac:dyDescent="0.2">
      <c r="B499" s="397">
        <v>5101</v>
      </c>
      <c r="C499" s="99" t="s">
        <v>1210</v>
      </c>
      <c r="D499" s="99" t="s">
        <v>1211</v>
      </c>
      <c r="E499" s="107" t="s">
        <v>265</v>
      </c>
      <c r="F499" s="108">
        <v>12.5</v>
      </c>
      <c r="G499" s="57">
        <v>20</v>
      </c>
      <c r="H499" s="65">
        <v>4</v>
      </c>
      <c r="I499" s="69">
        <f>IF(G499="","",SUM(G499:H499))</f>
        <v>24</v>
      </c>
      <c r="J499" s="64">
        <f>IF(G499="","",ROUNDUP(G499*0.65,0))</f>
        <v>13</v>
      </c>
      <c r="K499" s="64">
        <f>IF(G499="","",ROUNDUP(G499*0.55,0))</f>
        <v>11</v>
      </c>
    </row>
    <row r="500" spans="1:11" ht="17.25" x14ac:dyDescent="0.2">
      <c r="B500" s="397">
        <v>5102</v>
      </c>
      <c r="C500" s="99" t="s">
        <v>507</v>
      </c>
      <c r="D500" s="99" t="s">
        <v>1212</v>
      </c>
      <c r="E500" s="107" t="s">
        <v>265</v>
      </c>
      <c r="F500" s="108">
        <v>12.5</v>
      </c>
      <c r="G500" s="57">
        <v>20</v>
      </c>
      <c r="H500" s="65">
        <v>3</v>
      </c>
      <c r="I500" s="69">
        <f t="shared" ref="I500:I514" si="78">IF(G500="","",SUM(G500:H500))</f>
        <v>23</v>
      </c>
      <c r="J500" s="64">
        <f t="shared" ref="J500:J514" si="79">IF(G500="","",ROUNDUP(G500*0.65,0))</f>
        <v>13</v>
      </c>
      <c r="K500" s="64">
        <f t="shared" ref="K500:K514" si="80">IF(G500="","",ROUNDUP(G500*0.55,0))</f>
        <v>11</v>
      </c>
    </row>
    <row r="501" spans="1:11" ht="17.25" x14ac:dyDescent="0.2">
      <c r="B501" s="397">
        <v>5103</v>
      </c>
      <c r="C501" s="99" t="s">
        <v>1213</v>
      </c>
      <c r="D501" s="99" t="s">
        <v>1214</v>
      </c>
      <c r="E501" s="107" t="s">
        <v>265</v>
      </c>
      <c r="F501" s="108">
        <v>12.5</v>
      </c>
      <c r="G501" s="57">
        <v>15</v>
      </c>
      <c r="H501" s="65">
        <v>3</v>
      </c>
      <c r="I501" s="69">
        <f t="shared" si="78"/>
        <v>18</v>
      </c>
      <c r="J501" s="64">
        <f t="shared" si="79"/>
        <v>10</v>
      </c>
      <c r="K501" s="64">
        <f t="shared" si="80"/>
        <v>9</v>
      </c>
    </row>
    <row r="502" spans="1:11" ht="17.25" x14ac:dyDescent="0.2">
      <c r="B502" s="397">
        <v>5104</v>
      </c>
      <c r="C502" s="99" t="s">
        <v>1213</v>
      </c>
      <c r="D502" s="99" t="s">
        <v>1215</v>
      </c>
      <c r="E502" s="107" t="s">
        <v>55</v>
      </c>
      <c r="F502" s="333">
        <v>14</v>
      </c>
      <c r="G502" s="57">
        <v>14</v>
      </c>
      <c r="H502" s="65">
        <v>3</v>
      </c>
      <c r="I502" s="69">
        <f t="shared" si="78"/>
        <v>17</v>
      </c>
      <c r="J502" s="64">
        <f t="shared" si="79"/>
        <v>10</v>
      </c>
      <c r="K502" s="64">
        <f t="shared" si="80"/>
        <v>8</v>
      </c>
    </row>
    <row r="503" spans="1:11" ht="17.25" x14ac:dyDescent="0.2">
      <c r="B503" s="397">
        <v>5105</v>
      </c>
      <c r="C503" s="99" t="s">
        <v>1216</v>
      </c>
      <c r="D503" s="99" t="s">
        <v>1217</v>
      </c>
      <c r="E503" s="107" t="s">
        <v>55</v>
      </c>
      <c r="F503" s="333">
        <v>14</v>
      </c>
      <c r="G503" s="57">
        <v>20</v>
      </c>
      <c r="H503" s="65">
        <v>4</v>
      </c>
      <c r="I503" s="69">
        <f t="shared" si="78"/>
        <v>24</v>
      </c>
      <c r="J503" s="64">
        <f t="shared" si="79"/>
        <v>13</v>
      </c>
      <c r="K503" s="64">
        <f t="shared" si="80"/>
        <v>11</v>
      </c>
    </row>
    <row r="504" spans="1:11" ht="17.25" x14ac:dyDescent="0.2">
      <c r="B504" s="397">
        <v>5106</v>
      </c>
      <c r="C504" s="99" t="s">
        <v>1212</v>
      </c>
      <c r="D504" s="99" t="s">
        <v>1162</v>
      </c>
      <c r="E504" s="107" t="s">
        <v>55</v>
      </c>
      <c r="F504" s="333">
        <v>14</v>
      </c>
      <c r="G504" s="57">
        <v>16</v>
      </c>
      <c r="H504" s="65">
        <v>3</v>
      </c>
      <c r="I504" s="69">
        <f t="shared" si="78"/>
        <v>19</v>
      </c>
      <c r="J504" s="64">
        <f t="shared" si="79"/>
        <v>11</v>
      </c>
      <c r="K504" s="64">
        <f t="shared" si="80"/>
        <v>9</v>
      </c>
    </row>
    <row r="505" spans="1:11" ht="17.25" x14ac:dyDescent="0.2">
      <c r="B505" s="397">
        <v>5107</v>
      </c>
      <c r="C505" s="99" t="s">
        <v>1210</v>
      </c>
      <c r="D505" s="99" t="s">
        <v>1218</v>
      </c>
      <c r="E505" s="107" t="s">
        <v>56</v>
      </c>
      <c r="F505" s="333">
        <v>17.5</v>
      </c>
      <c r="G505" s="57">
        <v>18</v>
      </c>
      <c r="H505" s="65">
        <v>2</v>
      </c>
      <c r="I505" s="69">
        <f t="shared" si="78"/>
        <v>20</v>
      </c>
      <c r="J505" s="64">
        <f t="shared" si="79"/>
        <v>12</v>
      </c>
      <c r="K505" s="64">
        <f t="shared" si="80"/>
        <v>10</v>
      </c>
    </row>
    <row r="506" spans="1:11" ht="17.25" x14ac:dyDescent="0.2">
      <c r="B506" s="397">
        <v>5108</v>
      </c>
      <c r="C506" s="99" t="s">
        <v>1210</v>
      </c>
      <c r="D506" s="99" t="s">
        <v>1181</v>
      </c>
      <c r="E506" s="107" t="s">
        <v>56</v>
      </c>
      <c r="F506" s="333">
        <v>17.5</v>
      </c>
      <c r="G506" s="57">
        <v>18</v>
      </c>
      <c r="H506" s="65">
        <v>2</v>
      </c>
      <c r="I506" s="69">
        <f t="shared" si="78"/>
        <v>20</v>
      </c>
      <c r="J506" s="64">
        <f t="shared" si="79"/>
        <v>12</v>
      </c>
      <c r="K506" s="64">
        <f t="shared" si="80"/>
        <v>10</v>
      </c>
    </row>
    <row r="507" spans="1:11" ht="17.25" x14ac:dyDescent="0.2">
      <c r="B507" s="344"/>
      <c r="C507" s="99"/>
      <c r="D507" s="99"/>
      <c r="E507" s="107"/>
      <c r="F507" s="108"/>
      <c r="G507" s="57"/>
      <c r="H507" s="65"/>
      <c r="I507" s="69" t="str">
        <f t="shared" si="78"/>
        <v/>
      </c>
      <c r="J507" s="64" t="str">
        <f t="shared" si="79"/>
        <v/>
      </c>
      <c r="K507" s="64" t="str">
        <f t="shared" si="80"/>
        <v/>
      </c>
    </row>
    <row r="508" spans="1:11" ht="17.25" x14ac:dyDescent="0.2">
      <c r="B508" s="344"/>
      <c r="C508" s="99"/>
      <c r="D508" s="99"/>
      <c r="E508" s="107"/>
      <c r="F508" s="108"/>
      <c r="G508" s="57"/>
      <c r="H508" s="65"/>
      <c r="I508" s="69" t="str">
        <f t="shared" si="78"/>
        <v/>
      </c>
      <c r="J508" s="64" t="str">
        <f t="shared" si="79"/>
        <v/>
      </c>
      <c r="K508" s="64" t="str">
        <f t="shared" si="80"/>
        <v/>
      </c>
    </row>
    <row r="509" spans="1:11" ht="17.25" x14ac:dyDescent="0.2">
      <c r="B509" s="344"/>
      <c r="C509" s="97"/>
      <c r="D509" s="97"/>
      <c r="E509" s="107"/>
      <c r="F509" s="108"/>
      <c r="G509" s="57"/>
      <c r="H509" s="65"/>
      <c r="I509" s="69" t="str">
        <f t="shared" si="78"/>
        <v/>
      </c>
      <c r="J509" s="64" t="str">
        <f t="shared" si="79"/>
        <v/>
      </c>
      <c r="K509" s="64" t="str">
        <f t="shared" si="80"/>
        <v/>
      </c>
    </row>
    <row r="510" spans="1:11" ht="17.25" x14ac:dyDescent="0.2">
      <c r="B510" s="344"/>
      <c r="C510" s="97"/>
      <c r="D510" s="97"/>
      <c r="E510" s="107"/>
      <c r="F510" s="108"/>
      <c r="G510" s="57"/>
      <c r="H510" s="65"/>
      <c r="I510" s="69" t="str">
        <f t="shared" si="78"/>
        <v/>
      </c>
      <c r="J510" s="64" t="str">
        <f t="shared" si="79"/>
        <v/>
      </c>
      <c r="K510" s="64" t="str">
        <f t="shared" si="80"/>
        <v/>
      </c>
    </row>
    <row r="511" spans="1:11" ht="17.25" x14ac:dyDescent="0.2">
      <c r="B511" s="344"/>
      <c r="C511" s="97"/>
      <c r="D511" s="97"/>
      <c r="E511" s="107"/>
      <c r="F511" s="108"/>
      <c r="G511" s="57"/>
      <c r="H511" s="65"/>
      <c r="I511" s="69" t="str">
        <f t="shared" si="78"/>
        <v/>
      </c>
      <c r="J511" s="64" t="str">
        <f t="shared" si="79"/>
        <v/>
      </c>
      <c r="K511" s="64" t="str">
        <f t="shared" si="80"/>
        <v/>
      </c>
    </row>
    <row r="512" spans="1:11" ht="17.25" x14ac:dyDescent="0.2">
      <c r="B512" s="344"/>
      <c r="C512" s="97"/>
      <c r="D512" s="97"/>
      <c r="E512" s="107"/>
      <c r="F512" s="108"/>
      <c r="G512" s="57"/>
      <c r="H512" s="65"/>
      <c r="I512" s="69" t="str">
        <f t="shared" si="78"/>
        <v/>
      </c>
      <c r="J512" s="64" t="str">
        <f t="shared" si="79"/>
        <v/>
      </c>
      <c r="K512" s="64" t="str">
        <f t="shared" si="80"/>
        <v/>
      </c>
    </row>
    <row r="513" spans="1:11" ht="17.25" x14ac:dyDescent="0.2">
      <c r="B513" s="344"/>
      <c r="C513" s="97"/>
      <c r="D513" s="97"/>
      <c r="E513" s="107"/>
      <c r="F513" s="108"/>
      <c r="G513" s="57"/>
      <c r="H513" s="65"/>
      <c r="I513" s="69" t="str">
        <f t="shared" si="78"/>
        <v/>
      </c>
      <c r="J513" s="64" t="str">
        <f t="shared" si="79"/>
        <v/>
      </c>
      <c r="K513" s="64" t="str">
        <f t="shared" si="80"/>
        <v/>
      </c>
    </row>
    <row r="514" spans="1:11" ht="17.25" x14ac:dyDescent="0.2">
      <c r="B514" s="344"/>
      <c r="C514" s="97"/>
      <c r="D514" s="97"/>
      <c r="E514" s="107"/>
      <c r="F514" s="108"/>
      <c r="G514" s="57"/>
      <c r="H514" s="65"/>
      <c r="I514" s="69" t="str">
        <f t="shared" si="78"/>
        <v/>
      </c>
      <c r="J514" s="64" t="str">
        <f t="shared" si="79"/>
        <v/>
      </c>
      <c r="K514" s="64" t="str">
        <f t="shared" si="80"/>
        <v/>
      </c>
    </row>
    <row r="515" spans="1:11" ht="18" customHeight="1" x14ac:dyDescent="0.2">
      <c r="B515" s="561" t="s">
        <v>22</v>
      </c>
      <c r="C515" s="561" t="s">
        <v>177</v>
      </c>
      <c r="D515" s="561" t="s">
        <v>243</v>
      </c>
      <c r="E515" s="561" t="s">
        <v>23</v>
      </c>
      <c r="F515" s="562" t="s">
        <v>234</v>
      </c>
      <c r="G515" s="562"/>
      <c r="H515" s="562"/>
      <c r="I515" s="562"/>
      <c r="J515" s="562"/>
      <c r="K515" s="562"/>
    </row>
    <row r="516" spans="1:11" ht="21" x14ac:dyDescent="0.2">
      <c r="A516" s="114" t="s">
        <v>1040</v>
      </c>
      <c r="B516" s="439" t="s">
        <v>2664</v>
      </c>
      <c r="C516" s="115" t="s">
        <v>1133</v>
      </c>
      <c r="D516" s="114" t="s">
        <v>1563</v>
      </c>
      <c r="E516" s="329" t="str">
        <f>IF($O$30="","",$O$30)</f>
        <v>MNR - Área 5.2</v>
      </c>
      <c r="F516" s="563">
        <f>IF(B516="","",VLOOKUP(E516,$O$2:$T$120,6,0))</f>
        <v>98829</v>
      </c>
      <c r="G516" s="564"/>
      <c r="H516" s="564"/>
      <c r="I516" s="564"/>
      <c r="J516" s="564"/>
      <c r="K516" s="565"/>
    </row>
    <row r="517" spans="1:11" ht="43.5" x14ac:dyDescent="0.2">
      <c r="A517" s="166" t="s">
        <v>779</v>
      </c>
      <c r="B517" s="116" t="s">
        <v>0</v>
      </c>
      <c r="C517" s="116" t="s">
        <v>20</v>
      </c>
      <c r="D517" s="116" t="s">
        <v>21</v>
      </c>
      <c r="E517" s="116" t="s">
        <v>1</v>
      </c>
      <c r="F517" s="117" t="s">
        <v>3</v>
      </c>
      <c r="G517" s="116" t="s">
        <v>216</v>
      </c>
      <c r="H517" s="180" t="s">
        <v>242</v>
      </c>
      <c r="I517" s="116" t="s">
        <v>245</v>
      </c>
      <c r="J517" s="116" t="s">
        <v>217</v>
      </c>
      <c r="K517" s="116" t="s">
        <v>218</v>
      </c>
    </row>
    <row r="518" spans="1:11" ht="17.25" x14ac:dyDescent="0.2">
      <c r="B518" s="397">
        <v>5201</v>
      </c>
      <c r="C518" s="99" t="s">
        <v>1202</v>
      </c>
      <c r="D518" s="99" t="s">
        <v>1219</v>
      </c>
      <c r="E518" s="107" t="s">
        <v>265</v>
      </c>
      <c r="F518" s="108">
        <v>12.5</v>
      </c>
      <c r="G518" s="57">
        <v>20</v>
      </c>
      <c r="H518" s="65">
        <v>4</v>
      </c>
      <c r="I518" s="69">
        <f t="shared" ref="I518:I533" si="81">IF(G518="","",SUM(G518:H518))</f>
        <v>24</v>
      </c>
      <c r="J518" s="64">
        <f>IF(G518="","",ROUNDUP(G518*0.65,0))</f>
        <v>13</v>
      </c>
      <c r="K518" s="64">
        <f>IF(G518="","",ROUNDUP(G518*0.55,0))</f>
        <v>11</v>
      </c>
    </row>
    <row r="519" spans="1:11" ht="17.25" x14ac:dyDescent="0.2">
      <c r="B519" s="397">
        <v>5202</v>
      </c>
      <c r="C519" s="99" t="s">
        <v>1202</v>
      </c>
      <c r="D519" s="99" t="s">
        <v>1212</v>
      </c>
      <c r="E519" s="107" t="s">
        <v>265</v>
      </c>
      <c r="F519" s="108">
        <v>12.5</v>
      </c>
      <c r="G519" s="57">
        <v>22</v>
      </c>
      <c r="H519" s="65">
        <v>4</v>
      </c>
      <c r="I519" s="69">
        <f t="shared" si="81"/>
        <v>26</v>
      </c>
      <c r="J519" s="64">
        <f t="shared" ref="J519:J533" si="82">IF(G519="","",ROUNDUP(G519*0.65,0))</f>
        <v>15</v>
      </c>
      <c r="K519" s="64">
        <f t="shared" ref="K519:K533" si="83">IF(G519="","",ROUNDUP(G519*0.55,0))</f>
        <v>13</v>
      </c>
    </row>
    <row r="520" spans="1:11" ht="17.25" x14ac:dyDescent="0.2">
      <c r="B520" s="397">
        <v>5203</v>
      </c>
      <c r="C520" s="99" t="s">
        <v>1220</v>
      </c>
      <c r="D520" s="99" t="s">
        <v>1221</v>
      </c>
      <c r="E520" s="107" t="s">
        <v>265</v>
      </c>
      <c r="F520" s="108">
        <v>12.5</v>
      </c>
      <c r="G520" s="57">
        <v>22</v>
      </c>
      <c r="H520" s="65">
        <v>4</v>
      </c>
      <c r="I520" s="69">
        <f t="shared" si="81"/>
        <v>26</v>
      </c>
      <c r="J520" s="64">
        <f t="shared" si="82"/>
        <v>15</v>
      </c>
      <c r="K520" s="64">
        <f t="shared" si="83"/>
        <v>13</v>
      </c>
    </row>
    <row r="521" spans="1:11" ht="17.25" x14ac:dyDescent="0.2">
      <c r="B521" s="397">
        <v>5204</v>
      </c>
      <c r="C521" s="99" t="s">
        <v>1220</v>
      </c>
      <c r="D521" s="99" t="s">
        <v>1186</v>
      </c>
      <c r="E521" s="107" t="s">
        <v>265</v>
      </c>
      <c r="F521" s="108">
        <v>12.5</v>
      </c>
      <c r="G521" s="57">
        <v>20</v>
      </c>
      <c r="H521" s="65">
        <v>4</v>
      </c>
      <c r="I521" s="69">
        <f t="shared" si="81"/>
        <v>24</v>
      </c>
      <c r="J521" s="64">
        <f t="shared" si="82"/>
        <v>13</v>
      </c>
      <c r="K521" s="64">
        <f t="shared" si="83"/>
        <v>11</v>
      </c>
    </row>
    <row r="522" spans="1:11" ht="17.25" x14ac:dyDescent="0.2">
      <c r="B522" s="397">
        <v>5205</v>
      </c>
      <c r="C522" s="99" t="s">
        <v>1222</v>
      </c>
      <c r="D522" s="99" t="s">
        <v>1223</v>
      </c>
      <c r="E522" s="107" t="s">
        <v>55</v>
      </c>
      <c r="F522" s="333">
        <v>14</v>
      </c>
      <c r="G522" s="57">
        <v>18</v>
      </c>
      <c r="H522" s="65">
        <v>3</v>
      </c>
      <c r="I522" s="69">
        <f t="shared" si="81"/>
        <v>21</v>
      </c>
      <c r="J522" s="64">
        <f t="shared" si="82"/>
        <v>12</v>
      </c>
      <c r="K522" s="64">
        <f t="shared" si="83"/>
        <v>10</v>
      </c>
    </row>
    <row r="523" spans="1:11" ht="17.25" x14ac:dyDescent="0.2">
      <c r="B523" s="397">
        <v>5206</v>
      </c>
      <c r="C523" s="99" t="s">
        <v>1224</v>
      </c>
      <c r="D523" s="99" t="s">
        <v>1225</v>
      </c>
      <c r="E523" s="107" t="s">
        <v>55</v>
      </c>
      <c r="F523" s="333">
        <v>14</v>
      </c>
      <c r="G523" s="57">
        <v>16</v>
      </c>
      <c r="H523" s="65">
        <v>3</v>
      </c>
      <c r="I523" s="69">
        <f t="shared" si="81"/>
        <v>19</v>
      </c>
      <c r="J523" s="64">
        <f t="shared" si="82"/>
        <v>11</v>
      </c>
      <c r="K523" s="64">
        <f t="shared" si="83"/>
        <v>9</v>
      </c>
    </row>
    <row r="524" spans="1:11" ht="17.25" x14ac:dyDescent="0.2">
      <c r="B524" s="345"/>
      <c r="C524" s="99"/>
      <c r="D524" s="99"/>
      <c r="E524" s="107"/>
      <c r="F524" s="108"/>
      <c r="G524" s="57"/>
      <c r="H524" s="65"/>
      <c r="I524" s="69" t="str">
        <f t="shared" si="81"/>
        <v/>
      </c>
      <c r="J524" s="64" t="str">
        <f t="shared" si="82"/>
        <v/>
      </c>
      <c r="K524" s="64" t="str">
        <f t="shared" si="83"/>
        <v/>
      </c>
    </row>
    <row r="525" spans="1:11" ht="17.25" x14ac:dyDescent="0.2">
      <c r="B525" s="345"/>
      <c r="C525" s="99"/>
      <c r="D525" s="99"/>
      <c r="E525" s="107"/>
      <c r="F525" s="108"/>
      <c r="G525" s="57"/>
      <c r="H525" s="65"/>
      <c r="I525" s="69" t="str">
        <f t="shared" si="81"/>
        <v/>
      </c>
      <c r="J525" s="64" t="str">
        <f t="shared" si="82"/>
        <v/>
      </c>
      <c r="K525" s="64" t="str">
        <f t="shared" si="83"/>
        <v/>
      </c>
    </row>
    <row r="526" spans="1:11" ht="17.25" x14ac:dyDescent="0.2">
      <c r="B526" s="345"/>
      <c r="C526" s="97"/>
      <c r="D526" s="181"/>
      <c r="E526" s="182"/>
      <c r="F526" s="108"/>
      <c r="G526" s="57"/>
      <c r="H526" s="65"/>
      <c r="I526" s="69" t="str">
        <f t="shared" si="81"/>
        <v/>
      </c>
      <c r="J526" s="64" t="str">
        <f t="shared" si="82"/>
        <v/>
      </c>
      <c r="K526" s="64" t="str">
        <f t="shared" si="83"/>
        <v/>
      </c>
    </row>
    <row r="527" spans="1:11" ht="17.25" x14ac:dyDescent="0.2">
      <c r="B527" s="345"/>
      <c r="C527" s="97"/>
      <c r="D527" s="181"/>
      <c r="E527" s="182"/>
      <c r="F527" s="108"/>
      <c r="G527" s="57"/>
      <c r="H527" s="65"/>
      <c r="I527" s="69" t="str">
        <f t="shared" si="81"/>
        <v/>
      </c>
      <c r="J527" s="64" t="str">
        <f t="shared" si="82"/>
        <v/>
      </c>
      <c r="K527" s="64" t="str">
        <f t="shared" si="83"/>
        <v/>
      </c>
    </row>
    <row r="528" spans="1:11" ht="17.25" x14ac:dyDescent="0.2">
      <c r="B528" s="345"/>
      <c r="C528" s="97"/>
      <c r="D528" s="181"/>
      <c r="E528" s="182"/>
      <c r="F528" s="108"/>
      <c r="G528" s="57"/>
      <c r="H528" s="65"/>
      <c r="I528" s="69" t="str">
        <f t="shared" si="81"/>
        <v/>
      </c>
      <c r="J528" s="64" t="str">
        <f t="shared" si="82"/>
        <v/>
      </c>
      <c r="K528" s="64" t="str">
        <f t="shared" si="83"/>
        <v/>
      </c>
    </row>
    <row r="529" spans="1:11" ht="17.25" x14ac:dyDescent="0.2">
      <c r="B529" s="345"/>
      <c r="C529" s="97"/>
      <c r="D529" s="181"/>
      <c r="E529" s="182"/>
      <c r="F529" s="108"/>
      <c r="G529" s="57"/>
      <c r="H529" s="65"/>
      <c r="I529" s="69" t="str">
        <f t="shared" si="81"/>
        <v/>
      </c>
      <c r="J529" s="64" t="str">
        <f t="shared" si="82"/>
        <v/>
      </c>
      <c r="K529" s="64" t="str">
        <f t="shared" si="83"/>
        <v/>
      </c>
    </row>
    <row r="530" spans="1:11" ht="17.25" x14ac:dyDescent="0.2">
      <c r="B530" s="345"/>
      <c r="C530" s="97"/>
      <c r="D530" s="181"/>
      <c r="E530" s="182"/>
      <c r="F530" s="108"/>
      <c r="G530" s="57"/>
      <c r="H530" s="65"/>
      <c r="I530" s="69" t="str">
        <f t="shared" si="81"/>
        <v/>
      </c>
      <c r="J530" s="64" t="str">
        <f t="shared" si="82"/>
        <v/>
      </c>
      <c r="K530" s="64" t="str">
        <f t="shared" si="83"/>
        <v/>
      </c>
    </row>
    <row r="531" spans="1:11" ht="17.25" x14ac:dyDescent="0.2">
      <c r="B531" s="345"/>
      <c r="C531" s="97"/>
      <c r="D531" s="181"/>
      <c r="E531" s="182"/>
      <c r="F531" s="108"/>
      <c r="G531" s="57"/>
      <c r="H531" s="65"/>
      <c r="I531" s="69" t="str">
        <f t="shared" si="81"/>
        <v/>
      </c>
      <c r="J531" s="64" t="str">
        <f t="shared" si="82"/>
        <v/>
      </c>
      <c r="K531" s="64" t="str">
        <f t="shared" si="83"/>
        <v/>
      </c>
    </row>
    <row r="532" spans="1:11" ht="17.25" x14ac:dyDescent="0.2">
      <c r="B532" s="345"/>
      <c r="C532" s="97"/>
      <c r="D532" s="181"/>
      <c r="E532" s="182"/>
      <c r="F532" s="108"/>
      <c r="G532" s="57"/>
      <c r="H532" s="65"/>
      <c r="I532" s="69" t="str">
        <f t="shared" si="81"/>
        <v/>
      </c>
      <c r="J532" s="64" t="str">
        <f t="shared" si="82"/>
        <v/>
      </c>
      <c r="K532" s="64" t="str">
        <f t="shared" si="83"/>
        <v/>
      </c>
    </row>
    <row r="533" spans="1:11" ht="17.25" x14ac:dyDescent="0.2">
      <c r="B533" s="345"/>
      <c r="C533" s="112"/>
      <c r="D533" s="112"/>
      <c r="E533" s="107"/>
      <c r="F533" s="108"/>
      <c r="G533" s="57"/>
      <c r="H533" s="65"/>
      <c r="I533" s="69" t="str">
        <f t="shared" si="81"/>
        <v/>
      </c>
      <c r="J533" s="64" t="str">
        <f t="shared" si="82"/>
        <v/>
      </c>
      <c r="K533" s="64" t="str">
        <f t="shared" si="83"/>
        <v/>
      </c>
    </row>
    <row r="534" spans="1:11" ht="18" customHeight="1" x14ac:dyDescent="0.2">
      <c r="B534" s="561" t="s">
        <v>22</v>
      </c>
      <c r="C534" s="561" t="s">
        <v>177</v>
      </c>
      <c r="D534" s="561" t="s">
        <v>243</v>
      </c>
      <c r="E534" s="561" t="s">
        <v>23</v>
      </c>
      <c r="F534" s="562" t="s">
        <v>234</v>
      </c>
      <c r="G534" s="562"/>
      <c r="H534" s="562"/>
      <c r="I534" s="562"/>
      <c r="J534" s="562"/>
      <c r="K534" s="562"/>
    </row>
    <row r="535" spans="1:11" ht="21" x14ac:dyDescent="0.2">
      <c r="A535" s="114" t="s">
        <v>1041</v>
      </c>
      <c r="B535" s="434" t="s">
        <v>2711</v>
      </c>
      <c r="C535" s="115" t="s">
        <v>498</v>
      </c>
      <c r="D535" s="114" t="s">
        <v>639</v>
      </c>
      <c r="E535" s="329" t="str">
        <f>IF($O$31="","",$O$31)</f>
        <v>MNR - Área 6.1</v>
      </c>
      <c r="F535" s="563">
        <f>IF(B535="","",VLOOKUP(E535,$O$2:$T$120,6,0))</f>
        <v>144198</v>
      </c>
      <c r="G535" s="564"/>
      <c r="H535" s="564"/>
      <c r="I535" s="564"/>
      <c r="J535" s="564"/>
      <c r="K535" s="565"/>
    </row>
    <row r="536" spans="1:11" ht="43.5" x14ac:dyDescent="0.2">
      <c r="A536" s="166" t="s">
        <v>779</v>
      </c>
      <c r="B536" s="116" t="s">
        <v>0</v>
      </c>
      <c r="C536" s="116" t="s">
        <v>20</v>
      </c>
      <c r="D536" s="116" t="s">
        <v>21</v>
      </c>
      <c r="E536" s="116" t="s">
        <v>1</v>
      </c>
      <c r="F536" s="117" t="s">
        <v>3</v>
      </c>
      <c r="G536" s="116" t="s">
        <v>216</v>
      </c>
      <c r="H536" s="180" t="s">
        <v>242</v>
      </c>
      <c r="I536" s="116" t="s">
        <v>245</v>
      </c>
      <c r="J536" s="116" t="s">
        <v>217</v>
      </c>
      <c r="K536" s="116" t="s">
        <v>218</v>
      </c>
    </row>
    <row r="537" spans="1:11" ht="17.25" x14ac:dyDescent="0.2">
      <c r="B537" s="398">
        <v>6101</v>
      </c>
      <c r="C537" s="99" t="s">
        <v>1226</v>
      </c>
      <c r="D537" s="99" t="s">
        <v>1211</v>
      </c>
      <c r="E537" s="107" t="s">
        <v>265</v>
      </c>
      <c r="F537" s="108">
        <v>12.5</v>
      </c>
      <c r="G537" s="57">
        <v>20</v>
      </c>
      <c r="H537" s="65">
        <v>3</v>
      </c>
      <c r="I537" s="69">
        <f t="shared" ref="I537:I546" si="84">IF(G537="","",SUM(G537:H537))</f>
        <v>23</v>
      </c>
      <c r="J537" s="64">
        <f>IF(G537="","",ROUNDUP(G537*0.65,0))</f>
        <v>13</v>
      </c>
      <c r="K537" s="64">
        <f>IF(G537="","",ROUNDUP(G537*0.55,0))</f>
        <v>11</v>
      </c>
    </row>
    <row r="538" spans="1:11" ht="17.25" x14ac:dyDescent="0.2">
      <c r="B538" s="398">
        <v>6102</v>
      </c>
      <c r="C538" s="99" t="s">
        <v>1211</v>
      </c>
      <c r="D538" s="99" t="s">
        <v>1227</v>
      </c>
      <c r="E538" s="107" t="s">
        <v>265</v>
      </c>
      <c r="F538" s="108">
        <v>12.5</v>
      </c>
      <c r="G538" s="57">
        <v>30</v>
      </c>
      <c r="H538" s="65">
        <v>3</v>
      </c>
      <c r="I538" s="69">
        <f t="shared" si="84"/>
        <v>33</v>
      </c>
      <c r="J538" s="64">
        <f t="shared" ref="J538:J552" si="85">IF(G538="","",ROUNDUP(G538*0.65,0))</f>
        <v>20</v>
      </c>
      <c r="K538" s="64">
        <f t="shared" ref="K538:K552" si="86">IF(G538="","",ROUNDUP(G538*0.55,0))</f>
        <v>17</v>
      </c>
    </row>
    <row r="539" spans="1:11" ht="17.25" x14ac:dyDescent="0.2">
      <c r="B539" s="398">
        <v>6103</v>
      </c>
      <c r="C539" s="99" t="s">
        <v>1228</v>
      </c>
      <c r="D539" s="99" t="s">
        <v>1229</v>
      </c>
      <c r="E539" s="107" t="s">
        <v>265</v>
      </c>
      <c r="F539" s="108">
        <v>12.5</v>
      </c>
      <c r="G539" s="57">
        <v>20</v>
      </c>
      <c r="H539" s="65">
        <v>4</v>
      </c>
      <c r="I539" s="69">
        <f t="shared" si="84"/>
        <v>24</v>
      </c>
      <c r="J539" s="64">
        <f t="shared" si="85"/>
        <v>13</v>
      </c>
      <c r="K539" s="64">
        <f t="shared" si="86"/>
        <v>11</v>
      </c>
    </row>
    <row r="540" spans="1:11" ht="17.25" x14ac:dyDescent="0.2">
      <c r="B540" s="398">
        <v>6104</v>
      </c>
      <c r="C540" s="99" t="s">
        <v>1230</v>
      </c>
      <c r="D540" s="99" t="s">
        <v>1231</v>
      </c>
      <c r="E540" s="107" t="s">
        <v>55</v>
      </c>
      <c r="F540" s="333">
        <v>14</v>
      </c>
      <c r="G540" s="57">
        <v>20</v>
      </c>
      <c r="H540" s="65">
        <v>2</v>
      </c>
      <c r="I540" s="69">
        <f t="shared" si="84"/>
        <v>22</v>
      </c>
      <c r="J540" s="64">
        <f t="shared" si="85"/>
        <v>13</v>
      </c>
      <c r="K540" s="64">
        <f t="shared" si="86"/>
        <v>11</v>
      </c>
    </row>
    <row r="541" spans="1:11" ht="17.25" x14ac:dyDescent="0.2">
      <c r="B541" s="398">
        <v>6105</v>
      </c>
      <c r="C541" s="99" t="s">
        <v>1232</v>
      </c>
      <c r="D541" s="99" t="s">
        <v>1201</v>
      </c>
      <c r="E541" s="107" t="s">
        <v>55</v>
      </c>
      <c r="F541" s="333">
        <v>14</v>
      </c>
      <c r="G541" s="57">
        <v>20</v>
      </c>
      <c r="H541" s="65">
        <v>3</v>
      </c>
      <c r="I541" s="69">
        <f t="shared" si="84"/>
        <v>23</v>
      </c>
      <c r="J541" s="64">
        <f t="shared" si="85"/>
        <v>13</v>
      </c>
      <c r="K541" s="64">
        <f t="shared" si="86"/>
        <v>11</v>
      </c>
    </row>
    <row r="542" spans="1:11" ht="17.25" x14ac:dyDescent="0.2">
      <c r="B542" s="398">
        <v>6106</v>
      </c>
      <c r="C542" s="99" t="s">
        <v>1233</v>
      </c>
      <c r="D542" s="99" t="s">
        <v>1234</v>
      </c>
      <c r="E542" s="107" t="s">
        <v>56</v>
      </c>
      <c r="F542" s="333">
        <v>17.5</v>
      </c>
      <c r="G542" s="57">
        <v>18</v>
      </c>
      <c r="H542" s="65">
        <v>2</v>
      </c>
      <c r="I542" s="69">
        <f t="shared" si="84"/>
        <v>20</v>
      </c>
      <c r="J542" s="64">
        <f t="shared" si="85"/>
        <v>12</v>
      </c>
      <c r="K542" s="64">
        <f t="shared" si="86"/>
        <v>10</v>
      </c>
    </row>
    <row r="543" spans="1:11" ht="17.25" x14ac:dyDescent="0.2">
      <c r="B543" s="398">
        <v>6107</v>
      </c>
      <c r="C543" s="99" t="s">
        <v>1233</v>
      </c>
      <c r="D543" s="99" t="s">
        <v>1218</v>
      </c>
      <c r="E543" s="107" t="s">
        <v>56</v>
      </c>
      <c r="F543" s="333">
        <v>17.5</v>
      </c>
      <c r="G543" s="57">
        <v>18</v>
      </c>
      <c r="H543" s="65">
        <v>2</v>
      </c>
      <c r="I543" s="69">
        <f t="shared" si="84"/>
        <v>20</v>
      </c>
      <c r="J543" s="64">
        <f t="shared" si="85"/>
        <v>12</v>
      </c>
      <c r="K543" s="64">
        <f t="shared" si="86"/>
        <v>10</v>
      </c>
    </row>
    <row r="544" spans="1:11" ht="17.25" x14ac:dyDescent="0.2">
      <c r="B544" s="398">
        <v>6108</v>
      </c>
      <c r="C544" s="99" t="s">
        <v>1233</v>
      </c>
      <c r="D544" s="99" t="s">
        <v>1175</v>
      </c>
      <c r="E544" s="107" t="s">
        <v>56</v>
      </c>
      <c r="F544" s="333">
        <v>17.5</v>
      </c>
      <c r="G544" s="57">
        <v>18</v>
      </c>
      <c r="H544" s="65">
        <v>2</v>
      </c>
      <c r="I544" s="69">
        <f t="shared" si="84"/>
        <v>20</v>
      </c>
      <c r="J544" s="64">
        <f t="shared" si="85"/>
        <v>12</v>
      </c>
      <c r="K544" s="64">
        <f t="shared" si="86"/>
        <v>10</v>
      </c>
    </row>
    <row r="545" spans="1:11" ht="17.25" x14ac:dyDescent="0.2">
      <c r="B545" s="398">
        <v>6109</v>
      </c>
      <c r="C545" s="99" t="s">
        <v>1233</v>
      </c>
      <c r="D545" s="99" t="s">
        <v>1175</v>
      </c>
      <c r="E545" s="107" t="s">
        <v>57</v>
      </c>
      <c r="F545" s="108">
        <v>23</v>
      </c>
      <c r="G545" s="57">
        <v>22</v>
      </c>
      <c r="H545" s="65">
        <v>3</v>
      </c>
      <c r="I545" s="69">
        <f t="shared" si="84"/>
        <v>25</v>
      </c>
      <c r="J545" s="64">
        <f t="shared" si="85"/>
        <v>15</v>
      </c>
      <c r="K545" s="64">
        <f t="shared" si="86"/>
        <v>13</v>
      </c>
    </row>
    <row r="546" spans="1:11" ht="17.25" x14ac:dyDescent="0.2">
      <c r="B546" s="325"/>
      <c r="C546" s="97"/>
      <c r="D546" s="97"/>
      <c r="E546" s="123"/>
      <c r="F546" s="108"/>
      <c r="G546" s="64"/>
      <c r="H546" s="65"/>
      <c r="I546" s="69" t="str">
        <f t="shared" si="84"/>
        <v/>
      </c>
      <c r="J546" s="64" t="str">
        <f t="shared" si="85"/>
        <v/>
      </c>
      <c r="K546" s="64" t="str">
        <f t="shared" si="86"/>
        <v/>
      </c>
    </row>
    <row r="547" spans="1:11" ht="17.25" x14ac:dyDescent="0.2">
      <c r="B547" s="325"/>
      <c r="C547" s="97"/>
      <c r="D547" s="97"/>
      <c r="E547" s="123"/>
      <c r="F547" s="108"/>
      <c r="G547" s="64"/>
      <c r="H547" s="65"/>
      <c r="I547" s="69"/>
      <c r="J547" s="64" t="str">
        <f t="shared" si="85"/>
        <v/>
      </c>
      <c r="K547" s="64" t="str">
        <f t="shared" si="86"/>
        <v/>
      </c>
    </row>
    <row r="548" spans="1:11" ht="17.25" x14ac:dyDescent="0.2">
      <c r="B548" s="325"/>
      <c r="C548" s="97"/>
      <c r="D548" s="97"/>
      <c r="E548" s="123"/>
      <c r="F548" s="108"/>
      <c r="G548" s="64"/>
      <c r="H548" s="65"/>
      <c r="I548" s="69"/>
      <c r="J548" s="64" t="str">
        <f t="shared" si="85"/>
        <v/>
      </c>
      <c r="K548" s="64" t="str">
        <f t="shared" si="86"/>
        <v/>
      </c>
    </row>
    <row r="549" spans="1:11" ht="17.25" x14ac:dyDescent="0.2">
      <c r="B549" s="325"/>
      <c r="C549" s="97"/>
      <c r="D549" s="97"/>
      <c r="E549" s="123"/>
      <c r="F549" s="108"/>
      <c r="G549" s="64"/>
      <c r="H549" s="65"/>
      <c r="I549" s="69"/>
      <c r="J549" s="64" t="str">
        <f t="shared" si="85"/>
        <v/>
      </c>
      <c r="K549" s="64" t="str">
        <f t="shared" si="86"/>
        <v/>
      </c>
    </row>
    <row r="550" spans="1:11" ht="17.25" x14ac:dyDescent="0.2">
      <c r="B550" s="325"/>
      <c r="C550" s="97"/>
      <c r="D550" s="97"/>
      <c r="E550" s="123"/>
      <c r="F550" s="108"/>
      <c r="G550" s="64"/>
      <c r="H550" s="65"/>
      <c r="I550" s="69"/>
      <c r="J550" s="64" t="str">
        <f t="shared" si="85"/>
        <v/>
      </c>
      <c r="K550" s="64" t="str">
        <f t="shared" si="86"/>
        <v/>
      </c>
    </row>
    <row r="551" spans="1:11" ht="17.25" x14ac:dyDescent="0.2">
      <c r="B551" s="325"/>
      <c r="C551" s="97"/>
      <c r="D551" s="97"/>
      <c r="E551" s="123"/>
      <c r="F551" s="108"/>
      <c r="G551" s="64"/>
      <c r="H551" s="65"/>
      <c r="I551" s="69"/>
      <c r="J551" s="64" t="str">
        <f t="shared" si="85"/>
        <v/>
      </c>
      <c r="K551" s="64" t="str">
        <f t="shared" si="86"/>
        <v/>
      </c>
    </row>
    <row r="552" spans="1:11" ht="17.25" x14ac:dyDescent="0.2">
      <c r="B552" s="325"/>
      <c r="C552" s="97"/>
      <c r="D552" s="97"/>
      <c r="E552" s="123"/>
      <c r="F552" s="108"/>
      <c r="G552" s="64"/>
      <c r="H552" s="65"/>
      <c r="I552" s="69"/>
      <c r="J552" s="64" t="str">
        <f t="shared" si="85"/>
        <v/>
      </c>
      <c r="K552" s="64" t="str">
        <f t="shared" si="86"/>
        <v/>
      </c>
    </row>
    <row r="553" spans="1:11" ht="18" customHeight="1" x14ac:dyDescent="0.2">
      <c r="B553" s="561" t="s">
        <v>22</v>
      </c>
      <c r="C553" s="561" t="s">
        <v>177</v>
      </c>
      <c r="D553" s="561" t="s">
        <v>243</v>
      </c>
      <c r="E553" s="561" t="s">
        <v>23</v>
      </c>
      <c r="F553" s="562" t="s">
        <v>234</v>
      </c>
      <c r="G553" s="562"/>
      <c r="H553" s="562"/>
      <c r="I553" s="562"/>
      <c r="J553" s="562"/>
      <c r="K553" s="562"/>
    </row>
    <row r="554" spans="1:11" ht="21" x14ac:dyDescent="0.2">
      <c r="A554" s="114" t="s">
        <v>1042</v>
      </c>
      <c r="B554" s="439" t="s">
        <v>2665</v>
      </c>
      <c r="C554" s="115" t="s">
        <v>1133</v>
      </c>
      <c r="D554" s="114" t="s">
        <v>1563</v>
      </c>
      <c r="E554" s="329" t="str">
        <f>IF($O$32="","",$O$32)</f>
        <v>MNR - Área 6.2</v>
      </c>
      <c r="F554" s="563">
        <f>IF(B554="","",VLOOKUP(E554,$O$2:$T$120,6,0))</f>
        <v>83728</v>
      </c>
      <c r="G554" s="564"/>
      <c r="H554" s="564"/>
      <c r="I554" s="564"/>
      <c r="J554" s="564"/>
      <c r="K554" s="565"/>
    </row>
    <row r="555" spans="1:11" ht="43.5" x14ac:dyDescent="0.2">
      <c r="A555" s="166" t="s">
        <v>779</v>
      </c>
      <c r="B555" s="116" t="s">
        <v>0</v>
      </c>
      <c r="C555" s="116" t="s">
        <v>20</v>
      </c>
      <c r="D555" s="116" t="s">
        <v>21</v>
      </c>
      <c r="E555" s="116" t="s">
        <v>1</v>
      </c>
      <c r="F555" s="117" t="s">
        <v>3</v>
      </c>
      <c r="G555" s="116" t="s">
        <v>216</v>
      </c>
      <c r="H555" s="180" t="s">
        <v>242</v>
      </c>
      <c r="I555" s="116" t="s">
        <v>245</v>
      </c>
      <c r="J555" s="116" t="s">
        <v>217</v>
      </c>
      <c r="K555" s="116" t="s">
        <v>218</v>
      </c>
    </row>
    <row r="556" spans="1:11" ht="17.25" x14ac:dyDescent="0.2">
      <c r="B556" s="398">
        <v>6201</v>
      </c>
      <c r="C556" s="99" t="s">
        <v>1226</v>
      </c>
      <c r="D556" s="99" t="s">
        <v>1235</v>
      </c>
      <c r="E556" s="107" t="s">
        <v>265</v>
      </c>
      <c r="F556" s="108">
        <v>12.5</v>
      </c>
      <c r="G556" s="57">
        <v>18</v>
      </c>
      <c r="H556" s="65">
        <v>2</v>
      </c>
      <c r="I556" s="69">
        <f t="shared" ref="I556:I571" si="87">IF(G556="","",SUM(G556:H556))</f>
        <v>20</v>
      </c>
      <c r="J556" s="64">
        <f>IF(G556="","",ROUNDUP(G556*0.65,0))</f>
        <v>12</v>
      </c>
      <c r="K556" s="64">
        <f>IF(G556="","",ROUNDUP(G556*0.55,0))</f>
        <v>10</v>
      </c>
    </row>
    <row r="557" spans="1:11" ht="17.25" x14ac:dyDescent="0.2">
      <c r="B557" s="398">
        <v>6202</v>
      </c>
      <c r="C557" s="99" t="s">
        <v>1226</v>
      </c>
      <c r="D557" s="99" t="s">
        <v>1236</v>
      </c>
      <c r="E557" s="107" t="s">
        <v>265</v>
      </c>
      <c r="F557" s="108">
        <v>12.5</v>
      </c>
      <c r="G557" s="57">
        <v>18</v>
      </c>
      <c r="H557" s="65">
        <v>2</v>
      </c>
      <c r="I557" s="69">
        <f t="shared" si="87"/>
        <v>20</v>
      </c>
      <c r="J557" s="64">
        <f t="shared" ref="J557:J571" si="88">IF(G557="","",ROUNDUP(G557*0.65,0))</f>
        <v>12</v>
      </c>
      <c r="K557" s="64">
        <f t="shared" ref="K557:K571" si="89">IF(G557="","",ROUNDUP(G557*0.55,0))</f>
        <v>10</v>
      </c>
    </row>
    <row r="558" spans="1:11" ht="17.25" x14ac:dyDescent="0.2">
      <c r="B558" s="398">
        <v>6203</v>
      </c>
      <c r="C558" s="99" t="s">
        <v>1211</v>
      </c>
      <c r="D558" s="99" t="s">
        <v>1237</v>
      </c>
      <c r="E558" s="107" t="s">
        <v>265</v>
      </c>
      <c r="F558" s="108">
        <v>12.5</v>
      </c>
      <c r="G558" s="57">
        <v>18</v>
      </c>
      <c r="H558" s="65">
        <v>2</v>
      </c>
      <c r="I558" s="69">
        <f t="shared" si="87"/>
        <v>20</v>
      </c>
      <c r="J558" s="64">
        <f t="shared" si="88"/>
        <v>12</v>
      </c>
      <c r="K558" s="64">
        <f t="shared" si="89"/>
        <v>10</v>
      </c>
    </row>
    <row r="559" spans="1:11" ht="17.25" x14ac:dyDescent="0.2">
      <c r="B559" s="398">
        <v>6204</v>
      </c>
      <c r="C559" s="99" t="s">
        <v>1226</v>
      </c>
      <c r="D559" s="99" t="s">
        <v>1232</v>
      </c>
      <c r="E559" s="107" t="s">
        <v>265</v>
      </c>
      <c r="F559" s="108">
        <v>12.5</v>
      </c>
      <c r="G559" s="57">
        <v>18</v>
      </c>
      <c r="H559" s="65">
        <v>2</v>
      </c>
      <c r="I559" s="69">
        <f t="shared" si="87"/>
        <v>20</v>
      </c>
      <c r="J559" s="64">
        <f t="shared" si="88"/>
        <v>12</v>
      </c>
      <c r="K559" s="64">
        <f t="shared" si="89"/>
        <v>10</v>
      </c>
    </row>
    <row r="560" spans="1:11" ht="17.25" x14ac:dyDescent="0.2">
      <c r="B560" s="398">
        <v>6205</v>
      </c>
      <c r="C560" s="99" t="s">
        <v>1211</v>
      </c>
      <c r="D560" s="99" t="s">
        <v>1235</v>
      </c>
      <c r="E560" s="107" t="s">
        <v>55</v>
      </c>
      <c r="F560" s="333">
        <v>14</v>
      </c>
      <c r="G560" s="57">
        <v>18</v>
      </c>
      <c r="H560" s="65">
        <v>2</v>
      </c>
      <c r="I560" s="69">
        <f t="shared" si="87"/>
        <v>20</v>
      </c>
      <c r="J560" s="64">
        <f t="shared" si="88"/>
        <v>12</v>
      </c>
      <c r="K560" s="64">
        <f t="shared" si="89"/>
        <v>10</v>
      </c>
    </row>
    <row r="561" spans="1:11" ht="17.25" x14ac:dyDescent="0.2">
      <c r="B561" s="398">
        <v>6206</v>
      </c>
      <c r="C561" s="99" t="s">
        <v>1231</v>
      </c>
      <c r="D561" s="99" t="s">
        <v>1236</v>
      </c>
      <c r="E561" s="107" t="s">
        <v>55</v>
      </c>
      <c r="F561" s="333">
        <v>14</v>
      </c>
      <c r="G561" s="57">
        <v>18</v>
      </c>
      <c r="H561" s="65">
        <v>2</v>
      </c>
      <c r="I561" s="69">
        <f t="shared" si="87"/>
        <v>20</v>
      </c>
      <c r="J561" s="64">
        <f t="shared" si="88"/>
        <v>12</v>
      </c>
      <c r="K561" s="64">
        <f t="shared" si="89"/>
        <v>10</v>
      </c>
    </row>
    <row r="562" spans="1:11" ht="17.25" x14ac:dyDescent="0.2">
      <c r="B562" s="325"/>
      <c r="C562" s="99"/>
      <c r="D562" s="99"/>
      <c r="E562" s="107"/>
      <c r="F562" s="108"/>
      <c r="G562" s="57"/>
      <c r="H562" s="65"/>
      <c r="I562" s="69" t="str">
        <f t="shared" si="87"/>
        <v/>
      </c>
      <c r="J562" s="64" t="str">
        <f t="shared" si="88"/>
        <v/>
      </c>
      <c r="K562" s="64" t="str">
        <f t="shared" si="89"/>
        <v/>
      </c>
    </row>
    <row r="563" spans="1:11" ht="17.25" x14ac:dyDescent="0.2">
      <c r="B563" s="325"/>
      <c r="C563" s="112"/>
      <c r="D563" s="113"/>
      <c r="E563" s="107"/>
      <c r="F563" s="108"/>
      <c r="G563" s="57"/>
      <c r="H563" s="65"/>
      <c r="I563" s="69" t="str">
        <f t="shared" si="87"/>
        <v/>
      </c>
      <c r="J563" s="64" t="str">
        <f t="shared" si="88"/>
        <v/>
      </c>
      <c r="K563" s="64" t="str">
        <f t="shared" si="89"/>
        <v/>
      </c>
    </row>
    <row r="564" spans="1:11" ht="17.25" x14ac:dyDescent="0.2">
      <c r="B564" s="325"/>
      <c r="C564" s="112"/>
      <c r="D564" s="113"/>
      <c r="E564" s="107"/>
      <c r="F564" s="108"/>
      <c r="G564" s="57"/>
      <c r="H564" s="65"/>
      <c r="I564" s="69" t="str">
        <f t="shared" si="87"/>
        <v/>
      </c>
      <c r="J564" s="64" t="str">
        <f t="shared" si="88"/>
        <v/>
      </c>
      <c r="K564" s="64" t="str">
        <f t="shared" si="89"/>
        <v/>
      </c>
    </row>
    <row r="565" spans="1:11" ht="17.25" x14ac:dyDescent="0.2">
      <c r="B565" s="325"/>
      <c r="C565" s="112"/>
      <c r="D565" s="112"/>
      <c r="E565" s="107"/>
      <c r="F565" s="108"/>
      <c r="G565" s="57"/>
      <c r="H565" s="65"/>
      <c r="I565" s="69" t="str">
        <f t="shared" si="87"/>
        <v/>
      </c>
      <c r="J565" s="64" t="str">
        <f t="shared" si="88"/>
        <v/>
      </c>
      <c r="K565" s="64" t="str">
        <f t="shared" si="89"/>
        <v/>
      </c>
    </row>
    <row r="566" spans="1:11" ht="17.25" x14ac:dyDescent="0.2">
      <c r="B566" s="325"/>
      <c r="C566" s="112"/>
      <c r="D566" s="112"/>
      <c r="E566" s="107"/>
      <c r="F566" s="108"/>
      <c r="G566" s="57"/>
      <c r="H566" s="65"/>
      <c r="I566" s="69" t="str">
        <f t="shared" si="87"/>
        <v/>
      </c>
      <c r="J566" s="64" t="str">
        <f t="shared" si="88"/>
        <v/>
      </c>
      <c r="K566" s="64" t="str">
        <f t="shared" si="89"/>
        <v/>
      </c>
    </row>
    <row r="567" spans="1:11" ht="17.25" x14ac:dyDescent="0.2">
      <c r="B567" s="325"/>
      <c r="C567" s="112"/>
      <c r="D567" s="112"/>
      <c r="E567" s="107"/>
      <c r="F567" s="108"/>
      <c r="G567" s="57"/>
      <c r="H567" s="65"/>
      <c r="I567" s="69" t="str">
        <f t="shared" si="87"/>
        <v/>
      </c>
      <c r="J567" s="64" t="str">
        <f t="shared" si="88"/>
        <v/>
      </c>
      <c r="K567" s="64" t="str">
        <f t="shared" si="89"/>
        <v/>
      </c>
    </row>
    <row r="568" spans="1:11" ht="17.25" x14ac:dyDescent="0.2">
      <c r="B568" s="325"/>
      <c r="C568" s="112"/>
      <c r="D568" s="112"/>
      <c r="E568" s="107"/>
      <c r="F568" s="108"/>
      <c r="G568" s="57"/>
      <c r="H568" s="65"/>
      <c r="I568" s="69" t="str">
        <f t="shared" si="87"/>
        <v/>
      </c>
      <c r="J568" s="64" t="str">
        <f t="shared" si="88"/>
        <v/>
      </c>
      <c r="K568" s="64" t="str">
        <f t="shared" si="89"/>
        <v/>
      </c>
    </row>
    <row r="569" spans="1:11" ht="17.25" x14ac:dyDescent="0.2">
      <c r="B569" s="325"/>
      <c r="C569" s="112"/>
      <c r="D569" s="112"/>
      <c r="E569" s="107"/>
      <c r="F569" s="108"/>
      <c r="G569" s="57"/>
      <c r="H569" s="65"/>
      <c r="I569" s="69" t="str">
        <f t="shared" si="87"/>
        <v/>
      </c>
      <c r="J569" s="64" t="str">
        <f t="shared" si="88"/>
        <v/>
      </c>
      <c r="K569" s="64" t="str">
        <f t="shared" si="89"/>
        <v/>
      </c>
    </row>
    <row r="570" spans="1:11" ht="17.25" x14ac:dyDescent="0.2">
      <c r="B570" s="325"/>
      <c r="C570" s="112"/>
      <c r="D570" s="112"/>
      <c r="E570" s="107"/>
      <c r="F570" s="108"/>
      <c r="G570" s="57"/>
      <c r="H570" s="65"/>
      <c r="I570" s="69" t="str">
        <f t="shared" si="87"/>
        <v/>
      </c>
      <c r="J570" s="64" t="str">
        <f t="shared" si="88"/>
        <v/>
      </c>
      <c r="K570" s="64" t="str">
        <f t="shared" si="89"/>
        <v/>
      </c>
    </row>
    <row r="571" spans="1:11" ht="17.25" x14ac:dyDescent="0.2">
      <c r="B571" s="325"/>
      <c r="C571" s="112"/>
      <c r="D571" s="112"/>
      <c r="E571" s="107"/>
      <c r="F571" s="108"/>
      <c r="G571" s="57"/>
      <c r="H571" s="65"/>
      <c r="I571" s="69" t="str">
        <f t="shared" si="87"/>
        <v/>
      </c>
      <c r="J571" s="64" t="str">
        <f t="shared" si="88"/>
        <v/>
      </c>
      <c r="K571" s="64" t="str">
        <f t="shared" si="89"/>
        <v/>
      </c>
    </row>
    <row r="572" spans="1:11" ht="18" customHeight="1" x14ac:dyDescent="0.2">
      <c r="B572" s="561" t="s">
        <v>22</v>
      </c>
      <c r="C572" s="561" t="s">
        <v>177</v>
      </c>
      <c r="D572" s="561" t="s">
        <v>243</v>
      </c>
      <c r="E572" s="561" t="s">
        <v>23</v>
      </c>
      <c r="F572" s="562" t="s">
        <v>234</v>
      </c>
      <c r="G572" s="562"/>
      <c r="H572" s="562"/>
      <c r="I572" s="562"/>
      <c r="J572" s="562"/>
      <c r="K572" s="562"/>
    </row>
    <row r="573" spans="1:11" ht="21" x14ac:dyDescent="0.2">
      <c r="A573" s="114" t="s">
        <v>1043</v>
      </c>
      <c r="B573" s="439" t="s">
        <v>2666</v>
      </c>
      <c r="C573" s="115" t="s">
        <v>1133</v>
      </c>
      <c r="D573" s="114" t="s">
        <v>1563</v>
      </c>
      <c r="E573" s="329" t="str">
        <f>IF($O$33="","",$O$33)</f>
        <v>MNR - Área 7.1</v>
      </c>
      <c r="F573" s="563">
        <f>IF(B573="","",VLOOKUP(E573,$O$2:$T$120,6,0))</f>
        <v>72874</v>
      </c>
      <c r="G573" s="564"/>
      <c r="H573" s="564"/>
      <c r="I573" s="564"/>
      <c r="J573" s="564"/>
      <c r="K573" s="565"/>
    </row>
    <row r="574" spans="1:11" ht="43.5" x14ac:dyDescent="0.2">
      <c r="A574" s="166" t="s">
        <v>779</v>
      </c>
      <c r="B574" s="116" t="s">
        <v>0</v>
      </c>
      <c r="C574" s="116" t="s">
        <v>20</v>
      </c>
      <c r="D574" s="116" t="s">
        <v>21</v>
      </c>
      <c r="E574" s="116" t="s">
        <v>1</v>
      </c>
      <c r="F574" s="117" t="s">
        <v>3</v>
      </c>
      <c r="G574" s="116" t="s">
        <v>216</v>
      </c>
      <c r="H574" s="180" t="s">
        <v>242</v>
      </c>
      <c r="I574" s="116" t="s">
        <v>245</v>
      </c>
      <c r="J574" s="116" t="s">
        <v>217</v>
      </c>
      <c r="K574" s="116" t="s">
        <v>218</v>
      </c>
    </row>
    <row r="575" spans="1:11" ht="17.25" x14ac:dyDescent="0.2">
      <c r="B575" s="364">
        <v>7101</v>
      </c>
      <c r="C575" s="99" t="s">
        <v>1238</v>
      </c>
      <c r="D575" s="99" t="s">
        <v>1239</v>
      </c>
      <c r="E575" s="107" t="s">
        <v>265</v>
      </c>
      <c r="F575" s="108">
        <v>12.5</v>
      </c>
      <c r="G575" s="57">
        <v>16</v>
      </c>
      <c r="H575" s="65">
        <v>3</v>
      </c>
      <c r="I575" s="69">
        <f t="shared" ref="I575:I590" si="90">IF(G575="","",SUM(G575:H575))</f>
        <v>19</v>
      </c>
      <c r="J575" s="64">
        <f>IF(G575="","",ROUNDUP(G575*0.65,0))</f>
        <v>11</v>
      </c>
      <c r="K575" s="64">
        <f>IF(G575="","",ROUNDUP(G575*0.55,0))</f>
        <v>9</v>
      </c>
    </row>
    <row r="576" spans="1:11" ht="17.25" x14ac:dyDescent="0.2">
      <c r="B576" s="364">
        <v>7102</v>
      </c>
      <c r="C576" s="99" t="s">
        <v>1238</v>
      </c>
      <c r="D576" s="99" t="s">
        <v>1201</v>
      </c>
      <c r="E576" s="107" t="s">
        <v>265</v>
      </c>
      <c r="F576" s="108">
        <v>12.5</v>
      </c>
      <c r="G576" s="57">
        <v>16</v>
      </c>
      <c r="H576" s="65">
        <v>3</v>
      </c>
      <c r="I576" s="69">
        <f t="shared" si="90"/>
        <v>19</v>
      </c>
      <c r="J576" s="64">
        <f t="shared" ref="J576:J590" si="91">IF(G576="","",ROUNDUP(G576*0.65,0))</f>
        <v>11</v>
      </c>
      <c r="K576" s="64">
        <f t="shared" ref="K576:K590" si="92">IF(G576="","",ROUNDUP(G576*0.55,0))</f>
        <v>9</v>
      </c>
    </row>
    <row r="577" spans="1:11" ht="17.25" x14ac:dyDescent="0.2">
      <c r="B577" s="364">
        <v>7103</v>
      </c>
      <c r="C577" s="99" t="s">
        <v>1231</v>
      </c>
      <c r="D577" s="99" t="s">
        <v>1219</v>
      </c>
      <c r="E577" s="107" t="s">
        <v>265</v>
      </c>
      <c r="F577" s="108">
        <v>12.5</v>
      </c>
      <c r="G577" s="57">
        <v>16</v>
      </c>
      <c r="H577" s="65">
        <v>3</v>
      </c>
      <c r="I577" s="69">
        <f t="shared" si="90"/>
        <v>19</v>
      </c>
      <c r="J577" s="64">
        <f t="shared" si="91"/>
        <v>11</v>
      </c>
      <c r="K577" s="64">
        <f t="shared" si="92"/>
        <v>9</v>
      </c>
    </row>
    <row r="578" spans="1:11" ht="17.25" x14ac:dyDescent="0.2">
      <c r="B578" s="364">
        <v>7104</v>
      </c>
      <c r="C578" s="99" t="s">
        <v>1238</v>
      </c>
      <c r="D578" s="99" t="s">
        <v>1203</v>
      </c>
      <c r="E578" s="107" t="s">
        <v>265</v>
      </c>
      <c r="F578" s="108">
        <v>12.5</v>
      </c>
      <c r="G578" s="57">
        <v>16</v>
      </c>
      <c r="H578" s="65">
        <v>2</v>
      </c>
      <c r="I578" s="69">
        <f t="shared" si="90"/>
        <v>18</v>
      </c>
      <c r="J578" s="64">
        <f t="shared" si="91"/>
        <v>11</v>
      </c>
      <c r="K578" s="64">
        <f t="shared" si="92"/>
        <v>9</v>
      </c>
    </row>
    <row r="579" spans="1:11" ht="17.25" x14ac:dyDescent="0.2">
      <c r="B579" s="364">
        <v>7105</v>
      </c>
      <c r="C579" s="99" t="s">
        <v>1219</v>
      </c>
      <c r="D579" s="99" t="s">
        <v>1172</v>
      </c>
      <c r="E579" s="107" t="s">
        <v>55</v>
      </c>
      <c r="F579" s="333">
        <v>14</v>
      </c>
      <c r="G579" s="57">
        <v>14</v>
      </c>
      <c r="H579" s="65">
        <v>2</v>
      </c>
      <c r="I579" s="69">
        <f t="shared" si="90"/>
        <v>16</v>
      </c>
      <c r="J579" s="64">
        <f t="shared" si="91"/>
        <v>10</v>
      </c>
      <c r="K579" s="64">
        <f t="shared" si="92"/>
        <v>8</v>
      </c>
    </row>
    <row r="580" spans="1:11" ht="17.25" x14ac:dyDescent="0.2">
      <c r="B580" s="364">
        <v>7106</v>
      </c>
      <c r="C580" s="99" t="s">
        <v>1212</v>
      </c>
      <c r="D580" s="99" t="s">
        <v>1162</v>
      </c>
      <c r="E580" s="107" t="s">
        <v>55</v>
      </c>
      <c r="F580" s="333">
        <v>14</v>
      </c>
      <c r="G580" s="57">
        <v>16</v>
      </c>
      <c r="H580" s="65">
        <v>3</v>
      </c>
      <c r="I580" s="69">
        <f t="shared" si="90"/>
        <v>19</v>
      </c>
      <c r="J580" s="64">
        <f t="shared" si="91"/>
        <v>11</v>
      </c>
      <c r="K580" s="64">
        <f t="shared" si="92"/>
        <v>9</v>
      </c>
    </row>
    <row r="581" spans="1:11" ht="17.25" x14ac:dyDescent="0.2">
      <c r="B581" s="325"/>
      <c r="C581" s="99"/>
      <c r="D581" s="99"/>
      <c r="E581" s="107"/>
      <c r="F581" s="108"/>
      <c r="G581" s="57"/>
      <c r="H581" s="65"/>
      <c r="I581" s="69" t="str">
        <f t="shared" si="90"/>
        <v/>
      </c>
      <c r="J581" s="64" t="str">
        <f t="shared" si="91"/>
        <v/>
      </c>
      <c r="K581" s="64" t="str">
        <f t="shared" si="92"/>
        <v/>
      </c>
    </row>
    <row r="582" spans="1:11" ht="17.25" x14ac:dyDescent="0.2">
      <c r="B582" s="325"/>
      <c r="C582" s="99"/>
      <c r="D582" s="99"/>
      <c r="E582" s="107"/>
      <c r="F582" s="108"/>
      <c r="G582" s="57"/>
      <c r="H582" s="65"/>
      <c r="I582" s="69" t="str">
        <f t="shared" si="90"/>
        <v/>
      </c>
      <c r="J582" s="64" t="str">
        <f t="shared" si="91"/>
        <v/>
      </c>
      <c r="K582" s="64" t="str">
        <f t="shared" si="92"/>
        <v/>
      </c>
    </row>
    <row r="583" spans="1:11" ht="17.25" x14ac:dyDescent="0.2">
      <c r="B583" s="325"/>
      <c r="C583" s="112"/>
      <c r="D583" s="113"/>
      <c r="E583" s="107"/>
      <c r="F583" s="108"/>
      <c r="G583" s="57"/>
      <c r="H583" s="65"/>
      <c r="I583" s="69" t="str">
        <f t="shared" si="90"/>
        <v/>
      </c>
      <c r="J583" s="64" t="str">
        <f t="shared" si="91"/>
        <v/>
      </c>
      <c r="K583" s="64" t="str">
        <f t="shared" si="92"/>
        <v/>
      </c>
    </row>
    <row r="584" spans="1:11" ht="17.25" x14ac:dyDescent="0.2">
      <c r="B584" s="325"/>
      <c r="C584" s="112"/>
      <c r="D584" s="112"/>
      <c r="E584" s="107"/>
      <c r="F584" s="108"/>
      <c r="G584" s="57"/>
      <c r="H584" s="65"/>
      <c r="I584" s="69" t="str">
        <f t="shared" si="90"/>
        <v/>
      </c>
      <c r="J584" s="64" t="str">
        <f t="shared" si="91"/>
        <v/>
      </c>
      <c r="K584" s="64" t="str">
        <f t="shared" si="92"/>
        <v/>
      </c>
    </row>
    <row r="585" spans="1:11" ht="17.25" x14ac:dyDescent="0.2">
      <c r="B585" s="325"/>
      <c r="C585" s="112"/>
      <c r="D585" s="112"/>
      <c r="E585" s="107"/>
      <c r="F585" s="108"/>
      <c r="G585" s="57"/>
      <c r="H585" s="65"/>
      <c r="I585" s="69" t="str">
        <f t="shared" si="90"/>
        <v/>
      </c>
      <c r="J585" s="64" t="str">
        <f t="shared" si="91"/>
        <v/>
      </c>
      <c r="K585" s="64" t="str">
        <f t="shared" si="92"/>
        <v/>
      </c>
    </row>
    <row r="586" spans="1:11" ht="17.25" x14ac:dyDescent="0.2">
      <c r="B586" s="325"/>
      <c r="C586" s="112"/>
      <c r="D586" s="112"/>
      <c r="E586" s="107"/>
      <c r="F586" s="108"/>
      <c r="G586" s="57"/>
      <c r="H586" s="65"/>
      <c r="I586" s="69" t="str">
        <f t="shared" si="90"/>
        <v/>
      </c>
      <c r="J586" s="64" t="str">
        <f t="shared" si="91"/>
        <v/>
      </c>
      <c r="K586" s="64" t="str">
        <f t="shared" si="92"/>
        <v/>
      </c>
    </row>
    <row r="587" spans="1:11" ht="17.25" x14ac:dyDescent="0.2">
      <c r="B587" s="325"/>
      <c r="C587" s="112"/>
      <c r="D587" s="112"/>
      <c r="E587" s="107"/>
      <c r="F587" s="108"/>
      <c r="G587" s="57"/>
      <c r="H587" s="65"/>
      <c r="I587" s="69" t="str">
        <f t="shared" si="90"/>
        <v/>
      </c>
      <c r="J587" s="64" t="str">
        <f t="shared" si="91"/>
        <v/>
      </c>
      <c r="K587" s="64" t="str">
        <f t="shared" si="92"/>
        <v/>
      </c>
    </row>
    <row r="588" spans="1:11" ht="17.25" x14ac:dyDescent="0.2">
      <c r="B588" s="325"/>
      <c r="C588" s="112"/>
      <c r="D588" s="112"/>
      <c r="E588" s="107"/>
      <c r="F588" s="108"/>
      <c r="G588" s="57"/>
      <c r="H588" s="65"/>
      <c r="I588" s="69" t="str">
        <f t="shared" si="90"/>
        <v/>
      </c>
      <c r="J588" s="64" t="str">
        <f t="shared" si="91"/>
        <v/>
      </c>
      <c r="K588" s="64" t="str">
        <f t="shared" si="92"/>
        <v/>
      </c>
    </row>
    <row r="589" spans="1:11" ht="17.25" x14ac:dyDescent="0.2">
      <c r="B589" s="325"/>
      <c r="C589" s="112"/>
      <c r="D589" s="112"/>
      <c r="E589" s="107"/>
      <c r="F589" s="108"/>
      <c r="G589" s="57"/>
      <c r="H589" s="65"/>
      <c r="I589" s="69" t="str">
        <f t="shared" si="90"/>
        <v/>
      </c>
      <c r="J589" s="64" t="str">
        <f t="shared" si="91"/>
        <v/>
      </c>
      <c r="K589" s="64" t="str">
        <f t="shared" si="92"/>
        <v/>
      </c>
    </row>
    <row r="590" spans="1:11" ht="17.25" x14ac:dyDescent="0.2">
      <c r="B590" s="325"/>
      <c r="C590" s="112"/>
      <c r="D590" s="112"/>
      <c r="E590" s="107"/>
      <c r="F590" s="108"/>
      <c r="G590" s="57"/>
      <c r="H590" s="65"/>
      <c r="I590" s="69" t="str">
        <f t="shared" si="90"/>
        <v/>
      </c>
      <c r="J590" s="64" t="str">
        <f t="shared" si="91"/>
        <v/>
      </c>
      <c r="K590" s="64" t="str">
        <f t="shared" si="92"/>
        <v/>
      </c>
    </row>
    <row r="591" spans="1:11" ht="18" customHeight="1" x14ac:dyDescent="0.2">
      <c r="B591" s="561" t="s">
        <v>22</v>
      </c>
      <c r="C591" s="561" t="s">
        <v>177</v>
      </c>
      <c r="D591" s="561" t="s">
        <v>243</v>
      </c>
      <c r="E591" s="561" t="s">
        <v>23</v>
      </c>
      <c r="F591" s="562" t="s">
        <v>234</v>
      </c>
      <c r="G591" s="562"/>
      <c r="H591" s="562"/>
      <c r="I591" s="562"/>
      <c r="J591" s="562"/>
      <c r="K591" s="562"/>
    </row>
    <row r="592" spans="1:11" ht="21" x14ac:dyDescent="0.2">
      <c r="A592" s="114" t="s">
        <v>1044</v>
      </c>
      <c r="B592" s="439" t="s">
        <v>2667</v>
      </c>
      <c r="C592" s="115" t="s">
        <v>1133</v>
      </c>
      <c r="D592" s="114" t="s">
        <v>1563</v>
      </c>
      <c r="E592" s="329" t="str">
        <f>IF($O$34="","",$O$34)</f>
        <v>MNR - Área 7.2</v>
      </c>
      <c r="F592" s="563">
        <f>IF(B592="","",VLOOKUP(E592,$O$2:$T$120,6,0))</f>
        <v>63571</v>
      </c>
      <c r="G592" s="564"/>
      <c r="H592" s="564"/>
      <c r="I592" s="564"/>
      <c r="J592" s="564"/>
      <c r="K592" s="565"/>
    </row>
    <row r="593" spans="1:11" ht="43.5" x14ac:dyDescent="0.2">
      <c r="A593" s="166" t="s">
        <v>779</v>
      </c>
      <c r="B593" s="116" t="s">
        <v>0</v>
      </c>
      <c r="C593" s="116" t="s">
        <v>20</v>
      </c>
      <c r="D593" s="116" t="s">
        <v>21</v>
      </c>
      <c r="E593" s="116" t="s">
        <v>1</v>
      </c>
      <c r="F593" s="117" t="s">
        <v>3</v>
      </c>
      <c r="G593" s="116" t="s">
        <v>216</v>
      </c>
      <c r="H593" s="180" t="s">
        <v>242</v>
      </c>
      <c r="I593" s="116" t="s">
        <v>245</v>
      </c>
      <c r="J593" s="116" t="s">
        <v>217</v>
      </c>
      <c r="K593" s="116" t="s">
        <v>218</v>
      </c>
    </row>
    <row r="594" spans="1:11" ht="17.25" x14ac:dyDescent="0.2">
      <c r="B594" s="364">
        <v>7201</v>
      </c>
      <c r="C594" s="99" t="s">
        <v>1175</v>
      </c>
      <c r="D594" s="99" t="s">
        <v>1232</v>
      </c>
      <c r="E594" s="107" t="s">
        <v>265</v>
      </c>
      <c r="F594" s="108">
        <v>12.5</v>
      </c>
      <c r="G594" s="57">
        <v>22</v>
      </c>
      <c r="H594" s="65">
        <v>3</v>
      </c>
      <c r="I594" s="69">
        <f t="shared" ref="I594:I609" si="93">IF(G594="","",SUM(G594:H594))</f>
        <v>25</v>
      </c>
      <c r="J594" s="64">
        <f>IF(G594="","",ROUNDUP(G594*0.65,0))</f>
        <v>15</v>
      </c>
      <c r="K594" s="64">
        <f>IF(G594="","",ROUNDUP(G594*0.55,0))</f>
        <v>13</v>
      </c>
    </row>
    <row r="595" spans="1:11" ht="17.25" x14ac:dyDescent="0.2">
      <c r="B595" s="364">
        <v>7202</v>
      </c>
      <c r="C595" s="99" t="s">
        <v>1236</v>
      </c>
      <c r="D595" s="99" t="s">
        <v>1240</v>
      </c>
      <c r="E595" s="107" t="s">
        <v>265</v>
      </c>
      <c r="F595" s="108">
        <v>12.5</v>
      </c>
      <c r="G595" s="57">
        <v>20</v>
      </c>
      <c r="H595" s="65">
        <v>3</v>
      </c>
      <c r="I595" s="69">
        <f t="shared" si="93"/>
        <v>23</v>
      </c>
      <c r="J595" s="64">
        <f t="shared" ref="J595:J609" si="94">IF(G595="","",ROUNDUP(G595*0.65,0))</f>
        <v>13</v>
      </c>
      <c r="K595" s="64">
        <f t="shared" ref="K595:K609" si="95">IF(G595="","",ROUNDUP(G595*0.55,0))</f>
        <v>11</v>
      </c>
    </row>
    <row r="596" spans="1:11" ht="17.25" x14ac:dyDescent="0.2">
      <c r="B596" s="364">
        <v>7203</v>
      </c>
      <c r="C596" s="99" t="s">
        <v>1232</v>
      </c>
      <c r="D596" s="99" t="s">
        <v>1241</v>
      </c>
      <c r="E596" s="107" t="s">
        <v>265</v>
      </c>
      <c r="F596" s="108">
        <v>12.5</v>
      </c>
      <c r="G596" s="57">
        <v>20</v>
      </c>
      <c r="H596" s="65">
        <v>2</v>
      </c>
      <c r="I596" s="69">
        <f t="shared" si="93"/>
        <v>22</v>
      </c>
      <c r="J596" s="64">
        <f t="shared" si="94"/>
        <v>13</v>
      </c>
      <c r="K596" s="64">
        <f t="shared" si="95"/>
        <v>11</v>
      </c>
    </row>
    <row r="597" spans="1:11" ht="17.25" x14ac:dyDescent="0.2">
      <c r="B597" s="364">
        <v>7204</v>
      </c>
      <c r="C597" s="99" t="s">
        <v>1236</v>
      </c>
      <c r="D597" s="99" t="s">
        <v>1242</v>
      </c>
      <c r="E597" s="107" t="s">
        <v>179</v>
      </c>
      <c r="F597" s="108">
        <v>9.5</v>
      </c>
      <c r="G597" s="57">
        <v>10</v>
      </c>
      <c r="H597" s="65">
        <v>3</v>
      </c>
      <c r="I597" s="69">
        <f t="shared" si="93"/>
        <v>13</v>
      </c>
      <c r="J597" s="64">
        <f t="shared" si="94"/>
        <v>7</v>
      </c>
      <c r="K597" s="64">
        <f t="shared" si="95"/>
        <v>6</v>
      </c>
    </row>
    <row r="598" spans="1:11" ht="17.25" x14ac:dyDescent="0.2">
      <c r="B598" s="364">
        <v>7205</v>
      </c>
      <c r="C598" s="99" t="s">
        <v>1236</v>
      </c>
      <c r="D598" s="99" t="s">
        <v>1243</v>
      </c>
      <c r="E598" s="107" t="s">
        <v>179</v>
      </c>
      <c r="F598" s="108">
        <v>9.5</v>
      </c>
      <c r="G598" s="57">
        <v>10</v>
      </c>
      <c r="H598" s="65">
        <v>2</v>
      </c>
      <c r="I598" s="69">
        <f t="shared" si="93"/>
        <v>12</v>
      </c>
      <c r="J598" s="64">
        <f t="shared" si="94"/>
        <v>7</v>
      </c>
      <c r="K598" s="64">
        <f t="shared" si="95"/>
        <v>6</v>
      </c>
    </row>
    <row r="599" spans="1:11" ht="17.25" x14ac:dyDescent="0.35">
      <c r="B599" s="328"/>
      <c r="C599" s="99"/>
      <c r="D599" s="99"/>
      <c r="E599" s="107"/>
      <c r="F599" s="108"/>
      <c r="G599" s="57"/>
      <c r="H599" s="65"/>
      <c r="I599" s="69" t="str">
        <f t="shared" si="93"/>
        <v/>
      </c>
      <c r="J599" s="64" t="str">
        <f t="shared" si="94"/>
        <v/>
      </c>
      <c r="K599" s="64" t="str">
        <f t="shared" si="95"/>
        <v/>
      </c>
    </row>
    <row r="600" spans="1:11" ht="17.25" x14ac:dyDescent="0.35">
      <c r="B600" s="328"/>
      <c r="C600" s="99"/>
      <c r="D600" s="99"/>
      <c r="E600" s="107"/>
      <c r="F600" s="108"/>
      <c r="G600" s="57"/>
      <c r="H600" s="65"/>
      <c r="I600" s="69" t="str">
        <f t="shared" si="93"/>
        <v/>
      </c>
      <c r="J600" s="64" t="str">
        <f t="shared" si="94"/>
        <v/>
      </c>
      <c r="K600" s="64" t="str">
        <f t="shared" si="95"/>
        <v/>
      </c>
    </row>
    <row r="601" spans="1:11" ht="17.25" x14ac:dyDescent="0.35">
      <c r="B601" s="328"/>
      <c r="C601" s="152"/>
      <c r="D601" s="152"/>
      <c r="E601" s="107"/>
      <c r="F601" s="108"/>
      <c r="G601" s="57"/>
      <c r="H601" s="65"/>
      <c r="I601" s="69" t="str">
        <f t="shared" si="93"/>
        <v/>
      </c>
      <c r="J601" s="64" t="str">
        <f t="shared" si="94"/>
        <v/>
      </c>
      <c r="K601" s="64" t="str">
        <f t="shared" si="95"/>
        <v/>
      </c>
    </row>
    <row r="602" spans="1:11" ht="17.25" x14ac:dyDescent="0.35">
      <c r="B602" s="328"/>
      <c r="C602" s="112"/>
      <c r="D602" s="113"/>
      <c r="E602" s="107"/>
      <c r="F602" s="108"/>
      <c r="G602" s="57"/>
      <c r="H602" s="65"/>
      <c r="I602" s="69" t="str">
        <f t="shared" si="93"/>
        <v/>
      </c>
      <c r="J602" s="64" t="str">
        <f t="shared" si="94"/>
        <v/>
      </c>
      <c r="K602" s="64" t="str">
        <f t="shared" si="95"/>
        <v/>
      </c>
    </row>
    <row r="603" spans="1:11" ht="17.25" x14ac:dyDescent="0.35">
      <c r="B603" s="328"/>
      <c r="C603" s="112"/>
      <c r="D603" s="112"/>
      <c r="E603" s="107"/>
      <c r="F603" s="108"/>
      <c r="G603" s="57"/>
      <c r="H603" s="65"/>
      <c r="I603" s="69" t="str">
        <f t="shared" si="93"/>
        <v/>
      </c>
      <c r="J603" s="64" t="str">
        <f t="shared" si="94"/>
        <v/>
      </c>
      <c r="K603" s="64" t="str">
        <f t="shared" si="95"/>
        <v/>
      </c>
    </row>
    <row r="604" spans="1:11" ht="17.25" x14ac:dyDescent="0.35">
      <c r="B604" s="328"/>
      <c r="C604" s="112"/>
      <c r="D604" s="112"/>
      <c r="E604" s="107"/>
      <c r="F604" s="108"/>
      <c r="G604" s="57"/>
      <c r="H604" s="65"/>
      <c r="I604" s="69" t="str">
        <f t="shared" si="93"/>
        <v/>
      </c>
      <c r="J604" s="64" t="str">
        <f t="shared" si="94"/>
        <v/>
      </c>
      <c r="K604" s="64" t="str">
        <f t="shared" si="95"/>
        <v/>
      </c>
    </row>
    <row r="605" spans="1:11" ht="17.25" x14ac:dyDescent="0.35">
      <c r="B605" s="328"/>
      <c r="C605" s="112"/>
      <c r="D605" s="112"/>
      <c r="E605" s="107"/>
      <c r="F605" s="108"/>
      <c r="G605" s="57"/>
      <c r="H605" s="65"/>
      <c r="I605" s="69" t="str">
        <f t="shared" si="93"/>
        <v/>
      </c>
      <c r="J605" s="64" t="str">
        <f t="shared" si="94"/>
        <v/>
      </c>
      <c r="K605" s="64" t="str">
        <f t="shared" si="95"/>
        <v/>
      </c>
    </row>
    <row r="606" spans="1:11" ht="17.25" x14ac:dyDescent="0.35">
      <c r="B606" s="328"/>
      <c r="C606" s="112"/>
      <c r="D606" s="112"/>
      <c r="E606" s="107"/>
      <c r="F606" s="108"/>
      <c r="G606" s="57"/>
      <c r="H606" s="65"/>
      <c r="I606" s="69" t="str">
        <f t="shared" si="93"/>
        <v/>
      </c>
      <c r="J606" s="64" t="str">
        <f t="shared" si="94"/>
        <v/>
      </c>
      <c r="K606" s="64" t="str">
        <f t="shared" si="95"/>
        <v/>
      </c>
    </row>
    <row r="607" spans="1:11" ht="17.25" x14ac:dyDescent="0.35">
      <c r="B607" s="328"/>
      <c r="C607" s="112"/>
      <c r="D607" s="112"/>
      <c r="E607" s="107"/>
      <c r="F607" s="108"/>
      <c r="G607" s="57"/>
      <c r="H607" s="65"/>
      <c r="I607" s="69" t="str">
        <f t="shared" si="93"/>
        <v/>
      </c>
      <c r="J607" s="64" t="str">
        <f t="shared" si="94"/>
        <v/>
      </c>
      <c r="K607" s="64" t="str">
        <f t="shared" si="95"/>
        <v/>
      </c>
    </row>
    <row r="608" spans="1:11" ht="17.25" x14ac:dyDescent="0.35">
      <c r="B608" s="328"/>
      <c r="C608" s="112"/>
      <c r="D608" s="112"/>
      <c r="E608" s="107"/>
      <c r="F608" s="108"/>
      <c r="G608" s="57"/>
      <c r="H608" s="65"/>
      <c r="I608" s="69" t="str">
        <f t="shared" si="93"/>
        <v/>
      </c>
      <c r="J608" s="64" t="str">
        <f t="shared" si="94"/>
        <v/>
      </c>
      <c r="K608" s="64" t="str">
        <f t="shared" si="95"/>
        <v/>
      </c>
    </row>
    <row r="609" spans="1:11" ht="17.25" x14ac:dyDescent="0.35">
      <c r="B609" s="328"/>
      <c r="C609" s="112"/>
      <c r="D609" s="112"/>
      <c r="E609" s="107"/>
      <c r="F609" s="108"/>
      <c r="G609" s="57"/>
      <c r="H609" s="65"/>
      <c r="I609" s="69" t="str">
        <f t="shared" si="93"/>
        <v/>
      </c>
      <c r="J609" s="64" t="str">
        <f t="shared" si="94"/>
        <v/>
      </c>
      <c r="K609" s="64" t="str">
        <f t="shared" si="95"/>
        <v/>
      </c>
    </row>
    <row r="610" spans="1:11" ht="18" customHeight="1" x14ac:dyDescent="0.2">
      <c r="B610" s="561" t="s">
        <v>22</v>
      </c>
      <c r="C610" s="561" t="s">
        <v>177</v>
      </c>
      <c r="D610" s="561" t="s">
        <v>243</v>
      </c>
      <c r="E610" s="561" t="s">
        <v>23</v>
      </c>
      <c r="F610" s="562" t="s">
        <v>234</v>
      </c>
      <c r="G610" s="562"/>
      <c r="H610" s="562"/>
      <c r="I610" s="562"/>
      <c r="J610" s="562"/>
      <c r="K610" s="562"/>
    </row>
    <row r="611" spans="1:11" ht="21" x14ac:dyDescent="0.2">
      <c r="A611" s="114" t="s">
        <v>1045</v>
      </c>
      <c r="B611" s="434" t="s">
        <v>2656</v>
      </c>
      <c r="C611" s="115" t="s">
        <v>498</v>
      </c>
      <c r="D611" s="114" t="s">
        <v>639</v>
      </c>
      <c r="E611" s="329" t="str">
        <f>IF($O$35="","",$O$35)</f>
        <v>MNR - Área 8.1</v>
      </c>
      <c r="F611" s="563">
        <f>IF(B611="","",VLOOKUP(E611,$O$2:$T$120,6,0))</f>
        <v>117064</v>
      </c>
      <c r="G611" s="564"/>
      <c r="H611" s="564"/>
      <c r="I611" s="564"/>
      <c r="J611" s="564"/>
      <c r="K611" s="565"/>
    </row>
    <row r="612" spans="1:11" ht="43.5" x14ac:dyDescent="0.2">
      <c r="A612" s="166" t="s">
        <v>779</v>
      </c>
      <c r="B612" s="116" t="s">
        <v>0</v>
      </c>
      <c r="C612" s="116" t="s">
        <v>20</v>
      </c>
      <c r="D612" s="116" t="s">
        <v>21</v>
      </c>
      <c r="E612" s="116" t="s">
        <v>1</v>
      </c>
      <c r="F612" s="117" t="s">
        <v>3</v>
      </c>
      <c r="G612" s="116" t="s">
        <v>216</v>
      </c>
      <c r="H612" s="180" t="s">
        <v>242</v>
      </c>
      <c r="I612" s="116" t="s">
        <v>245</v>
      </c>
      <c r="J612" s="116" t="s">
        <v>217</v>
      </c>
      <c r="K612" s="116" t="s">
        <v>218</v>
      </c>
    </row>
    <row r="613" spans="1:11" ht="17.25" x14ac:dyDescent="0.2">
      <c r="B613" s="399">
        <v>8101</v>
      </c>
      <c r="C613" s="99" t="s">
        <v>1238</v>
      </c>
      <c r="D613" s="99" t="s">
        <v>1244</v>
      </c>
      <c r="E613" s="107" t="s">
        <v>265</v>
      </c>
      <c r="F613" s="108">
        <v>12.5</v>
      </c>
      <c r="G613" s="57">
        <v>18</v>
      </c>
      <c r="H613" s="65">
        <v>3</v>
      </c>
      <c r="I613" s="69">
        <f t="shared" ref="I613:I628" si="96">IF(G613="","",SUM(G613:H613))</f>
        <v>21</v>
      </c>
      <c r="J613" s="64">
        <f>IF(G613="","",ROUNDUP(G613*0.65,0))</f>
        <v>12</v>
      </c>
      <c r="K613" s="64">
        <f>IF(G613="","",ROUNDUP(G613*0.55,0))</f>
        <v>10</v>
      </c>
    </row>
    <row r="614" spans="1:11" ht="17.25" x14ac:dyDescent="0.2">
      <c r="B614" s="399">
        <v>8102</v>
      </c>
      <c r="C614" s="99" t="s">
        <v>1245</v>
      </c>
      <c r="D614" s="99" t="s">
        <v>1162</v>
      </c>
      <c r="E614" s="107" t="s">
        <v>265</v>
      </c>
      <c r="F614" s="108">
        <v>12.5</v>
      </c>
      <c r="G614" s="57">
        <v>18</v>
      </c>
      <c r="H614" s="65">
        <v>3</v>
      </c>
      <c r="I614" s="69">
        <f t="shared" si="96"/>
        <v>21</v>
      </c>
      <c r="J614" s="64">
        <f t="shared" ref="J614:J628" si="97">IF(G614="","",ROUNDUP(G614*0.65,0))</f>
        <v>12</v>
      </c>
      <c r="K614" s="64">
        <f t="shared" ref="K614:K628" si="98">IF(G614="","",ROUNDUP(G614*0.55,0))</f>
        <v>10</v>
      </c>
    </row>
    <row r="615" spans="1:11" ht="17.25" x14ac:dyDescent="0.2">
      <c r="B615" s="399">
        <v>8103</v>
      </c>
      <c r="C615" s="99" t="s">
        <v>1246</v>
      </c>
      <c r="D615" s="99" t="s">
        <v>1238</v>
      </c>
      <c r="E615" s="107" t="s">
        <v>265</v>
      </c>
      <c r="F615" s="108">
        <v>12.5</v>
      </c>
      <c r="G615" s="57">
        <v>15</v>
      </c>
      <c r="H615" s="65">
        <v>3</v>
      </c>
      <c r="I615" s="69">
        <f t="shared" si="96"/>
        <v>18</v>
      </c>
      <c r="J615" s="64">
        <f t="shared" si="97"/>
        <v>10</v>
      </c>
      <c r="K615" s="64">
        <f t="shared" si="98"/>
        <v>9</v>
      </c>
    </row>
    <row r="616" spans="1:11" ht="17.25" x14ac:dyDescent="0.2">
      <c r="B616" s="399">
        <v>8104</v>
      </c>
      <c r="C616" s="99" t="s">
        <v>1238</v>
      </c>
      <c r="D616" s="99" t="s">
        <v>1247</v>
      </c>
      <c r="E616" s="107" t="s">
        <v>55</v>
      </c>
      <c r="F616" s="333">
        <v>14</v>
      </c>
      <c r="G616" s="57">
        <v>22</v>
      </c>
      <c r="H616" s="65">
        <v>4</v>
      </c>
      <c r="I616" s="69">
        <f t="shared" si="96"/>
        <v>26</v>
      </c>
      <c r="J616" s="64">
        <f t="shared" si="97"/>
        <v>15</v>
      </c>
      <c r="K616" s="64">
        <f t="shared" si="98"/>
        <v>13</v>
      </c>
    </row>
    <row r="617" spans="1:11" ht="17.25" x14ac:dyDescent="0.2">
      <c r="B617" s="399">
        <v>8105</v>
      </c>
      <c r="C617" s="99" t="s">
        <v>1219</v>
      </c>
      <c r="D617" s="99" t="s">
        <v>1246</v>
      </c>
      <c r="E617" s="107" t="s">
        <v>55</v>
      </c>
      <c r="F617" s="333">
        <v>14</v>
      </c>
      <c r="G617" s="57">
        <v>20</v>
      </c>
      <c r="H617" s="65">
        <v>4</v>
      </c>
      <c r="I617" s="69">
        <f t="shared" si="96"/>
        <v>24</v>
      </c>
      <c r="J617" s="64">
        <f t="shared" si="97"/>
        <v>13</v>
      </c>
      <c r="K617" s="64">
        <f t="shared" si="98"/>
        <v>11</v>
      </c>
    </row>
    <row r="618" spans="1:11" ht="17.25" x14ac:dyDescent="0.2">
      <c r="B618" s="399">
        <v>8106</v>
      </c>
      <c r="C618" s="99" t="s">
        <v>1175</v>
      </c>
      <c r="D618" s="99" t="s">
        <v>1167</v>
      </c>
      <c r="E618" s="107" t="s">
        <v>56</v>
      </c>
      <c r="F618" s="333">
        <v>17.5</v>
      </c>
      <c r="G618" s="57">
        <v>20</v>
      </c>
      <c r="H618" s="65">
        <v>3</v>
      </c>
      <c r="I618" s="69">
        <f t="shared" si="96"/>
        <v>23</v>
      </c>
      <c r="J618" s="64">
        <f t="shared" si="97"/>
        <v>13</v>
      </c>
      <c r="K618" s="64">
        <f t="shared" si="98"/>
        <v>11</v>
      </c>
    </row>
    <row r="619" spans="1:11" ht="17.25" x14ac:dyDescent="0.2">
      <c r="B619" s="399">
        <v>8107</v>
      </c>
      <c r="C619" s="99" t="s">
        <v>1175</v>
      </c>
      <c r="D619" s="99" t="s">
        <v>1218</v>
      </c>
      <c r="E619" s="107" t="s">
        <v>56</v>
      </c>
      <c r="F619" s="333">
        <v>17.5</v>
      </c>
      <c r="G619" s="57">
        <v>20</v>
      </c>
      <c r="H619" s="65">
        <v>2</v>
      </c>
      <c r="I619" s="69">
        <f t="shared" si="96"/>
        <v>22</v>
      </c>
      <c r="J619" s="64">
        <f t="shared" si="97"/>
        <v>13</v>
      </c>
      <c r="K619" s="64">
        <f t="shared" si="98"/>
        <v>11</v>
      </c>
    </row>
    <row r="620" spans="1:11" ht="17.25" x14ac:dyDescent="0.2">
      <c r="B620" s="399">
        <v>8108</v>
      </c>
      <c r="C620" s="99" t="s">
        <v>1175</v>
      </c>
      <c r="D620" s="99" t="s">
        <v>1167</v>
      </c>
      <c r="E620" s="107" t="s">
        <v>57</v>
      </c>
      <c r="F620" s="108">
        <v>23</v>
      </c>
      <c r="G620" s="57">
        <v>18</v>
      </c>
      <c r="H620" s="65">
        <v>2</v>
      </c>
      <c r="I620" s="69">
        <f t="shared" si="96"/>
        <v>20</v>
      </c>
      <c r="J620" s="64">
        <f t="shared" si="97"/>
        <v>12</v>
      </c>
      <c r="K620" s="64">
        <f t="shared" si="98"/>
        <v>10</v>
      </c>
    </row>
    <row r="621" spans="1:11" ht="17.25" x14ac:dyDescent="0.35">
      <c r="B621" s="328"/>
      <c r="C621" s="99"/>
      <c r="D621" s="99"/>
      <c r="E621" s="107"/>
      <c r="F621" s="108"/>
      <c r="G621" s="57"/>
      <c r="H621" s="65"/>
      <c r="I621" s="69" t="str">
        <f t="shared" si="96"/>
        <v/>
      </c>
      <c r="J621" s="64" t="str">
        <f t="shared" si="97"/>
        <v/>
      </c>
      <c r="K621" s="64" t="str">
        <f t="shared" si="98"/>
        <v/>
      </c>
    </row>
    <row r="622" spans="1:11" ht="17.25" x14ac:dyDescent="0.35">
      <c r="B622" s="328"/>
      <c r="C622" s="112"/>
      <c r="D622" s="112"/>
      <c r="E622" s="107"/>
      <c r="F622" s="108"/>
      <c r="G622" s="57"/>
      <c r="H622" s="65"/>
      <c r="I622" s="69" t="str">
        <f t="shared" si="96"/>
        <v/>
      </c>
      <c r="J622" s="64" t="str">
        <f t="shared" si="97"/>
        <v/>
      </c>
      <c r="K622" s="64" t="str">
        <f t="shared" si="98"/>
        <v/>
      </c>
    </row>
    <row r="623" spans="1:11" ht="17.25" x14ac:dyDescent="0.35">
      <c r="B623" s="328"/>
      <c r="C623" s="112"/>
      <c r="D623" s="112"/>
      <c r="E623" s="107"/>
      <c r="F623" s="108"/>
      <c r="G623" s="57"/>
      <c r="H623" s="65"/>
      <c r="I623" s="69" t="str">
        <f t="shared" si="96"/>
        <v/>
      </c>
      <c r="J623" s="64" t="str">
        <f t="shared" si="97"/>
        <v/>
      </c>
      <c r="K623" s="64" t="str">
        <f t="shared" si="98"/>
        <v/>
      </c>
    </row>
    <row r="624" spans="1:11" ht="17.25" x14ac:dyDescent="0.35">
      <c r="B624" s="328"/>
      <c r="C624" s="112"/>
      <c r="D624" s="112"/>
      <c r="E624" s="107"/>
      <c r="F624" s="108"/>
      <c r="G624" s="57"/>
      <c r="H624" s="65"/>
      <c r="I624" s="69" t="str">
        <f t="shared" si="96"/>
        <v/>
      </c>
      <c r="J624" s="64" t="str">
        <f t="shared" si="97"/>
        <v/>
      </c>
      <c r="K624" s="64" t="str">
        <f t="shared" si="98"/>
        <v/>
      </c>
    </row>
    <row r="625" spans="1:11" ht="17.25" x14ac:dyDescent="0.35">
      <c r="B625" s="328"/>
      <c r="C625" s="112"/>
      <c r="D625" s="112"/>
      <c r="E625" s="107"/>
      <c r="F625" s="108"/>
      <c r="G625" s="57"/>
      <c r="H625" s="65"/>
      <c r="I625" s="69" t="str">
        <f t="shared" si="96"/>
        <v/>
      </c>
      <c r="J625" s="64" t="str">
        <f t="shared" si="97"/>
        <v/>
      </c>
      <c r="K625" s="64" t="str">
        <f t="shared" si="98"/>
        <v/>
      </c>
    </row>
    <row r="626" spans="1:11" ht="17.25" x14ac:dyDescent="0.35">
      <c r="B626" s="328"/>
      <c r="C626" s="112"/>
      <c r="D626" s="112"/>
      <c r="E626" s="107"/>
      <c r="F626" s="108"/>
      <c r="G626" s="57"/>
      <c r="H626" s="65"/>
      <c r="I626" s="69" t="str">
        <f t="shared" si="96"/>
        <v/>
      </c>
      <c r="J626" s="64" t="str">
        <f t="shared" si="97"/>
        <v/>
      </c>
      <c r="K626" s="64" t="str">
        <f t="shared" si="98"/>
        <v/>
      </c>
    </row>
    <row r="627" spans="1:11" ht="17.25" x14ac:dyDescent="0.35">
      <c r="B627" s="328"/>
      <c r="C627" s="112"/>
      <c r="D627" s="112"/>
      <c r="E627" s="107"/>
      <c r="F627" s="108"/>
      <c r="G627" s="57"/>
      <c r="H627" s="65"/>
      <c r="I627" s="69" t="str">
        <f t="shared" si="96"/>
        <v/>
      </c>
      <c r="J627" s="64" t="str">
        <f t="shared" si="97"/>
        <v/>
      </c>
      <c r="K627" s="64" t="str">
        <f t="shared" si="98"/>
        <v/>
      </c>
    </row>
    <row r="628" spans="1:11" ht="17.25" x14ac:dyDescent="0.35">
      <c r="B628" s="328"/>
      <c r="C628" s="112"/>
      <c r="D628" s="112"/>
      <c r="E628" s="107"/>
      <c r="F628" s="108"/>
      <c r="G628" s="57"/>
      <c r="H628" s="65"/>
      <c r="I628" s="69" t="str">
        <f t="shared" si="96"/>
        <v/>
      </c>
      <c r="J628" s="64" t="str">
        <f t="shared" si="97"/>
        <v/>
      </c>
      <c r="K628" s="64" t="str">
        <f t="shared" si="98"/>
        <v/>
      </c>
    </row>
    <row r="629" spans="1:11" ht="18" customHeight="1" x14ac:dyDescent="0.2">
      <c r="B629" s="561" t="s">
        <v>22</v>
      </c>
      <c r="C629" s="561" t="s">
        <v>177</v>
      </c>
      <c r="D629" s="561" t="s">
        <v>243</v>
      </c>
      <c r="E629" s="561" t="s">
        <v>23</v>
      </c>
      <c r="F629" s="562" t="s">
        <v>234</v>
      </c>
      <c r="G629" s="562"/>
      <c r="H629" s="562"/>
      <c r="I629" s="562"/>
      <c r="J629" s="562"/>
      <c r="K629" s="562"/>
    </row>
    <row r="630" spans="1:11" ht="21" x14ac:dyDescent="0.2">
      <c r="A630" s="114" t="s">
        <v>1046</v>
      </c>
      <c r="B630" s="432" t="s">
        <v>2642</v>
      </c>
      <c r="C630" s="115" t="s">
        <v>573</v>
      </c>
      <c r="D630" s="114" t="s">
        <v>574</v>
      </c>
      <c r="E630" s="329" t="str">
        <f>IF($O$36="","",$O$36)</f>
        <v>MNR - Área 8.2</v>
      </c>
      <c r="F630" s="563">
        <f>IF(B630="","",VLOOKUP(E630,$O$2:$T$120,6,0))</f>
        <v>73649</v>
      </c>
      <c r="G630" s="564"/>
      <c r="H630" s="564"/>
      <c r="I630" s="564"/>
      <c r="J630" s="564"/>
      <c r="K630" s="565"/>
    </row>
    <row r="631" spans="1:11" ht="43.5" x14ac:dyDescent="0.2">
      <c r="A631" s="166" t="s">
        <v>779</v>
      </c>
      <c r="B631" s="116" t="s">
        <v>0</v>
      </c>
      <c r="C631" s="116" t="s">
        <v>20</v>
      </c>
      <c r="D631" s="116" t="s">
        <v>21</v>
      </c>
      <c r="E631" s="116" t="s">
        <v>1</v>
      </c>
      <c r="F631" s="117" t="s">
        <v>3</v>
      </c>
      <c r="G631" s="116" t="s">
        <v>216</v>
      </c>
      <c r="H631" s="180" t="s">
        <v>242</v>
      </c>
      <c r="I631" s="116" t="s">
        <v>245</v>
      </c>
      <c r="J631" s="116" t="s">
        <v>217</v>
      </c>
      <c r="K631" s="116" t="s">
        <v>218</v>
      </c>
    </row>
    <row r="632" spans="1:11" ht="17.25" x14ac:dyDescent="0.2">
      <c r="B632" s="399">
        <v>8201</v>
      </c>
      <c r="C632" s="99" t="s">
        <v>1248</v>
      </c>
      <c r="D632" s="99" t="s">
        <v>1246</v>
      </c>
      <c r="E632" s="107" t="s">
        <v>265</v>
      </c>
      <c r="F632" s="108">
        <v>12.5</v>
      </c>
      <c r="G632" s="57">
        <v>20</v>
      </c>
      <c r="H632" s="65">
        <v>2</v>
      </c>
      <c r="I632" s="69">
        <f t="shared" ref="I632:I647" si="99">IF(G632="","",SUM(G632:H632))</f>
        <v>22</v>
      </c>
      <c r="J632" s="64">
        <f>IF(G632="","",ROUNDUP(G632*0.65,0))</f>
        <v>13</v>
      </c>
      <c r="K632" s="64">
        <f>IF(G632="","",ROUNDUP(G632*0.55,0))</f>
        <v>11</v>
      </c>
    </row>
    <row r="633" spans="1:11" ht="17.25" x14ac:dyDescent="0.2">
      <c r="B633" s="399">
        <v>8202</v>
      </c>
      <c r="C633" s="99" t="s">
        <v>1245</v>
      </c>
      <c r="D633" s="99" t="s">
        <v>1249</v>
      </c>
      <c r="E633" s="107" t="s">
        <v>265</v>
      </c>
      <c r="F633" s="108">
        <v>12.5</v>
      </c>
      <c r="G633" s="57">
        <v>20</v>
      </c>
      <c r="H633" s="65">
        <v>3</v>
      </c>
      <c r="I633" s="69">
        <f t="shared" si="99"/>
        <v>23</v>
      </c>
      <c r="J633" s="64">
        <f t="shared" ref="J633:J647" si="100">IF(G633="","",ROUNDUP(G633*0.65,0))</f>
        <v>13</v>
      </c>
      <c r="K633" s="64">
        <f t="shared" ref="K633:K647" si="101">IF(G633="","",ROUNDUP(G633*0.55,0))</f>
        <v>11</v>
      </c>
    </row>
    <row r="634" spans="1:11" ht="17.25" x14ac:dyDescent="0.2">
      <c r="B634" s="399">
        <v>8203</v>
      </c>
      <c r="C634" s="99" t="s">
        <v>1248</v>
      </c>
      <c r="D634" s="99" t="s">
        <v>1249</v>
      </c>
      <c r="E634" s="107" t="s">
        <v>265</v>
      </c>
      <c r="F634" s="108">
        <v>12.5</v>
      </c>
      <c r="G634" s="57">
        <v>22</v>
      </c>
      <c r="H634" s="65">
        <v>3</v>
      </c>
      <c r="I634" s="69">
        <f t="shared" si="99"/>
        <v>25</v>
      </c>
      <c r="J634" s="64">
        <f t="shared" si="100"/>
        <v>15</v>
      </c>
      <c r="K634" s="64">
        <f t="shared" si="101"/>
        <v>13</v>
      </c>
    </row>
    <row r="635" spans="1:11" ht="17.25" x14ac:dyDescent="0.2">
      <c r="B635" s="399">
        <v>8204</v>
      </c>
      <c r="C635" s="99" t="s">
        <v>1245</v>
      </c>
      <c r="D635" s="99" t="s">
        <v>1232</v>
      </c>
      <c r="E635" s="107" t="s">
        <v>179</v>
      </c>
      <c r="F635" s="108">
        <v>9.5</v>
      </c>
      <c r="G635" s="57">
        <v>18</v>
      </c>
      <c r="H635" s="65">
        <v>4</v>
      </c>
      <c r="I635" s="69">
        <f t="shared" si="99"/>
        <v>22</v>
      </c>
      <c r="J635" s="64">
        <f t="shared" si="100"/>
        <v>12</v>
      </c>
      <c r="K635" s="64">
        <f t="shared" si="101"/>
        <v>10</v>
      </c>
    </row>
    <row r="636" spans="1:11" ht="17.25" x14ac:dyDescent="0.2">
      <c r="B636" s="399">
        <v>8205</v>
      </c>
      <c r="C636" s="99" t="s">
        <v>1236</v>
      </c>
      <c r="D636" s="99" t="s">
        <v>1163</v>
      </c>
      <c r="E636" s="107" t="s">
        <v>179</v>
      </c>
      <c r="F636" s="108">
        <v>9.5</v>
      </c>
      <c r="G636" s="57">
        <v>15</v>
      </c>
      <c r="H636" s="65">
        <v>3</v>
      </c>
      <c r="I636" s="69">
        <f t="shared" si="99"/>
        <v>18</v>
      </c>
      <c r="J636" s="64">
        <f t="shared" si="100"/>
        <v>10</v>
      </c>
      <c r="K636" s="64">
        <f t="shared" si="101"/>
        <v>9</v>
      </c>
    </row>
    <row r="637" spans="1:11" ht="17.25" x14ac:dyDescent="0.35">
      <c r="B637" s="328"/>
      <c r="C637" s="99"/>
      <c r="D637" s="99"/>
      <c r="E637" s="107"/>
      <c r="F637" s="108"/>
      <c r="G637" s="57"/>
      <c r="H637" s="65"/>
      <c r="I637" s="69" t="str">
        <f t="shared" si="99"/>
        <v/>
      </c>
      <c r="J637" s="64" t="str">
        <f t="shared" si="100"/>
        <v/>
      </c>
      <c r="K637" s="64" t="str">
        <f t="shared" si="101"/>
        <v/>
      </c>
    </row>
    <row r="638" spans="1:11" ht="17.25" x14ac:dyDescent="0.35">
      <c r="B638" s="328"/>
      <c r="C638" s="112"/>
      <c r="D638" s="113"/>
      <c r="E638" s="107"/>
      <c r="F638" s="108"/>
      <c r="G638" s="57"/>
      <c r="H638" s="65"/>
      <c r="I638" s="69" t="str">
        <f t="shared" si="99"/>
        <v/>
      </c>
      <c r="J638" s="64" t="str">
        <f t="shared" si="100"/>
        <v/>
      </c>
      <c r="K638" s="64" t="str">
        <f t="shared" si="101"/>
        <v/>
      </c>
    </row>
    <row r="639" spans="1:11" ht="17.25" x14ac:dyDescent="0.35">
      <c r="B639" s="328"/>
      <c r="C639" s="112"/>
      <c r="D639" s="113"/>
      <c r="E639" s="107"/>
      <c r="F639" s="108"/>
      <c r="G639" s="57"/>
      <c r="H639" s="65"/>
      <c r="I639" s="69" t="str">
        <f t="shared" si="99"/>
        <v/>
      </c>
      <c r="J639" s="64" t="str">
        <f t="shared" si="100"/>
        <v/>
      </c>
      <c r="K639" s="64" t="str">
        <f t="shared" si="101"/>
        <v/>
      </c>
    </row>
    <row r="640" spans="1:11" ht="17.25" x14ac:dyDescent="0.35">
      <c r="B640" s="328"/>
      <c r="C640" s="112"/>
      <c r="D640" s="113"/>
      <c r="E640" s="107"/>
      <c r="F640" s="108"/>
      <c r="G640" s="57"/>
      <c r="H640" s="65"/>
      <c r="I640" s="69" t="str">
        <f t="shared" si="99"/>
        <v/>
      </c>
      <c r="J640" s="64" t="str">
        <f t="shared" si="100"/>
        <v/>
      </c>
      <c r="K640" s="64" t="str">
        <f t="shared" si="101"/>
        <v/>
      </c>
    </row>
    <row r="641" spans="1:11" ht="17.25" x14ac:dyDescent="0.35">
      <c r="B641" s="328"/>
      <c r="C641" s="112"/>
      <c r="D641" s="112"/>
      <c r="E641" s="107"/>
      <c r="F641" s="108"/>
      <c r="G641" s="57"/>
      <c r="H641" s="65"/>
      <c r="I641" s="69" t="str">
        <f t="shared" si="99"/>
        <v/>
      </c>
      <c r="J641" s="64" t="str">
        <f t="shared" si="100"/>
        <v/>
      </c>
      <c r="K641" s="64" t="str">
        <f t="shared" si="101"/>
        <v/>
      </c>
    </row>
    <row r="642" spans="1:11" ht="17.25" x14ac:dyDescent="0.35">
      <c r="B642" s="328"/>
      <c r="C642" s="112"/>
      <c r="D642" s="112"/>
      <c r="E642" s="107"/>
      <c r="F642" s="108"/>
      <c r="G642" s="57"/>
      <c r="H642" s="65"/>
      <c r="I642" s="69" t="str">
        <f t="shared" si="99"/>
        <v/>
      </c>
      <c r="J642" s="64" t="str">
        <f t="shared" si="100"/>
        <v/>
      </c>
      <c r="K642" s="64" t="str">
        <f t="shared" si="101"/>
        <v/>
      </c>
    </row>
    <row r="643" spans="1:11" ht="17.25" x14ac:dyDescent="0.35">
      <c r="B643" s="328"/>
      <c r="C643" s="112"/>
      <c r="D643" s="112"/>
      <c r="E643" s="107"/>
      <c r="F643" s="108"/>
      <c r="G643" s="57"/>
      <c r="H643" s="65"/>
      <c r="I643" s="69" t="str">
        <f t="shared" si="99"/>
        <v/>
      </c>
      <c r="J643" s="64" t="str">
        <f t="shared" si="100"/>
        <v/>
      </c>
      <c r="K643" s="64" t="str">
        <f t="shared" si="101"/>
        <v/>
      </c>
    </row>
    <row r="644" spans="1:11" ht="17.25" x14ac:dyDescent="0.35">
      <c r="B644" s="328"/>
      <c r="C644" s="112"/>
      <c r="D644" s="112"/>
      <c r="E644" s="107"/>
      <c r="F644" s="108"/>
      <c r="G644" s="57"/>
      <c r="H644" s="65"/>
      <c r="I644" s="69" t="str">
        <f t="shared" si="99"/>
        <v/>
      </c>
      <c r="J644" s="64" t="str">
        <f t="shared" si="100"/>
        <v/>
      </c>
      <c r="K644" s="64" t="str">
        <f t="shared" si="101"/>
        <v/>
      </c>
    </row>
    <row r="645" spans="1:11" ht="17.25" x14ac:dyDescent="0.35">
      <c r="B645" s="328"/>
      <c r="C645" s="112"/>
      <c r="D645" s="112"/>
      <c r="E645" s="107"/>
      <c r="F645" s="108"/>
      <c r="G645" s="57"/>
      <c r="H645" s="65"/>
      <c r="I645" s="69" t="str">
        <f t="shared" si="99"/>
        <v/>
      </c>
      <c r="J645" s="64" t="str">
        <f t="shared" si="100"/>
        <v/>
      </c>
      <c r="K645" s="64" t="str">
        <f t="shared" si="101"/>
        <v/>
      </c>
    </row>
    <row r="646" spans="1:11" ht="17.25" x14ac:dyDescent="0.35">
      <c r="B646" s="328"/>
      <c r="C646" s="112"/>
      <c r="D646" s="112"/>
      <c r="E646" s="107"/>
      <c r="F646" s="108"/>
      <c r="G646" s="57"/>
      <c r="H646" s="65"/>
      <c r="I646" s="69" t="str">
        <f t="shared" si="99"/>
        <v/>
      </c>
      <c r="J646" s="64" t="str">
        <f t="shared" si="100"/>
        <v/>
      </c>
      <c r="K646" s="64" t="str">
        <f t="shared" si="101"/>
        <v/>
      </c>
    </row>
    <row r="647" spans="1:11" ht="17.25" x14ac:dyDescent="0.35">
      <c r="B647" s="328"/>
      <c r="C647" s="112"/>
      <c r="D647" s="112"/>
      <c r="E647" s="107"/>
      <c r="F647" s="108"/>
      <c r="G647" s="57"/>
      <c r="H647" s="65"/>
      <c r="I647" s="69" t="str">
        <f t="shared" si="99"/>
        <v/>
      </c>
      <c r="J647" s="64" t="str">
        <f t="shared" si="100"/>
        <v/>
      </c>
      <c r="K647" s="64" t="str">
        <f t="shared" si="101"/>
        <v/>
      </c>
    </row>
    <row r="648" spans="1:11" ht="18" customHeight="1" x14ac:dyDescent="0.2">
      <c r="B648" s="561" t="s">
        <v>22</v>
      </c>
      <c r="C648" s="561" t="s">
        <v>177</v>
      </c>
      <c r="D648" s="561" t="s">
        <v>243</v>
      </c>
      <c r="E648" s="561" t="s">
        <v>23</v>
      </c>
      <c r="F648" s="566" t="s">
        <v>234</v>
      </c>
      <c r="G648" s="567"/>
      <c r="H648" s="567"/>
      <c r="I648" s="567"/>
      <c r="J648" s="567"/>
      <c r="K648" s="568"/>
    </row>
    <row r="649" spans="1:11" ht="21" x14ac:dyDescent="0.2">
      <c r="A649" s="114" t="s">
        <v>1047</v>
      </c>
      <c r="B649" s="432" t="s">
        <v>1143</v>
      </c>
      <c r="C649" s="115" t="s">
        <v>573</v>
      </c>
      <c r="D649" s="114" t="s">
        <v>1266</v>
      </c>
      <c r="E649" s="329" t="str">
        <f>IF($O$37="","",$O$37)</f>
        <v>L 1 - METROP. MNR - P. NOROESTE</v>
      </c>
      <c r="F649" s="563">
        <f>IF(B649="","",VLOOKUP(E649,$O$2:$T$120,6,0))</f>
        <v>93031</v>
      </c>
      <c r="G649" s="564"/>
      <c r="H649" s="564"/>
      <c r="I649" s="564"/>
      <c r="J649" s="564"/>
      <c r="K649" s="565"/>
    </row>
    <row r="650" spans="1:11" ht="43.5" x14ac:dyDescent="0.2">
      <c r="A650" s="166" t="s">
        <v>779</v>
      </c>
      <c r="B650" s="116" t="s">
        <v>0</v>
      </c>
      <c r="C650" s="116" t="s">
        <v>20</v>
      </c>
      <c r="D650" s="116" t="s">
        <v>21</v>
      </c>
      <c r="E650" s="116" t="s">
        <v>1</v>
      </c>
      <c r="F650" s="117" t="s">
        <v>3</v>
      </c>
      <c r="G650" s="116" t="s">
        <v>216</v>
      </c>
      <c r="H650" s="180" t="s">
        <v>242</v>
      </c>
      <c r="I650" s="116" t="s">
        <v>245</v>
      </c>
      <c r="J650" s="116" t="s">
        <v>217</v>
      </c>
      <c r="K650" s="116" t="s">
        <v>218</v>
      </c>
    </row>
    <row r="651" spans="1:11" ht="17.25" x14ac:dyDescent="0.35">
      <c r="B651" s="400" t="s">
        <v>1267</v>
      </c>
      <c r="C651" s="152" t="s">
        <v>1268</v>
      </c>
      <c r="D651" s="152" t="s">
        <v>1269</v>
      </c>
      <c r="E651" s="107" t="s">
        <v>57</v>
      </c>
      <c r="F651" s="108">
        <v>23</v>
      </c>
      <c r="G651" s="57">
        <v>22</v>
      </c>
      <c r="H651" s="65">
        <v>3</v>
      </c>
      <c r="I651" s="69">
        <f>IF(G651="","",SUM(G651:H651))</f>
        <v>25</v>
      </c>
      <c r="J651" s="64">
        <f>IF(G651="","",ROUNDUP(G651*0.65,0))</f>
        <v>15</v>
      </c>
      <c r="K651" s="64">
        <f>IF(G651="","",ROUNDUP(G651*0.55,0))</f>
        <v>13</v>
      </c>
    </row>
    <row r="652" spans="1:11" ht="17.25" x14ac:dyDescent="0.35">
      <c r="B652" s="400" t="s">
        <v>1270</v>
      </c>
      <c r="C652" s="152" t="s">
        <v>1271</v>
      </c>
      <c r="D652" s="152" t="s">
        <v>1248</v>
      </c>
      <c r="E652" s="107" t="s">
        <v>265</v>
      </c>
      <c r="F652" s="108">
        <v>12.5</v>
      </c>
      <c r="G652" s="57">
        <v>18</v>
      </c>
      <c r="H652" s="65">
        <v>2</v>
      </c>
      <c r="I652" s="69">
        <f t="shared" ref="I652:I661" si="102">IF(G652="","",SUM(G652:H652))</f>
        <v>20</v>
      </c>
      <c r="J652" s="64">
        <f t="shared" ref="J652:J666" si="103">IF(G652="","",ROUNDUP(G652*0.65,0))</f>
        <v>12</v>
      </c>
      <c r="K652" s="64">
        <f t="shared" ref="K652:K666" si="104">IF(G652="","",ROUNDUP(G652*0.55,0))</f>
        <v>10</v>
      </c>
    </row>
    <row r="653" spans="1:11" ht="17.25" x14ac:dyDescent="0.35">
      <c r="B653" s="400" t="s">
        <v>1272</v>
      </c>
      <c r="C653" s="152" t="s">
        <v>1273</v>
      </c>
      <c r="D653" s="152" t="s">
        <v>1248</v>
      </c>
      <c r="E653" s="107" t="s">
        <v>265</v>
      </c>
      <c r="F653" s="108">
        <v>12.5</v>
      </c>
      <c r="G653" s="57">
        <v>18</v>
      </c>
      <c r="H653" s="65">
        <v>2</v>
      </c>
      <c r="I653" s="69">
        <f t="shared" si="102"/>
        <v>20</v>
      </c>
      <c r="J653" s="64">
        <f t="shared" si="103"/>
        <v>12</v>
      </c>
      <c r="K653" s="64">
        <f t="shared" si="104"/>
        <v>10</v>
      </c>
    </row>
    <row r="654" spans="1:11" ht="17.25" x14ac:dyDescent="0.35">
      <c r="B654" s="400" t="s">
        <v>1274</v>
      </c>
      <c r="C654" s="152" t="s">
        <v>1275</v>
      </c>
      <c r="D654" s="152" t="s">
        <v>1163</v>
      </c>
      <c r="E654" s="107" t="s">
        <v>55</v>
      </c>
      <c r="F654" s="333">
        <v>14</v>
      </c>
      <c r="G654" s="57">
        <v>18</v>
      </c>
      <c r="H654" s="65">
        <v>2</v>
      </c>
      <c r="I654" s="69">
        <f t="shared" si="102"/>
        <v>20</v>
      </c>
      <c r="J654" s="64">
        <f t="shared" si="103"/>
        <v>12</v>
      </c>
      <c r="K654" s="64">
        <f t="shared" si="104"/>
        <v>10</v>
      </c>
    </row>
    <row r="655" spans="1:11" ht="17.25" x14ac:dyDescent="0.35">
      <c r="B655" s="400" t="s">
        <v>1276</v>
      </c>
      <c r="C655" s="152" t="s">
        <v>1277</v>
      </c>
      <c r="D655" s="152" t="s">
        <v>1175</v>
      </c>
      <c r="E655" s="107" t="s">
        <v>56</v>
      </c>
      <c r="F655" s="333">
        <v>17.5</v>
      </c>
      <c r="G655" s="57">
        <v>16</v>
      </c>
      <c r="H655" s="65">
        <v>4</v>
      </c>
      <c r="I655" s="69">
        <f t="shared" si="102"/>
        <v>20</v>
      </c>
      <c r="J655" s="64">
        <f t="shared" si="103"/>
        <v>11</v>
      </c>
      <c r="K655" s="64">
        <f t="shared" si="104"/>
        <v>9</v>
      </c>
    </row>
    <row r="656" spans="1:11" ht="17.25" x14ac:dyDescent="0.35">
      <c r="B656" s="400" t="s">
        <v>1278</v>
      </c>
      <c r="C656" s="152" t="s">
        <v>1277</v>
      </c>
      <c r="D656" s="152" t="s">
        <v>1279</v>
      </c>
      <c r="E656" s="107" t="s">
        <v>1019</v>
      </c>
      <c r="F656" s="108">
        <v>16.5</v>
      </c>
      <c r="G656" s="57">
        <v>16</v>
      </c>
      <c r="H656" s="65">
        <v>4</v>
      </c>
      <c r="I656" s="69">
        <f t="shared" si="102"/>
        <v>20</v>
      </c>
      <c r="J656" s="64">
        <f t="shared" si="103"/>
        <v>11</v>
      </c>
      <c r="K656" s="64">
        <f t="shared" si="104"/>
        <v>9</v>
      </c>
    </row>
    <row r="657" spans="1:11" ht="17.25" x14ac:dyDescent="0.35">
      <c r="B657" s="400" t="s">
        <v>1280</v>
      </c>
      <c r="C657" s="152" t="s">
        <v>1281</v>
      </c>
      <c r="D657" s="152" t="s">
        <v>1241</v>
      </c>
      <c r="E657" s="107" t="s">
        <v>179</v>
      </c>
      <c r="F657" s="108">
        <v>9.5</v>
      </c>
      <c r="G657" s="57">
        <v>12</v>
      </c>
      <c r="H657" s="65">
        <v>3</v>
      </c>
      <c r="I657" s="69">
        <f t="shared" si="102"/>
        <v>15</v>
      </c>
      <c r="J657" s="64">
        <f t="shared" si="103"/>
        <v>8</v>
      </c>
      <c r="K657" s="64">
        <f t="shared" si="104"/>
        <v>7</v>
      </c>
    </row>
    <row r="658" spans="1:11" ht="17.25" x14ac:dyDescent="0.2">
      <c r="B658" s="334"/>
      <c r="C658" s="112"/>
      <c r="D658" s="112"/>
      <c r="E658" s="107"/>
      <c r="F658" s="108"/>
      <c r="G658" s="335"/>
      <c r="H658" s="65"/>
      <c r="I658" s="69" t="str">
        <f t="shared" si="102"/>
        <v/>
      </c>
      <c r="J658" s="64" t="str">
        <f t="shared" si="103"/>
        <v/>
      </c>
      <c r="K658" s="64" t="str">
        <f t="shared" si="104"/>
        <v/>
      </c>
    </row>
    <row r="659" spans="1:11" ht="17.25" x14ac:dyDescent="0.2">
      <c r="B659" s="332"/>
      <c r="C659" s="112"/>
      <c r="D659" s="113"/>
      <c r="E659" s="107"/>
      <c r="F659" s="108"/>
      <c r="G659" s="57"/>
      <c r="H659" s="65"/>
      <c r="I659" s="69" t="str">
        <f t="shared" si="102"/>
        <v/>
      </c>
      <c r="J659" s="64" t="str">
        <f t="shared" si="103"/>
        <v/>
      </c>
      <c r="K659" s="64" t="str">
        <f t="shared" si="104"/>
        <v/>
      </c>
    </row>
    <row r="660" spans="1:11" ht="17.25" x14ac:dyDescent="0.2">
      <c r="B660" s="332"/>
      <c r="C660" s="112"/>
      <c r="D660" s="112"/>
      <c r="E660" s="107"/>
      <c r="F660" s="108"/>
      <c r="G660" s="57"/>
      <c r="H660" s="65"/>
      <c r="I660" s="69" t="str">
        <f t="shared" si="102"/>
        <v/>
      </c>
      <c r="J660" s="64" t="str">
        <f t="shared" si="103"/>
        <v/>
      </c>
      <c r="K660" s="64" t="str">
        <f t="shared" si="104"/>
        <v/>
      </c>
    </row>
    <row r="661" spans="1:11" ht="17.25" x14ac:dyDescent="0.2">
      <c r="B661" s="332"/>
      <c r="C661" s="112"/>
      <c r="D661" s="112"/>
      <c r="E661" s="107"/>
      <c r="F661" s="108"/>
      <c r="G661" s="57"/>
      <c r="H661" s="65"/>
      <c r="I661" s="69" t="str">
        <f t="shared" si="102"/>
        <v/>
      </c>
      <c r="J661" s="64" t="str">
        <f t="shared" si="103"/>
        <v/>
      </c>
      <c r="K661" s="64" t="str">
        <f t="shared" si="104"/>
        <v/>
      </c>
    </row>
    <row r="662" spans="1:11" ht="17.25" x14ac:dyDescent="0.2">
      <c r="B662" s="332"/>
      <c r="C662" s="112"/>
      <c r="D662" s="112"/>
      <c r="E662" s="107"/>
      <c r="F662" s="108"/>
      <c r="G662" s="57"/>
      <c r="H662" s="65"/>
      <c r="I662" s="69"/>
      <c r="J662" s="64" t="str">
        <f t="shared" si="103"/>
        <v/>
      </c>
      <c r="K662" s="64" t="str">
        <f t="shared" si="104"/>
        <v/>
      </c>
    </row>
    <row r="663" spans="1:11" ht="17.25" x14ac:dyDescent="0.2">
      <c r="B663" s="332"/>
      <c r="C663" s="112"/>
      <c r="D663" s="112"/>
      <c r="E663" s="107"/>
      <c r="F663" s="108"/>
      <c r="G663" s="57"/>
      <c r="H663" s="65"/>
      <c r="I663" s="69"/>
      <c r="J663" s="64" t="str">
        <f t="shared" si="103"/>
        <v/>
      </c>
      <c r="K663" s="64" t="str">
        <f t="shared" si="104"/>
        <v/>
      </c>
    </row>
    <row r="664" spans="1:11" ht="17.25" x14ac:dyDescent="0.2">
      <c r="B664" s="332"/>
      <c r="C664" s="112"/>
      <c r="D664" s="112"/>
      <c r="E664" s="107"/>
      <c r="F664" s="108"/>
      <c r="G664" s="57"/>
      <c r="H664" s="65"/>
      <c r="I664" s="69"/>
      <c r="J664" s="64" t="str">
        <f t="shared" si="103"/>
        <v/>
      </c>
      <c r="K664" s="64" t="str">
        <f t="shared" si="104"/>
        <v/>
      </c>
    </row>
    <row r="665" spans="1:11" ht="17.25" x14ac:dyDescent="0.2">
      <c r="B665" s="332"/>
      <c r="C665" s="112"/>
      <c r="D665" s="112"/>
      <c r="E665" s="107"/>
      <c r="F665" s="108"/>
      <c r="G665" s="57"/>
      <c r="H665" s="65"/>
      <c r="I665" s="69"/>
      <c r="J665" s="64" t="str">
        <f t="shared" si="103"/>
        <v/>
      </c>
      <c r="K665" s="64" t="str">
        <f t="shared" si="104"/>
        <v/>
      </c>
    </row>
    <row r="666" spans="1:11" ht="17.25" x14ac:dyDescent="0.2">
      <c r="B666" s="332"/>
      <c r="C666" s="112"/>
      <c r="D666" s="112"/>
      <c r="E666" s="107"/>
      <c r="F666" s="108"/>
      <c r="G666" s="57"/>
      <c r="H666" s="65"/>
      <c r="I666" s="69"/>
      <c r="J666" s="64" t="str">
        <f t="shared" si="103"/>
        <v/>
      </c>
      <c r="K666" s="64" t="str">
        <f t="shared" si="104"/>
        <v/>
      </c>
    </row>
    <row r="667" spans="1:11" ht="18" customHeight="1" x14ac:dyDescent="0.2">
      <c r="B667" s="561" t="s">
        <v>22</v>
      </c>
      <c r="C667" s="561" t="s">
        <v>177</v>
      </c>
      <c r="D667" s="561" t="s">
        <v>243</v>
      </c>
      <c r="E667" s="561" t="s">
        <v>23</v>
      </c>
      <c r="F667" s="562" t="s">
        <v>234</v>
      </c>
      <c r="G667" s="562"/>
      <c r="H667" s="562"/>
      <c r="I667" s="562"/>
      <c r="J667" s="562"/>
      <c r="K667" s="562"/>
    </row>
    <row r="668" spans="1:11" ht="21" x14ac:dyDescent="0.2">
      <c r="A668" s="114" t="s">
        <v>1048</v>
      </c>
      <c r="B668" s="587" t="s">
        <v>2639</v>
      </c>
      <c r="C668" s="115" t="s">
        <v>536</v>
      </c>
      <c r="D668" s="114" t="s">
        <v>1282</v>
      </c>
      <c r="E668" s="329" t="str">
        <f>IF($O$38="","",$O$38)</f>
        <v>L 2 - METROP. MNR - P. NOROESTE</v>
      </c>
      <c r="F668" s="563">
        <f>IF(B668="","",VLOOKUP(E668,$O$2:$T$120,6,0))</f>
        <v>102334</v>
      </c>
      <c r="G668" s="564"/>
      <c r="H668" s="564"/>
      <c r="I668" s="564"/>
      <c r="J668" s="564"/>
      <c r="K668" s="565"/>
    </row>
    <row r="669" spans="1:11" ht="43.5" x14ac:dyDescent="0.2">
      <c r="A669" s="166" t="s">
        <v>779</v>
      </c>
      <c r="B669" s="116" t="s">
        <v>0</v>
      </c>
      <c r="C669" s="116" t="s">
        <v>20</v>
      </c>
      <c r="D669" s="116" t="s">
        <v>21</v>
      </c>
      <c r="E669" s="116" t="s">
        <v>1</v>
      </c>
      <c r="F669" s="117" t="s">
        <v>3</v>
      </c>
      <c r="G669" s="116" t="s">
        <v>216</v>
      </c>
      <c r="H669" s="180" t="s">
        <v>242</v>
      </c>
      <c r="I669" s="116" t="s">
        <v>245</v>
      </c>
      <c r="J669" s="116" t="s">
        <v>217</v>
      </c>
      <c r="K669" s="116" t="s">
        <v>218</v>
      </c>
    </row>
    <row r="670" spans="1:11" ht="17.25" x14ac:dyDescent="0.35">
      <c r="B670" s="400" t="s">
        <v>1283</v>
      </c>
      <c r="C670" s="152" t="s">
        <v>1284</v>
      </c>
      <c r="D670" s="152" t="s">
        <v>1285</v>
      </c>
      <c r="E670" s="107" t="s">
        <v>265</v>
      </c>
      <c r="F670" s="108">
        <v>12.5</v>
      </c>
      <c r="G670" s="57">
        <v>15</v>
      </c>
      <c r="H670" s="65">
        <v>3</v>
      </c>
      <c r="I670" s="69">
        <f>IF(G670="","",SUM(G670:H670))</f>
        <v>18</v>
      </c>
      <c r="J670" s="64">
        <f>IF(G670="","",ROUNDUP(G670*0.65,0))</f>
        <v>10</v>
      </c>
      <c r="K670" s="64">
        <f>IF(G670="","",ROUNDUP(G670*0.55,0))</f>
        <v>9</v>
      </c>
    </row>
    <row r="671" spans="1:11" ht="17.25" x14ac:dyDescent="0.35">
      <c r="B671" s="400" t="s">
        <v>1286</v>
      </c>
      <c r="C671" s="152" t="s">
        <v>1287</v>
      </c>
      <c r="D671" s="152" t="s">
        <v>1285</v>
      </c>
      <c r="E671" s="107" t="s">
        <v>265</v>
      </c>
      <c r="F671" s="108">
        <v>12.5</v>
      </c>
      <c r="G671" s="57">
        <v>15</v>
      </c>
      <c r="H671" s="65">
        <v>2</v>
      </c>
      <c r="I671" s="69">
        <f t="shared" ref="I671:I677" si="105">IF(G671="","",SUM(G671:H671))</f>
        <v>17</v>
      </c>
      <c r="J671" s="64">
        <f t="shared" ref="J671:J685" si="106">IF(G671="","",ROUNDUP(G671*0.65,0))</f>
        <v>10</v>
      </c>
      <c r="K671" s="64">
        <f t="shared" ref="K671:K685" si="107">IF(G671="","",ROUNDUP(G671*0.55,0))</f>
        <v>9</v>
      </c>
    </row>
    <row r="672" spans="1:11" ht="17.25" x14ac:dyDescent="0.35">
      <c r="B672" s="400" t="s">
        <v>1288</v>
      </c>
      <c r="C672" s="152" t="s">
        <v>1289</v>
      </c>
      <c r="D672" s="152" t="s">
        <v>1175</v>
      </c>
      <c r="E672" s="107" t="s">
        <v>55</v>
      </c>
      <c r="F672" s="333">
        <v>14</v>
      </c>
      <c r="G672" s="57">
        <v>18</v>
      </c>
      <c r="H672" s="65">
        <v>2</v>
      </c>
      <c r="I672" s="69">
        <f t="shared" si="105"/>
        <v>20</v>
      </c>
      <c r="J672" s="64">
        <f t="shared" si="106"/>
        <v>12</v>
      </c>
      <c r="K672" s="64">
        <f t="shared" si="107"/>
        <v>10</v>
      </c>
    </row>
    <row r="673" spans="1:11" ht="17.25" x14ac:dyDescent="0.35">
      <c r="B673" s="400" t="s">
        <v>1290</v>
      </c>
      <c r="C673" s="152" t="s">
        <v>1291</v>
      </c>
      <c r="D673" s="152" t="s">
        <v>1279</v>
      </c>
      <c r="E673" s="107" t="s">
        <v>1019</v>
      </c>
      <c r="F673" s="108">
        <v>16.5</v>
      </c>
      <c r="G673" s="57">
        <v>12</v>
      </c>
      <c r="H673" s="65">
        <v>3</v>
      </c>
      <c r="I673" s="69">
        <f t="shared" si="105"/>
        <v>15</v>
      </c>
      <c r="J673" s="64">
        <f t="shared" si="106"/>
        <v>8</v>
      </c>
      <c r="K673" s="64">
        <f t="shared" si="107"/>
        <v>7</v>
      </c>
    </row>
    <row r="674" spans="1:11" ht="17.25" x14ac:dyDescent="0.35">
      <c r="B674" s="400" t="s">
        <v>1292</v>
      </c>
      <c r="C674" s="152" t="s">
        <v>1293</v>
      </c>
      <c r="D674" s="152" t="s">
        <v>1294</v>
      </c>
      <c r="E674" s="107" t="s">
        <v>179</v>
      </c>
      <c r="F674" s="108">
        <v>9.5</v>
      </c>
      <c r="G674" s="57">
        <v>16</v>
      </c>
      <c r="H674" s="65">
        <v>4</v>
      </c>
      <c r="I674" s="69">
        <f t="shared" si="105"/>
        <v>20</v>
      </c>
      <c r="J674" s="64">
        <f t="shared" si="106"/>
        <v>11</v>
      </c>
      <c r="K674" s="64">
        <f t="shared" si="107"/>
        <v>9</v>
      </c>
    </row>
    <row r="675" spans="1:11" ht="17.25" x14ac:dyDescent="0.35">
      <c r="B675" s="400" t="s">
        <v>1295</v>
      </c>
      <c r="C675" s="152" t="s">
        <v>1296</v>
      </c>
      <c r="D675" s="152" t="s">
        <v>1175</v>
      </c>
      <c r="E675" s="107" t="s">
        <v>265</v>
      </c>
      <c r="F675" s="108">
        <v>12.5</v>
      </c>
      <c r="G675" s="57">
        <v>16</v>
      </c>
      <c r="H675" s="65">
        <v>4</v>
      </c>
      <c r="I675" s="69">
        <f t="shared" si="105"/>
        <v>20</v>
      </c>
      <c r="J675" s="64">
        <f t="shared" si="106"/>
        <v>11</v>
      </c>
      <c r="K675" s="64">
        <f t="shared" si="107"/>
        <v>9</v>
      </c>
    </row>
    <row r="676" spans="1:11" ht="17.25" x14ac:dyDescent="0.35">
      <c r="B676" s="400" t="s">
        <v>1297</v>
      </c>
      <c r="C676" s="152" t="s">
        <v>1298</v>
      </c>
      <c r="D676" s="152" t="s">
        <v>1175</v>
      </c>
      <c r="E676" s="107" t="s">
        <v>265</v>
      </c>
      <c r="F676" s="108">
        <v>12.5</v>
      </c>
      <c r="G676" s="57">
        <v>18</v>
      </c>
      <c r="H676" s="65">
        <v>2</v>
      </c>
      <c r="I676" s="69">
        <f t="shared" si="105"/>
        <v>20</v>
      </c>
      <c r="J676" s="64">
        <f t="shared" si="106"/>
        <v>12</v>
      </c>
      <c r="K676" s="64">
        <f t="shared" si="107"/>
        <v>10</v>
      </c>
    </row>
    <row r="677" spans="1:11" ht="17.25" x14ac:dyDescent="0.35">
      <c r="B677" s="400" t="s">
        <v>1299</v>
      </c>
      <c r="C677" s="152" t="s">
        <v>1300</v>
      </c>
      <c r="D677" s="152" t="s">
        <v>1233</v>
      </c>
      <c r="E677" s="107" t="s">
        <v>55</v>
      </c>
      <c r="F677" s="333">
        <v>14</v>
      </c>
      <c r="G677" s="57">
        <v>22</v>
      </c>
      <c r="H677" s="65">
        <v>3</v>
      </c>
      <c r="I677" s="69">
        <f t="shared" si="105"/>
        <v>25</v>
      </c>
      <c r="J677" s="64">
        <f t="shared" si="106"/>
        <v>15</v>
      </c>
      <c r="K677" s="64">
        <f t="shared" si="107"/>
        <v>13</v>
      </c>
    </row>
    <row r="678" spans="1:11" ht="17.25" x14ac:dyDescent="0.2">
      <c r="B678" s="336"/>
      <c r="C678" s="99"/>
      <c r="D678" s="99"/>
      <c r="E678" s="107"/>
      <c r="F678" s="108"/>
      <c r="G678" s="57"/>
      <c r="H678" s="65"/>
      <c r="I678" s="69"/>
      <c r="J678" s="64" t="str">
        <f t="shared" si="106"/>
        <v/>
      </c>
      <c r="K678" s="64" t="str">
        <f t="shared" si="107"/>
        <v/>
      </c>
    </row>
    <row r="679" spans="1:11" ht="17.25" x14ac:dyDescent="0.2">
      <c r="B679" s="336"/>
      <c r="C679" s="99"/>
      <c r="D679" s="99"/>
      <c r="E679" s="107"/>
      <c r="F679" s="108"/>
      <c r="G679" s="57"/>
      <c r="H679" s="65"/>
      <c r="I679" s="69"/>
      <c r="J679" s="64" t="str">
        <f t="shared" si="106"/>
        <v/>
      </c>
      <c r="K679" s="64" t="str">
        <f t="shared" si="107"/>
        <v/>
      </c>
    </row>
    <row r="680" spans="1:11" ht="17.25" x14ac:dyDescent="0.2">
      <c r="B680" s="336"/>
      <c r="C680" s="99"/>
      <c r="D680" s="99"/>
      <c r="E680" s="107"/>
      <c r="F680" s="108"/>
      <c r="G680" s="57"/>
      <c r="H680" s="65"/>
      <c r="I680" s="69"/>
      <c r="J680" s="64" t="str">
        <f t="shared" si="106"/>
        <v/>
      </c>
      <c r="K680" s="64" t="str">
        <f t="shared" si="107"/>
        <v/>
      </c>
    </row>
    <row r="681" spans="1:11" ht="17.25" x14ac:dyDescent="0.2">
      <c r="B681" s="336"/>
      <c r="C681" s="99"/>
      <c r="D681" s="99"/>
      <c r="E681" s="107"/>
      <c r="F681" s="108"/>
      <c r="G681" s="57"/>
      <c r="H681" s="65"/>
      <c r="I681" s="69"/>
      <c r="J681" s="64" t="str">
        <f t="shared" si="106"/>
        <v/>
      </c>
      <c r="K681" s="64" t="str">
        <f t="shared" si="107"/>
        <v/>
      </c>
    </row>
    <row r="682" spans="1:11" ht="17.25" x14ac:dyDescent="0.2">
      <c r="B682" s="336"/>
      <c r="C682" s="99"/>
      <c r="D682" s="99"/>
      <c r="E682" s="107"/>
      <c r="F682" s="108"/>
      <c r="G682" s="57"/>
      <c r="H682" s="65"/>
      <c r="I682" s="69"/>
      <c r="J682" s="64" t="str">
        <f t="shared" si="106"/>
        <v/>
      </c>
      <c r="K682" s="64" t="str">
        <f t="shared" si="107"/>
        <v/>
      </c>
    </row>
    <row r="683" spans="1:11" ht="17.25" x14ac:dyDescent="0.2">
      <c r="B683" s="336"/>
      <c r="C683" s="99"/>
      <c r="D683" s="99"/>
      <c r="E683" s="107"/>
      <c r="F683" s="108"/>
      <c r="G683" s="57"/>
      <c r="H683" s="65"/>
      <c r="I683" s="69"/>
      <c r="J683" s="64" t="str">
        <f t="shared" si="106"/>
        <v/>
      </c>
      <c r="K683" s="64" t="str">
        <f t="shared" si="107"/>
        <v/>
      </c>
    </row>
    <row r="684" spans="1:11" ht="17.25" x14ac:dyDescent="0.2">
      <c r="B684" s="336"/>
      <c r="C684" s="99"/>
      <c r="D684" s="99"/>
      <c r="E684" s="107"/>
      <c r="F684" s="108"/>
      <c r="G684" s="57"/>
      <c r="H684" s="65"/>
      <c r="I684" s="69"/>
      <c r="J684" s="64" t="str">
        <f t="shared" si="106"/>
        <v/>
      </c>
      <c r="K684" s="64" t="str">
        <f t="shared" si="107"/>
        <v/>
      </c>
    </row>
    <row r="685" spans="1:11" ht="17.25" x14ac:dyDescent="0.2">
      <c r="B685" s="336"/>
      <c r="C685" s="99"/>
      <c r="D685" s="99"/>
      <c r="E685" s="107"/>
      <c r="F685" s="108"/>
      <c r="G685" s="57"/>
      <c r="H685" s="65"/>
      <c r="I685" s="69"/>
      <c r="J685" s="64" t="str">
        <f t="shared" si="106"/>
        <v/>
      </c>
      <c r="K685" s="64" t="str">
        <f t="shared" si="107"/>
        <v/>
      </c>
    </row>
    <row r="686" spans="1:11" ht="18" customHeight="1" x14ac:dyDescent="0.2">
      <c r="B686" s="561" t="s">
        <v>22</v>
      </c>
      <c r="C686" s="561" t="s">
        <v>177</v>
      </c>
      <c r="D686" s="561" t="s">
        <v>243</v>
      </c>
      <c r="E686" s="561" t="s">
        <v>23</v>
      </c>
      <c r="F686" s="562" t="s">
        <v>234</v>
      </c>
      <c r="G686" s="562"/>
      <c r="H686" s="562"/>
      <c r="I686" s="562"/>
      <c r="J686" s="562"/>
      <c r="K686" s="562"/>
    </row>
    <row r="687" spans="1:11" ht="21" x14ac:dyDescent="0.2">
      <c r="A687" s="114" t="s">
        <v>1049</v>
      </c>
      <c r="B687" s="434" t="s">
        <v>2712</v>
      </c>
      <c r="C687" s="115" t="s">
        <v>498</v>
      </c>
      <c r="D687" s="114" t="s">
        <v>639</v>
      </c>
      <c r="E687" s="329" t="str">
        <f>IF($O$39="","",$O$39)</f>
        <v>L 1 - METROP. MNR - M. NOVO</v>
      </c>
      <c r="F687" s="563">
        <f>IF(B687="","",VLOOKUP(E687,$O$2:$T$120,6,0))</f>
        <v>130244</v>
      </c>
      <c r="G687" s="564"/>
      <c r="H687" s="564"/>
      <c r="I687" s="564"/>
      <c r="J687" s="564"/>
      <c r="K687" s="565"/>
    </row>
    <row r="688" spans="1:11" ht="43.5" x14ac:dyDescent="0.2">
      <c r="A688" s="166" t="s">
        <v>779</v>
      </c>
      <c r="B688" s="116" t="s">
        <v>0</v>
      </c>
      <c r="C688" s="116" t="s">
        <v>20</v>
      </c>
      <c r="D688" s="116" t="s">
        <v>21</v>
      </c>
      <c r="E688" s="116" t="s">
        <v>1</v>
      </c>
      <c r="F688" s="117" t="s">
        <v>3</v>
      </c>
      <c r="G688" s="116" t="s">
        <v>216</v>
      </c>
      <c r="H688" s="180" t="s">
        <v>242</v>
      </c>
      <c r="I688" s="116" t="s">
        <v>245</v>
      </c>
      <c r="J688" s="116" t="s">
        <v>217</v>
      </c>
      <c r="K688" s="116" t="s">
        <v>218</v>
      </c>
    </row>
    <row r="689" spans="2:11" ht="17.25" x14ac:dyDescent="0.35">
      <c r="B689" s="401" t="s">
        <v>1301</v>
      </c>
      <c r="C689" s="152" t="s">
        <v>1302</v>
      </c>
      <c r="D689" s="152" t="s">
        <v>1303</v>
      </c>
      <c r="E689" s="107" t="s">
        <v>57</v>
      </c>
      <c r="F689" s="108">
        <v>23</v>
      </c>
      <c r="G689" s="57">
        <v>22</v>
      </c>
      <c r="H689" s="65">
        <v>3</v>
      </c>
      <c r="I689" s="69">
        <f>IF(G689="","",SUM(G689:H689))</f>
        <v>25</v>
      </c>
      <c r="J689" s="64">
        <f>IF(G689="","",ROUNDUP(G689*0.65,0))</f>
        <v>15</v>
      </c>
      <c r="K689" s="64">
        <f>IF(G689="","",ROUNDUP(G689*0.55,0))</f>
        <v>13</v>
      </c>
    </row>
    <row r="690" spans="2:11" ht="17.25" x14ac:dyDescent="0.35">
      <c r="B690" s="401" t="s">
        <v>1304</v>
      </c>
      <c r="C690" s="152" t="s">
        <v>1305</v>
      </c>
      <c r="D690" s="152" t="s">
        <v>1306</v>
      </c>
      <c r="E690" s="107" t="s">
        <v>265</v>
      </c>
      <c r="F690" s="108">
        <v>12.5</v>
      </c>
      <c r="G690" s="57">
        <v>22</v>
      </c>
      <c r="H690" s="65">
        <v>3</v>
      </c>
      <c r="I690" s="69">
        <f t="shared" ref="I690:I695" si="108">IF(G690="","",SUM(G690:H690))</f>
        <v>25</v>
      </c>
      <c r="J690" s="64">
        <f t="shared" ref="J690:J704" si="109">IF(G690="","",ROUNDUP(G690*0.65,0))</f>
        <v>15</v>
      </c>
      <c r="K690" s="64">
        <f t="shared" ref="K690:K704" si="110">IF(G690="","",ROUNDUP(G690*0.55,0))</f>
        <v>13</v>
      </c>
    </row>
    <row r="691" spans="2:11" ht="17.25" x14ac:dyDescent="0.35">
      <c r="B691" s="401" t="s">
        <v>1307</v>
      </c>
      <c r="C691" s="152" t="s">
        <v>1308</v>
      </c>
      <c r="D691" s="152" t="s">
        <v>1233</v>
      </c>
      <c r="E691" s="107" t="s">
        <v>265</v>
      </c>
      <c r="F691" s="108">
        <v>12.5</v>
      </c>
      <c r="G691" s="57">
        <v>21</v>
      </c>
      <c r="H691" s="65">
        <v>4</v>
      </c>
      <c r="I691" s="69">
        <f t="shared" si="108"/>
        <v>25</v>
      </c>
      <c r="J691" s="64">
        <f t="shared" si="109"/>
        <v>14</v>
      </c>
      <c r="K691" s="64">
        <f t="shared" si="110"/>
        <v>12</v>
      </c>
    </row>
    <row r="692" spans="2:11" ht="17.25" x14ac:dyDescent="0.35">
      <c r="B692" s="401" t="s">
        <v>1309</v>
      </c>
      <c r="C692" s="152" t="s">
        <v>1310</v>
      </c>
      <c r="D692" s="152" t="s">
        <v>1218</v>
      </c>
      <c r="E692" s="107" t="s">
        <v>181</v>
      </c>
      <c r="F692" s="108">
        <v>20.5</v>
      </c>
      <c r="G692" s="57">
        <v>26</v>
      </c>
      <c r="H692" s="65">
        <v>4</v>
      </c>
      <c r="I692" s="69">
        <f t="shared" si="108"/>
        <v>30</v>
      </c>
      <c r="J692" s="64">
        <f t="shared" si="109"/>
        <v>17</v>
      </c>
      <c r="K692" s="64">
        <f t="shared" si="110"/>
        <v>15</v>
      </c>
    </row>
    <row r="693" spans="2:11" ht="17.25" x14ac:dyDescent="0.35">
      <c r="B693" s="401" t="s">
        <v>1311</v>
      </c>
      <c r="C693" s="152" t="s">
        <v>1312</v>
      </c>
      <c r="D693" s="152" t="s">
        <v>1279</v>
      </c>
      <c r="E693" s="107" t="s">
        <v>1019</v>
      </c>
      <c r="F693" s="108">
        <v>16.5</v>
      </c>
      <c r="G693" s="57">
        <v>16</v>
      </c>
      <c r="H693" s="65">
        <v>4</v>
      </c>
      <c r="I693" s="69">
        <f t="shared" si="108"/>
        <v>20</v>
      </c>
      <c r="J693" s="64">
        <f t="shared" si="109"/>
        <v>11</v>
      </c>
      <c r="K693" s="64">
        <f t="shared" si="110"/>
        <v>9</v>
      </c>
    </row>
    <row r="694" spans="2:11" ht="17.25" x14ac:dyDescent="0.35">
      <c r="B694" s="401" t="s">
        <v>1313</v>
      </c>
      <c r="C694" s="152" t="s">
        <v>1314</v>
      </c>
      <c r="D694" s="152" t="s">
        <v>1214</v>
      </c>
      <c r="E694" s="107" t="s">
        <v>179</v>
      </c>
      <c r="F694" s="108">
        <v>9.5</v>
      </c>
      <c r="G694" s="57">
        <v>16</v>
      </c>
      <c r="H694" s="65">
        <v>4</v>
      </c>
      <c r="I694" s="69">
        <f t="shared" si="108"/>
        <v>20</v>
      </c>
      <c r="J694" s="64">
        <f t="shared" si="109"/>
        <v>11</v>
      </c>
      <c r="K694" s="64">
        <f t="shared" si="110"/>
        <v>9</v>
      </c>
    </row>
    <row r="695" spans="2:11" ht="17.25" x14ac:dyDescent="0.35">
      <c r="B695" s="401" t="s">
        <v>1315</v>
      </c>
      <c r="C695" s="152" t="s">
        <v>1316</v>
      </c>
      <c r="D695" s="152" t="s">
        <v>1210</v>
      </c>
      <c r="E695" s="107" t="s">
        <v>265</v>
      </c>
      <c r="F695" s="108">
        <v>12.5</v>
      </c>
      <c r="G695" s="57">
        <v>24</v>
      </c>
      <c r="H695" s="65">
        <v>3</v>
      </c>
      <c r="I695" s="69">
        <f t="shared" si="108"/>
        <v>27</v>
      </c>
      <c r="J695" s="64">
        <f t="shared" si="109"/>
        <v>16</v>
      </c>
      <c r="K695" s="64">
        <f t="shared" si="110"/>
        <v>14</v>
      </c>
    </row>
    <row r="696" spans="2:11" ht="17.25" x14ac:dyDescent="0.35">
      <c r="B696" s="401" t="s">
        <v>1317</v>
      </c>
      <c r="C696" s="152" t="s">
        <v>1318</v>
      </c>
      <c r="D696" s="152" t="s">
        <v>1212</v>
      </c>
      <c r="E696" s="107" t="s">
        <v>265</v>
      </c>
      <c r="F696" s="108">
        <v>12.5</v>
      </c>
      <c r="G696" s="57">
        <v>21</v>
      </c>
      <c r="H696" s="65">
        <v>2</v>
      </c>
      <c r="I696" s="69"/>
      <c r="J696" s="64">
        <f t="shared" si="109"/>
        <v>14</v>
      </c>
      <c r="K696" s="64">
        <f t="shared" si="110"/>
        <v>12</v>
      </c>
    </row>
    <row r="697" spans="2:11" ht="17.25" x14ac:dyDescent="0.2">
      <c r="B697" s="338"/>
      <c r="C697" s="109"/>
      <c r="D697" s="109"/>
      <c r="E697" s="107"/>
      <c r="F697" s="108"/>
      <c r="G697" s="64"/>
      <c r="H697" s="65"/>
      <c r="I697" s="69"/>
      <c r="J697" s="64" t="str">
        <f t="shared" si="109"/>
        <v/>
      </c>
      <c r="K697" s="64" t="str">
        <f t="shared" si="110"/>
        <v/>
      </c>
    </row>
    <row r="698" spans="2:11" ht="17.25" x14ac:dyDescent="0.2">
      <c r="B698" s="338"/>
      <c r="C698" s="109"/>
      <c r="D698" s="109"/>
      <c r="E698" s="107"/>
      <c r="F698" s="108"/>
      <c r="G698" s="64"/>
      <c r="H698" s="65"/>
      <c r="I698" s="69"/>
      <c r="J698" s="64" t="str">
        <f t="shared" si="109"/>
        <v/>
      </c>
      <c r="K698" s="64" t="str">
        <f t="shared" si="110"/>
        <v/>
      </c>
    </row>
    <row r="699" spans="2:11" ht="17.25" x14ac:dyDescent="0.2">
      <c r="B699" s="338"/>
      <c r="C699" s="109"/>
      <c r="D699" s="109"/>
      <c r="E699" s="107"/>
      <c r="F699" s="108"/>
      <c r="G699" s="64"/>
      <c r="H699" s="65"/>
      <c r="I699" s="69"/>
      <c r="J699" s="64" t="str">
        <f t="shared" si="109"/>
        <v/>
      </c>
      <c r="K699" s="64" t="str">
        <f t="shared" si="110"/>
        <v/>
      </c>
    </row>
    <row r="700" spans="2:11" ht="17.25" x14ac:dyDescent="0.2">
      <c r="B700" s="338"/>
      <c r="C700" s="109"/>
      <c r="D700" s="109"/>
      <c r="E700" s="107"/>
      <c r="F700" s="108"/>
      <c r="G700" s="64"/>
      <c r="H700" s="65"/>
      <c r="I700" s="69"/>
      <c r="J700" s="64" t="str">
        <f t="shared" si="109"/>
        <v/>
      </c>
      <c r="K700" s="64" t="str">
        <f t="shared" si="110"/>
        <v/>
      </c>
    </row>
    <row r="701" spans="2:11" ht="17.25" x14ac:dyDescent="0.2">
      <c r="B701" s="338"/>
      <c r="C701" s="109"/>
      <c r="D701" s="109"/>
      <c r="E701" s="107"/>
      <c r="F701" s="108"/>
      <c r="G701" s="64"/>
      <c r="H701" s="65"/>
      <c r="I701" s="69"/>
      <c r="J701" s="64" t="str">
        <f t="shared" si="109"/>
        <v/>
      </c>
      <c r="K701" s="64" t="str">
        <f t="shared" si="110"/>
        <v/>
      </c>
    </row>
    <row r="702" spans="2:11" ht="17.25" x14ac:dyDescent="0.2">
      <c r="B702" s="338"/>
      <c r="C702" s="109"/>
      <c r="D702" s="109"/>
      <c r="E702" s="107"/>
      <c r="F702" s="108"/>
      <c r="G702" s="64"/>
      <c r="H702" s="65"/>
      <c r="I702" s="69"/>
      <c r="J702" s="64" t="str">
        <f t="shared" si="109"/>
        <v/>
      </c>
      <c r="K702" s="64" t="str">
        <f t="shared" si="110"/>
        <v/>
      </c>
    </row>
    <row r="703" spans="2:11" ht="17.25" x14ac:dyDescent="0.2">
      <c r="B703" s="338"/>
      <c r="C703" s="109"/>
      <c r="D703" s="109"/>
      <c r="E703" s="107"/>
      <c r="F703" s="108"/>
      <c r="G703" s="64"/>
      <c r="H703" s="65"/>
      <c r="I703" s="69"/>
      <c r="J703" s="64" t="str">
        <f t="shared" si="109"/>
        <v/>
      </c>
      <c r="K703" s="64" t="str">
        <f t="shared" si="110"/>
        <v/>
      </c>
    </row>
    <row r="704" spans="2:11" ht="17.25" x14ac:dyDescent="0.2">
      <c r="B704" s="338"/>
      <c r="C704" s="109"/>
      <c r="D704" s="109"/>
      <c r="E704" s="107"/>
      <c r="F704" s="108"/>
      <c r="G704" s="64"/>
      <c r="H704" s="65"/>
      <c r="I704" s="69"/>
      <c r="J704" s="64" t="str">
        <f t="shared" si="109"/>
        <v/>
      </c>
      <c r="K704" s="64" t="str">
        <f t="shared" si="110"/>
        <v/>
      </c>
    </row>
    <row r="705" spans="1:11" ht="18" customHeight="1" x14ac:dyDescent="0.2">
      <c r="B705" s="561" t="s">
        <v>22</v>
      </c>
      <c r="C705" s="561" t="s">
        <v>177</v>
      </c>
      <c r="D705" s="561" t="s">
        <v>243</v>
      </c>
      <c r="E705" s="561" t="s">
        <v>23</v>
      </c>
      <c r="F705" s="562" t="s">
        <v>234</v>
      </c>
      <c r="G705" s="562"/>
      <c r="H705" s="562"/>
      <c r="I705" s="562"/>
      <c r="J705" s="562"/>
      <c r="K705" s="562"/>
    </row>
    <row r="706" spans="1:11" ht="21" x14ac:dyDescent="0.2">
      <c r="A706" s="114" t="s">
        <v>1050</v>
      </c>
      <c r="B706" s="432" t="s">
        <v>1144</v>
      </c>
      <c r="C706" s="115" t="s">
        <v>573</v>
      </c>
      <c r="D706" s="114" t="s">
        <v>1266</v>
      </c>
      <c r="E706" s="329" t="str">
        <f>IF($O$40="","",$O$40)</f>
        <v>L 2 - METROP. MNR - M. NOVO</v>
      </c>
      <c r="F706" s="563">
        <f>IF(B706="","",VLOOKUP(E706,$O$2:$T$120,6,0))</f>
        <v>72099</v>
      </c>
      <c r="G706" s="564"/>
      <c r="H706" s="564"/>
      <c r="I706" s="564"/>
      <c r="J706" s="564"/>
      <c r="K706" s="565"/>
    </row>
    <row r="707" spans="1:11" ht="43.5" x14ac:dyDescent="0.2">
      <c r="A707" s="166" t="s">
        <v>779</v>
      </c>
      <c r="B707" s="116" t="s">
        <v>0</v>
      </c>
      <c r="C707" s="116" t="s">
        <v>20</v>
      </c>
      <c r="D707" s="116" t="s">
        <v>21</v>
      </c>
      <c r="E707" s="116" t="s">
        <v>1</v>
      </c>
      <c r="F707" s="117" t="s">
        <v>3</v>
      </c>
      <c r="G707" s="116" t="s">
        <v>216</v>
      </c>
      <c r="H707" s="180" t="s">
        <v>242</v>
      </c>
      <c r="I707" s="116" t="s">
        <v>245</v>
      </c>
      <c r="J707" s="116" t="s">
        <v>217</v>
      </c>
      <c r="K707" s="116" t="s">
        <v>218</v>
      </c>
    </row>
    <row r="708" spans="1:11" ht="17.25" x14ac:dyDescent="0.35">
      <c r="B708" s="401" t="s">
        <v>1319</v>
      </c>
      <c r="C708" s="152" t="s">
        <v>1320</v>
      </c>
      <c r="D708" s="152" t="s">
        <v>1210</v>
      </c>
      <c r="E708" s="107" t="s">
        <v>55</v>
      </c>
      <c r="F708" s="333">
        <v>14</v>
      </c>
      <c r="G708" s="57">
        <v>21</v>
      </c>
      <c r="H708" s="65">
        <v>4</v>
      </c>
      <c r="I708" s="69">
        <f>IF(G708="","",SUM(G708:H708))</f>
        <v>25</v>
      </c>
      <c r="J708" s="64">
        <f>IF(G708="","",ROUNDUP(G708*0.65,0))</f>
        <v>14</v>
      </c>
      <c r="K708" s="64">
        <f>IF(G708="","",ROUNDUP(G708*0.55,0))</f>
        <v>12</v>
      </c>
    </row>
    <row r="709" spans="1:11" ht="17.25" x14ac:dyDescent="0.35">
      <c r="B709" s="401" t="s">
        <v>1321</v>
      </c>
      <c r="C709" s="152" t="s">
        <v>1322</v>
      </c>
      <c r="D709" s="152" t="s">
        <v>1213</v>
      </c>
      <c r="E709" s="107" t="s">
        <v>179</v>
      </c>
      <c r="F709" s="108">
        <v>9.5</v>
      </c>
      <c r="G709" s="57">
        <v>12</v>
      </c>
      <c r="H709" s="65">
        <v>3</v>
      </c>
      <c r="I709" s="69">
        <f t="shared" ref="I709:I718" si="111">IF(G709="","",SUM(G709:H709))</f>
        <v>15</v>
      </c>
      <c r="J709" s="64">
        <f t="shared" ref="J709:J723" si="112">IF(G709="","",ROUNDUP(G709*0.65,0))</f>
        <v>8</v>
      </c>
      <c r="K709" s="64">
        <f t="shared" ref="K709:K723" si="113">IF(G709="","",ROUNDUP(G709*0.55,0))</f>
        <v>7</v>
      </c>
    </row>
    <row r="710" spans="1:11" ht="17.25" x14ac:dyDescent="0.35">
      <c r="B710" s="401" t="s">
        <v>1323</v>
      </c>
      <c r="C710" s="152" t="s">
        <v>1324</v>
      </c>
      <c r="D710" s="152" t="s">
        <v>1210</v>
      </c>
      <c r="E710" s="107" t="s">
        <v>265</v>
      </c>
      <c r="F710" s="108">
        <v>12.5</v>
      </c>
      <c r="G710" s="57">
        <v>12</v>
      </c>
      <c r="H710" s="65">
        <v>3</v>
      </c>
      <c r="I710" s="69">
        <f t="shared" si="111"/>
        <v>15</v>
      </c>
      <c r="J710" s="64">
        <f t="shared" si="112"/>
        <v>8</v>
      </c>
      <c r="K710" s="64">
        <f t="shared" si="113"/>
        <v>7</v>
      </c>
    </row>
    <row r="711" spans="1:11" ht="17.25" x14ac:dyDescent="0.35">
      <c r="B711" s="401" t="s">
        <v>1325</v>
      </c>
      <c r="C711" s="152" t="s">
        <v>1326</v>
      </c>
      <c r="D711" s="152" t="s">
        <v>1214</v>
      </c>
      <c r="E711" s="107" t="s">
        <v>265</v>
      </c>
      <c r="F711" s="108">
        <v>12.5</v>
      </c>
      <c r="G711" s="57">
        <v>12</v>
      </c>
      <c r="H711" s="65">
        <v>3</v>
      </c>
      <c r="I711" s="69">
        <f t="shared" si="111"/>
        <v>15</v>
      </c>
      <c r="J711" s="64">
        <f t="shared" si="112"/>
        <v>8</v>
      </c>
      <c r="K711" s="64">
        <f t="shared" si="113"/>
        <v>7</v>
      </c>
    </row>
    <row r="712" spans="1:11" ht="17.25" x14ac:dyDescent="0.35">
      <c r="B712" s="401" t="s">
        <v>1327</v>
      </c>
      <c r="C712" s="152" t="s">
        <v>1312</v>
      </c>
      <c r="D712" s="152" t="s">
        <v>1233</v>
      </c>
      <c r="E712" s="107" t="s">
        <v>181</v>
      </c>
      <c r="F712" s="108">
        <v>20.5</v>
      </c>
      <c r="G712" s="57">
        <v>16</v>
      </c>
      <c r="H712" s="65">
        <v>4</v>
      </c>
      <c r="I712" s="69">
        <f t="shared" si="111"/>
        <v>20</v>
      </c>
      <c r="J712" s="64">
        <f t="shared" si="112"/>
        <v>11</v>
      </c>
      <c r="K712" s="64">
        <f t="shared" si="113"/>
        <v>9</v>
      </c>
    </row>
    <row r="713" spans="1:11" ht="17.25" x14ac:dyDescent="0.35">
      <c r="B713" s="401" t="s">
        <v>1328</v>
      </c>
      <c r="C713" s="152" t="s">
        <v>1329</v>
      </c>
      <c r="D713" s="152" t="s">
        <v>1279</v>
      </c>
      <c r="E713" s="107" t="s">
        <v>1019</v>
      </c>
      <c r="F713" s="108">
        <v>16.5</v>
      </c>
      <c r="G713" s="57">
        <v>12</v>
      </c>
      <c r="H713" s="65">
        <v>3</v>
      </c>
      <c r="I713" s="69">
        <f t="shared" si="111"/>
        <v>15</v>
      </c>
      <c r="J713" s="64">
        <f t="shared" si="112"/>
        <v>8</v>
      </c>
      <c r="K713" s="64">
        <f t="shared" si="113"/>
        <v>7</v>
      </c>
    </row>
    <row r="714" spans="1:11" ht="17.25" x14ac:dyDescent="0.35">
      <c r="B714" s="401" t="s">
        <v>1330</v>
      </c>
      <c r="C714" s="152" t="s">
        <v>1331</v>
      </c>
      <c r="D714" s="152" t="s">
        <v>1213</v>
      </c>
      <c r="E714" s="107" t="s">
        <v>179</v>
      </c>
      <c r="F714" s="108">
        <v>9.5</v>
      </c>
      <c r="G714" s="57">
        <v>8</v>
      </c>
      <c r="H714" s="65">
        <v>2</v>
      </c>
      <c r="I714" s="69">
        <f t="shared" si="111"/>
        <v>10</v>
      </c>
      <c r="J714" s="64">
        <f t="shared" si="112"/>
        <v>6</v>
      </c>
      <c r="K714" s="64">
        <f t="shared" si="113"/>
        <v>5</v>
      </c>
    </row>
    <row r="715" spans="1:11" ht="17.25" x14ac:dyDescent="0.2">
      <c r="B715" s="339"/>
      <c r="C715" s="101"/>
      <c r="D715" s="101"/>
      <c r="E715" s="107"/>
      <c r="F715" s="108"/>
      <c r="G715" s="64"/>
      <c r="H715" s="65"/>
      <c r="I715" s="69" t="str">
        <f t="shared" si="111"/>
        <v/>
      </c>
      <c r="J715" s="64" t="str">
        <f t="shared" si="112"/>
        <v/>
      </c>
      <c r="K715" s="64" t="str">
        <f t="shared" si="113"/>
        <v/>
      </c>
    </row>
    <row r="716" spans="1:11" ht="17.25" x14ac:dyDescent="0.2">
      <c r="B716" s="339"/>
      <c r="C716" s="101"/>
      <c r="D716" s="101"/>
      <c r="E716" s="107"/>
      <c r="F716" s="108"/>
      <c r="G716" s="64"/>
      <c r="H716" s="65"/>
      <c r="I716" s="69" t="str">
        <f t="shared" si="111"/>
        <v/>
      </c>
      <c r="J716" s="64" t="str">
        <f t="shared" si="112"/>
        <v/>
      </c>
      <c r="K716" s="64" t="str">
        <f t="shared" si="113"/>
        <v/>
      </c>
    </row>
    <row r="717" spans="1:11" ht="17.25" x14ac:dyDescent="0.2">
      <c r="B717" s="339"/>
      <c r="C717" s="101"/>
      <c r="D717" s="101"/>
      <c r="E717" s="107"/>
      <c r="F717" s="108"/>
      <c r="G717" s="64"/>
      <c r="H717" s="65"/>
      <c r="I717" s="69" t="str">
        <f t="shared" si="111"/>
        <v/>
      </c>
      <c r="J717" s="64" t="str">
        <f t="shared" si="112"/>
        <v/>
      </c>
      <c r="K717" s="64" t="str">
        <f t="shared" si="113"/>
        <v/>
      </c>
    </row>
    <row r="718" spans="1:11" ht="17.25" x14ac:dyDescent="0.2">
      <c r="B718" s="339"/>
      <c r="C718" s="101"/>
      <c r="D718" s="101"/>
      <c r="E718" s="107"/>
      <c r="F718" s="108"/>
      <c r="G718" s="64"/>
      <c r="H718" s="65"/>
      <c r="I718" s="69" t="str">
        <f t="shared" si="111"/>
        <v/>
      </c>
      <c r="J718" s="64" t="str">
        <f t="shared" si="112"/>
        <v/>
      </c>
      <c r="K718" s="64" t="str">
        <f t="shared" si="113"/>
        <v/>
      </c>
    </row>
    <row r="719" spans="1:11" ht="17.25" x14ac:dyDescent="0.2">
      <c r="B719" s="339"/>
      <c r="C719" s="101"/>
      <c r="D719" s="101"/>
      <c r="E719" s="107"/>
      <c r="F719" s="108"/>
      <c r="G719" s="64"/>
      <c r="H719" s="65"/>
      <c r="I719" s="69"/>
      <c r="J719" s="64" t="str">
        <f t="shared" si="112"/>
        <v/>
      </c>
      <c r="K719" s="64" t="str">
        <f t="shared" si="113"/>
        <v/>
      </c>
    </row>
    <row r="720" spans="1:11" ht="17.25" x14ac:dyDescent="0.2">
      <c r="B720" s="339"/>
      <c r="C720" s="101"/>
      <c r="D720" s="101"/>
      <c r="E720" s="107"/>
      <c r="F720" s="108"/>
      <c r="G720" s="64"/>
      <c r="H720" s="65"/>
      <c r="I720" s="69"/>
      <c r="J720" s="64" t="str">
        <f t="shared" si="112"/>
        <v/>
      </c>
      <c r="K720" s="64" t="str">
        <f t="shared" si="113"/>
        <v/>
      </c>
    </row>
    <row r="721" spans="1:11" ht="17.25" x14ac:dyDescent="0.2">
      <c r="B721" s="339"/>
      <c r="C721" s="101"/>
      <c r="D721" s="101"/>
      <c r="E721" s="107"/>
      <c r="F721" s="108"/>
      <c r="G721" s="64"/>
      <c r="H721" s="65"/>
      <c r="I721" s="69"/>
      <c r="J721" s="64" t="str">
        <f t="shared" si="112"/>
        <v/>
      </c>
      <c r="K721" s="64" t="str">
        <f t="shared" si="113"/>
        <v/>
      </c>
    </row>
    <row r="722" spans="1:11" ht="17.25" x14ac:dyDescent="0.2">
      <c r="B722" s="339"/>
      <c r="C722" s="101"/>
      <c r="D722" s="101"/>
      <c r="E722" s="107"/>
      <c r="F722" s="108"/>
      <c r="G722" s="64"/>
      <c r="H722" s="65"/>
      <c r="I722" s="69"/>
      <c r="J722" s="64" t="str">
        <f t="shared" si="112"/>
        <v/>
      </c>
      <c r="K722" s="64" t="str">
        <f t="shared" si="113"/>
        <v/>
      </c>
    </row>
    <row r="723" spans="1:11" ht="17.25" x14ac:dyDescent="0.2">
      <c r="B723" s="339"/>
      <c r="C723" s="101"/>
      <c r="D723" s="101"/>
      <c r="E723" s="107"/>
      <c r="F723" s="108"/>
      <c r="G723" s="64"/>
      <c r="H723" s="65"/>
      <c r="I723" s="69"/>
      <c r="J723" s="64" t="str">
        <f t="shared" si="112"/>
        <v/>
      </c>
      <c r="K723" s="64" t="str">
        <f t="shared" si="113"/>
        <v/>
      </c>
    </row>
    <row r="724" spans="1:11" ht="18" customHeight="1" x14ac:dyDescent="0.2">
      <c r="B724" s="561" t="s">
        <v>22</v>
      </c>
      <c r="C724" s="561" t="s">
        <v>177</v>
      </c>
      <c r="D724" s="561" t="s">
        <v>243</v>
      </c>
      <c r="E724" s="561" t="s">
        <v>23</v>
      </c>
      <c r="F724" s="562" t="s">
        <v>234</v>
      </c>
      <c r="G724" s="562"/>
      <c r="H724" s="562"/>
      <c r="I724" s="562"/>
      <c r="J724" s="562"/>
      <c r="K724" s="562"/>
    </row>
    <row r="725" spans="1:11" ht="21" x14ac:dyDescent="0.2">
      <c r="A725" s="114" t="s">
        <v>1051</v>
      </c>
      <c r="B725" s="434" t="s">
        <v>2713</v>
      </c>
      <c r="C725" s="115" t="s">
        <v>498</v>
      </c>
      <c r="D725" s="114" t="s">
        <v>639</v>
      </c>
      <c r="E725" s="329" t="str">
        <f>IF($O$41="","",$O$41)</f>
        <v>L 1 - METROP. MNR - B. DO CPO</v>
      </c>
      <c r="F725" s="563">
        <f>IF(B725="","",VLOOKUP(E725,$O$2:$T$120,6,0))</f>
        <v>103110</v>
      </c>
      <c r="G725" s="564"/>
      <c r="H725" s="564"/>
      <c r="I725" s="564"/>
      <c r="J725" s="564"/>
      <c r="K725" s="565"/>
    </row>
    <row r="726" spans="1:11" ht="43.5" x14ac:dyDescent="0.2">
      <c r="A726" s="166" t="s">
        <v>779</v>
      </c>
      <c r="B726" s="116" t="s">
        <v>0</v>
      </c>
      <c r="C726" s="116" t="s">
        <v>20</v>
      </c>
      <c r="D726" s="116" t="s">
        <v>21</v>
      </c>
      <c r="E726" s="116" t="s">
        <v>1</v>
      </c>
      <c r="F726" s="117" t="s">
        <v>3</v>
      </c>
      <c r="G726" s="116" t="s">
        <v>216</v>
      </c>
      <c r="H726" s="180" t="s">
        <v>242</v>
      </c>
      <c r="I726" s="116" t="s">
        <v>245</v>
      </c>
      <c r="J726" s="116" t="s">
        <v>217</v>
      </c>
      <c r="K726" s="116" t="s">
        <v>218</v>
      </c>
    </row>
    <row r="727" spans="1:11" ht="17.25" x14ac:dyDescent="0.35">
      <c r="B727" s="402" t="s">
        <v>1332</v>
      </c>
      <c r="C727" s="152" t="s">
        <v>1333</v>
      </c>
      <c r="D727" s="152" t="s">
        <v>1334</v>
      </c>
      <c r="E727" s="107" t="s">
        <v>181</v>
      </c>
      <c r="F727" s="108">
        <v>20.5</v>
      </c>
      <c r="G727" s="57">
        <v>22</v>
      </c>
      <c r="H727" s="65">
        <v>3</v>
      </c>
      <c r="I727" s="69">
        <f>IF(G727="","",SUM(G727:H727))</f>
        <v>25</v>
      </c>
      <c r="J727" s="64">
        <f>IF(G727="","",ROUNDUP(G727*0.65,0))</f>
        <v>15</v>
      </c>
      <c r="K727" s="64">
        <f>IF(G727="","",ROUNDUP(G727*0.55,0))</f>
        <v>13</v>
      </c>
    </row>
    <row r="728" spans="1:11" ht="17.25" x14ac:dyDescent="0.35">
      <c r="B728" s="402" t="s">
        <v>1335</v>
      </c>
      <c r="C728" s="152" t="s">
        <v>1333</v>
      </c>
      <c r="D728" s="152" t="s">
        <v>1336</v>
      </c>
      <c r="E728" s="107" t="s">
        <v>57</v>
      </c>
      <c r="F728" s="108">
        <v>23</v>
      </c>
      <c r="G728" s="57">
        <v>22</v>
      </c>
      <c r="H728" s="65">
        <v>3</v>
      </c>
      <c r="I728" s="69">
        <f t="shared" ref="I728:I733" si="114">IF(G728="","",SUM(G728:H728))</f>
        <v>25</v>
      </c>
      <c r="J728" s="64">
        <f t="shared" ref="J728:J742" si="115">IF(G728="","",ROUNDUP(G728*0.65,0))</f>
        <v>15</v>
      </c>
      <c r="K728" s="64">
        <f t="shared" ref="K728:K742" si="116">IF(G728="","",ROUNDUP(G728*0.55,0))</f>
        <v>13</v>
      </c>
    </row>
    <row r="729" spans="1:11" ht="17.25" x14ac:dyDescent="0.35">
      <c r="B729" s="402" t="s">
        <v>1337</v>
      </c>
      <c r="C729" s="152" t="s">
        <v>1287</v>
      </c>
      <c r="D729" s="152" t="s">
        <v>1190</v>
      </c>
      <c r="E729" s="107" t="s">
        <v>265</v>
      </c>
      <c r="F729" s="108">
        <v>12.5</v>
      </c>
      <c r="G729" s="57">
        <v>20</v>
      </c>
      <c r="H729" s="65">
        <v>3</v>
      </c>
      <c r="I729" s="69">
        <f t="shared" si="114"/>
        <v>23</v>
      </c>
      <c r="J729" s="64">
        <f t="shared" si="115"/>
        <v>13</v>
      </c>
      <c r="K729" s="64">
        <f t="shared" si="116"/>
        <v>11</v>
      </c>
    </row>
    <row r="730" spans="1:11" ht="17.25" x14ac:dyDescent="0.35">
      <c r="B730" s="402" t="s">
        <v>1338</v>
      </c>
      <c r="C730" s="152" t="s">
        <v>1339</v>
      </c>
      <c r="D730" s="152" t="s">
        <v>1340</v>
      </c>
      <c r="E730" s="107" t="s">
        <v>265</v>
      </c>
      <c r="F730" s="108">
        <v>12.5</v>
      </c>
      <c r="G730" s="57">
        <v>20</v>
      </c>
      <c r="H730" s="65">
        <v>2</v>
      </c>
      <c r="I730" s="69">
        <f t="shared" si="114"/>
        <v>22</v>
      </c>
      <c r="J730" s="64">
        <f t="shared" si="115"/>
        <v>13</v>
      </c>
      <c r="K730" s="64">
        <f t="shared" si="116"/>
        <v>11</v>
      </c>
    </row>
    <row r="731" spans="1:11" ht="17.25" x14ac:dyDescent="0.35">
      <c r="B731" s="402" t="s">
        <v>1341</v>
      </c>
      <c r="C731" s="152" t="s">
        <v>1342</v>
      </c>
      <c r="D731" s="152" t="s">
        <v>1340</v>
      </c>
      <c r="E731" s="107" t="s">
        <v>265</v>
      </c>
      <c r="F731" s="108">
        <v>12.5</v>
      </c>
      <c r="G731" s="57">
        <v>22</v>
      </c>
      <c r="H731" s="65">
        <v>3</v>
      </c>
      <c r="I731" s="69">
        <f t="shared" si="114"/>
        <v>25</v>
      </c>
      <c r="J731" s="64">
        <f t="shared" si="115"/>
        <v>15</v>
      </c>
      <c r="K731" s="64">
        <f t="shared" si="116"/>
        <v>13</v>
      </c>
    </row>
    <row r="732" spans="1:11" ht="17.25" x14ac:dyDescent="0.35">
      <c r="B732" s="402" t="s">
        <v>1343</v>
      </c>
      <c r="C732" s="152" t="s">
        <v>1344</v>
      </c>
      <c r="D732" s="152" t="s">
        <v>1181</v>
      </c>
      <c r="E732" s="107" t="s">
        <v>56</v>
      </c>
      <c r="F732" s="333">
        <v>17.5</v>
      </c>
      <c r="G732" s="57">
        <v>27</v>
      </c>
      <c r="H732" s="65">
        <v>3</v>
      </c>
      <c r="I732" s="69">
        <f t="shared" si="114"/>
        <v>30</v>
      </c>
      <c r="J732" s="64">
        <f t="shared" si="115"/>
        <v>18</v>
      </c>
      <c r="K732" s="64">
        <f t="shared" si="116"/>
        <v>15</v>
      </c>
    </row>
    <row r="733" spans="1:11" ht="17.25" x14ac:dyDescent="0.2">
      <c r="B733" s="340"/>
      <c r="C733" s="100"/>
      <c r="D733" s="100"/>
      <c r="E733" s="107"/>
      <c r="F733" s="108"/>
      <c r="G733" s="57"/>
      <c r="H733" s="65"/>
      <c r="I733" s="69" t="str">
        <f t="shared" si="114"/>
        <v/>
      </c>
      <c r="J733" s="64" t="str">
        <f t="shared" si="115"/>
        <v/>
      </c>
      <c r="K733" s="64" t="str">
        <f t="shared" si="116"/>
        <v/>
      </c>
    </row>
    <row r="734" spans="1:11" ht="17.25" x14ac:dyDescent="0.2">
      <c r="B734" s="340"/>
      <c r="C734" s="100"/>
      <c r="D734" s="100"/>
      <c r="E734" s="107"/>
      <c r="F734" s="108"/>
      <c r="G734" s="57"/>
      <c r="H734" s="65"/>
      <c r="I734" s="69"/>
      <c r="J734" s="64" t="str">
        <f t="shared" si="115"/>
        <v/>
      </c>
      <c r="K734" s="64" t="str">
        <f t="shared" si="116"/>
        <v/>
      </c>
    </row>
    <row r="735" spans="1:11" ht="17.25" x14ac:dyDescent="0.2">
      <c r="B735" s="340"/>
      <c r="C735" s="100"/>
      <c r="D735" s="100"/>
      <c r="E735" s="107"/>
      <c r="F735" s="108"/>
      <c r="G735" s="57"/>
      <c r="H735" s="65"/>
      <c r="I735" s="69"/>
      <c r="J735" s="64" t="str">
        <f t="shared" si="115"/>
        <v/>
      </c>
      <c r="K735" s="64" t="str">
        <f t="shared" si="116"/>
        <v/>
      </c>
    </row>
    <row r="736" spans="1:11" ht="17.25" x14ac:dyDescent="0.2">
      <c r="B736" s="340"/>
      <c r="C736" s="100"/>
      <c r="D736" s="100"/>
      <c r="E736" s="107"/>
      <c r="F736" s="108"/>
      <c r="G736" s="57"/>
      <c r="H736" s="65"/>
      <c r="I736" s="69"/>
      <c r="J736" s="64" t="str">
        <f t="shared" si="115"/>
        <v/>
      </c>
      <c r="K736" s="64" t="str">
        <f t="shared" si="116"/>
        <v/>
      </c>
    </row>
    <row r="737" spans="1:11" ht="17.25" x14ac:dyDescent="0.2">
      <c r="B737" s="340"/>
      <c r="C737" s="100"/>
      <c r="D737" s="100"/>
      <c r="E737" s="107"/>
      <c r="F737" s="108"/>
      <c r="G737" s="57"/>
      <c r="H737" s="65"/>
      <c r="I737" s="69"/>
      <c r="J737" s="64" t="str">
        <f t="shared" si="115"/>
        <v/>
      </c>
      <c r="K737" s="64" t="str">
        <f t="shared" si="116"/>
        <v/>
      </c>
    </row>
    <row r="738" spans="1:11" ht="17.25" x14ac:dyDescent="0.2">
      <c r="B738" s="340"/>
      <c r="C738" s="100"/>
      <c r="D738" s="100"/>
      <c r="E738" s="107"/>
      <c r="F738" s="108"/>
      <c r="G738" s="57"/>
      <c r="H738" s="65"/>
      <c r="I738" s="69"/>
      <c r="J738" s="64" t="str">
        <f t="shared" si="115"/>
        <v/>
      </c>
      <c r="K738" s="64" t="str">
        <f t="shared" si="116"/>
        <v/>
      </c>
    </row>
    <row r="739" spans="1:11" ht="17.25" x14ac:dyDescent="0.2">
      <c r="B739" s="340"/>
      <c r="C739" s="100"/>
      <c r="D739" s="100"/>
      <c r="E739" s="107"/>
      <c r="F739" s="108"/>
      <c r="G739" s="57"/>
      <c r="H739" s="65"/>
      <c r="I739" s="69"/>
      <c r="J739" s="64" t="str">
        <f t="shared" si="115"/>
        <v/>
      </c>
      <c r="K739" s="64" t="str">
        <f t="shared" si="116"/>
        <v/>
      </c>
    </row>
    <row r="740" spans="1:11" ht="17.25" x14ac:dyDescent="0.2">
      <c r="B740" s="340"/>
      <c r="C740" s="100"/>
      <c r="D740" s="100"/>
      <c r="E740" s="107"/>
      <c r="F740" s="108"/>
      <c r="G740" s="57"/>
      <c r="H740" s="65"/>
      <c r="I740" s="69"/>
      <c r="J740" s="64" t="str">
        <f t="shared" si="115"/>
        <v/>
      </c>
      <c r="K740" s="64" t="str">
        <f t="shared" si="116"/>
        <v/>
      </c>
    </row>
    <row r="741" spans="1:11" ht="17.25" x14ac:dyDescent="0.2">
      <c r="B741" s="340"/>
      <c r="C741" s="100"/>
      <c r="D741" s="100"/>
      <c r="E741" s="107"/>
      <c r="F741" s="108"/>
      <c r="G741" s="57"/>
      <c r="H741" s="65"/>
      <c r="I741" s="69"/>
      <c r="J741" s="64" t="str">
        <f t="shared" si="115"/>
        <v/>
      </c>
      <c r="K741" s="64" t="str">
        <f t="shared" si="116"/>
        <v/>
      </c>
    </row>
    <row r="742" spans="1:11" ht="17.25" x14ac:dyDescent="0.2">
      <c r="B742" s="340"/>
      <c r="C742" s="100"/>
      <c r="D742" s="100"/>
      <c r="E742" s="107"/>
      <c r="F742" s="108"/>
      <c r="G742" s="57"/>
      <c r="H742" s="65"/>
      <c r="I742" s="69"/>
      <c r="J742" s="64" t="str">
        <f t="shared" si="115"/>
        <v/>
      </c>
      <c r="K742" s="64" t="str">
        <f t="shared" si="116"/>
        <v/>
      </c>
    </row>
    <row r="743" spans="1:11" ht="18" customHeight="1" x14ac:dyDescent="0.2">
      <c r="B743" s="561" t="s">
        <v>22</v>
      </c>
      <c r="C743" s="561" t="s">
        <v>177</v>
      </c>
      <c r="D743" s="561" t="s">
        <v>243</v>
      </c>
      <c r="E743" s="561" t="s">
        <v>23</v>
      </c>
      <c r="F743" s="562" t="s">
        <v>234</v>
      </c>
      <c r="G743" s="562"/>
      <c r="H743" s="562"/>
      <c r="I743" s="562"/>
      <c r="J743" s="562"/>
      <c r="K743" s="562"/>
    </row>
    <row r="744" spans="1:11" ht="21" x14ac:dyDescent="0.2">
      <c r="A744" s="114" t="s">
        <v>1052</v>
      </c>
      <c r="B744" s="587" t="s">
        <v>2640</v>
      </c>
      <c r="C744" s="115" t="s">
        <v>536</v>
      </c>
      <c r="D744" s="114" t="s">
        <v>1282</v>
      </c>
      <c r="E744" s="329" t="str">
        <f>IF($O$42="","",$O$42)</f>
        <v>L 2  - METROP. MNR - B. DO CPO</v>
      </c>
      <c r="F744" s="563">
        <f>IF(B744="","",VLOOKUP(E744,$O$2:$T$120,6,0))</f>
        <v>100783</v>
      </c>
      <c r="G744" s="564"/>
      <c r="H744" s="564"/>
      <c r="I744" s="564"/>
      <c r="J744" s="564"/>
      <c r="K744" s="565"/>
    </row>
    <row r="745" spans="1:11" ht="43.5" x14ac:dyDescent="0.2">
      <c r="A745" s="166" t="s">
        <v>779</v>
      </c>
      <c r="B745" s="116"/>
      <c r="C745" s="116"/>
      <c r="D745" s="116"/>
      <c r="E745" s="116" t="s">
        <v>1</v>
      </c>
      <c r="F745" s="117" t="s">
        <v>3</v>
      </c>
      <c r="G745" s="116" t="s">
        <v>216</v>
      </c>
      <c r="H745" s="180" t="s">
        <v>242</v>
      </c>
      <c r="I745" s="116" t="s">
        <v>245</v>
      </c>
      <c r="J745" s="116" t="s">
        <v>217</v>
      </c>
      <c r="K745" s="116" t="s">
        <v>218</v>
      </c>
    </row>
    <row r="746" spans="1:11" ht="17.25" x14ac:dyDescent="0.35">
      <c r="B746" s="402" t="s">
        <v>1345</v>
      </c>
      <c r="C746" s="152" t="s">
        <v>1346</v>
      </c>
      <c r="D746" s="152" t="s">
        <v>1190</v>
      </c>
      <c r="E746" s="107" t="s">
        <v>181</v>
      </c>
      <c r="F746" s="108">
        <v>20.5</v>
      </c>
      <c r="G746" s="57">
        <v>18</v>
      </c>
      <c r="H746" s="65">
        <v>2</v>
      </c>
      <c r="I746" s="69">
        <f>IF(G746="","",SUM(G746:H746))</f>
        <v>20</v>
      </c>
      <c r="J746" s="64">
        <f>IF(G746="","",ROUNDUP(G746*0.65,0))</f>
        <v>12</v>
      </c>
      <c r="K746" s="64">
        <f>IF(G746="","",ROUNDUP(G746*0.55,0))</f>
        <v>10</v>
      </c>
    </row>
    <row r="747" spans="1:11" ht="17.25" x14ac:dyDescent="0.35">
      <c r="B747" s="402" t="s">
        <v>1347</v>
      </c>
      <c r="C747" s="152" t="s">
        <v>1346</v>
      </c>
      <c r="D747" s="152" t="s">
        <v>1279</v>
      </c>
      <c r="E747" s="107" t="s">
        <v>1019</v>
      </c>
      <c r="F747" s="108">
        <v>16.5</v>
      </c>
      <c r="G747" s="57">
        <v>16</v>
      </c>
      <c r="H747" s="65">
        <v>4</v>
      </c>
      <c r="I747" s="69">
        <f t="shared" ref="I747:I752" si="117">IF(G747="","",SUM(G747:H747))</f>
        <v>20</v>
      </c>
      <c r="J747" s="64">
        <f t="shared" ref="J747:J761" si="118">IF(G747="","",ROUNDUP(G747*0.65,0))</f>
        <v>11</v>
      </c>
      <c r="K747" s="64">
        <f t="shared" ref="K747:K761" si="119">IF(G747="","",ROUNDUP(G747*0.55,0))</f>
        <v>9</v>
      </c>
    </row>
    <row r="748" spans="1:11" ht="17.25" x14ac:dyDescent="0.35">
      <c r="B748" s="402" t="s">
        <v>1348</v>
      </c>
      <c r="C748" s="152" t="s">
        <v>1349</v>
      </c>
      <c r="D748" s="152" t="s">
        <v>1204</v>
      </c>
      <c r="E748" s="107" t="s">
        <v>179</v>
      </c>
      <c r="F748" s="108">
        <v>9.5</v>
      </c>
      <c r="G748" s="57">
        <v>14</v>
      </c>
      <c r="H748" s="65">
        <v>3</v>
      </c>
      <c r="I748" s="69">
        <f t="shared" si="117"/>
        <v>17</v>
      </c>
      <c r="J748" s="64">
        <f t="shared" si="118"/>
        <v>10</v>
      </c>
      <c r="K748" s="64">
        <f t="shared" si="119"/>
        <v>8</v>
      </c>
    </row>
    <row r="749" spans="1:11" ht="17.25" x14ac:dyDescent="0.35">
      <c r="B749" s="402" t="s">
        <v>1350</v>
      </c>
      <c r="C749" s="152" t="s">
        <v>1351</v>
      </c>
      <c r="D749" s="152" t="s">
        <v>1352</v>
      </c>
      <c r="E749" s="107" t="s">
        <v>265</v>
      </c>
      <c r="F749" s="108">
        <v>12.5</v>
      </c>
      <c r="G749" s="57">
        <v>24</v>
      </c>
      <c r="H749" s="65">
        <v>4</v>
      </c>
      <c r="I749" s="69">
        <f t="shared" si="117"/>
        <v>28</v>
      </c>
      <c r="J749" s="64">
        <f t="shared" si="118"/>
        <v>16</v>
      </c>
      <c r="K749" s="64">
        <f t="shared" si="119"/>
        <v>14</v>
      </c>
    </row>
    <row r="750" spans="1:11" ht="17.25" x14ac:dyDescent="0.35">
      <c r="B750" s="402" t="s">
        <v>1353</v>
      </c>
      <c r="C750" s="152" t="s">
        <v>1354</v>
      </c>
      <c r="D750" s="152" t="s">
        <v>1204</v>
      </c>
      <c r="E750" s="107" t="s">
        <v>265</v>
      </c>
      <c r="F750" s="108">
        <v>12.5</v>
      </c>
      <c r="G750" s="57">
        <v>22</v>
      </c>
      <c r="H750" s="65">
        <v>3</v>
      </c>
      <c r="I750" s="69">
        <f t="shared" si="117"/>
        <v>25</v>
      </c>
      <c r="J750" s="64">
        <f t="shared" si="118"/>
        <v>15</v>
      </c>
      <c r="K750" s="64">
        <f t="shared" si="119"/>
        <v>13</v>
      </c>
    </row>
    <row r="751" spans="1:11" ht="17.25" x14ac:dyDescent="0.35">
      <c r="B751" s="402" t="s">
        <v>1355</v>
      </c>
      <c r="C751" s="152" t="s">
        <v>1356</v>
      </c>
      <c r="D751" s="152" t="s">
        <v>1181</v>
      </c>
      <c r="E751" s="107" t="s">
        <v>55</v>
      </c>
      <c r="F751" s="333">
        <v>14</v>
      </c>
      <c r="G751" s="57">
        <v>36</v>
      </c>
      <c r="H751" s="65">
        <v>4</v>
      </c>
      <c r="I751" s="69">
        <f t="shared" si="117"/>
        <v>40</v>
      </c>
      <c r="J751" s="64">
        <f t="shared" si="118"/>
        <v>24</v>
      </c>
      <c r="K751" s="64">
        <f t="shared" si="119"/>
        <v>20</v>
      </c>
    </row>
    <row r="752" spans="1:11" ht="17.25" x14ac:dyDescent="0.2">
      <c r="B752" s="341"/>
      <c r="C752" s="101"/>
      <c r="D752" s="101"/>
      <c r="E752" s="107"/>
      <c r="F752" s="108"/>
      <c r="G752" s="64"/>
      <c r="H752" s="65"/>
      <c r="I752" s="69" t="str">
        <f t="shared" si="117"/>
        <v/>
      </c>
      <c r="J752" s="64" t="str">
        <f t="shared" si="118"/>
        <v/>
      </c>
      <c r="K752" s="64" t="str">
        <f t="shared" si="119"/>
        <v/>
      </c>
    </row>
    <row r="753" spans="1:11" ht="17.25" x14ac:dyDescent="0.2">
      <c r="B753" s="341"/>
      <c r="C753" s="101"/>
      <c r="D753" s="101"/>
      <c r="E753" s="107"/>
      <c r="F753" s="108"/>
      <c r="G753" s="64"/>
      <c r="H753" s="65"/>
      <c r="I753" s="69"/>
      <c r="J753" s="64" t="str">
        <f t="shared" si="118"/>
        <v/>
      </c>
      <c r="K753" s="64" t="str">
        <f t="shared" si="119"/>
        <v/>
      </c>
    </row>
    <row r="754" spans="1:11" ht="17.25" x14ac:dyDescent="0.2">
      <c r="B754" s="341"/>
      <c r="C754" s="101"/>
      <c r="D754" s="101"/>
      <c r="E754" s="107"/>
      <c r="F754" s="108"/>
      <c r="G754" s="64"/>
      <c r="H754" s="65"/>
      <c r="I754" s="69"/>
      <c r="J754" s="64" t="str">
        <f t="shared" si="118"/>
        <v/>
      </c>
      <c r="K754" s="64" t="str">
        <f t="shared" si="119"/>
        <v/>
      </c>
    </row>
    <row r="755" spans="1:11" ht="17.25" x14ac:dyDescent="0.2">
      <c r="B755" s="341"/>
      <c r="C755" s="101"/>
      <c r="D755" s="101"/>
      <c r="E755" s="107"/>
      <c r="F755" s="108"/>
      <c r="G755" s="64"/>
      <c r="H755" s="65"/>
      <c r="I755" s="69"/>
      <c r="J755" s="64" t="str">
        <f t="shared" si="118"/>
        <v/>
      </c>
      <c r="K755" s="64" t="str">
        <f t="shared" si="119"/>
        <v/>
      </c>
    </row>
    <row r="756" spans="1:11" ht="17.25" x14ac:dyDescent="0.2">
      <c r="B756" s="341"/>
      <c r="C756" s="101"/>
      <c r="D756" s="101"/>
      <c r="E756" s="107"/>
      <c r="F756" s="108"/>
      <c r="G756" s="64"/>
      <c r="H756" s="65"/>
      <c r="I756" s="69"/>
      <c r="J756" s="64" t="str">
        <f t="shared" si="118"/>
        <v/>
      </c>
      <c r="K756" s="64" t="str">
        <f t="shared" si="119"/>
        <v/>
      </c>
    </row>
    <row r="757" spans="1:11" ht="17.25" x14ac:dyDescent="0.2">
      <c r="B757" s="341"/>
      <c r="C757" s="101"/>
      <c r="D757" s="101"/>
      <c r="E757" s="107"/>
      <c r="F757" s="108"/>
      <c r="G757" s="64"/>
      <c r="H757" s="65"/>
      <c r="I757" s="69"/>
      <c r="J757" s="64" t="str">
        <f t="shared" si="118"/>
        <v/>
      </c>
      <c r="K757" s="64" t="str">
        <f t="shared" si="119"/>
        <v/>
      </c>
    </row>
    <row r="758" spans="1:11" ht="17.25" x14ac:dyDescent="0.2">
      <c r="B758" s="341"/>
      <c r="C758" s="101"/>
      <c r="D758" s="101"/>
      <c r="E758" s="107"/>
      <c r="F758" s="108"/>
      <c r="G758" s="64"/>
      <c r="H758" s="65"/>
      <c r="I758" s="69"/>
      <c r="J758" s="64" t="str">
        <f t="shared" si="118"/>
        <v/>
      </c>
      <c r="K758" s="64" t="str">
        <f t="shared" si="119"/>
        <v/>
      </c>
    </row>
    <row r="759" spans="1:11" ht="17.25" x14ac:dyDescent="0.2">
      <c r="B759" s="341"/>
      <c r="C759" s="101"/>
      <c r="D759" s="101"/>
      <c r="E759" s="107"/>
      <c r="F759" s="108"/>
      <c r="G759" s="64"/>
      <c r="H759" s="65"/>
      <c r="I759" s="69"/>
      <c r="J759" s="64" t="str">
        <f t="shared" si="118"/>
        <v/>
      </c>
      <c r="K759" s="64" t="str">
        <f t="shared" si="119"/>
        <v/>
      </c>
    </row>
    <row r="760" spans="1:11" ht="17.25" x14ac:dyDescent="0.2">
      <c r="B760" s="341"/>
      <c r="C760" s="101"/>
      <c r="D760" s="101"/>
      <c r="E760" s="107"/>
      <c r="F760" s="108"/>
      <c r="G760" s="64"/>
      <c r="H760" s="65"/>
      <c r="I760" s="69"/>
      <c r="J760" s="64" t="str">
        <f t="shared" si="118"/>
        <v/>
      </c>
      <c r="K760" s="64" t="str">
        <f t="shared" si="119"/>
        <v/>
      </c>
    </row>
    <row r="761" spans="1:11" ht="17.25" x14ac:dyDescent="0.2">
      <c r="B761" s="341"/>
      <c r="C761" s="101"/>
      <c r="D761" s="101"/>
      <c r="E761" s="107"/>
      <c r="F761" s="108"/>
      <c r="G761" s="64"/>
      <c r="H761" s="65"/>
      <c r="I761" s="69"/>
      <c r="J761" s="64" t="str">
        <f t="shared" si="118"/>
        <v/>
      </c>
      <c r="K761" s="64" t="str">
        <f t="shared" si="119"/>
        <v/>
      </c>
    </row>
    <row r="762" spans="1:11" ht="18" customHeight="1" x14ac:dyDescent="0.2">
      <c r="B762" s="561" t="s">
        <v>22</v>
      </c>
      <c r="C762" s="561" t="s">
        <v>177</v>
      </c>
      <c r="D762" s="561" t="s">
        <v>243</v>
      </c>
      <c r="E762" s="561" t="s">
        <v>23</v>
      </c>
      <c r="F762" s="562" t="s">
        <v>234</v>
      </c>
      <c r="G762" s="562"/>
      <c r="H762" s="562"/>
      <c r="I762" s="562"/>
      <c r="J762" s="562"/>
      <c r="K762" s="562"/>
    </row>
    <row r="763" spans="1:11" ht="21" x14ac:dyDescent="0.2">
      <c r="A763" s="114" t="s">
        <v>1053</v>
      </c>
      <c r="B763" s="434" t="s">
        <v>1152</v>
      </c>
      <c r="C763" s="115" t="s">
        <v>498</v>
      </c>
      <c r="D763" s="114" t="s">
        <v>639</v>
      </c>
      <c r="E763" s="329" t="str">
        <f>IF($O$43="","",$O$43)</f>
        <v>L 3 - METROP. MNR - B. DO CPO</v>
      </c>
      <c r="F763" s="563">
        <f>IF(B763="","",VLOOKUP(E763,$O$2:$T$120,6,0))</f>
        <v>95357</v>
      </c>
      <c r="G763" s="564"/>
      <c r="H763" s="564"/>
      <c r="I763" s="564"/>
      <c r="J763" s="564"/>
      <c r="K763" s="565"/>
    </row>
    <row r="764" spans="1:11" ht="43.5" x14ac:dyDescent="0.2">
      <c r="A764" s="166" t="s">
        <v>779</v>
      </c>
      <c r="B764" s="116" t="s">
        <v>0</v>
      </c>
      <c r="C764" s="116" t="s">
        <v>20</v>
      </c>
      <c r="D764" s="116" t="s">
        <v>21</v>
      </c>
      <c r="E764" s="116" t="s">
        <v>1</v>
      </c>
      <c r="F764" s="117" t="s">
        <v>3</v>
      </c>
      <c r="G764" s="116" t="s">
        <v>216</v>
      </c>
      <c r="H764" s="180" t="s">
        <v>242</v>
      </c>
      <c r="I764" s="116" t="s">
        <v>245</v>
      </c>
      <c r="J764" s="116" t="s">
        <v>217</v>
      </c>
      <c r="K764" s="116" t="s">
        <v>218</v>
      </c>
    </row>
    <row r="765" spans="1:11" ht="17.25" x14ac:dyDescent="0.35">
      <c r="B765" s="402" t="s">
        <v>1357</v>
      </c>
      <c r="C765" s="152" t="s">
        <v>1346</v>
      </c>
      <c r="D765" s="152" t="s">
        <v>1210</v>
      </c>
      <c r="E765" s="107" t="s">
        <v>55</v>
      </c>
      <c r="F765" s="333">
        <v>14</v>
      </c>
      <c r="G765" s="57">
        <v>18</v>
      </c>
      <c r="H765" s="65">
        <v>2</v>
      </c>
      <c r="I765" s="69">
        <f>IF(G765="","",SUM(G765:H765))</f>
        <v>20</v>
      </c>
      <c r="J765" s="64">
        <f>IF(G765="","",ROUNDUP(G765*0.65,0))</f>
        <v>12</v>
      </c>
      <c r="K765" s="64">
        <f>IF(G765="","",ROUNDUP(G765*0.55,0))</f>
        <v>10</v>
      </c>
    </row>
    <row r="766" spans="1:11" ht="17.25" x14ac:dyDescent="0.35">
      <c r="B766" s="402" t="s">
        <v>1358</v>
      </c>
      <c r="C766" s="152" t="s">
        <v>1359</v>
      </c>
      <c r="D766" s="152" t="s">
        <v>1222</v>
      </c>
      <c r="E766" s="107" t="s">
        <v>179</v>
      </c>
      <c r="F766" s="108">
        <v>9.5</v>
      </c>
      <c r="G766" s="57">
        <v>16</v>
      </c>
      <c r="H766" s="65">
        <v>4</v>
      </c>
      <c r="I766" s="69">
        <f t="shared" ref="I766:I778" si="120">IF(G766="","",SUM(G766:H766))</f>
        <v>20</v>
      </c>
      <c r="J766" s="64">
        <f t="shared" ref="J766:J780" si="121">IF(G766="","",ROUNDUP(G766*0.65,0))</f>
        <v>11</v>
      </c>
      <c r="K766" s="64">
        <f t="shared" ref="K766:K780" si="122">IF(G766="","",ROUNDUP(G766*0.55,0))</f>
        <v>9</v>
      </c>
    </row>
    <row r="767" spans="1:11" ht="17.25" x14ac:dyDescent="0.35">
      <c r="B767" s="402" t="s">
        <v>1360</v>
      </c>
      <c r="C767" s="152" t="s">
        <v>1361</v>
      </c>
      <c r="D767" s="152" t="s">
        <v>507</v>
      </c>
      <c r="E767" s="107" t="s">
        <v>265</v>
      </c>
      <c r="F767" s="108">
        <v>12.5</v>
      </c>
      <c r="G767" s="57">
        <v>18</v>
      </c>
      <c r="H767" s="65">
        <v>3</v>
      </c>
      <c r="I767" s="69">
        <f t="shared" si="120"/>
        <v>21</v>
      </c>
      <c r="J767" s="64">
        <f t="shared" si="121"/>
        <v>12</v>
      </c>
      <c r="K767" s="64">
        <f t="shared" si="122"/>
        <v>10</v>
      </c>
    </row>
    <row r="768" spans="1:11" ht="17.25" x14ac:dyDescent="0.35">
      <c r="B768" s="402" t="s">
        <v>1362</v>
      </c>
      <c r="C768" s="152" t="s">
        <v>1363</v>
      </c>
      <c r="D768" s="152" t="s">
        <v>1210</v>
      </c>
      <c r="E768" s="107" t="s">
        <v>265</v>
      </c>
      <c r="F768" s="108">
        <v>12.5</v>
      </c>
      <c r="G768" s="57">
        <v>18</v>
      </c>
      <c r="H768" s="65">
        <v>3</v>
      </c>
      <c r="I768" s="69">
        <f t="shared" si="120"/>
        <v>21</v>
      </c>
      <c r="J768" s="64">
        <f t="shared" si="121"/>
        <v>12</v>
      </c>
      <c r="K768" s="64">
        <f t="shared" si="122"/>
        <v>10</v>
      </c>
    </row>
    <row r="769" spans="1:11" ht="17.25" x14ac:dyDescent="0.35">
      <c r="B769" s="402" t="s">
        <v>1364</v>
      </c>
      <c r="C769" s="152" t="s">
        <v>1365</v>
      </c>
      <c r="D769" s="152" t="s">
        <v>1210</v>
      </c>
      <c r="E769" s="107" t="s">
        <v>55</v>
      </c>
      <c r="F769" s="333">
        <v>14</v>
      </c>
      <c r="G769" s="57">
        <v>26</v>
      </c>
      <c r="H769" s="65">
        <v>3</v>
      </c>
      <c r="I769" s="69">
        <f t="shared" si="120"/>
        <v>29</v>
      </c>
      <c r="J769" s="64">
        <f t="shared" si="121"/>
        <v>17</v>
      </c>
      <c r="K769" s="64">
        <f t="shared" si="122"/>
        <v>15</v>
      </c>
    </row>
    <row r="770" spans="1:11" ht="17.25" x14ac:dyDescent="0.35">
      <c r="B770" s="402" t="s">
        <v>1366</v>
      </c>
      <c r="C770" s="152" t="s">
        <v>1367</v>
      </c>
      <c r="D770" s="152" t="s">
        <v>1279</v>
      </c>
      <c r="E770" s="107" t="s">
        <v>1019</v>
      </c>
      <c r="F770" s="108">
        <v>16.5</v>
      </c>
      <c r="G770" s="57">
        <v>16</v>
      </c>
      <c r="H770" s="65">
        <v>4</v>
      </c>
      <c r="I770" s="69">
        <f t="shared" si="120"/>
        <v>20</v>
      </c>
      <c r="J770" s="64">
        <f t="shared" si="121"/>
        <v>11</v>
      </c>
      <c r="K770" s="64">
        <f t="shared" si="122"/>
        <v>9</v>
      </c>
    </row>
    <row r="771" spans="1:11" ht="17.25" x14ac:dyDescent="0.35">
      <c r="B771" s="402" t="s">
        <v>1368</v>
      </c>
      <c r="C771" s="152" t="s">
        <v>1369</v>
      </c>
      <c r="D771" s="152" t="s">
        <v>507</v>
      </c>
      <c r="E771" s="107" t="s">
        <v>179</v>
      </c>
      <c r="F771" s="108">
        <v>9.5</v>
      </c>
      <c r="G771" s="57">
        <v>11</v>
      </c>
      <c r="H771" s="65">
        <v>3</v>
      </c>
      <c r="I771" s="69">
        <f t="shared" si="120"/>
        <v>14</v>
      </c>
      <c r="J771" s="64">
        <f t="shared" si="121"/>
        <v>8</v>
      </c>
      <c r="K771" s="64">
        <f t="shared" si="122"/>
        <v>7</v>
      </c>
    </row>
    <row r="772" spans="1:11" ht="17.25" x14ac:dyDescent="0.2">
      <c r="B772" s="343"/>
      <c r="C772" s="102"/>
      <c r="D772" s="102"/>
      <c r="E772" s="107"/>
      <c r="F772" s="108"/>
      <c r="G772" s="57"/>
      <c r="H772" s="65"/>
      <c r="I772" s="69" t="str">
        <f t="shared" si="120"/>
        <v/>
      </c>
      <c r="J772" s="64" t="str">
        <f t="shared" si="121"/>
        <v/>
      </c>
      <c r="K772" s="64" t="str">
        <f t="shared" si="122"/>
        <v/>
      </c>
    </row>
    <row r="773" spans="1:11" ht="17.25" x14ac:dyDescent="0.2">
      <c r="B773" s="343"/>
      <c r="C773" s="102"/>
      <c r="D773" s="110"/>
      <c r="E773" s="107"/>
      <c r="F773" s="108"/>
      <c r="G773" s="57"/>
      <c r="H773" s="65"/>
      <c r="I773" s="69" t="str">
        <f t="shared" si="120"/>
        <v/>
      </c>
      <c r="J773" s="64" t="str">
        <f t="shared" si="121"/>
        <v/>
      </c>
      <c r="K773" s="64" t="str">
        <f t="shared" si="122"/>
        <v/>
      </c>
    </row>
    <row r="774" spans="1:11" ht="17.25" x14ac:dyDescent="0.2">
      <c r="B774" s="343"/>
      <c r="C774" s="102"/>
      <c r="D774" s="110"/>
      <c r="E774" s="107"/>
      <c r="F774" s="108"/>
      <c r="G774" s="57"/>
      <c r="H774" s="65"/>
      <c r="I774" s="69" t="str">
        <f t="shared" si="120"/>
        <v/>
      </c>
      <c r="J774" s="64" t="str">
        <f t="shared" si="121"/>
        <v/>
      </c>
      <c r="K774" s="64" t="str">
        <f t="shared" si="122"/>
        <v/>
      </c>
    </row>
    <row r="775" spans="1:11" ht="17.25" x14ac:dyDescent="0.2">
      <c r="B775" s="343"/>
      <c r="C775" s="102"/>
      <c r="D775" s="102"/>
      <c r="E775" s="107"/>
      <c r="F775" s="108"/>
      <c r="G775" s="57"/>
      <c r="H775" s="65"/>
      <c r="I775" s="69" t="str">
        <f t="shared" si="120"/>
        <v/>
      </c>
      <c r="J775" s="64" t="str">
        <f t="shared" si="121"/>
        <v/>
      </c>
      <c r="K775" s="64" t="str">
        <f t="shared" si="122"/>
        <v/>
      </c>
    </row>
    <row r="776" spans="1:11" ht="17.25" x14ac:dyDescent="0.2">
      <c r="B776" s="343"/>
      <c r="C776" s="102"/>
      <c r="D776" s="102"/>
      <c r="E776" s="107"/>
      <c r="F776" s="108"/>
      <c r="G776" s="57"/>
      <c r="H776" s="65"/>
      <c r="I776" s="69" t="str">
        <f t="shared" si="120"/>
        <v/>
      </c>
      <c r="J776" s="64" t="str">
        <f t="shared" si="121"/>
        <v/>
      </c>
      <c r="K776" s="64" t="str">
        <f t="shared" si="122"/>
        <v/>
      </c>
    </row>
    <row r="777" spans="1:11" ht="17.25" x14ac:dyDescent="0.2">
      <c r="B777" s="343"/>
      <c r="C777" s="102"/>
      <c r="D777" s="102"/>
      <c r="E777" s="107"/>
      <c r="F777" s="108"/>
      <c r="G777" s="57"/>
      <c r="H777" s="65"/>
      <c r="I777" s="69" t="str">
        <f t="shared" si="120"/>
        <v/>
      </c>
      <c r="J777" s="64" t="str">
        <f t="shared" si="121"/>
        <v/>
      </c>
      <c r="K777" s="64" t="str">
        <f t="shared" si="122"/>
        <v/>
      </c>
    </row>
    <row r="778" spans="1:11" ht="17.25" x14ac:dyDescent="0.2">
      <c r="B778" s="343"/>
      <c r="C778" s="102"/>
      <c r="D778" s="102"/>
      <c r="E778" s="107"/>
      <c r="F778" s="108"/>
      <c r="G778" s="57"/>
      <c r="H778" s="65"/>
      <c r="I778" s="69" t="str">
        <f t="shared" si="120"/>
        <v/>
      </c>
      <c r="J778" s="64" t="str">
        <f t="shared" si="121"/>
        <v/>
      </c>
      <c r="K778" s="64" t="str">
        <f t="shared" si="122"/>
        <v/>
      </c>
    </row>
    <row r="779" spans="1:11" ht="17.25" x14ac:dyDescent="0.2">
      <c r="B779" s="343"/>
      <c r="C779" s="102"/>
      <c r="D779" s="102"/>
      <c r="E779" s="107"/>
      <c r="F779" s="108"/>
      <c r="G779" s="57"/>
      <c r="H779" s="65"/>
      <c r="I779" s="69"/>
      <c r="J779" s="64" t="str">
        <f t="shared" si="121"/>
        <v/>
      </c>
      <c r="K779" s="64" t="str">
        <f t="shared" si="122"/>
        <v/>
      </c>
    </row>
    <row r="780" spans="1:11" ht="17.25" x14ac:dyDescent="0.2">
      <c r="B780" s="343"/>
      <c r="C780" s="102"/>
      <c r="D780" s="102"/>
      <c r="E780" s="107"/>
      <c r="F780" s="108"/>
      <c r="G780" s="57"/>
      <c r="H780" s="65"/>
      <c r="I780" s="69"/>
      <c r="J780" s="64" t="str">
        <f t="shared" si="121"/>
        <v/>
      </c>
      <c r="K780" s="64" t="str">
        <f t="shared" si="122"/>
        <v/>
      </c>
    </row>
    <row r="781" spans="1:11" ht="18" customHeight="1" x14ac:dyDescent="0.2">
      <c r="B781" s="561" t="s">
        <v>22</v>
      </c>
      <c r="C781" s="561" t="s">
        <v>177</v>
      </c>
      <c r="D781" s="561" t="s">
        <v>243</v>
      </c>
      <c r="E781" s="561" t="s">
        <v>23</v>
      </c>
      <c r="F781" s="562" t="s">
        <v>234</v>
      </c>
      <c r="G781" s="562"/>
      <c r="H781" s="562"/>
      <c r="I781" s="562"/>
      <c r="J781" s="562"/>
      <c r="K781" s="562"/>
    </row>
    <row r="782" spans="1:11" ht="21" x14ac:dyDescent="0.2">
      <c r="A782" s="114" t="s">
        <v>1054</v>
      </c>
      <c r="B782" s="433" t="s">
        <v>1027</v>
      </c>
      <c r="C782" s="115" t="s">
        <v>1370</v>
      </c>
      <c r="D782" s="114" t="s">
        <v>1371</v>
      </c>
      <c r="E782" s="329" t="str">
        <f>IF($O$44="","",$O$44)</f>
        <v>L 1 - METROP. MNR - N. FAZENDA</v>
      </c>
      <c r="F782" s="563">
        <f>IF(B782="","",VLOOKUP(E782,$O$2:$T$120,6,0))</f>
        <v>86829</v>
      </c>
      <c r="G782" s="564"/>
      <c r="H782" s="564"/>
      <c r="I782" s="564"/>
      <c r="J782" s="564"/>
      <c r="K782" s="565"/>
    </row>
    <row r="783" spans="1:11" ht="43.5" x14ac:dyDescent="0.2">
      <c r="A783" s="166" t="s">
        <v>779</v>
      </c>
      <c r="B783" s="116" t="s">
        <v>0</v>
      </c>
      <c r="C783" s="116" t="s">
        <v>20</v>
      </c>
      <c r="D783" s="116" t="s">
        <v>21</v>
      </c>
      <c r="E783" s="116" t="s">
        <v>1</v>
      </c>
      <c r="F783" s="117" t="s">
        <v>3</v>
      </c>
      <c r="G783" s="116" t="s">
        <v>216</v>
      </c>
      <c r="H783" s="180" t="s">
        <v>242</v>
      </c>
      <c r="I783" s="116" t="s">
        <v>245</v>
      </c>
      <c r="J783" s="116" t="s">
        <v>217</v>
      </c>
      <c r="K783" s="116" t="s">
        <v>218</v>
      </c>
    </row>
    <row r="784" spans="1:11" ht="17.25" x14ac:dyDescent="0.35">
      <c r="B784" s="403" t="s">
        <v>1372</v>
      </c>
      <c r="C784" s="152" t="s">
        <v>1373</v>
      </c>
      <c r="D784" s="152" t="s">
        <v>1374</v>
      </c>
      <c r="E784" s="107" t="s">
        <v>57</v>
      </c>
      <c r="F784" s="108">
        <v>23</v>
      </c>
      <c r="G784" s="57">
        <v>20</v>
      </c>
      <c r="H784" s="65">
        <v>2</v>
      </c>
      <c r="I784" s="69">
        <f>IF(G784="","",SUM(G784:H784))</f>
        <v>22</v>
      </c>
      <c r="J784" s="64">
        <f>IF(G784="","",ROUNDUP(G784*0.65,0))</f>
        <v>13</v>
      </c>
      <c r="K784" s="64">
        <f>IF(G784="","",ROUNDUP(G784*0.55,0))</f>
        <v>11</v>
      </c>
    </row>
    <row r="785" spans="2:11" ht="17.25" x14ac:dyDescent="0.35">
      <c r="B785" s="403" t="s">
        <v>1375</v>
      </c>
      <c r="C785" s="152" t="s">
        <v>1373</v>
      </c>
      <c r="D785" s="152" t="s">
        <v>1376</v>
      </c>
      <c r="E785" s="107" t="s">
        <v>57</v>
      </c>
      <c r="F785" s="108">
        <v>23</v>
      </c>
      <c r="G785" s="57">
        <v>20</v>
      </c>
      <c r="H785" s="65">
        <v>3</v>
      </c>
      <c r="I785" s="69">
        <f t="shared" ref="I785:I791" si="123">IF(G785="","",SUM(G785:H785))</f>
        <v>23</v>
      </c>
      <c r="J785" s="64">
        <f t="shared" ref="J785:J799" si="124">IF(G785="","",ROUNDUP(G785*0.65,0))</f>
        <v>13</v>
      </c>
      <c r="K785" s="64">
        <f t="shared" ref="K785:K799" si="125">IF(G785="","",ROUNDUP(G785*0.55,0))</f>
        <v>11</v>
      </c>
    </row>
    <row r="786" spans="2:11" ht="17.25" x14ac:dyDescent="0.35">
      <c r="B786" s="403" t="s">
        <v>1377</v>
      </c>
      <c r="C786" s="152" t="s">
        <v>1378</v>
      </c>
      <c r="D786" s="152" t="s">
        <v>1170</v>
      </c>
      <c r="E786" s="107" t="s">
        <v>265</v>
      </c>
      <c r="F786" s="108">
        <v>12.5</v>
      </c>
      <c r="G786" s="57">
        <v>18</v>
      </c>
      <c r="H786" s="65">
        <v>2</v>
      </c>
      <c r="I786" s="69">
        <f t="shared" si="123"/>
        <v>20</v>
      </c>
      <c r="J786" s="64">
        <f t="shared" si="124"/>
        <v>12</v>
      </c>
      <c r="K786" s="64">
        <f t="shared" si="125"/>
        <v>10</v>
      </c>
    </row>
    <row r="787" spans="2:11" ht="17.25" x14ac:dyDescent="0.35">
      <c r="B787" s="403" t="s">
        <v>1379</v>
      </c>
      <c r="C787" s="152" t="s">
        <v>1380</v>
      </c>
      <c r="D787" s="152" t="s">
        <v>1381</v>
      </c>
      <c r="E787" s="107" t="s">
        <v>265</v>
      </c>
      <c r="F787" s="108">
        <v>12.5</v>
      </c>
      <c r="G787" s="57">
        <v>18</v>
      </c>
      <c r="H787" s="65">
        <v>3</v>
      </c>
      <c r="I787" s="69">
        <f t="shared" si="123"/>
        <v>21</v>
      </c>
      <c r="J787" s="64">
        <f t="shared" si="124"/>
        <v>12</v>
      </c>
      <c r="K787" s="64">
        <f t="shared" si="125"/>
        <v>10</v>
      </c>
    </row>
    <row r="788" spans="2:11" ht="17.25" x14ac:dyDescent="0.35">
      <c r="B788" s="403" t="s">
        <v>1382</v>
      </c>
      <c r="C788" s="152" t="s">
        <v>1383</v>
      </c>
      <c r="D788" s="152" t="s">
        <v>531</v>
      </c>
      <c r="E788" s="107" t="s">
        <v>265</v>
      </c>
      <c r="F788" s="108">
        <v>12.5</v>
      </c>
      <c r="G788" s="57">
        <v>18</v>
      </c>
      <c r="H788" s="65">
        <v>2</v>
      </c>
      <c r="I788" s="69">
        <f t="shared" si="123"/>
        <v>20</v>
      </c>
      <c r="J788" s="64">
        <f t="shared" si="124"/>
        <v>12</v>
      </c>
      <c r="K788" s="64">
        <f t="shared" si="125"/>
        <v>10</v>
      </c>
    </row>
    <row r="789" spans="2:11" ht="17.25" x14ac:dyDescent="0.35">
      <c r="B789" s="403" t="s">
        <v>1384</v>
      </c>
      <c r="C789" s="152" t="s">
        <v>1385</v>
      </c>
      <c r="D789" s="152" t="s">
        <v>1170</v>
      </c>
      <c r="E789" s="107" t="s">
        <v>55</v>
      </c>
      <c r="F789" s="333">
        <v>14</v>
      </c>
      <c r="G789" s="57">
        <v>18</v>
      </c>
      <c r="H789" s="65">
        <v>4</v>
      </c>
      <c r="I789" s="69">
        <f t="shared" si="123"/>
        <v>22</v>
      </c>
      <c r="J789" s="64">
        <f t="shared" si="124"/>
        <v>12</v>
      </c>
      <c r="K789" s="64">
        <f t="shared" si="125"/>
        <v>10</v>
      </c>
    </row>
    <row r="790" spans="2:11" ht="17.25" x14ac:dyDescent="0.2">
      <c r="B790" s="336"/>
      <c r="C790" s="103"/>
      <c r="D790" s="103"/>
      <c r="E790" s="107"/>
      <c r="F790" s="108"/>
      <c r="G790" s="64"/>
      <c r="H790" s="65"/>
      <c r="I790" s="69" t="str">
        <f t="shared" si="123"/>
        <v/>
      </c>
      <c r="J790" s="64" t="str">
        <f t="shared" si="124"/>
        <v/>
      </c>
      <c r="K790" s="64" t="str">
        <f t="shared" si="125"/>
        <v/>
      </c>
    </row>
    <row r="791" spans="2:11" ht="17.25" x14ac:dyDescent="0.2">
      <c r="B791" s="336"/>
      <c r="C791" s="103"/>
      <c r="D791" s="103"/>
      <c r="E791" s="107"/>
      <c r="F791" s="108"/>
      <c r="G791" s="64"/>
      <c r="H791" s="65"/>
      <c r="I791" s="69" t="str">
        <f t="shared" si="123"/>
        <v/>
      </c>
      <c r="J791" s="64" t="str">
        <f t="shared" si="124"/>
        <v/>
      </c>
      <c r="K791" s="64" t="str">
        <f t="shared" si="125"/>
        <v/>
      </c>
    </row>
    <row r="792" spans="2:11" ht="17.25" x14ac:dyDescent="0.2">
      <c r="B792" s="336"/>
      <c r="C792" s="103"/>
      <c r="D792" s="103"/>
      <c r="E792" s="107"/>
      <c r="F792" s="108"/>
      <c r="G792" s="64"/>
      <c r="H792" s="65"/>
      <c r="I792" s="69"/>
      <c r="J792" s="64" t="str">
        <f t="shared" si="124"/>
        <v/>
      </c>
      <c r="K792" s="64" t="str">
        <f t="shared" si="125"/>
        <v/>
      </c>
    </row>
    <row r="793" spans="2:11" ht="17.25" x14ac:dyDescent="0.2">
      <c r="B793" s="336"/>
      <c r="C793" s="103"/>
      <c r="D793" s="103"/>
      <c r="E793" s="107"/>
      <c r="F793" s="108"/>
      <c r="G793" s="64"/>
      <c r="H793" s="65"/>
      <c r="I793" s="69"/>
      <c r="J793" s="64" t="str">
        <f t="shared" si="124"/>
        <v/>
      </c>
      <c r="K793" s="64" t="str">
        <f t="shared" si="125"/>
        <v/>
      </c>
    </row>
    <row r="794" spans="2:11" ht="17.25" x14ac:dyDescent="0.2">
      <c r="B794" s="336"/>
      <c r="C794" s="103"/>
      <c r="D794" s="103"/>
      <c r="E794" s="107"/>
      <c r="F794" s="108"/>
      <c r="G794" s="64"/>
      <c r="H794" s="65"/>
      <c r="I794" s="69"/>
      <c r="J794" s="64" t="str">
        <f t="shared" si="124"/>
        <v/>
      </c>
      <c r="K794" s="64" t="str">
        <f t="shared" si="125"/>
        <v/>
      </c>
    </row>
    <row r="795" spans="2:11" ht="17.25" x14ac:dyDescent="0.2">
      <c r="B795" s="336"/>
      <c r="C795" s="103"/>
      <c r="D795" s="103"/>
      <c r="E795" s="107"/>
      <c r="F795" s="108"/>
      <c r="G795" s="64"/>
      <c r="H795" s="65"/>
      <c r="I795" s="69"/>
      <c r="J795" s="64" t="str">
        <f t="shared" si="124"/>
        <v/>
      </c>
      <c r="K795" s="64" t="str">
        <f t="shared" si="125"/>
        <v/>
      </c>
    </row>
    <row r="796" spans="2:11" ht="17.25" x14ac:dyDescent="0.2">
      <c r="B796" s="336"/>
      <c r="C796" s="103"/>
      <c r="D796" s="103"/>
      <c r="E796" s="107"/>
      <c r="F796" s="108"/>
      <c r="G796" s="64"/>
      <c r="H796" s="65"/>
      <c r="I796" s="69"/>
      <c r="J796" s="64" t="str">
        <f t="shared" si="124"/>
        <v/>
      </c>
      <c r="K796" s="64" t="str">
        <f t="shared" si="125"/>
        <v/>
      </c>
    </row>
    <row r="797" spans="2:11" ht="17.25" x14ac:dyDescent="0.2">
      <c r="B797" s="336"/>
      <c r="C797" s="103"/>
      <c r="D797" s="103"/>
      <c r="E797" s="107"/>
      <c r="F797" s="108"/>
      <c r="G797" s="64"/>
      <c r="H797" s="65"/>
      <c r="I797" s="69"/>
      <c r="J797" s="64" t="str">
        <f t="shared" si="124"/>
        <v/>
      </c>
      <c r="K797" s="64" t="str">
        <f t="shared" si="125"/>
        <v/>
      </c>
    </row>
    <row r="798" spans="2:11" ht="17.25" x14ac:dyDescent="0.2">
      <c r="B798" s="336"/>
      <c r="C798" s="103"/>
      <c r="D798" s="103"/>
      <c r="E798" s="107"/>
      <c r="F798" s="108"/>
      <c r="G798" s="64"/>
      <c r="H798" s="65"/>
      <c r="I798" s="69"/>
      <c r="J798" s="64" t="str">
        <f t="shared" si="124"/>
        <v/>
      </c>
      <c r="K798" s="64" t="str">
        <f t="shared" si="125"/>
        <v/>
      </c>
    </row>
    <row r="799" spans="2:11" ht="17.25" x14ac:dyDescent="0.2">
      <c r="B799" s="336"/>
      <c r="C799" s="103"/>
      <c r="D799" s="103"/>
      <c r="E799" s="107"/>
      <c r="F799" s="108"/>
      <c r="G799" s="64"/>
      <c r="H799" s="65"/>
      <c r="I799" s="69"/>
      <c r="J799" s="64" t="str">
        <f t="shared" si="124"/>
        <v/>
      </c>
      <c r="K799" s="64" t="str">
        <f t="shared" si="125"/>
        <v/>
      </c>
    </row>
    <row r="800" spans="2:11" ht="18" customHeight="1" x14ac:dyDescent="0.2">
      <c r="B800" s="561" t="s">
        <v>22</v>
      </c>
      <c r="C800" s="561" t="s">
        <v>177</v>
      </c>
      <c r="D800" s="561" t="s">
        <v>243</v>
      </c>
      <c r="E800" s="561" t="s">
        <v>23</v>
      </c>
      <c r="F800" s="562" t="s">
        <v>234</v>
      </c>
      <c r="G800" s="562"/>
      <c r="H800" s="562"/>
      <c r="I800" s="562"/>
      <c r="J800" s="562"/>
      <c r="K800" s="562"/>
    </row>
    <row r="801" spans="1:11" ht="21" x14ac:dyDescent="0.2">
      <c r="A801" s="114" t="s">
        <v>1055</v>
      </c>
      <c r="B801" s="435" t="s">
        <v>1138</v>
      </c>
      <c r="C801" s="115" t="s">
        <v>1386</v>
      </c>
      <c r="D801" s="114" t="s">
        <v>623</v>
      </c>
      <c r="E801" s="329" t="str">
        <f>IF($O$45="","",$O$45)</f>
        <v>L 2 - METROP. MNR - N. FAZENDA</v>
      </c>
      <c r="F801" s="563">
        <f>IF(B801="","",VLOOKUP(E801,$O$2:$T$120,6,0))</f>
        <v>104660</v>
      </c>
      <c r="G801" s="564"/>
      <c r="H801" s="564"/>
      <c r="I801" s="564"/>
      <c r="J801" s="564"/>
      <c r="K801" s="565"/>
    </row>
    <row r="802" spans="1:11" ht="43.5" x14ac:dyDescent="0.2">
      <c r="A802" s="166" t="s">
        <v>779</v>
      </c>
      <c r="B802" s="116" t="s">
        <v>0</v>
      </c>
      <c r="C802" s="116" t="s">
        <v>20</v>
      </c>
      <c r="D802" s="116" t="s">
        <v>21</v>
      </c>
      <c r="E802" s="116" t="s">
        <v>1</v>
      </c>
      <c r="F802" s="117" t="s">
        <v>3</v>
      </c>
      <c r="G802" s="116" t="s">
        <v>216</v>
      </c>
      <c r="H802" s="180" t="s">
        <v>242</v>
      </c>
      <c r="I802" s="116" t="s">
        <v>245</v>
      </c>
      <c r="J802" s="116" t="s">
        <v>217</v>
      </c>
      <c r="K802" s="116" t="s">
        <v>218</v>
      </c>
    </row>
    <row r="803" spans="1:11" ht="17.25" x14ac:dyDescent="0.35">
      <c r="B803" s="403" t="s">
        <v>1387</v>
      </c>
      <c r="C803" s="152" t="s">
        <v>1373</v>
      </c>
      <c r="D803" s="152" t="s">
        <v>1170</v>
      </c>
      <c r="E803" s="107" t="s">
        <v>56</v>
      </c>
      <c r="F803" s="333">
        <v>17.5</v>
      </c>
      <c r="G803" s="57">
        <v>22</v>
      </c>
      <c r="H803" s="65">
        <v>3</v>
      </c>
      <c r="I803" s="69">
        <f>IF(G803="","",SUM(G803:H803))</f>
        <v>25</v>
      </c>
      <c r="J803" s="64">
        <f>IF(G803="","",ROUNDUP(G803*0.65,0))</f>
        <v>15</v>
      </c>
      <c r="K803" s="64">
        <f>IF(G803="","",ROUNDUP(G803*0.55,0))</f>
        <v>13</v>
      </c>
    </row>
    <row r="804" spans="1:11" ht="17.25" x14ac:dyDescent="0.35">
      <c r="B804" s="403" t="s">
        <v>1388</v>
      </c>
      <c r="C804" s="152" t="s">
        <v>1373</v>
      </c>
      <c r="D804" s="152" t="s">
        <v>1279</v>
      </c>
      <c r="E804" s="107" t="s">
        <v>1019</v>
      </c>
      <c r="F804" s="108">
        <v>16.5</v>
      </c>
      <c r="G804" s="57">
        <v>16</v>
      </c>
      <c r="H804" s="65">
        <v>4</v>
      </c>
      <c r="I804" s="69">
        <f t="shared" ref="I804:I818" si="126">IF(G804="","",SUM(G804:H804))</f>
        <v>20</v>
      </c>
      <c r="J804" s="64">
        <f t="shared" ref="J804:J818" si="127">IF(G804="","",ROUNDUP(G804*0.65,0))</f>
        <v>11</v>
      </c>
      <c r="K804" s="64">
        <f t="shared" ref="K804:K818" si="128">IF(G804="","",ROUNDUP(G804*0.55,0))</f>
        <v>9</v>
      </c>
    </row>
    <row r="805" spans="1:11" ht="17.25" x14ac:dyDescent="0.35">
      <c r="B805" s="403" t="s">
        <v>1389</v>
      </c>
      <c r="C805" s="152" t="s">
        <v>1390</v>
      </c>
      <c r="D805" s="152" t="s">
        <v>1391</v>
      </c>
      <c r="E805" s="107" t="s">
        <v>179</v>
      </c>
      <c r="F805" s="108">
        <v>9.5</v>
      </c>
      <c r="G805" s="57">
        <v>21</v>
      </c>
      <c r="H805" s="65">
        <v>2</v>
      </c>
      <c r="I805" s="69">
        <f t="shared" si="126"/>
        <v>23</v>
      </c>
      <c r="J805" s="64">
        <f t="shared" si="127"/>
        <v>14</v>
      </c>
      <c r="K805" s="64">
        <f t="shared" si="128"/>
        <v>12</v>
      </c>
    </row>
    <row r="806" spans="1:11" ht="17.25" x14ac:dyDescent="0.35">
      <c r="B806" s="403" t="s">
        <v>1392</v>
      </c>
      <c r="C806" s="152" t="s">
        <v>1393</v>
      </c>
      <c r="D806" s="152" t="s">
        <v>1193</v>
      </c>
      <c r="E806" s="107" t="s">
        <v>265</v>
      </c>
      <c r="F806" s="108">
        <v>12.5</v>
      </c>
      <c r="G806" s="57">
        <v>21</v>
      </c>
      <c r="H806" s="65">
        <v>3</v>
      </c>
      <c r="I806" s="69">
        <f t="shared" si="126"/>
        <v>24</v>
      </c>
      <c r="J806" s="64">
        <f t="shared" si="127"/>
        <v>14</v>
      </c>
      <c r="K806" s="64">
        <f t="shared" si="128"/>
        <v>12</v>
      </c>
    </row>
    <row r="807" spans="1:11" ht="17.25" x14ac:dyDescent="0.35">
      <c r="B807" s="403" t="s">
        <v>1394</v>
      </c>
      <c r="C807" s="152" t="s">
        <v>1395</v>
      </c>
      <c r="D807" s="152" t="s">
        <v>1396</v>
      </c>
      <c r="E807" s="107" t="s">
        <v>265</v>
      </c>
      <c r="F807" s="108">
        <v>12.5</v>
      </c>
      <c r="G807" s="57">
        <v>21</v>
      </c>
      <c r="H807" s="65">
        <v>3</v>
      </c>
      <c r="I807" s="69">
        <f t="shared" si="126"/>
        <v>24</v>
      </c>
      <c r="J807" s="64">
        <f t="shared" si="127"/>
        <v>14</v>
      </c>
      <c r="K807" s="64">
        <f t="shared" si="128"/>
        <v>12</v>
      </c>
    </row>
    <row r="808" spans="1:11" ht="17.25" x14ac:dyDescent="0.35">
      <c r="B808" s="403" t="s">
        <v>1397</v>
      </c>
      <c r="C808" s="152" t="s">
        <v>1398</v>
      </c>
      <c r="D808" s="152" t="s">
        <v>1179</v>
      </c>
      <c r="E808" s="107" t="s">
        <v>55</v>
      </c>
      <c r="F808" s="333">
        <v>14</v>
      </c>
      <c r="G808" s="57">
        <v>34</v>
      </c>
      <c r="H808" s="65">
        <v>4</v>
      </c>
      <c r="I808" s="69">
        <f t="shared" si="126"/>
        <v>38</v>
      </c>
      <c r="J808" s="64">
        <f t="shared" si="127"/>
        <v>23</v>
      </c>
      <c r="K808" s="64">
        <f t="shared" si="128"/>
        <v>19</v>
      </c>
    </row>
    <row r="809" spans="1:11" ht="17.25" x14ac:dyDescent="0.2">
      <c r="B809" s="344"/>
      <c r="C809" s="97"/>
      <c r="D809" s="97"/>
      <c r="E809" s="107"/>
      <c r="F809" s="108"/>
      <c r="G809" s="57"/>
      <c r="H809" s="65"/>
      <c r="I809" s="69" t="str">
        <f t="shared" si="126"/>
        <v/>
      </c>
      <c r="J809" s="64" t="str">
        <f t="shared" si="127"/>
        <v/>
      </c>
      <c r="K809" s="64" t="str">
        <f t="shared" si="128"/>
        <v/>
      </c>
    </row>
    <row r="810" spans="1:11" ht="17.25" x14ac:dyDescent="0.2">
      <c r="B810" s="344"/>
      <c r="C810" s="97"/>
      <c r="D810" s="97"/>
      <c r="E810" s="107"/>
      <c r="F810" s="333"/>
      <c r="G810" s="335"/>
      <c r="H810" s="65"/>
      <c r="I810" s="69" t="str">
        <f t="shared" si="126"/>
        <v/>
      </c>
      <c r="J810" s="64" t="str">
        <f t="shared" si="127"/>
        <v/>
      </c>
      <c r="K810" s="64" t="str">
        <f t="shared" si="128"/>
        <v/>
      </c>
    </row>
    <row r="811" spans="1:11" ht="17.25" x14ac:dyDescent="0.2">
      <c r="B811" s="344"/>
      <c r="C811" s="97"/>
      <c r="D811" s="97"/>
      <c r="E811" s="107"/>
      <c r="F811" s="108"/>
      <c r="G811" s="57"/>
      <c r="H811" s="65"/>
      <c r="I811" s="69" t="str">
        <f t="shared" si="126"/>
        <v/>
      </c>
      <c r="J811" s="64" t="str">
        <f t="shared" si="127"/>
        <v/>
      </c>
      <c r="K811" s="64" t="str">
        <f t="shared" si="128"/>
        <v/>
      </c>
    </row>
    <row r="812" spans="1:11" ht="17.25" x14ac:dyDescent="0.2">
      <c r="B812" s="344"/>
      <c r="C812" s="97"/>
      <c r="D812" s="97"/>
      <c r="E812" s="107"/>
      <c r="F812" s="108"/>
      <c r="G812" s="57"/>
      <c r="H812" s="65"/>
      <c r="I812" s="69" t="str">
        <f t="shared" si="126"/>
        <v/>
      </c>
      <c r="J812" s="64" t="str">
        <f t="shared" si="127"/>
        <v/>
      </c>
      <c r="K812" s="64" t="str">
        <f t="shared" si="128"/>
        <v/>
      </c>
    </row>
    <row r="813" spans="1:11" ht="17.25" x14ac:dyDescent="0.2">
      <c r="B813" s="344"/>
      <c r="C813" s="97"/>
      <c r="D813" s="97"/>
      <c r="E813" s="107"/>
      <c r="F813" s="108"/>
      <c r="G813" s="57"/>
      <c r="H813" s="65"/>
      <c r="I813" s="69" t="str">
        <f t="shared" si="126"/>
        <v/>
      </c>
      <c r="J813" s="64" t="str">
        <f t="shared" si="127"/>
        <v/>
      </c>
      <c r="K813" s="64" t="str">
        <f t="shared" si="128"/>
        <v/>
      </c>
    </row>
    <row r="814" spans="1:11" ht="17.25" x14ac:dyDescent="0.2">
      <c r="B814" s="344"/>
      <c r="C814" s="97"/>
      <c r="D814" s="97"/>
      <c r="E814" s="107"/>
      <c r="F814" s="108"/>
      <c r="G814" s="57"/>
      <c r="H814" s="65"/>
      <c r="I814" s="69" t="str">
        <f t="shared" si="126"/>
        <v/>
      </c>
      <c r="J814" s="64" t="str">
        <f t="shared" si="127"/>
        <v/>
      </c>
      <c r="K814" s="64" t="str">
        <f t="shared" si="128"/>
        <v/>
      </c>
    </row>
    <row r="815" spans="1:11" ht="17.25" x14ac:dyDescent="0.2">
      <c r="B815" s="344"/>
      <c r="C815" s="97"/>
      <c r="D815" s="97"/>
      <c r="E815" s="107"/>
      <c r="F815" s="108"/>
      <c r="G815" s="57"/>
      <c r="H815" s="65"/>
      <c r="I815" s="69" t="str">
        <f t="shared" si="126"/>
        <v/>
      </c>
      <c r="J815" s="64" t="str">
        <f t="shared" si="127"/>
        <v/>
      </c>
      <c r="K815" s="64" t="str">
        <f t="shared" si="128"/>
        <v/>
      </c>
    </row>
    <row r="816" spans="1:11" ht="17.25" x14ac:dyDescent="0.2">
      <c r="B816" s="344"/>
      <c r="C816" s="97"/>
      <c r="D816" s="97"/>
      <c r="E816" s="107"/>
      <c r="F816" s="108"/>
      <c r="G816" s="57"/>
      <c r="H816" s="65"/>
      <c r="I816" s="69" t="str">
        <f t="shared" si="126"/>
        <v/>
      </c>
      <c r="J816" s="64" t="str">
        <f t="shared" si="127"/>
        <v/>
      </c>
      <c r="K816" s="64" t="str">
        <f t="shared" si="128"/>
        <v/>
      </c>
    </row>
    <row r="817" spans="1:11" ht="17.25" x14ac:dyDescent="0.2">
      <c r="B817" s="344"/>
      <c r="C817" s="97"/>
      <c r="D817" s="97"/>
      <c r="E817" s="107"/>
      <c r="F817" s="108"/>
      <c r="G817" s="57"/>
      <c r="H817" s="65"/>
      <c r="I817" s="69" t="str">
        <f t="shared" si="126"/>
        <v/>
      </c>
      <c r="J817" s="64" t="str">
        <f t="shared" si="127"/>
        <v/>
      </c>
      <c r="K817" s="64" t="str">
        <f t="shared" si="128"/>
        <v/>
      </c>
    </row>
    <row r="818" spans="1:11" ht="17.25" x14ac:dyDescent="0.2">
      <c r="B818" s="344"/>
      <c r="C818" s="97"/>
      <c r="D818" s="97"/>
      <c r="E818" s="107"/>
      <c r="F818" s="108"/>
      <c r="G818" s="57"/>
      <c r="H818" s="65"/>
      <c r="I818" s="69" t="str">
        <f t="shared" si="126"/>
        <v/>
      </c>
      <c r="J818" s="64" t="str">
        <f t="shared" si="127"/>
        <v/>
      </c>
      <c r="K818" s="64" t="str">
        <f t="shared" si="128"/>
        <v/>
      </c>
    </row>
    <row r="819" spans="1:11" ht="18" customHeight="1" x14ac:dyDescent="0.2">
      <c r="B819" s="561" t="s">
        <v>22</v>
      </c>
      <c r="C819" s="561" t="s">
        <v>177</v>
      </c>
      <c r="D819" s="561" t="s">
        <v>243</v>
      </c>
      <c r="E819" s="561" t="s">
        <v>23</v>
      </c>
      <c r="F819" s="562" t="s">
        <v>234</v>
      </c>
      <c r="G819" s="562"/>
      <c r="H819" s="562"/>
      <c r="I819" s="562"/>
      <c r="J819" s="562"/>
      <c r="K819" s="562"/>
    </row>
    <row r="820" spans="1:11" ht="21" x14ac:dyDescent="0.2">
      <c r="A820" s="114" t="s">
        <v>1056</v>
      </c>
      <c r="B820" s="435" t="s">
        <v>1139</v>
      </c>
      <c r="C820" s="115" t="s">
        <v>1386</v>
      </c>
      <c r="D820" s="114" t="s">
        <v>623</v>
      </c>
      <c r="E820" s="329" t="str">
        <f>IF($O$46="","",$O$46)</f>
        <v>L 3 - METROP. MNR - N. FAZENDA</v>
      </c>
      <c r="F820" s="563">
        <f>IF(B820="","",VLOOKUP(E820,$O$2:$T$120,6,0))</f>
        <v>89155</v>
      </c>
      <c r="G820" s="564"/>
      <c r="H820" s="564"/>
      <c r="I820" s="564"/>
      <c r="J820" s="564"/>
      <c r="K820" s="565"/>
    </row>
    <row r="821" spans="1:11" ht="43.5" x14ac:dyDescent="0.2">
      <c r="A821" s="166" t="s">
        <v>779</v>
      </c>
      <c r="B821" s="116" t="s">
        <v>0</v>
      </c>
      <c r="C821" s="116" t="s">
        <v>20</v>
      </c>
      <c r="D821" s="116" t="s">
        <v>21</v>
      </c>
      <c r="E821" s="116" t="s">
        <v>1</v>
      </c>
      <c r="F821" s="117" t="s">
        <v>3</v>
      </c>
      <c r="G821" s="116" t="s">
        <v>216</v>
      </c>
      <c r="H821" s="180" t="s">
        <v>242</v>
      </c>
      <c r="I821" s="116" t="s">
        <v>245</v>
      </c>
      <c r="J821" s="116" t="s">
        <v>217</v>
      </c>
      <c r="K821" s="116" t="s">
        <v>218</v>
      </c>
    </row>
    <row r="822" spans="1:11" ht="17.25" x14ac:dyDescent="0.35">
      <c r="B822" s="403" t="s">
        <v>1399</v>
      </c>
      <c r="C822" s="152" t="s">
        <v>1400</v>
      </c>
      <c r="D822" s="152" t="s">
        <v>1190</v>
      </c>
      <c r="E822" s="107" t="s">
        <v>56</v>
      </c>
      <c r="F822" s="333">
        <v>17.5</v>
      </c>
      <c r="G822" s="57">
        <v>18</v>
      </c>
      <c r="H822" s="65">
        <v>2</v>
      </c>
      <c r="I822" s="69">
        <f t="shared" ref="I822:I837" si="129">IF(G822="","",SUM(G822:H822))</f>
        <v>20</v>
      </c>
      <c r="J822" s="64">
        <f>IF(G822="","",ROUNDUP(G822*0.65,0))</f>
        <v>12</v>
      </c>
      <c r="K822" s="64">
        <f>IF(G822="","",ROUNDUP(G822*0.55,0))</f>
        <v>10</v>
      </c>
    </row>
    <row r="823" spans="1:11" ht="17.25" x14ac:dyDescent="0.35">
      <c r="B823" s="403" t="s">
        <v>1401</v>
      </c>
      <c r="C823" s="152" t="s">
        <v>1402</v>
      </c>
      <c r="D823" s="152" t="s">
        <v>1403</v>
      </c>
      <c r="E823" s="107" t="s">
        <v>179</v>
      </c>
      <c r="F823" s="108">
        <v>9.5</v>
      </c>
      <c r="G823" s="57">
        <v>15</v>
      </c>
      <c r="H823" s="65">
        <v>2</v>
      </c>
      <c r="I823" s="69">
        <f t="shared" si="129"/>
        <v>17</v>
      </c>
      <c r="J823" s="64">
        <f t="shared" ref="J823:J837" si="130">IF(G823="","",ROUNDUP(G823*0.65,0))</f>
        <v>10</v>
      </c>
      <c r="K823" s="64">
        <f t="shared" ref="K823:K837" si="131">IF(G823="","",ROUNDUP(G823*0.55,0))</f>
        <v>9</v>
      </c>
    </row>
    <row r="824" spans="1:11" ht="17.25" x14ac:dyDescent="0.35">
      <c r="B824" s="403" t="s">
        <v>1404</v>
      </c>
      <c r="C824" s="152" t="s">
        <v>1405</v>
      </c>
      <c r="D824" s="152" t="s">
        <v>1179</v>
      </c>
      <c r="E824" s="107" t="s">
        <v>265</v>
      </c>
      <c r="F824" s="108">
        <v>12.5</v>
      </c>
      <c r="G824" s="57">
        <v>18</v>
      </c>
      <c r="H824" s="65">
        <v>3</v>
      </c>
      <c r="I824" s="69">
        <f t="shared" si="129"/>
        <v>21</v>
      </c>
      <c r="J824" s="64">
        <f t="shared" si="130"/>
        <v>12</v>
      </c>
      <c r="K824" s="64">
        <f t="shared" si="131"/>
        <v>10</v>
      </c>
    </row>
    <row r="825" spans="1:11" ht="17.25" x14ac:dyDescent="0.35">
      <c r="B825" s="403" t="s">
        <v>1406</v>
      </c>
      <c r="C825" s="152" t="s">
        <v>1407</v>
      </c>
      <c r="D825" s="152" t="s">
        <v>1190</v>
      </c>
      <c r="E825" s="107" t="s">
        <v>265</v>
      </c>
      <c r="F825" s="108">
        <v>12.5</v>
      </c>
      <c r="G825" s="57">
        <v>18</v>
      </c>
      <c r="H825" s="65">
        <v>2</v>
      </c>
      <c r="I825" s="69">
        <f t="shared" si="129"/>
        <v>20</v>
      </c>
      <c r="J825" s="64">
        <f t="shared" si="130"/>
        <v>12</v>
      </c>
      <c r="K825" s="64">
        <f t="shared" si="131"/>
        <v>10</v>
      </c>
    </row>
    <row r="826" spans="1:11" ht="17.25" x14ac:dyDescent="0.35">
      <c r="B826" s="403" t="s">
        <v>1408</v>
      </c>
      <c r="C826" s="152" t="s">
        <v>1400</v>
      </c>
      <c r="D826" s="152" t="s">
        <v>1190</v>
      </c>
      <c r="E826" s="107" t="s">
        <v>55</v>
      </c>
      <c r="F826" s="333">
        <v>14</v>
      </c>
      <c r="G826" s="57">
        <v>22</v>
      </c>
      <c r="H826" s="65">
        <v>3</v>
      </c>
      <c r="I826" s="69">
        <f t="shared" si="129"/>
        <v>25</v>
      </c>
      <c r="J826" s="64">
        <f t="shared" si="130"/>
        <v>15</v>
      </c>
      <c r="K826" s="64">
        <f t="shared" si="131"/>
        <v>13</v>
      </c>
    </row>
    <row r="827" spans="1:11" ht="17.25" x14ac:dyDescent="0.35">
      <c r="B827" s="403" t="s">
        <v>1409</v>
      </c>
      <c r="C827" s="152" t="s">
        <v>1410</v>
      </c>
      <c r="D827" s="152" t="s">
        <v>1279</v>
      </c>
      <c r="E827" s="107" t="s">
        <v>1019</v>
      </c>
      <c r="F827" s="108">
        <v>16.5</v>
      </c>
      <c r="G827" s="57">
        <v>12</v>
      </c>
      <c r="H827" s="65">
        <v>3</v>
      </c>
      <c r="I827" s="69">
        <f t="shared" si="129"/>
        <v>15</v>
      </c>
      <c r="J827" s="64">
        <f t="shared" si="130"/>
        <v>8</v>
      </c>
      <c r="K827" s="64">
        <f t="shared" si="131"/>
        <v>7</v>
      </c>
    </row>
    <row r="828" spans="1:11" ht="17.25" x14ac:dyDescent="0.35">
      <c r="B828" s="403" t="s">
        <v>1411</v>
      </c>
      <c r="C828" s="152" t="s">
        <v>1412</v>
      </c>
      <c r="D828" s="152" t="s">
        <v>1413</v>
      </c>
      <c r="E828" s="107" t="s">
        <v>179</v>
      </c>
      <c r="F828" s="108">
        <v>9.5</v>
      </c>
      <c r="G828" s="57">
        <v>12</v>
      </c>
      <c r="H828" s="65">
        <v>3</v>
      </c>
      <c r="I828" s="69">
        <f t="shared" si="129"/>
        <v>15</v>
      </c>
      <c r="J828" s="64">
        <f t="shared" si="130"/>
        <v>8</v>
      </c>
      <c r="K828" s="64">
        <f t="shared" si="131"/>
        <v>7</v>
      </c>
    </row>
    <row r="829" spans="1:11" ht="17.25" x14ac:dyDescent="0.2">
      <c r="B829" s="345"/>
      <c r="C829" s="337"/>
      <c r="D829" s="347"/>
      <c r="E829" s="182"/>
      <c r="F829" s="108"/>
      <c r="G829" s="57"/>
      <c r="H829" s="65"/>
      <c r="I829" s="69" t="str">
        <f t="shared" si="129"/>
        <v/>
      </c>
      <c r="J829" s="64" t="str">
        <f t="shared" si="130"/>
        <v/>
      </c>
      <c r="K829" s="64" t="str">
        <f t="shared" si="131"/>
        <v/>
      </c>
    </row>
    <row r="830" spans="1:11" ht="17.25" x14ac:dyDescent="0.2">
      <c r="B830" s="345"/>
      <c r="C830" s="97"/>
      <c r="D830" s="181"/>
      <c r="E830" s="182"/>
      <c r="F830" s="108"/>
      <c r="G830" s="57"/>
      <c r="H830" s="65"/>
      <c r="I830" s="69" t="str">
        <f t="shared" si="129"/>
        <v/>
      </c>
      <c r="J830" s="64" t="str">
        <f t="shared" si="130"/>
        <v/>
      </c>
      <c r="K830" s="64" t="str">
        <f t="shared" si="131"/>
        <v/>
      </c>
    </row>
    <row r="831" spans="1:11" ht="17.25" x14ac:dyDescent="0.2">
      <c r="B831" s="345"/>
      <c r="C831" s="97"/>
      <c r="D831" s="181"/>
      <c r="E831" s="182"/>
      <c r="F831" s="108"/>
      <c r="G831" s="57"/>
      <c r="H831" s="65"/>
      <c r="I831" s="69" t="str">
        <f t="shared" si="129"/>
        <v/>
      </c>
      <c r="J831" s="64" t="str">
        <f t="shared" si="130"/>
        <v/>
      </c>
      <c r="K831" s="64" t="str">
        <f t="shared" si="131"/>
        <v/>
      </c>
    </row>
    <row r="832" spans="1:11" ht="17.25" x14ac:dyDescent="0.2">
      <c r="B832" s="345"/>
      <c r="C832" s="97"/>
      <c r="D832" s="181"/>
      <c r="E832" s="182"/>
      <c r="F832" s="108"/>
      <c r="G832" s="57"/>
      <c r="H832" s="65"/>
      <c r="I832" s="69" t="str">
        <f t="shared" si="129"/>
        <v/>
      </c>
      <c r="J832" s="64" t="str">
        <f t="shared" si="130"/>
        <v/>
      </c>
      <c r="K832" s="64" t="str">
        <f t="shared" si="131"/>
        <v/>
      </c>
    </row>
    <row r="833" spans="1:11" ht="17.25" x14ac:dyDescent="0.2">
      <c r="B833" s="345"/>
      <c r="C833" s="97"/>
      <c r="D833" s="181"/>
      <c r="E833" s="182"/>
      <c r="F833" s="108"/>
      <c r="G833" s="57"/>
      <c r="H833" s="65"/>
      <c r="I833" s="69" t="str">
        <f t="shared" si="129"/>
        <v/>
      </c>
      <c r="J833" s="64" t="str">
        <f t="shared" si="130"/>
        <v/>
      </c>
      <c r="K833" s="64" t="str">
        <f t="shared" si="131"/>
        <v/>
      </c>
    </row>
    <row r="834" spans="1:11" ht="17.25" x14ac:dyDescent="0.2">
      <c r="B834" s="345"/>
      <c r="C834" s="97"/>
      <c r="D834" s="181"/>
      <c r="E834" s="182"/>
      <c r="F834" s="108"/>
      <c r="G834" s="57"/>
      <c r="H834" s="65"/>
      <c r="I834" s="69" t="str">
        <f t="shared" si="129"/>
        <v/>
      </c>
      <c r="J834" s="64" t="str">
        <f t="shared" si="130"/>
        <v/>
      </c>
      <c r="K834" s="64" t="str">
        <f t="shared" si="131"/>
        <v/>
      </c>
    </row>
    <row r="835" spans="1:11" ht="17.25" x14ac:dyDescent="0.2">
      <c r="B835" s="345"/>
      <c r="C835" s="97"/>
      <c r="D835" s="181"/>
      <c r="E835" s="182"/>
      <c r="F835" s="108"/>
      <c r="G835" s="57"/>
      <c r="H835" s="65"/>
      <c r="I835" s="69" t="str">
        <f t="shared" si="129"/>
        <v/>
      </c>
      <c r="J835" s="64" t="str">
        <f t="shared" si="130"/>
        <v/>
      </c>
      <c r="K835" s="64" t="str">
        <f t="shared" si="131"/>
        <v/>
      </c>
    </row>
    <row r="836" spans="1:11" ht="17.25" x14ac:dyDescent="0.2">
      <c r="B836" s="345"/>
      <c r="C836" s="97"/>
      <c r="D836" s="181"/>
      <c r="E836" s="182"/>
      <c r="F836" s="108"/>
      <c r="G836" s="57"/>
      <c r="H836" s="65"/>
      <c r="I836" s="69" t="str">
        <f t="shared" si="129"/>
        <v/>
      </c>
      <c r="J836" s="64" t="str">
        <f t="shared" si="130"/>
        <v/>
      </c>
      <c r="K836" s="64" t="str">
        <f t="shared" si="131"/>
        <v/>
      </c>
    </row>
    <row r="837" spans="1:11" ht="17.25" x14ac:dyDescent="0.2">
      <c r="B837" s="345"/>
      <c r="C837" s="112"/>
      <c r="D837" s="112"/>
      <c r="E837" s="107"/>
      <c r="F837" s="108"/>
      <c r="G837" s="57"/>
      <c r="H837" s="65"/>
      <c r="I837" s="69" t="str">
        <f t="shared" si="129"/>
        <v/>
      </c>
      <c r="J837" s="64" t="str">
        <f t="shared" si="130"/>
        <v/>
      </c>
      <c r="K837" s="64" t="str">
        <f t="shared" si="131"/>
        <v/>
      </c>
    </row>
    <row r="838" spans="1:11" ht="18" customHeight="1" x14ac:dyDescent="0.2">
      <c r="B838" s="561" t="s">
        <v>22</v>
      </c>
      <c r="C838" s="561" t="s">
        <v>177</v>
      </c>
      <c r="D838" s="561" t="s">
        <v>243</v>
      </c>
      <c r="E838" s="561" t="s">
        <v>23</v>
      </c>
      <c r="F838" s="562" t="s">
        <v>234</v>
      </c>
      <c r="G838" s="562"/>
      <c r="H838" s="562"/>
      <c r="I838" s="562"/>
      <c r="J838" s="562"/>
      <c r="K838" s="562"/>
    </row>
    <row r="839" spans="1:11" ht="21" x14ac:dyDescent="0.2">
      <c r="A839" s="114" t="s">
        <v>1057</v>
      </c>
      <c r="B839" s="434" t="s">
        <v>1153</v>
      </c>
      <c r="C839" s="115" t="s">
        <v>498</v>
      </c>
      <c r="D839" s="114" t="s">
        <v>639</v>
      </c>
      <c r="E839" s="329" t="str">
        <f>IF($O$47="","",$O$47)</f>
        <v>L 1 - METROP. MNR - LIMOEIRO</v>
      </c>
      <c r="F839" s="563">
        <f>IF(B839="","",VLOOKUP(E839,$O$2:$T$120,6,0))</f>
        <v>100783</v>
      </c>
      <c r="G839" s="564"/>
      <c r="H839" s="564"/>
      <c r="I839" s="564"/>
      <c r="J839" s="564"/>
      <c r="K839" s="565"/>
    </row>
    <row r="840" spans="1:11" ht="43.5" x14ac:dyDescent="0.2">
      <c r="A840" s="166" t="s">
        <v>779</v>
      </c>
      <c r="B840" s="116" t="s">
        <v>0</v>
      </c>
      <c r="C840" s="116" t="s">
        <v>20</v>
      </c>
      <c r="D840" s="116" t="s">
        <v>21</v>
      </c>
      <c r="E840" s="116" t="s">
        <v>1</v>
      </c>
      <c r="F840" s="117" t="s">
        <v>3</v>
      </c>
      <c r="G840" s="116" t="s">
        <v>216</v>
      </c>
      <c r="H840" s="180" t="s">
        <v>242</v>
      </c>
      <c r="I840" s="116" t="s">
        <v>245</v>
      </c>
      <c r="J840" s="116" t="s">
        <v>217</v>
      </c>
      <c r="K840" s="116" t="s">
        <v>218</v>
      </c>
    </row>
    <row r="841" spans="1:11" ht="17.25" x14ac:dyDescent="0.35">
      <c r="B841" s="404" t="s">
        <v>1414</v>
      </c>
      <c r="C841" s="152" t="s">
        <v>1415</v>
      </c>
      <c r="D841" s="152" t="s">
        <v>1416</v>
      </c>
      <c r="E841" s="107" t="s">
        <v>57</v>
      </c>
      <c r="F841" s="108">
        <v>23</v>
      </c>
      <c r="G841" s="57">
        <v>26</v>
      </c>
      <c r="H841" s="65">
        <v>4</v>
      </c>
      <c r="I841" s="69">
        <f t="shared" ref="I841:I850" si="132">IF(G841="","",SUM(G841:H841))</f>
        <v>30</v>
      </c>
      <c r="J841" s="64">
        <f>IF(G841="","",ROUNDUP(G841*0.65,0))</f>
        <v>17</v>
      </c>
      <c r="K841" s="64">
        <f>IF(G841="","",ROUNDUP(G841*0.55,0))</f>
        <v>15</v>
      </c>
    </row>
    <row r="842" spans="1:11" ht="17.25" x14ac:dyDescent="0.35">
      <c r="B842" s="404" t="s">
        <v>1417</v>
      </c>
      <c r="C842" s="152" t="s">
        <v>1418</v>
      </c>
      <c r="D842" s="152" t="s">
        <v>1248</v>
      </c>
      <c r="E842" s="107" t="s">
        <v>265</v>
      </c>
      <c r="F842" s="108">
        <v>12.5</v>
      </c>
      <c r="G842" s="57">
        <v>21</v>
      </c>
      <c r="H842" s="65">
        <v>4</v>
      </c>
      <c r="I842" s="69">
        <f t="shared" si="132"/>
        <v>25</v>
      </c>
      <c r="J842" s="64">
        <f t="shared" ref="J842:J856" si="133">IF(G842="","",ROUNDUP(G842*0.65,0))</f>
        <v>14</v>
      </c>
      <c r="K842" s="64">
        <f t="shared" ref="K842:K856" si="134">IF(G842="","",ROUNDUP(G842*0.55,0))</f>
        <v>12</v>
      </c>
    </row>
    <row r="843" spans="1:11" ht="17.25" x14ac:dyDescent="0.35">
      <c r="B843" s="404" t="s">
        <v>1419</v>
      </c>
      <c r="C843" s="152" t="s">
        <v>1420</v>
      </c>
      <c r="D843" s="152" t="s">
        <v>1249</v>
      </c>
      <c r="E843" s="107" t="s">
        <v>265</v>
      </c>
      <c r="F843" s="108">
        <v>12.5</v>
      </c>
      <c r="G843" s="57">
        <v>18</v>
      </c>
      <c r="H843" s="65">
        <v>3</v>
      </c>
      <c r="I843" s="69">
        <f t="shared" si="132"/>
        <v>21</v>
      </c>
      <c r="J843" s="64">
        <f t="shared" si="133"/>
        <v>12</v>
      </c>
      <c r="K843" s="64">
        <f t="shared" si="134"/>
        <v>10</v>
      </c>
    </row>
    <row r="844" spans="1:11" ht="17.25" x14ac:dyDescent="0.35">
      <c r="B844" s="404" t="s">
        <v>1421</v>
      </c>
      <c r="C844" s="152" t="s">
        <v>1422</v>
      </c>
      <c r="D844" s="152" t="s">
        <v>1163</v>
      </c>
      <c r="E844" s="107" t="s">
        <v>55</v>
      </c>
      <c r="F844" s="333">
        <v>14</v>
      </c>
      <c r="G844" s="57">
        <v>21</v>
      </c>
      <c r="H844" s="65">
        <v>2</v>
      </c>
      <c r="I844" s="69">
        <f t="shared" si="132"/>
        <v>23</v>
      </c>
      <c r="J844" s="64">
        <f t="shared" si="133"/>
        <v>14</v>
      </c>
      <c r="K844" s="64">
        <f t="shared" si="134"/>
        <v>12</v>
      </c>
    </row>
    <row r="845" spans="1:11" ht="17.25" x14ac:dyDescent="0.35">
      <c r="B845" s="404" t="s">
        <v>1423</v>
      </c>
      <c r="C845" s="152" t="s">
        <v>1424</v>
      </c>
      <c r="D845" s="152" t="s">
        <v>1165</v>
      </c>
      <c r="E845" s="107" t="s">
        <v>181</v>
      </c>
      <c r="F845" s="108">
        <v>20.5</v>
      </c>
      <c r="G845" s="57">
        <v>16</v>
      </c>
      <c r="H845" s="65">
        <v>4</v>
      </c>
      <c r="I845" s="69">
        <f t="shared" si="132"/>
        <v>20</v>
      </c>
      <c r="J845" s="64">
        <f t="shared" si="133"/>
        <v>11</v>
      </c>
      <c r="K845" s="64">
        <f t="shared" si="134"/>
        <v>9</v>
      </c>
    </row>
    <row r="846" spans="1:11" ht="17.25" x14ac:dyDescent="0.35">
      <c r="B846" s="404" t="s">
        <v>1425</v>
      </c>
      <c r="C846" s="152" t="s">
        <v>1424</v>
      </c>
      <c r="D846" s="152" t="s">
        <v>1279</v>
      </c>
      <c r="E846" s="107" t="s">
        <v>1019</v>
      </c>
      <c r="F846" s="108">
        <v>16.5</v>
      </c>
      <c r="G846" s="57">
        <v>16</v>
      </c>
      <c r="H846" s="65">
        <v>4</v>
      </c>
      <c r="I846" s="69">
        <f t="shared" si="132"/>
        <v>20</v>
      </c>
      <c r="J846" s="64">
        <f t="shared" si="133"/>
        <v>11</v>
      </c>
      <c r="K846" s="64">
        <f t="shared" si="134"/>
        <v>9</v>
      </c>
    </row>
    <row r="847" spans="1:11" ht="17.25" x14ac:dyDescent="0.35">
      <c r="B847" s="404" t="s">
        <v>1426</v>
      </c>
      <c r="C847" s="152" t="s">
        <v>1427</v>
      </c>
      <c r="D847" s="152" t="s">
        <v>1428</v>
      </c>
      <c r="E847" s="107" t="s">
        <v>179</v>
      </c>
      <c r="F847" s="108">
        <v>9.5</v>
      </c>
      <c r="G847" s="57">
        <v>12</v>
      </c>
      <c r="H847" s="65">
        <v>2</v>
      </c>
      <c r="I847" s="69">
        <f t="shared" si="132"/>
        <v>14</v>
      </c>
      <c r="J847" s="64">
        <f t="shared" si="133"/>
        <v>8</v>
      </c>
      <c r="K847" s="64">
        <f t="shared" si="134"/>
        <v>7</v>
      </c>
    </row>
    <row r="848" spans="1:11" ht="17.25" x14ac:dyDescent="0.2">
      <c r="B848" s="325"/>
      <c r="C848" s="97"/>
      <c r="D848" s="97"/>
      <c r="E848" s="123"/>
      <c r="F848" s="108"/>
      <c r="G848" s="64"/>
      <c r="H848" s="65"/>
      <c r="I848" s="69" t="str">
        <f t="shared" si="132"/>
        <v/>
      </c>
      <c r="J848" s="64" t="str">
        <f t="shared" si="133"/>
        <v/>
      </c>
      <c r="K848" s="64" t="str">
        <f t="shared" si="134"/>
        <v/>
      </c>
    </row>
    <row r="849" spans="1:11" ht="17.25" x14ac:dyDescent="0.2">
      <c r="B849" s="325"/>
      <c r="C849" s="97"/>
      <c r="D849" s="97"/>
      <c r="E849" s="123"/>
      <c r="F849" s="108"/>
      <c r="G849" s="64"/>
      <c r="H849" s="65"/>
      <c r="I849" s="69" t="str">
        <f t="shared" si="132"/>
        <v/>
      </c>
      <c r="J849" s="64" t="str">
        <f t="shared" si="133"/>
        <v/>
      </c>
      <c r="K849" s="64" t="str">
        <f t="shared" si="134"/>
        <v/>
      </c>
    </row>
    <row r="850" spans="1:11" ht="17.25" x14ac:dyDescent="0.2">
      <c r="B850" s="325"/>
      <c r="C850" s="97"/>
      <c r="D850" s="97"/>
      <c r="E850" s="123"/>
      <c r="F850" s="108"/>
      <c r="G850" s="64"/>
      <c r="H850" s="65"/>
      <c r="I850" s="69" t="str">
        <f t="shared" si="132"/>
        <v/>
      </c>
      <c r="J850" s="64" t="str">
        <f t="shared" si="133"/>
        <v/>
      </c>
      <c r="K850" s="64" t="str">
        <f t="shared" si="134"/>
        <v/>
      </c>
    </row>
    <row r="851" spans="1:11" ht="17.25" x14ac:dyDescent="0.2">
      <c r="B851" s="325"/>
      <c r="C851" s="97"/>
      <c r="D851" s="97"/>
      <c r="E851" s="123"/>
      <c r="F851" s="108"/>
      <c r="G851" s="64"/>
      <c r="H851" s="65"/>
      <c r="I851" s="69"/>
      <c r="J851" s="64" t="str">
        <f t="shared" si="133"/>
        <v/>
      </c>
      <c r="K851" s="64" t="str">
        <f t="shared" si="134"/>
        <v/>
      </c>
    </row>
    <row r="852" spans="1:11" ht="17.25" x14ac:dyDescent="0.2">
      <c r="B852" s="325"/>
      <c r="C852" s="97"/>
      <c r="D852" s="97"/>
      <c r="E852" s="123"/>
      <c r="F852" s="108"/>
      <c r="G852" s="64"/>
      <c r="H852" s="65"/>
      <c r="I852" s="69"/>
      <c r="J852" s="64" t="str">
        <f t="shared" si="133"/>
        <v/>
      </c>
      <c r="K852" s="64" t="str">
        <f t="shared" si="134"/>
        <v/>
      </c>
    </row>
    <row r="853" spans="1:11" ht="17.25" x14ac:dyDescent="0.2">
      <c r="B853" s="325"/>
      <c r="C853" s="97"/>
      <c r="D853" s="97"/>
      <c r="E853" s="123"/>
      <c r="F853" s="108"/>
      <c r="G853" s="64"/>
      <c r="H853" s="65"/>
      <c r="I853" s="69"/>
      <c r="J853" s="64" t="str">
        <f t="shared" si="133"/>
        <v/>
      </c>
      <c r="K853" s="64" t="str">
        <f t="shared" si="134"/>
        <v/>
      </c>
    </row>
    <row r="854" spans="1:11" ht="17.25" x14ac:dyDescent="0.2">
      <c r="B854" s="325"/>
      <c r="C854" s="97"/>
      <c r="D854" s="97"/>
      <c r="E854" s="123"/>
      <c r="F854" s="108"/>
      <c r="G854" s="64"/>
      <c r="H854" s="65"/>
      <c r="I854" s="69"/>
      <c r="J854" s="64" t="str">
        <f t="shared" si="133"/>
        <v/>
      </c>
      <c r="K854" s="64" t="str">
        <f t="shared" si="134"/>
        <v/>
      </c>
    </row>
    <row r="855" spans="1:11" ht="17.25" x14ac:dyDescent="0.2">
      <c r="B855" s="325"/>
      <c r="C855" s="97"/>
      <c r="D855" s="97"/>
      <c r="E855" s="123"/>
      <c r="F855" s="108"/>
      <c r="G855" s="64"/>
      <c r="H855" s="65"/>
      <c r="I855" s="69"/>
      <c r="J855" s="64" t="str">
        <f t="shared" si="133"/>
        <v/>
      </c>
      <c r="K855" s="64" t="str">
        <f t="shared" si="134"/>
        <v/>
      </c>
    </row>
    <row r="856" spans="1:11" ht="17.25" x14ac:dyDescent="0.2">
      <c r="B856" s="325"/>
      <c r="C856" s="97"/>
      <c r="D856" s="97"/>
      <c r="E856" s="123"/>
      <c r="F856" s="108"/>
      <c r="G856" s="64"/>
      <c r="H856" s="65"/>
      <c r="I856" s="69"/>
      <c r="J856" s="64" t="str">
        <f t="shared" si="133"/>
        <v/>
      </c>
      <c r="K856" s="64" t="str">
        <f t="shared" si="134"/>
        <v/>
      </c>
    </row>
    <row r="857" spans="1:11" ht="18" customHeight="1" x14ac:dyDescent="0.2">
      <c r="B857" s="561" t="s">
        <v>22</v>
      </c>
      <c r="C857" s="561" t="s">
        <v>177</v>
      </c>
      <c r="D857" s="561" t="s">
        <v>243</v>
      </c>
      <c r="E857" s="561" t="s">
        <v>23</v>
      </c>
      <c r="F857" s="562" t="s">
        <v>234</v>
      </c>
      <c r="G857" s="562"/>
      <c r="H857" s="562"/>
      <c r="I857" s="562"/>
      <c r="J857" s="562"/>
      <c r="K857" s="562"/>
    </row>
    <row r="858" spans="1:11" ht="21" x14ac:dyDescent="0.2">
      <c r="A858" s="114" t="s">
        <v>1058</v>
      </c>
      <c r="B858" s="433" t="s">
        <v>1028</v>
      </c>
      <c r="C858" s="115" t="s">
        <v>1370</v>
      </c>
      <c r="D858" s="114" t="s">
        <v>1371</v>
      </c>
      <c r="E858" s="329" t="str">
        <f>IF($O$48="","",$O$48)</f>
        <v>L 2 - METROP. MNR - LIMOEIRO</v>
      </c>
      <c r="F858" s="563">
        <f>IF(B858="","",VLOOKUP(E858,$O$2:$T$120,6,0))</f>
        <v>108537</v>
      </c>
      <c r="G858" s="564"/>
      <c r="H858" s="564"/>
      <c r="I858" s="564"/>
      <c r="J858" s="564"/>
      <c r="K858" s="565"/>
    </row>
    <row r="859" spans="1:11" ht="43.5" x14ac:dyDescent="0.2">
      <c r="A859" s="166" t="s">
        <v>779</v>
      </c>
      <c r="B859" s="116" t="s">
        <v>0</v>
      </c>
      <c r="C859" s="116" t="s">
        <v>20</v>
      </c>
      <c r="D859" s="116" t="s">
        <v>21</v>
      </c>
      <c r="E859" s="116" t="s">
        <v>1</v>
      </c>
      <c r="F859" s="117" t="s">
        <v>3</v>
      </c>
      <c r="G859" s="116" t="s">
        <v>216</v>
      </c>
      <c r="H859" s="180" t="s">
        <v>242</v>
      </c>
      <c r="I859" s="116" t="s">
        <v>245</v>
      </c>
      <c r="J859" s="116" t="s">
        <v>217</v>
      </c>
      <c r="K859" s="116" t="s">
        <v>218</v>
      </c>
    </row>
    <row r="860" spans="1:11" ht="17.25" x14ac:dyDescent="0.35">
      <c r="B860" s="404" t="s">
        <v>1429</v>
      </c>
      <c r="C860" s="152" t="s">
        <v>1430</v>
      </c>
      <c r="D860" s="152" t="s">
        <v>1249</v>
      </c>
      <c r="E860" s="107" t="s">
        <v>265</v>
      </c>
      <c r="F860" s="108">
        <v>12.5</v>
      </c>
      <c r="G860" s="57">
        <v>21</v>
      </c>
      <c r="H860" s="65">
        <v>3</v>
      </c>
      <c r="I860" s="69">
        <f t="shared" ref="I860:I875" si="135">IF(G860="","",SUM(G860:H860))</f>
        <v>24</v>
      </c>
      <c r="J860" s="64">
        <f>IF(G860="","",ROUNDUP(G860*0.65,0))</f>
        <v>14</v>
      </c>
      <c r="K860" s="64">
        <f>IF(G860="","",ROUNDUP(G860*0.55,0))</f>
        <v>12</v>
      </c>
    </row>
    <row r="861" spans="1:11" ht="17.25" x14ac:dyDescent="0.35">
      <c r="B861" s="404" t="s">
        <v>1431</v>
      </c>
      <c r="C861" s="152" t="s">
        <v>1432</v>
      </c>
      <c r="D861" s="152" t="s">
        <v>1249</v>
      </c>
      <c r="E861" s="107" t="s">
        <v>265</v>
      </c>
      <c r="F861" s="108">
        <v>12.5</v>
      </c>
      <c r="G861" s="57">
        <v>21</v>
      </c>
      <c r="H861" s="65">
        <v>3</v>
      </c>
      <c r="I861" s="69">
        <f t="shared" si="135"/>
        <v>24</v>
      </c>
      <c r="J861" s="64">
        <f t="shared" ref="J861:J875" si="136">IF(G861="","",ROUNDUP(G861*0.65,0))</f>
        <v>14</v>
      </c>
      <c r="K861" s="64">
        <f t="shared" ref="K861:K875" si="137">IF(G861="","",ROUNDUP(G861*0.55,0))</f>
        <v>12</v>
      </c>
    </row>
    <row r="862" spans="1:11" ht="17.25" x14ac:dyDescent="0.35">
      <c r="B862" s="404" t="s">
        <v>1433</v>
      </c>
      <c r="C862" s="152" t="s">
        <v>1424</v>
      </c>
      <c r="D862" s="152" t="s">
        <v>1170</v>
      </c>
      <c r="E862" s="107" t="s">
        <v>55</v>
      </c>
      <c r="F862" s="333">
        <v>14</v>
      </c>
      <c r="G862" s="57">
        <v>24</v>
      </c>
      <c r="H862" s="65">
        <v>3</v>
      </c>
      <c r="I862" s="69">
        <f t="shared" si="135"/>
        <v>27</v>
      </c>
      <c r="J862" s="64">
        <f t="shared" si="136"/>
        <v>16</v>
      </c>
      <c r="K862" s="64">
        <f t="shared" si="137"/>
        <v>14</v>
      </c>
    </row>
    <row r="863" spans="1:11" ht="17.25" x14ac:dyDescent="0.35">
      <c r="B863" s="404" t="s">
        <v>1434</v>
      </c>
      <c r="C863" s="152" t="s">
        <v>1435</v>
      </c>
      <c r="D863" s="152" t="s">
        <v>1279</v>
      </c>
      <c r="E863" s="107" t="s">
        <v>1019</v>
      </c>
      <c r="F863" s="108">
        <v>16.5</v>
      </c>
      <c r="G863" s="57">
        <v>16</v>
      </c>
      <c r="H863" s="65">
        <v>4</v>
      </c>
      <c r="I863" s="69">
        <f t="shared" si="135"/>
        <v>20</v>
      </c>
      <c r="J863" s="64">
        <f t="shared" si="136"/>
        <v>11</v>
      </c>
      <c r="K863" s="64">
        <f t="shared" si="137"/>
        <v>9</v>
      </c>
    </row>
    <row r="864" spans="1:11" ht="17.25" x14ac:dyDescent="0.35">
      <c r="B864" s="404" t="s">
        <v>1436</v>
      </c>
      <c r="C864" s="152" t="s">
        <v>1437</v>
      </c>
      <c r="D864" s="152" t="s">
        <v>1169</v>
      </c>
      <c r="E864" s="107" t="s">
        <v>265</v>
      </c>
      <c r="F864" s="108">
        <v>12.5</v>
      </c>
      <c r="G864" s="57">
        <v>20</v>
      </c>
      <c r="H864" s="65">
        <v>4</v>
      </c>
      <c r="I864" s="69">
        <f t="shared" si="135"/>
        <v>24</v>
      </c>
      <c r="J864" s="64">
        <f t="shared" si="136"/>
        <v>13</v>
      </c>
      <c r="K864" s="64">
        <f t="shared" si="137"/>
        <v>11</v>
      </c>
    </row>
    <row r="865" spans="1:11" ht="17.25" x14ac:dyDescent="0.35">
      <c r="B865" s="404" t="s">
        <v>1438</v>
      </c>
      <c r="C865" s="152" t="s">
        <v>1439</v>
      </c>
      <c r="D865" s="152" t="s">
        <v>1169</v>
      </c>
      <c r="E865" s="107" t="s">
        <v>265</v>
      </c>
      <c r="F865" s="108">
        <v>12.5</v>
      </c>
      <c r="G865" s="57">
        <v>14</v>
      </c>
      <c r="H865" s="65">
        <v>3</v>
      </c>
      <c r="I865" s="69">
        <f t="shared" si="135"/>
        <v>17</v>
      </c>
      <c r="J865" s="64">
        <f t="shared" si="136"/>
        <v>10</v>
      </c>
      <c r="K865" s="64">
        <f t="shared" si="137"/>
        <v>8</v>
      </c>
    </row>
    <row r="866" spans="1:11" ht="17.25" x14ac:dyDescent="0.35">
      <c r="B866" s="404" t="s">
        <v>1440</v>
      </c>
      <c r="C866" s="152" t="s">
        <v>1441</v>
      </c>
      <c r="D866" s="152" t="s">
        <v>1169</v>
      </c>
      <c r="E866" s="107" t="s">
        <v>179</v>
      </c>
      <c r="F866" s="108">
        <v>9.5</v>
      </c>
      <c r="G866" s="57">
        <v>24</v>
      </c>
      <c r="H866" s="65">
        <v>2</v>
      </c>
      <c r="I866" s="69">
        <f t="shared" si="135"/>
        <v>26</v>
      </c>
      <c r="J866" s="64">
        <f t="shared" si="136"/>
        <v>16</v>
      </c>
      <c r="K866" s="64">
        <f t="shared" si="137"/>
        <v>14</v>
      </c>
    </row>
    <row r="867" spans="1:11" ht="17.25" x14ac:dyDescent="0.2">
      <c r="B867" s="325"/>
      <c r="C867" s="112"/>
      <c r="D867" s="113"/>
      <c r="E867" s="107"/>
      <c r="F867" s="108"/>
      <c r="G867" s="57"/>
      <c r="H867" s="65"/>
      <c r="I867" s="69" t="str">
        <f t="shared" si="135"/>
        <v/>
      </c>
      <c r="J867" s="64" t="str">
        <f t="shared" si="136"/>
        <v/>
      </c>
      <c r="K867" s="64" t="str">
        <f t="shared" si="137"/>
        <v/>
      </c>
    </row>
    <row r="868" spans="1:11" ht="17.25" x14ac:dyDescent="0.2">
      <c r="B868" s="325"/>
      <c r="C868" s="112"/>
      <c r="D868" s="113"/>
      <c r="E868" s="107"/>
      <c r="F868" s="108"/>
      <c r="G868" s="57"/>
      <c r="H868" s="65"/>
      <c r="I868" s="69" t="str">
        <f t="shared" si="135"/>
        <v/>
      </c>
      <c r="J868" s="64" t="str">
        <f t="shared" si="136"/>
        <v/>
      </c>
      <c r="K868" s="64" t="str">
        <f t="shared" si="137"/>
        <v/>
      </c>
    </row>
    <row r="869" spans="1:11" ht="17.25" x14ac:dyDescent="0.2">
      <c r="B869" s="325"/>
      <c r="C869" s="112"/>
      <c r="D869" s="112"/>
      <c r="E869" s="107"/>
      <c r="F869" s="108"/>
      <c r="G869" s="57"/>
      <c r="H869" s="65"/>
      <c r="I869" s="69" t="str">
        <f t="shared" si="135"/>
        <v/>
      </c>
      <c r="J869" s="64" t="str">
        <f t="shared" si="136"/>
        <v/>
      </c>
      <c r="K869" s="64" t="str">
        <f t="shared" si="137"/>
        <v/>
      </c>
    </row>
    <row r="870" spans="1:11" ht="17.25" x14ac:dyDescent="0.2">
      <c r="B870" s="325"/>
      <c r="C870" s="112"/>
      <c r="D870" s="112"/>
      <c r="E870" s="107"/>
      <c r="F870" s="108"/>
      <c r="G870" s="57"/>
      <c r="H870" s="65"/>
      <c r="I870" s="69" t="str">
        <f t="shared" si="135"/>
        <v/>
      </c>
      <c r="J870" s="64" t="str">
        <f t="shared" si="136"/>
        <v/>
      </c>
      <c r="K870" s="64" t="str">
        <f t="shared" si="137"/>
        <v/>
      </c>
    </row>
    <row r="871" spans="1:11" ht="17.25" x14ac:dyDescent="0.2">
      <c r="B871" s="325"/>
      <c r="C871" s="112"/>
      <c r="D871" s="112"/>
      <c r="E871" s="107"/>
      <c r="F871" s="108"/>
      <c r="G871" s="57"/>
      <c r="H871" s="65"/>
      <c r="I871" s="69" t="str">
        <f t="shared" si="135"/>
        <v/>
      </c>
      <c r="J871" s="64" t="str">
        <f t="shared" si="136"/>
        <v/>
      </c>
      <c r="K871" s="64" t="str">
        <f t="shared" si="137"/>
        <v/>
      </c>
    </row>
    <row r="872" spans="1:11" ht="17.25" x14ac:dyDescent="0.2">
      <c r="B872" s="325"/>
      <c r="C872" s="112"/>
      <c r="D872" s="112"/>
      <c r="E872" s="107"/>
      <c r="F872" s="108"/>
      <c r="G872" s="57"/>
      <c r="H872" s="65"/>
      <c r="I872" s="69" t="str">
        <f t="shared" si="135"/>
        <v/>
      </c>
      <c r="J872" s="64" t="str">
        <f t="shared" si="136"/>
        <v/>
      </c>
      <c r="K872" s="64" t="str">
        <f t="shared" si="137"/>
        <v/>
      </c>
    </row>
    <row r="873" spans="1:11" ht="17.25" x14ac:dyDescent="0.2">
      <c r="B873" s="325"/>
      <c r="C873" s="112"/>
      <c r="D873" s="112"/>
      <c r="E873" s="107"/>
      <c r="F873" s="108"/>
      <c r="G873" s="57"/>
      <c r="H873" s="65"/>
      <c r="I873" s="69" t="str">
        <f t="shared" si="135"/>
        <v/>
      </c>
      <c r="J873" s="64" t="str">
        <f t="shared" si="136"/>
        <v/>
      </c>
      <c r="K873" s="64" t="str">
        <f t="shared" si="137"/>
        <v/>
      </c>
    </row>
    <row r="874" spans="1:11" ht="17.25" x14ac:dyDescent="0.2">
      <c r="B874" s="325"/>
      <c r="C874" s="112"/>
      <c r="D874" s="112"/>
      <c r="E874" s="107"/>
      <c r="F874" s="108"/>
      <c r="G874" s="57"/>
      <c r="H874" s="65"/>
      <c r="I874" s="69" t="str">
        <f t="shared" si="135"/>
        <v/>
      </c>
      <c r="J874" s="64" t="str">
        <f t="shared" si="136"/>
        <v/>
      </c>
      <c r="K874" s="64" t="str">
        <f t="shared" si="137"/>
        <v/>
      </c>
    </row>
    <row r="875" spans="1:11" ht="17.25" x14ac:dyDescent="0.2">
      <c r="B875" s="325"/>
      <c r="C875" s="112"/>
      <c r="D875" s="112"/>
      <c r="E875" s="107"/>
      <c r="F875" s="108"/>
      <c r="G875" s="57"/>
      <c r="H875" s="65"/>
      <c r="I875" s="69" t="str">
        <f t="shared" si="135"/>
        <v/>
      </c>
      <c r="J875" s="64" t="str">
        <f t="shared" si="136"/>
        <v/>
      </c>
      <c r="K875" s="64" t="str">
        <f t="shared" si="137"/>
        <v/>
      </c>
    </row>
    <row r="876" spans="1:11" ht="18" customHeight="1" x14ac:dyDescent="0.2">
      <c r="B876" s="561" t="s">
        <v>22</v>
      </c>
      <c r="C876" s="561" t="s">
        <v>177</v>
      </c>
      <c r="D876" s="561" t="s">
        <v>243</v>
      </c>
      <c r="E876" s="561" t="s">
        <v>23</v>
      </c>
      <c r="F876" s="566" t="s">
        <v>234</v>
      </c>
      <c r="G876" s="567"/>
      <c r="H876" s="567"/>
      <c r="I876" s="567"/>
      <c r="J876" s="567"/>
      <c r="K876" s="568"/>
    </row>
    <row r="877" spans="1:11" ht="21" x14ac:dyDescent="0.2">
      <c r="A877" s="114" t="s">
        <v>1454</v>
      </c>
      <c r="B877" s="432" t="s">
        <v>2643</v>
      </c>
      <c r="C877" s="115" t="s">
        <v>573</v>
      </c>
      <c r="D877" s="114" t="s">
        <v>1266</v>
      </c>
      <c r="E877" s="329" t="str">
        <f>IF($O$49="","",$O$49)</f>
        <v>Pontal Noroeste</v>
      </c>
      <c r="F877" s="563">
        <f>IF(B877="","",VLOOKUP(E877,$O$2:$T$120,6,0))</f>
        <v>66672</v>
      </c>
      <c r="G877" s="564"/>
      <c r="H877" s="564"/>
      <c r="I877" s="564"/>
      <c r="J877" s="564"/>
      <c r="K877" s="565"/>
    </row>
    <row r="878" spans="1:11" ht="43.5" x14ac:dyDescent="0.2">
      <c r="A878" s="166" t="s">
        <v>779</v>
      </c>
      <c r="B878" s="116" t="s">
        <v>0</v>
      </c>
      <c r="C878" s="116" t="s">
        <v>20</v>
      </c>
      <c r="D878" s="116" t="s">
        <v>21</v>
      </c>
      <c r="E878" s="116" t="s">
        <v>1</v>
      </c>
      <c r="F878" s="117" t="s">
        <v>3</v>
      </c>
      <c r="G878" s="116" t="s">
        <v>216</v>
      </c>
      <c r="H878" s="180" t="s">
        <v>242</v>
      </c>
      <c r="I878" s="116" t="s">
        <v>245</v>
      </c>
      <c r="J878" s="116" t="s">
        <v>217</v>
      </c>
      <c r="K878" s="116" t="s">
        <v>218</v>
      </c>
    </row>
    <row r="879" spans="1:11" ht="17.25" x14ac:dyDescent="0.35">
      <c r="B879" s="400" t="s">
        <v>1455</v>
      </c>
      <c r="C879" s="152" t="s">
        <v>1271</v>
      </c>
      <c r="D879" s="152" t="s">
        <v>1275</v>
      </c>
      <c r="E879" s="107" t="s">
        <v>265</v>
      </c>
      <c r="F879" s="108">
        <v>12.5</v>
      </c>
      <c r="G879" s="57">
        <v>12</v>
      </c>
      <c r="H879" s="65">
        <v>3</v>
      </c>
      <c r="I879" s="69">
        <f>IF(G879="","",SUM(G879:H879))</f>
        <v>15</v>
      </c>
      <c r="J879" s="64">
        <f>IF(G879="","",ROUNDUP(G879*0.65,0))</f>
        <v>8</v>
      </c>
      <c r="K879" s="64">
        <f>IF(G879="","",ROUNDUP(G879*0.55,0))</f>
        <v>7</v>
      </c>
    </row>
    <row r="880" spans="1:11" ht="17.25" x14ac:dyDescent="0.35">
      <c r="B880" s="400" t="s">
        <v>1456</v>
      </c>
      <c r="C880" s="152" t="s">
        <v>1273</v>
      </c>
      <c r="D880" s="152" t="s">
        <v>1268</v>
      </c>
      <c r="E880" s="107" t="s">
        <v>265</v>
      </c>
      <c r="F880" s="108">
        <v>12.5</v>
      </c>
      <c r="G880" s="57">
        <v>12</v>
      </c>
      <c r="H880" s="65">
        <v>3</v>
      </c>
      <c r="I880" s="69">
        <f t="shared" ref="I880:I889" si="138">IF(G880="","",SUM(G880:H880))</f>
        <v>15</v>
      </c>
      <c r="J880" s="64">
        <f t="shared" ref="J880:J894" si="139">IF(G880="","",ROUNDUP(G880*0.65,0))</f>
        <v>8</v>
      </c>
      <c r="K880" s="64">
        <f t="shared" ref="K880:K894" si="140">IF(G880="","",ROUNDUP(G880*0.55,0))</f>
        <v>7</v>
      </c>
    </row>
    <row r="881" spans="1:11" ht="17.25" x14ac:dyDescent="0.35">
      <c r="B881" s="400" t="s">
        <v>1457</v>
      </c>
      <c r="C881" s="152" t="s">
        <v>1298</v>
      </c>
      <c r="D881" s="152" t="s">
        <v>1268</v>
      </c>
      <c r="E881" s="107" t="s">
        <v>55</v>
      </c>
      <c r="F881" s="333">
        <v>14</v>
      </c>
      <c r="G881" s="57">
        <v>16</v>
      </c>
      <c r="H881" s="65">
        <v>4</v>
      </c>
      <c r="I881" s="69">
        <f t="shared" si="138"/>
        <v>20</v>
      </c>
      <c r="J881" s="64">
        <f t="shared" si="139"/>
        <v>11</v>
      </c>
      <c r="K881" s="64">
        <f t="shared" si="140"/>
        <v>9</v>
      </c>
    </row>
    <row r="882" spans="1:11" ht="17.25" x14ac:dyDescent="0.35">
      <c r="B882" s="400" t="s">
        <v>1458</v>
      </c>
      <c r="C882" s="152" t="s">
        <v>1284</v>
      </c>
      <c r="D882" s="152" t="s">
        <v>1459</v>
      </c>
      <c r="E882" s="107" t="s">
        <v>179</v>
      </c>
      <c r="F882" s="108">
        <v>9.5</v>
      </c>
      <c r="G882" s="57">
        <v>8</v>
      </c>
      <c r="H882" s="65">
        <v>2</v>
      </c>
      <c r="I882" s="69">
        <f t="shared" si="138"/>
        <v>10</v>
      </c>
      <c r="J882" s="64">
        <f t="shared" si="139"/>
        <v>6</v>
      </c>
      <c r="K882" s="64">
        <f t="shared" si="140"/>
        <v>5</v>
      </c>
    </row>
    <row r="883" spans="1:11" ht="17.25" x14ac:dyDescent="0.35">
      <c r="B883" s="400" t="s">
        <v>1460</v>
      </c>
      <c r="C883" s="152" t="s">
        <v>1287</v>
      </c>
      <c r="D883" s="152" t="s">
        <v>1298</v>
      </c>
      <c r="E883" s="107" t="s">
        <v>265</v>
      </c>
      <c r="F883" s="108">
        <v>12.5</v>
      </c>
      <c r="G883" s="57">
        <v>10</v>
      </c>
      <c r="H883" s="65">
        <v>4</v>
      </c>
      <c r="I883" s="69">
        <f t="shared" si="138"/>
        <v>14</v>
      </c>
      <c r="J883" s="64">
        <f t="shared" si="139"/>
        <v>7</v>
      </c>
      <c r="K883" s="64">
        <f t="shared" si="140"/>
        <v>6</v>
      </c>
    </row>
    <row r="884" spans="1:11" ht="17.25" x14ac:dyDescent="0.35">
      <c r="B884" s="400" t="s">
        <v>1461</v>
      </c>
      <c r="C884" s="152" t="s">
        <v>1462</v>
      </c>
      <c r="D884" s="152" t="s">
        <v>1268</v>
      </c>
      <c r="E884" s="107" t="s">
        <v>265</v>
      </c>
      <c r="F884" s="108">
        <v>12.5</v>
      </c>
      <c r="G884" s="57">
        <v>10</v>
      </c>
      <c r="H884" s="65">
        <v>3</v>
      </c>
      <c r="I884" s="69">
        <f t="shared" si="138"/>
        <v>13</v>
      </c>
      <c r="J884" s="64">
        <f t="shared" si="139"/>
        <v>7</v>
      </c>
      <c r="K884" s="64">
        <f t="shared" si="140"/>
        <v>6</v>
      </c>
    </row>
    <row r="885" spans="1:11" ht="17.25" x14ac:dyDescent="0.35">
      <c r="B885" s="400" t="s">
        <v>1463</v>
      </c>
      <c r="C885" s="152" t="s">
        <v>1296</v>
      </c>
      <c r="D885" s="152" t="s">
        <v>1268</v>
      </c>
      <c r="E885" s="107" t="s">
        <v>265</v>
      </c>
      <c r="F885" s="108">
        <v>12.5</v>
      </c>
      <c r="G885" s="57">
        <v>10</v>
      </c>
      <c r="H885" s="65">
        <v>3</v>
      </c>
      <c r="I885" s="69">
        <f t="shared" si="138"/>
        <v>13</v>
      </c>
      <c r="J885" s="64">
        <f t="shared" si="139"/>
        <v>7</v>
      </c>
      <c r="K885" s="64">
        <f t="shared" si="140"/>
        <v>6</v>
      </c>
    </row>
    <row r="886" spans="1:11" ht="17.25" x14ac:dyDescent="0.35">
      <c r="B886" s="400" t="s">
        <v>1464</v>
      </c>
      <c r="C886" s="152" t="s">
        <v>1287</v>
      </c>
      <c r="D886" s="152" t="s">
        <v>1459</v>
      </c>
      <c r="E886" s="107" t="s">
        <v>179</v>
      </c>
      <c r="F886" s="108">
        <v>9.5</v>
      </c>
      <c r="G886" s="57">
        <v>8</v>
      </c>
      <c r="H886" s="65">
        <v>2</v>
      </c>
      <c r="I886" s="69">
        <f t="shared" si="138"/>
        <v>10</v>
      </c>
      <c r="J886" s="64">
        <f t="shared" si="139"/>
        <v>6</v>
      </c>
      <c r="K886" s="64">
        <f t="shared" si="140"/>
        <v>5</v>
      </c>
    </row>
    <row r="887" spans="1:11" ht="17.25" x14ac:dyDescent="0.2">
      <c r="B887" s="332"/>
      <c r="C887" s="112"/>
      <c r="D887" s="113"/>
      <c r="E887" s="107"/>
      <c r="F887" s="108"/>
      <c r="G887" s="57"/>
      <c r="H887" s="65"/>
      <c r="I887" s="69" t="str">
        <f t="shared" si="138"/>
        <v/>
      </c>
      <c r="J887" s="64" t="str">
        <f t="shared" si="139"/>
        <v/>
      </c>
      <c r="K887" s="64" t="str">
        <f t="shared" si="140"/>
        <v/>
      </c>
    </row>
    <row r="888" spans="1:11" ht="17.25" x14ac:dyDescent="0.2">
      <c r="B888" s="332"/>
      <c r="C888" s="112"/>
      <c r="D888" s="112"/>
      <c r="E888" s="107"/>
      <c r="F888" s="108"/>
      <c r="G888" s="57"/>
      <c r="H888" s="65"/>
      <c r="I888" s="69" t="str">
        <f t="shared" si="138"/>
        <v/>
      </c>
      <c r="J888" s="64" t="str">
        <f t="shared" si="139"/>
        <v/>
      </c>
      <c r="K888" s="64" t="str">
        <f t="shared" si="140"/>
        <v/>
      </c>
    </row>
    <row r="889" spans="1:11" ht="17.25" x14ac:dyDescent="0.2">
      <c r="B889" s="332"/>
      <c r="C889" s="112"/>
      <c r="D889" s="112"/>
      <c r="E889" s="107"/>
      <c r="F889" s="108"/>
      <c r="G889" s="57"/>
      <c r="H889" s="65"/>
      <c r="I889" s="69" t="str">
        <f t="shared" si="138"/>
        <v/>
      </c>
      <c r="J889" s="64" t="str">
        <f t="shared" si="139"/>
        <v/>
      </c>
      <c r="K889" s="64" t="str">
        <f t="shared" si="140"/>
        <v/>
      </c>
    </row>
    <row r="890" spans="1:11" ht="17.25" x14ac:dyDescent="0.2">
      <c r="B890" s="332"/>
      <c r="C890" s="112"/>
      <c r="D890" s="112"/>
      <c r="E890" s="107"/>
      <c r="F890" s="108"/>
      <c r="G890" s="57"/>
      <c r="H890" s="65"/>
      <c r="I890" s="69"/>
      <c r="J890" s="64" t="str">
        <f t="shared" si="139"/>
        <v/>
      </c>
      <c r="K890" s="64" t="str">
        <f t="shared" si="140"/>
        <v/>
      </c>
    </row>
    <row r="891" spans="1:11" ht="17.25" x14ac:dyDescent="0.2">
      <c r="B891" s="332"/>
      <c r="C891" s="112"/>
      <c r="D891" s="112"/>
      <c r="E891" s="107"/>
      <c r="F891" s="108"/>
      <c r="G891" s="57"/>
      <c r="H891" s="65"/>
      <c r="I891" s="69"/>
      <c r="J891" s="64" t="str">
        <f t="shared" si="139"/>
        <v/>
      </c>
      <c r="K891" s="64" t="str">
        <f t="shared" si="140"/>
        <v/>
      </c>
    </row>
    <row r="892" spans="1:11" ht="17.25" x14ac:dyDescent="0.2">
      <c r="B892" s="332"/>
      <c r="C892" s="112"/>
      <c r="D892" s="112"/>
      <c r="E892" s="107"/>
      <c r="F892" s="108"/>
      <c r="G892" s="57"/>
      <c r="H892" s="65"/>
      <c r="I892" s="69"/>
      <c r="J892" s="64" t="str">
        <f t="shared" si="139"/>
        <v/>
      </c>
      <c r="K892" s="64" t="str">
        <f t="shared" si="140"/>
        <v/>
      </c>
    </row>
    <row r="893" spans="1:11" ht="17.25" x14ac:dyDescent="0.2">
      <c r="B893" s="332"/>
      <c r="C893" s="112"/>
      <c r="D893" s="112"/>
      <c r="E893" s="107"/>
      <c r="F893" s="108"/>
      <c r="G893" s="57"/>
      <c r="H893" s="65"/>
      <c r="I893" s="69"/>
      <c r="J893" s="64" t="str">
        <f t="shared" si="139"/>
        <v/>
      </c>
      <c r="K893" s="64" t="str">
        <f t="shared" si="140"/>
        <v/>
      </c>
    </row>
    <row r="894" spans="1:11" ht="17.25" x14ac:dyDescent="0.2">
      <c r="B894" s="332"/>
      <c r="C894" s="112"/>
      <c r="D894" s="112"/>
      <c r="E894" s="107"/>
      <c r="F894" s="108"/>
      <c r="G894" s="57"/>
      <c r="H894" s="65"/>
      <c r="I894" s="69"/>
      <c r="J894" s="64" t="str">
        <f t="shared" si="139"/>
        <v/>
      </c>
      <c r="K894" s="64" t="str">
        <f t="shared" si="140"/>
        <v/>
      </c>
    </row>
    <row r="895" spans="1:11" ht="18" customHeight="1" x14ac:dyDescent="0.2">
      <c r="B895" s="561" t="s">
        <v>22</v>
      </c>
      <c r="C895" s="561" t="s">
        <v>177</v>
      </c>
      <c r="D895" s="561" t="s">
        <v>243</v>
      </c>
      <c r="E895" s="561" t="s">
        <v>23</v>
      </c>
      <c r="F895" s="562" t="s">
        <v>234</v>
      </c>
      <c r="G895" s="562"/>
      <c r="H895" s="562"/>
      <c r="I895" s="562"/>
      <c r="J895" s="562"/>
      <c r="K895" s="562"/>
    </row>
    <row r="896" spans="1:11" ht="21" x14ac:dyDescent="0.2">
      <c r="A896" s="114" t="s">
        <v>1465</v>
      </c>
      <c r="B896" s="432" t="s">
        <v>2644</v>
      </c>
      <c r="C896" s="115" t="s">
        <v>573</v>
      </c>
      <c r="D896" s="114" t="s">
        <v>1266</v>
      </c>
      <c r="E896" s="329" t="str">
        <f>IF($O$50="","",$O$50)</f>
        <v>Moinho Novo</v>
      </c>
      <c r="F896" s="563">
        <f>IF(B896="","",VLOOKUP(E896,$O$2:$T$120,6,0))</f>
        <v>74424</v>
      </c>
      <c r="G896" s="564"/>
      <c r="H896" s="564"/>
      <c r="I896" s="564"/>
      <c r="J896" s="564"/>
      <c r="K896" s="565"/>
    </row>
    <row r="897" spans="1:11" ht="43.5" x14ac:dyDescent="0.2">
      <c r="A897" s="166" t="s">
        <v>779</v>
      </c>
      <c r="B897" s="116" t="s">
        <v>0</v>
      </c>
      <c r="C897" s="116" t="s">
        <v>20</v>
      </c>
      <c r="D897" s="116" t="s">
        <v>21</v>
      </c>
      <c r="E897" s="116" t="s">
        <v>1</v>
      </c>
      <c r="F897" s="117" t="s">
        <v>3</v>
      </c>
      <c r="G897" s="116" t="s">
        <v>216</v>
      </c>
      <c r="H897" s="180" t="s">
        <v>242</v>
      </c>
      <c r="I897" s="116" t="s">
        <v>245</v>
      </c>
      <c r="J897" s="116" t="s">
        <v>217</v>
      </c>
      <c r="K897" s="116" t="s">
        <v>218</v>
      </c>
    </row>
    <row r="898" spans="1:11" ht="17.25" x14ac:dyDescent="0.35">
      <c r="B898" s="401" t="s">
        <v>1466</v>
      </c>
      <c r="C898" s="152" t="s">
        <v>1305</v>
      </c>
      <c r="D898" s="152" t="s">
        <v>1329</v>
      </c>
      <c r="E898" s="107" t="s">
        <v>265</v>
      </c>
      <c r="F898" s="108">
        <v>12.5</v>
      </c>
      <c r="G898" s="57">
        <v>10</v>
      </c>
      <c r="H898" s="65">
        <v>2</v>
      </c>
      <c r="I898" s="69">
        <f>IF(G898="","",SUM(G898:H898))</f>
        <v>12</v>
      </c>
      <c r="J898" s="64">
        <f>IF(G898="","",ROUNDUP(G898*0.65,0))</f>
        <v>7</v>
      </c>
      <c r="K898" s="64">
        <f>IF(G898="","",ROUNDUP(G898*0.55,0))</f>
        <v>6</v>
      </c>
    </row>
    <row r="899" spans="1:11" ht="17.25" x14ac:dyDescent="0.35">
      <c r="B899" s="401" t="s">
        <v>1467</v>
      </c>
      <c r="C899" s="152" t="s">
        <v>1308</v>
      </c>
      <c r="D899" s="152" t="s">
        <v>1302</v>
      </c>
      <c r="E899" s="107" t="s">
        <v>265</v>
      </c>
      <c r="F899" s="108">
        <v>12.5</v>
      </c>
      <c r="G899" s="57">
        <v>10</v>
      </c>
      <c r="H899" s="65">
        <v>3</v>
      </c>
      <c r="I899" s="69">
        <f t="shared" ref="I899:I913" si="141">IF(G899="","",SUM(G899:H899))</f>
        <v>13</v>
      </c>
      <c r="J899" s="64">
        <f t="shared" ref="J899:J913" si="142">IF(G899="","",ROUNDUP(G899*0.65,0))</f>
        <v>7</v>
      </c>
      <c r="K899" s="64">
        <f t="shared" ref="K899:K913" si="143">IF(G899="","",ROUNDUP(G899*0.55,0))</f>
        <v>6</v>
      </c>
    </row>
    <row r="900" spans="1:11" ht="17.25" x14ac:dyDescent="0.35">
      <c r="B900" s="401" t="s">
        <v>1468</v>
      </c>
      <c r="C900" s="152" t="s">
        <v>1310</v>
      </c>
      <c r="D900" s="152" t="s">
        <v>1302</v>
      </c>
      <c r="E900" s="107" t="s">
        <v>55</v>
      </c>
      <c r="F900" s="333">
        <v>14</v>
      </c>
      <c r="G900" s="57">
        <v>10</v>
      </c>
      <c r="H900" s="65">
        <v>5</v>
      </c>
      <c r="I900" s="69">
        <f t="shared" si="141"/>
        <v>15</v>
      </c>
      <c r="J900" s="64">
        <f t="shared" si="142"/>
        <v>7</v>
      </c>
      <c r="K900" s="64">
        <f t="shared" si="143"/>
        <v>6</v>
      </c>
    </row>
    <row r="901" spans="1:11" ht="17.25" x14ac:dyDescent="0.35">
      <c r="B901" s="401" t="s">
        <v>1469</v>
      </c>
      <c r="C901" s="152" t="s">
        <v>1331</v>
      </c>
      <c r="D901" s="152" t="s">
        <v>1459</v>
      </c>
      <c r="E901" s="107" t="s">
        <v>179</v>
      </c>
      <c r="F901" s="108">
        <v>9.5</v>
      </c>
      <c r="G901" s="57">
        <v>10</v>
      </c>
      <c r="H901" s="65">
        <v>3</v>
      </c>
      <c r="I901" s="69">
        <f t="shared" si="141"/>
        <v>13</v>
      </c>
      <c r="J901" s="64">
        <f t="shared" si="142"/>
        <v>7</v>
      </c>
      <c r="K901" s="64">
        <f t="shared" si="143"/>
        <v>6</v>
      </c>
    </row>
    <row r="902" spans="1:11" ht="17.25" x14ac:dyDescent="0.35">
      <c r="B902" s="401" t="s">
        <v>1470</v>
      </c>
      <c r="C902" s="152" t="s">
        <v>1471</v>
      </c>
      <c r="D902" s="152" t="s">
        <v>1459</v>
      </c>
      <c r="E902" s="107" t="s">
        <v>179</v>
      </c>
      <c r="F902" s="108">
        <v>9.5</v>
      </c>
      <c r="G902" s="57">
        <v>10</v>
      </c>
      <c r="H902" s="65">
        <v>2</v>
      </c>
      <c r="I902" s="69">
        <f t="shared" si="141"/>
        <v>12</v>
      </c>
      <c r="J902" s="64">
        <f t="shared" si="142"/>
        <v>7</v>
      </c>
      <c r="K902" s="64">
        <f t="shared" si="143"/>
        <v>6</v>
      </c>
    </row>
    <row r="903" spans="1:11" ht="17.25" x14ac:dyDescent="0.35">
      <c r="B903" s="401" t="s">
        <v>1472</v>
      </c>
      <c r="C903" s="152" t="s">
        <v>1324</v>
      </c>
      <c r="D903" s="152" t="s">
        <v>1302</v>
      </c>
      <c r="E903" s="107" t="s">
        <v>265</v>
      </c>
      <c r="F903" s="108">
        <v>12.5</v>
      </c>
      <c r="G903" s="57">
        <v>10</v>
      </c>
      <c r="H903" s="65">
        <v>2</v>
      </c>
      <c r="I903" s="69">
        <f t="shared" si="141"/>
        <v>12</v>
      </c>
      <c r="J903" s="64">
        <f t="shared" si="142"/>
        <v>7</v>
      </c>
      <c r="K903" s="64">
        <f t="shared" si="143"/>
        <v>6</v>
      </c>
    </row>
    <row r="904" spans="1:11" ht="17.25" x14ac:dyDescent="0.35">
      <c r="B904" s="401" t="s">
        <v>1473</v>
      </c>
      <c r="C904" s="152" t="s">
        <v>1318</v>
      </c>
      <c r="D904" s="152" t="s">
        <v>1302</v>
      </c>
      <c r="E904" s="107" t="s">
        <v>55</v>
      </c>
      <c r="F904" s="333">
        <v>14</v>
      </c>
      <c r="G904" s="57">
        <v>12</v>
      </c>
      <c r="H904" s="65">
        <v>3</v>
      </c>
      <c r="I904" s="69">
        <f t="shared" si="141"/>
        <v>15</v>
      </c>
      <c r="J904" s="64">
        <f t="shared" si="142"/>
        <v>8</v>
      </c>
      <c r="K904" s="64">
        <f t="shared" si="143"/>
        <v>7</v>
      </c>
    </row>
    <row r="905" spans="1:11" ht="17.25" x14ac:dyDescent="0.35">
      <c r="B905" s="401" t="s">
        <v>1474</v>
      </c>
      <c r="C905" s="152" t="s">
        <v>1320</v>
      </c>
      <c r="D905" s="152" t="s">
        <v>1459</v>
      </c>
      <c r="E905" s="107" t="s">
        <v>179</v>
      </c>
      <c r="F905" s="108">
        <v>9.5</v>
      </c>
      <c r="G905" s="57">
        <v>14</v>
      </c>
      <c r="H905" s="65">
        <v>1</v>
      </c>
      <c r="I905" s="69">
        <f t="shared" si="141"/>
        <v>15</v>
      </c>
      <c r="J905" s="64">
        <f t="shared" si="142"/>
        <v>10</v>
      </c>
      <c r="K905" s="64">
        <f t="shared" si="143"/>
        <v>8</v>
      </c>
    </row>
    <row r="906" spans="1:11" ht="17.25" x14ac:dyDescent="0.35">
      <c r="B906" s="401" t="s">
        <v>1475</v>
      </c>
      <c r="C906" s="152" t="s">
        <v>1314</v>
      </c>
      <c r="D906" s="152" t="s">
        <v>1326</v>
      </c>
      <c r="E906" s="107" t="s">
        <v>265</v>
      </c>
      <c r="F906" s="108">
        <v>12.5</v>
      </c>
      <c r="G906" s="57">
        <v>10</v>
      </c>
      <c r="H906" s="65">
        <v>3</v>
      </c>
      <c r="I906" s="69">
        <f t="shared" si="141"/>
        <v>13</v>
      </c>
      <c r="J906" s="64">
        <f t="shared" si="142"/>
        <v>7</v>
      </c>
      <c r="K906" s="64">
        <f t="shared" si="143"/>
        <v>6</v>
      </c>
    </row>
    <row r="907" spans="1:11" ht="17.25" x14ac:dyDescent="0.2">
      <c r="B907" s="336"/>
      <c r="C907" s="99"/>
      <c r="D907" s="99"/>
      <c r="E907" s="107"/>
      <c r="F907" s="108"/>
      <c r="G907" s="57"/>
      <c r="H907" s="65"/>
      <c r="I907" s="69" t="str">
        <f t="shared" si="141"/>
        <v/>
      </c>
      <c r="J907" s="64" t="str">
        <f t="shared" si="142"/>
        <v/>
      </c>
      <c r="K907" s="64" t="str">
        <f t="shared" si="143"/>
        <v/>
      </c>
    </row>
    <row r="908" spans="1:11" ht="17.25" x14ac:dyDescent="0.2">
      <c r="B908" s="336"/>
      <c r="C908" s="99"/>
      <c r="D908" s="99"/>
      <c r="E908" s="107"/>
      <c r="F908" s="108"/>
      <c r="G908" s="57"/>
      <c r="H908" s="65"/>
      <c r="I908" s="69" t="str">
        <f t="shared" si="141"/>
        <v/>
      </c>
      <c r="J908" s="64" t="str">
        <f t="shared" si="142"/>
        <v/>
      </c>
      <c r="K908" s="64" t="str">
        <f t="shared" si="143"/>
        <v/>
      </c>
    </row>
    <row r="909" spans="1:11" ht="17.25" x14ac:dyDescent="0.2">
      <c r="B909" s="336"/>
      <c r="C909" s="99"/>
      <c r="D909" s="99"/>
      <c r="E909" s="107"/>
      <c r="F909" s="108"/>
      <c r="G909" s="57"/>
      <c r="H909" s="65"/>
      <c r="I909" s="69" t="str">
        <f t="shared" si="141"/>
        <v/>
      </c>
      <c r="J909" s="64" t="str">
        <f t="shared" si="142"/>
        <v/>
      </c>
      <c r="K909" s="64" t="str">
        <f t="shared" si="143"/>
        <v/>
      </c>
    </row>
    <row r="910" spans="1:11" ht="17.25" x14ac:dyDescent="0.2">
      <c r="B910" s="336"/>
      <c r="C910" s="99"/>
      <c r="D910" s="99"/>
      <c r="E910" s="107"/>
      <c r="F910" s="108"/>
      <c r="G910" s="57"/>
      <c r="H910" s="65"/>
      <c r="I910" s="69" t="str">
        <f t="shared" si="141"/>
        <v/>
      </c>
      <c r="J910" s="64" t="str">
        <f t="shared" si="142"/>
        <v/>
      </c>
      <c r="K910" s="64" t="str">
        <f t="shared" si="143"/>
        <v/>
      </c>
    </row>
    <row r="911" spans="1:11" ht="17.25" x14ac:dyDescent="0.2">
      <c r="B911" s="336"/>
      <c r="C911" s="99"/>
      <c r="D911" s="99"/>
      <c r="E911" s="107"/>
      <c r="F911" s="108"/>
      <c r="G911" s="57"/>
      <c r="H911" s="65"/>
      <c r="I911" s="69" t="str">
        <f t="shared" si="141"/>
        <v/>
      </c>
      <c r="J911" s="64" t="str">
        <f t="shared" si="142"/>
        <v/>
      </c>
      <c r="K911" s="64" t="str">
        <f t="shared" si="143"/>
        <v/>
      </c>
    </row>
    <row r="912" spans="1:11" ht="17.25" x14ac:dyDescent="0.2">
      <c r="B912" s="336"/>
      <c r="C912" s="99"/>
      <c r="D912" s="99"/>
      <c r="E912" s="107"/>
      <c r="F912" s="108"/>
      <c r="G912" s="57"/>
      <c r="H912" s="65"/>
      <c r="I912" s="69" t="str">
        <f t="shared" si="141"/>
        <v/>
      </c>
      <c r="J912" s="64" t="str">
        <f t="shared" si="142"/>
        <v/>
      </c>
      <c r="K912" s="64" t="str">
        <f t="shared" si="143"/>
        <v/>
      </c>
    </row>
    <row r="913" spans="1:11" ht="17.25" x14ac:dyDescent="0.2">
      <c r="B913" s="336"/>
      <c r="C913" s="99"/>
      <c r="D913" s="99"/>
      <c r="E913" s="107"/>
      <c r="F913" s="108"/>
      <c r="G913" s="57"/>
      <c r="H913" s="65"/>
      <c r="I913" s="69" t="str">
        <f t="shared" si="141"/>
        <v/>
      </c>
      <c r="J913" s="64" t="str">
        <f t="shared" si="142"/>
        <v/>
      </c>
      <c r="K913" s="64" t="str">
        <f t="shared" si="143"/>
        <v/>
      </c>
    </row>
    <row r="914" spans="1:11" ht="18" customHeight="1" x14ac:dyDescent="0.2">
      <c r="B914" s="561" t="s">
        <v>22</v>
      </c>
      <c r="C914" s="561" t="s">
        <v>177</v>
      </c>
      <c r="D914" s="561" t="s">
        <v>243</v>
      </c>
      <c r="E914" s="561" t="s">
        <v>23</v>
      </c>
      <c r="F914" s="562" t="s">
        <v>234</v>
      </c>
      <c r="G914" s="562"/>
      <c r="H914" s="562"/>
      <c r="I914" s="562"/>
      <c r="J914" s="562"/>
      <c r="K914" s="562"/>
    </row>
    <row r="915" spans="1:11" ht="21" x14ac:dyDescent="0.2">
      <c r="A915" s="114" t="s">
        <v>1476</v>
      </c>
      <c r="B915" s="587" t="s">
        <v>1154</v>
      </c>
      <c r="C915" s="115" t="s">
        <v>1477</v>
      </c>
      <c r="D915" s="114" t="s">
        <v>1478</v>
      </c>
      <c r="E915" s="329" t="str">
        <f>IF($O$51="","",$O$51)</f>
        <v>Borda do Campo - Reg. Leste</v>
      </c>
      <c r="F915" s="563">
        <f>IF(B915="","",VLOOKUP(E915,$O$2:$T$120,6,0))</f>
        <v>55818</v>
      </c>
      <c r="G915" s="564"/>
      <c r="H915" s="564"/>
      <c r="I915" s="564"/>
      <c r="J915" s="564"/>
      <c r="K915" s="565"/>
    </row>
    <row r="916" spans="1:11" ht="43.5" x14ac:dyDescent="0.2">
      <c r="A916" s="166" t="s">
        <v>779</v>
      </c>
      <c r="B916" s="116" t="s">
        <v>0</v>
      </c>
      <c r="C916" s="116" t="s">
        <v>20</v>
      </c>
      <c r="D916" s="116" t="s">
        <v>21</v>
      </c>
      <c r="E916" s="116" t="s">
        <v>1</v>
      </c>
      <c r="F916" s="117" t="s">
        <v>3</v>
      </c>
      <c r="G916" s="116" t="s">
        <v>216</v>
      </c>
      <c r="H916" s="180" t="s">
        <v>242</v>
      </c>
      <c r="I916" s="116" t="s">
        <v>245</v>
      </c>
      <c r="J916" s="116" t="s">
        <v>217</v>
      </c>
      <c r="K916" s="116" t="s">
        <v>218</v>
      </c>
    </row>
    <row r="917" spans="1:11" ht="17.25" x14ac:dyDescent="0.35">
      <c r="B917" s="402" t="s">
        <v>1479</v>
      </c>
      <c r="C917" s="152" t="s">
        <v>1287</v>
      </c>
      <c r="D917" s="152" t="s">
        <v>1480</v>
      </c>
      <c r="E917" s="107" t="s">
        <v>265</v>
      </c>
      <c r="F917" s="108">
        <v>12.5</v>
      </c>
      <c r="G917" s="64">
        <v>12</v>
      </c>
      <c r="H917" s="65">
        <v>3</v>
      </c>
      <c r="I917" s="69">
        <f>IF(G917="","",SUM(G917:H917))</f>
        <v>15</v>
      </c>
      <c r="J917" s="64">
        <f>IF(G917="","",ROUNDUP(G917*0.65,0))</f>
        <v>8</v>
      </c>
      <c r="K917" s="64">
        <f>IF(G917="","",ROUNDUP(G917*0.55,0))</f>
        <v>7</v>
      </c>
    </row>
    <row r="918" spans="1:11" ht="17.25" x14ac:dyDescent="0.35">
      <c r="B918" s="402" t="s">
        <v>1481</v>
      </c>
      <c r="C918" s="152" t="s">
        <v>1339</v>
      </c>
      <c r="D918" s="152" t="s">
        <v>1333</v>
      </c>
      <c r="E918" s="107" t="s">
        <v>265</v>
      </c>
      <c r="F918" s="108">
        <v>12.5</v>
      </c>
      <c r="G918" s="64">
        <v>12</v>
      </c>
      <c r="H918" s="65">
        <v>3</v>
      </c>
      <c r="I918" s="69">
        <f t="shared" ref="I918:I923" si="144">IF(G918="","",SUM(G918:H918))</f>
        <v>15</v>
      </c>
      <c r="J918" s="64">
        <f t="shared" ref="J918:J932" si="145">IF(G918="","",ROUNDUP(G918*0.65,0))</f>
        <v>8</v>
      </c>
      <c r="K918" s="64">
        <f t="shared" ref="K918:K932" si="146">IF(G918="","",ROUNDUP(G918*0.55,0))</f>
        <v>7</v>
      </c>
    </row>
    <row r="919" spans="1:11" ht="17.25" x14ac:dyDescent="0.35">
      <c r="B919" s="402" t="s">
        <v>1482</v>
      </c>
      <c r="C919" s="152" t="s">
        <v>1342</v>
      </c>
      <c r="D919" s="152" t="s">
        <v>1333</v>
      </c>
      <c r="E919" s="107" t="s">
        <v>55</v>
      </c>
      <c r="F919" s="333">
        <v>14</v>
      </c>
      <c r="G919" s="64">
        <v>14</v>
      </c>
      <c r="H919" s="65">
        <v>1</v>
      </c>
      <c r="I919" s="69">
        <f t="shared" si="144"/>
        <v>15</v>
      </c>
      <c r="J919" s="64">
        <f t="shared" si="145"/>
        <v>10</v>
      </c>
      <c r="K919" s="64">
        <f t="shared" si="146"/>
        <v>8</v>
      </c>
    </row>
    <row r="920" spans="1:11" ht="17.25" x14ac:dyDescent="0.35">
      <c r="B920" s="402" t="s">
        <v>1483</v>
      </c>
      <c r="C920" s="152" t="s">
        <v>1344</v>
      </c>
      <c r="D920" s="152" t="s">
        <v>1333</v>
      </c>
      <c r="E920" s="107" t="s">
        <v>265</v>
      </c>
      <c r="F920" s="108">
        <v>12.5</v>
      </c>
      <c r="G920" s="64">
        <v>12</v>
      </c>
      <c r="H920" s="65">
        <v>3</v>
      </c>
      <c r="I920" s="69">
        <f t="shared" si="144"/>
        <v>15</v>
      </c>
      <c r="J920" s="64">
        <f t="shared" si="145"/>
        <v>8</v>
      </c>
      <c r="K920" s="64">
        <f t="shared" si="146"/>
        <v>7</v>
      </c>
    </row>
    <row r="921" spans="1:11" ht="17.25" x14ac:dyDescent="0.35">
      <c r="B921" s="402" t="s">
        <v>1484</v>
      </c>
      <c r="C921" s="152" t="s">
        <v>1485</v>
      </c>
      <c r="D921" s="152" t="s">
        <v>1459</v>
      </c>
      <c r="E921" s="107" t="s">
        <v>179</v>
      </c>
      <c r="F921" s="108">
        <v>9.5</v>
      </c>
      <c r="G921" s="64">
        <v>12</v>
      </c>
      <c r="H921" s="65">
        <v>4</v>
      </c>
      <c r="I921" s="69">
        <f t="shared" si="144"/>
        <v>16</v>
      </c>
      <c r="J921" s="64">
        <f t="shared" si="145"/>
        <v>8</v>
      </c>
      <c r="K921" s="64">
        <f t="shared" si="146"/>
        <v>7</v>
      </c>
    </row>
    <row r="922" spans="1:11" ht="17.25" x14ac:dyDescent="0.35">
      <c r="B922" s="402" t="s">
        <v>1486</v>
      </c>
      <c r="C922" s="152" t="s">
        <v>1487</v>
      </c>
      <c r="D922" s="152" t="s">
        <v>1459</v>
      </c>
      <c r="E922" s="107" t="s">
        <v>179</v>
      </c>
      <c r="F922" s="108">
        <v>9.5</v>
      </c>
      <c r="G922" s="64">
        <v>10</v>
      </c>
      <c r="H922" s="65">
        <v>4</v>
      </c>
      <c r="I922" s="69">
        <f t="shared" si="144"/>
        <v>14</v>
      </c>
      <c r="J922" s="64">
        <f t="shared" si="145"/>
        <v>7</v>
      </c>
      <c r="K922" s="64">
        <f t="shared" si="146"/>
        <v>6</v>
      </c>
    </row>
    <row r="923" spans="1:11" ht="17.25" x14ac:dyDescent="0.2">
      <c r="B923" s="338"/>
      <c r="C923" s="109"/>
      <c r="D923" s="109"/>
      <c r="E923" s="107"/>
      <c r="F923" s="108"/>
      <c r="G923" s="64"/>
      <c r="H923" s="65"/>
      <c r="I923" s="69" t="str">
        <f t="shared" si="144"/>
        <v/>
      </c>
      <c r="J923" s="64" t="str">
        <f t="shared" si="145"/>
        <v/>
      </c>
      <c r="K923" s="64" t="str">
        <f t="shared" si="146"/>
        <v/>
      </c>
    </row>
    <row r="924" spans="1:11" ht="17.25" x14ac:dyDescent="0.2">
      <c r="B924" s="338"/>
      <c r="C924" s="109"/>
      <c r="D924" s="109"/>
      <c r="E924" s="107"/>
      <c r="F924" s="108"/>
      <c r="G924" s="64"/>
      <c r="H924" s="65"/>
      <c r="I924" s="69"/>
      <c r="J924" s="64" t="str">
        <f t="shared" si="145"/>
        <v/>
      </c>
      <c r="K924" s="64" t="str">
        <f t="shared" si="146"/>
        <v/>
      </c>
    </row>
    <row r="925" spans="1:11" ht="17.25" x14ac:dyDescent="0.2">
      <c r="B925" s="338"/>
      <c r="C925" s="109"/>
      <c r="D925" s="109"/>
      <c r="E925" s="107"/>
      <c r="F925" s="108"/>
      <c r="G925" s="64"/>
      <c r="H925" s="65"/>
      <c r="I925" s="69"/>
      <c r="J925" s="64" t="str">
        <f t="shared" si="145"/>
        <v/>
      </c>
      <c r="K925" s="64" t="str">
        <f t="shared" si="146"/>
        <v/>
      </c>
    </row>
    <row r="926" spans="1:11" ht="17.25" x14ac:dyDescent="0.2">
      <c r="B926" s="338"/>
      <c r="C926" s="109"/>
      <c r="D926" s="109"/>
      <c r="E926" s="107"/>
      <c r="F926" s="108"/>
      <c r="G926" s="64"/>
      <c r="H926" s="65"/>
      <c r="I926" s="69"/>
      <c r="J926" s="64" t="str">
        <f t="shared" si="145"/>
        <v/>
      </c>
      <c r="K926" s="64" t="str">
        <f t="shared" si="146"/>
        <v/>
      </c>
    </row>
    <row r="927" spans="1:11" ht="17.25" x14ac:dyDescent="0.2">
      <c r="B927" s="338"/>
      <c r="C927" s="109"/>
      <c r="D927" s="109"/>
      <c r="E927" s="107"/>
      <c r="F927" s="108"/>
      <c r="G927" s="64"/>
      <c r="H927" s="65"/>
      <c r="I927" s="69"/>
      <c r="J927" s="64" t="str">
        <f t="shared" si="145"/>
        <v/>
      </c>
      <c r="K927" s="64" t="str">
        <f t="shared" si="146"/>
        <v/>
      </c>
    </row>
    <row r="928" spans="1:11" ht="17.25" x14ac:dyDescent="0.2">
      <c r="B928" s="338"/>
      <c r="C928" s="109"/>
      <c r="D928" s="109"/>
      <c r="E928" s="107"/>
      <c r="F928" s="108"/>
      <c r="G928" s="64"/>
      <c r="H928" s="65"/>
      <c r="I928" s="69"/>
      <c r="J928" s="64" t="str">
        <f t="shared" si="145"/>
        <v/>
      </c>
      <c r="K928" s="64" t="str">
        <f t="shared" si="146"/>
        <v/>
      </c>
    </row>
    <row r="929" spans="1:11" ht="17.25" x14ac:dyDescent="0.2">
      <c r="B929" s="338"/>
      <c r="C929" s="109"/>
      <c r="D929" s="109"/>
      <c r="E929" s="107"/>
      <c r="F929" s="108"/>
      <c r="G929" s="64"/>
      <c r="H929" s="65"/>
      <c r="I929" s="69"/>
      <c r="J929" s="64" t="str">
        <f t="shared" si="145"/>
        <v/>
      </c>
      <c r="K929" s="64" t="str">
        <f t="shared" si="146"/>
        <v/>
      </c>
    </row>
    <row r="930" spans="1:11" ht="17.25" x14ac:dyDescent="0.2">
      <c r="B930" s="338"/>
      <c r="C930" s="109"/>
      <c r="D930" s="109"/>
      <c r="E930" s="107"/>
      <c r="F930" s="108"/>
      <c r="G930" s="64"/>
      <c r="H930" s="65"/>
      <c r="I930" s="69"/>
      <c r="J930" s="64" t="str">
        <f t="shared" si="145"/>
        <v/>
      </c>
      <c r="K930" s="64" t="str">
        <f t="shared" si="146"/>
        <v/>
      </c>
    </row>
    <row r="931" spans="1:11" ht="17.25" x14ac:dyDescent="0.2">
      <c r="B931" s="338"/>
      <c r="C931" s="109"/>
      <c r="D931" s="109"/>
      <c r="E931" s="107"/>
      <c r="F931" s="108"/>
      <c r="G931" s="64"/>
      <c r="H931" s="65"/>
      <c r="I931" s="69"/>
      <c r="J931" s="64" t="str">
        <f t="shared" si="145"/>
        <v/>
      </c>
      <c r="K931" s="64" t="str">
        <f t="shared" si="146"/>
        <v/>
      </c>
    </row>
    <row r="932" spans="1:11" ht="17.25" x14ac:dyDescent="0.2">
      <c r="B932" s="338"/>
      <c r="C932" s="109"/>
      <c r="D932" s="109"/>
      <c r="E932" s="107"/>
      <c r="F932" s="108"/>
      <c r="G932" s="64"/>
      <c r="H932" s="65"/>
      <c r="I932" s="69"/>
      <c r="J932" s="64" t="str">
        <f t="shared" si="145"/>
        <v/>
      </c>
      <c r="K932" s="64" t="str">
        <f t="shared" si="146"/>
        <v/>
      </c>
    </row>
    <row r="933" spans="1:11" ht="18" customHeight="1" x14ac:dyDescent="0.2">
      <c r="B933" s="561" t="s">
        <v>22</v>
      </c>
      <c r="C933" s="561" t="s">
        <v>177</v>
      </c>
      <c r="D933" s="561" t="s">
        <v>243</v>
      </c>
      <c r="E933" s="561" t="s">
        <v>23</v>
      </c>
      <c r="F933" s="562" t="s">
        <v>234</v>
      </c>
      <c r="G933" s="562"/>
      <c r="H933" s="562"/>
      <c r="I933" s="562"/>
      <c r="J933" s="562"/>
      <c r="K933" s="562"/>
    </row>
    <row r="934" spans="1:11" ht="21" x14ac:dyDescent="0.2">
      <c r="A934" s="114" t="s">
        <v>1488</v>
      </c>
      <c r="B934" s="587" t="s">
        <v>1155</v>
      </c>
      <c r="C934" s="115" t="s">
        <v>1477</v>
      </c>
      <c r="D934" s="114" t="s">
        <v>1478</v>
      </c>
      <c r="E934" s="329" t="str">
        <f>IF($O$52="","",$O$52)</f>
        <v>Borda do Campo - Reg. Oeste</v>
      </c>
      <c r="F934" s="563">
        <f>IF(B934="","",VLOOKUP(E934,$O$2:$T$120,6,0))</f>
        <v>44964</v>
      </c>
      <c r="G934" s="564"/>
      <c r="H934" s="564"/>
      <c r="I934" s="564"/>
      <c r="J934" s="564"/>
      <c r="K934" s="565"/>
    </row>
    <row r="935" spans="1:11" ht="43.5" x14ac:dyDescent="0.2">
      <c r="A935" s="166" t="s">
        <v>779</v>
      </c>
      <c r="B935" s="116" t="s">
        <v>0</v>
      </c>
      <c r="C935" s="116" t="s">
        <v>20</v>
      </c>
      <c r="D935" s="116" t="s">
        <v>21</v>
      </c>
      <c r="E935" s="116" t="s">
        <v>1</v>
      </c>
      <c r="F935" s="117" t="s">
        <v>3</v>
      </c>
      <c r="G935" s="116" t="s">
        <v>216</v>
      </c>
      <c r="H935" s="180" t="s">
        <v>242</v>
      </c>
      <c r="I935" s="116" t="s">
        <v>245</v>
      </c>
      <c r="J935" s="116" t="s">
        <v>217</v>
      </c>
      <c r="K935" s="116" t="s">
        <v>218</v>
      </c>
    </row>
    <row r="936" spans="1:11" ht="17.25" x14ac:dyDescent="0.35">
      <c r="B936" s="402" t="s">
        <v>1489</v>
      </c>
      <c r="C936" s="152" t="s">
        <v>1490</v>
      </c>
      <c r="D936" s="152" t="s">
        <v>1333</v>
      </c>
      <c r="E936" s="107" t="s">
        <v>55</v>
      </c>
      <c r="F936" s="333">
        <v>14</v>
      </c>
      <c r="G936" s="64">
        <v>10</v>
      </c>
      <c r="H936" s="65">
        <v>4</v>
      </c>
      <c r="I936" s="69">
        <f>IF(G936="","",SUM(G936:H936))</f>
        <v>14</v>
      </c>
      <c r="J936" s="64">
        <f>IF(G936="","",ROUNDUP(G936*0.65,0))</f>
        <v>7</v>
      </c>
      <c r="K936" s="64">
        <f>IF(G936="","",ROUNDUP(G936*0.55,0))</f>
        <v>6</v>
      </c>
    </row>
    <row r="937" spans="1:11" ht="17.25" x14ac:dyDescent="0.35">
      <c r="B937" s="402" t="s">
        <v>1491</v>
      </c>
      <c r="C937" s="152" t="s">
        <v>1492</v>
      </c>
      <c r="D937" s="152" t="s">
        <v>1459</v>
      </c>
      <c r="E937" s="107" t="s">
        <v>265</v>
      </c>
      <c r="F937" s="108">
        <v>12.5</v>
      </c>
      <c r="G937" s="64">
        <v>10</v>
      </c>
      <c r="H937" s="65">
        <v>3</v>
      </c>
      <c r="I937" s="69">
        <f t="shared" ref="I937:I946" si="147">IF(G937="","",SUM(G937:H937))</f>
        <v>13</v>
      </c>
      <c r="J937" s="64">
        <f t="shared" ref="J937:J951" si="148">IF(G937="","",ROUNDUP(G937*0.65,0))</f>
        <v>7</v>
      </c>
      <c r="K937" s="64">
        <f t="shared" ref="K937:K951" si="149">IF(G937="","",ROUNDUP(G937*0.55,0))</f>
        <v>6</v>
      </c>
    </row>
    <row r="938" spans="1:11" ht="17.25" x14ac:dyDescent="0.35">
      <c r="B938" s="402" t="s">
        <v>1493</v>
      </c>
      <c r="C938" s="152" t="s">
        <v>1494</v>
      </c>
      <c r="D938" s="152" t="s">
        <v>1344</v>
      </c>
      <c r="E938" s="107" t="s">
        <v>265</v>
      </c>
      <c r="F938" s="108">
        <v>12.5</v>
      </c>
      <c r="G938" s="64">
        <v>10</v>
      </c>
      <c r="H938" s="65">
        <v>2</v>
      </c>
      <c r="I938" s="69">
        <f t="shared" si="147"/>
        <v>12</v>
      </c>
      <c r="J938" s="64">
        <f t="shared" si="148"/>
        <v>7</v>
      </c>
      <c r="K938" s="64">
        <f t="shared" si="149"/>
        <v>6</v>
      </c>
    </row>
    <row r="939" spans="1:11" ht="17.25" x14ac:dyDescent="0.35">
      <c r="B939" s="402" t="s">
        <v>1495</v>
      </c>
      <c r="C939" s="152" t="s">
        <v>1363</v>
      </c>
      <c r="D939" s="152" t="s">
        <v>1410</v>
      </c>
      <c r="E939" s="107" t="s">
        <v>55</v>
      </c>
      <c r="F939" s="333">
        <v>14</v>
      </c>
      <c r="G939" s="64">
        <v>12</v>
      </c>
      <c r="H939" s="65">
        <v>4</v>
      </c>
      <c r="I939" s="69">
        <f t="shared" si="147"/>
        <v>16</v>
      </c>
      <c r="J939" s="64">
        <f t="shared" si="148"/>
        <v>8</v>
      </c>
      <c r="K939" s="64">
        <f t="shared" si="149"/>
        <v>7</v>
      </c>
    </row>
    <row r="940" spans="1:11" ht="17.25" x14ac:dyDescent="0.35">
      <c r="B940" s="402" t="s">
        <v>1496</v>
      </c>
      <c r="C940" s="152" t="s">
        <v>1497</v>
      </c>
      <c r="D940" s="152" t="s">
        <v>1333</v>
      </c>
      <c r="E940" s="107" t="s">
        <v>179</v>
      </c>
      <c r="F940" s="108">
        <v>9.5</v>
      </c>
      <c r="G940" s="64">
        <v>8</v>
      </c>
      <c r="H940" s="65">
        <v>2</v>
      </c>
      <c r="I940" s="69">
        <f t="shared" si="147"/>
        <v>10</v>
      </c>
      <c r="J940" s="64">
        <f t="shared" si="148"/>
        <v>6</v>
      </c>
      <c r="K940" s="64">
        <f t="shared" si="149"/>
        <v>5</v>
      </c>
    </row>
    <row r="941" spans="1:11" ht="17.25" x14ac:dyDescent="0.35">
      <c r="B941" s="402" t="s">
        <v>1498</v>
      </c>
      <c r="C941" s="152" t="s">
        <v>1480</v>
      </c>
      <c r="D941" s="152" t="s">
        <v>1459</v>
      </c>
      <c r="E941" s="107" t="s">
        <v>179</v>
      </c>
      <c r="F941" s="108">
        <v>9.5</v>
      </c>
      <c r="G941" s="64">
        <v>8</v>
      </c>
      <c r="H941" s="65">
        <v>2</v>
      </c>
      <c r="I941" s="69">
        <f t="shared" si="147"/>
        <v>10</v>
      </c>
      <c r="J941" s="64">
        <f t="shared" si="148"/>
        <v>6</v>
      </c>
      <c r="K941" s="64">
        <f t="shared" si="149"/>
        <v>5</v>
      </c>
    </row>
    <row r="942" spans="1:11" ht="17.25" x14ac:dyDescent="0.2">
      <c r="B942" s="339"/>
      <c r="C942" s="101"/>
      <c r="D942" s="101"/>
      <c r="E942" s="107"/>
      <c r="F942" s="108"/>
      <c r="G942" s="64"/>
      <c r="H942" s="65"/>
      <c r="I942" s="69" t="str">
        <f t="shared" si="147"/>
        <v/>
      </c>
      <c r="J942" s="64" t="str">
        <f t="shared" si="148"/>
        <v/>
      </c>
      <c r="K942" s="64" t="str">
        <f t="shared" si="149"/>
        <v/>
      </c>
    </row>
    <row r="943" spans="1:11" ht="17.25" x14ac:dyDescent="0.2">
      <c r="B943" s="339"/>
      <c r="C943" s="101"/>
      <c r="D943" s="101"/>
      <c r="E943" s="107"/>
      <c r="F943" s="108"/>
      <c r="G943" s="64"/>
      <c r="H943" s="65"/>
      <c r="I943" s="69" t="str">
        <f t="shared" si="147"/>
        <v/>
      </c>
      <c r="J943" s="64" t="str">
        <f t="shared" si="148"/>
        <v/>
      </c>
      <c r="K943" s="64" t="str">
        <f t="shared" si="149"/>
        <v/>
      </c>
    </row>
    <row r="944" spans="1:11" ht="17.25" x14ac:dyDescent="0.2">
      <c r="B944" s="339"/>
      <c r="C944" s="101"/>
      <c r="D944" s="101"/>
      <c r="E944" s="107"/>
      <c r="F944" s="108"/>
      <c r="G944" s="64"/>
      <c r="H944" s="65"/>
      <c r="I944" s="69" t="str">
        <f t="shared" si="147"/>
        <v/>
      </c>
      <c r="J944" s="64" t="str">
        <f t="shared" si="148"/>
        <v/>
      </c>
      <c r="K944" s="64" t="str">
        <f t="shared" si="149"/>
        <v/>
      </c>
    </row>
    <row r="945" spans="1:11" ht="17.25" x14ac:dyDescent="0.2">
      <c r="B945" s="339"/>
      <c r="C945" s="101"/>
      <c r="D945" s="101"/>
      <c r="E945" s="107"/>
      <c r="F945" s="108"/>
      <c r="G945" s="64"/>
      <c r="H945" s="65"/>
      <c r="I945" s="69" t="str">
        <f t="shared" si="147"/>
        <v/>
      </c>
      <c r="J945" s="64" t="str">
        <f t="shared" si="148"/>
        <v/>
      </c>
      <c r="K945" s="64" t="str">
        <f t="shared" si="149"/>
        <v/>
      </c>
    </row>
    <row r="946" spans="1:11" ht="17.25" x14ac:dyDescent="0.2">
      <c r="B946" s="339"/>
      <c r="C946" s="101"/>
      <c r="D946" s="101"/>
      <c r="E946" s="107"/>
      <c r="F946" s="108"/>
      <c r="G946" s="64"/>
      <c r="H946" s="65"/>
      <c r="I946" s="69" t="str">
        <f t="shared" si="147"/>
        <v/>
      </c>
      <c r="J946" s="64" t="str">
        <f t="shared" si="148"/>
        <v/>
      </c>
      <c r="K946" s="64" t="str">
        <f t="shared" si="149"/>
        <v/>
      </c>
    </row>
    <row r="947" spans="1:11" ht="17.25" x14ac:dyDescent="0.2">
      <c r="B947" s="339"/>
      <c r="C947" s="101"/>
      <c r="D947" s="101"/>
      <c r="E947" s="107"/>
      <c r="F947" s="108"/>
      <c r="G947" s="64"/>
      <c r="H947" s="65"/>
      <c r="I947" s="69"/>
      <c r="J947" s="64" t="str">
        <f t="shared" si="148"/>
        <v/>
      </c>
      <c r="K947" s="64" t="str">
        <f t="shared" si="149"/>
        <v/>
      </c>
    </row>
    <row r="948" spans="1:11" ht="17.25" x14ac:dyDescent="0.2">
      <c r="B948" s="339"/>
      <c r="C948" s="101"/>
      <c r="D948" s="101"/>
      <c r="E948" s="107"/>
      <c r="F948" s="108"/>
      <c r="G948" s="64"/>
      <c r="H948" s="65"/>
      <c r="I948" s="69"/>
      <c r="J948" s="64" t="str">
        <f t="shared" si="148"/>
        <v/>
      </c>
      <c r="K948" s="64" t="str">
        <f t="shared" si="149"/>
        <v/>
      </c>
    </row>
    <row r="949" spans="1:11" ht="17.25" x14ac:dyDescent="0.2">
      <c r="B949" s="339"/>
      <c r="C949" s="101"/>
      <c r="D949" s="101"/>
      <c r="E949" s="107"/>
      <c r="F949" s="108"/>
      <c r="G949" s="64"/>
      <c r="H949" s="65"/>
      <c r="I949" s="69"/>
      <c r="J949" s="64" t="str">
        <f t="shared" si="148"/>
        <v/>
      </c>
      <c r="K949" s="64" t="str">
        <f t="shared" si="149"/>
        <v/>
      </c>
    </row>
    <row r="950" spans="1:11" ht="17.25" x14ac:dyDescent="0.2">
      <c r="B950" s="339"/>
      <c r="C950" s="101"/>
      <c r="D950" s="101"/>
      <c r="E950" s="107"/>
      <c r="F950" s="108"/>
      <c r="G950" s="64"/>
      <c r="H950" s="65"/>
      <c r="I950" s="69"/>
      <c r="J950" s="64" t="str">
        <f t="shared" si="148"/>
        <v/>
      </c>
      <c r="K950" s="64" t="str">
        <f t="shared" si="149"/>
        <v/>
      </c>
    </row>
    <row r="951" spans="1:11" ht="17.25" x14ac:dyDescent="0.2">
      <c r="B951" s="339"/>
      <c r="C951" s="101"/>
      <c r="D951" s="101"/>
      <c r="E951" s="107"/>
      <c r="F951" s="108"/>
      <c r="G951" s="64"/>
      <c r="H951" s="65"/>
      <c r="I951" s="69"/>
      <c r="J951" s="64" t="str">
        <f t="shared" si="148"/>
        <v/>
      </c>
      <c r="K951" s="64" t="str">
        <f t="shared" si="149"/>
        <v/>
      </c>
    </row>
    <row r="952" spans="1:11" ht="18" customHeight="1" x14ac:dyDescent="0.2">
      <c r="B952" s="561" t="s">
        <v>22</v>
      </c>
      <c r="C952" s="561" t="s">
        <v>177</v>
      </c>
      <c r="D952" s="561" t="s">
        <v>243</v>
      </c>
      <c r="E952" s="561" t="s">
        <v>23</v>
      </c>
      <c r="F952" s="562" t="s">
        <v>234</v>
      </c>
      <c r="G952" s="562"/>
      <c r="H952" s="562"/>
      <c r="I952" s="562"/>
      <c r="J952" s="562"/>
      <c r="K952" s="562"/>
    </row>
    <row r="953" spans="1:11" ht="21" x14ac:dyDescent="0.2">
      <c r="A953" s="114" t="s">
        <v>1499</v>
      </c>
      <c r="B953" s="435" t="s">
        <v>1134</v>
      </c>
      <c r="C953" s="115" t="s">
        <v>622</v>
      </c>
      <c r="D953" s="114" t="s">
        <v>1500</v>
      </c>
      <c r="E953" s="329" t="str">
        <f>IF($O$53="","",$O$53)</f>
        <v>Nova Fazenda - Reg. Norte</v>
      </c>
      <c r="F953" s="563">
        <f>IF(B953="","",VLOOKUP(E953,$O$2:$T$120,6,0))</f>
        <v>52717</v>
      </c>
      <c r="G953" s="564"/>
      <c r="H953" s="564"/>
      <c r="I953" s="564"/>
      <c r="J953" s="564"/>
      <c r="K953" s="565"/>
    </row>
    <row r="954" spans="1:11" ht="43.5" x14ac:dyDescent="0.2">
      <c r="A954" s="166" t="s">
        <v>779</v>
      </c>
      <c r="B954" s="116" t="s">
        <v>0</v>
      </c>
      <c r="C954" s="116" t="s">
        <v>20</v>
      </c>
      <c r="D954" s="116" t="s">
        <v>21</v>
      </c>
      <c r="E954" s="116" t="s">
        <v>1</v>
      </c>
      <c r="F954" s="117" t="s">
        <v>3</v>
      </c>
      <c r="G954" s="116" t="s">
        <v>216</v>
      </c>
      <c r="H954" s="180" t="s">
        <v>242</v>
      </c>
      <c r="I954" s="116" t="s">
        <v>245</v>
      </c>
      <c r="J954" s="116" t="s">
        <v>217</v>
      </c>
      <c r="K954" s="116" t="s">
        <v>218</v>
      </c>
    </row>
    <row r="955" spans="1:11" ht="17.25" x14ac:dyDescent="0.35">
      <c r="B955" s="403" t="s">
        <v>1501</v>
      </c>
      <c r="C955" s="152" t="s">
        <v>1378</v>
      </c>
      <c r="D955" s="152" t="s">
        <v>1407</v>
      </c>
      <c r="E955" s="107" t="s">
        <v>265</v>
      </c>
      <c r="F955" s="108">
        <v>12.5</v>
      </c>
      <c r="G955" s="57">
        <v>10</v>
      </c>
      <c r="H955" s="65">
        <v>1</v>
      </c>
      <c r="I955" s="69">
        <f>IF(G955="","",SUM(G955:H955))</f>
        <v>11</v>
      </c>
      <c r="J955" s="64">
        <f>IF(G955="","",ROUNDUP(G955*0.65,0))</f>
        <v>7</v>
      </c>
      <c r="K955" s="64">
        <f>IF(G955="","",ROUNDUP(G955*0.55,0))</f>
        <v>6</v>
      </c>
    </row>
    <row r="956" spans="1:11" ht="17.25" x14ac:dyDescent="0.35">
      <c r="B956" s="403" t="s">
        <v>1502</v>
      </c>
      <c r="C956" s="152" t="s">
        <v>1380</v>
      </c>
      <c r="D956" s="152" t="s">
        <v>1373</v>
      </c>
      <c r="E956" s="107" t="s">
        <v>265</v>
      </c>
      <c r="F956" s="108">
        <v>12.5</v>
      </c>
      <c r="G956" s="57">
        <v>12</v>
      </c>
      <c r="H956" s="65">
        <v>2</v>
      </c>
      <c r="I956" s="69">
        <f t="shared" ref="I956:I961" si="150">IF(G956="","",SUM(G956:H956))</f>
        <v>14</v>
      </c>
      <c r="J956" s="64">
        <f t="shared" ref="J956:J970" si="151">IF(G956="","",ROUNDUP(G956*0.65,0))</f>
        <v>8</v>
      </c>
      <c r="K956" s="64">
        <f t="shared" ref="K956:K970" si="152">IF(G956="","",ROUNDUP(G956*0.55,0))</f>
        <v>7</v>
      </c>
    </row>
    <row r="957" spans="1:11" ht="17.25" x14ac:dyDescent="0.35">
      <c r="B957" s="403" t="s">
        <v>1503</v>
      </c>
      <c r="C957" s="152" t="s">
        <v>1398</v>
      </c>
      <c r="D957" s="152" t="s">
        <v>1373</v>
      </c>
      <c r="E957" s="107" t="s">
        <v>55</v>
      </c>
      <c r="F957" s="333">
        <v>14</v>
      </c>
      <c r="G957" s="57">
        <v>14</v>
      </c>
      <c r="H957" s="65">
        <v>2</v>
      </c>
      <c r="I957" s="69">
        <f t="shared" si="150"/>
        <v>16</v>
      </c>
      <c r="J957" s="64">
        <f t="shared" si="151"/>
        <v>10</v>
      </c>
      <c r="K957" s="64">
        <f t="shared" si="152"/>
        <v>8</v>
      </c>
    </row>
    <row r="958" spans="1:11" ht="17.25" x14ac:dyDescent="0.35">
      <c r="B958" s="403" t="s">
        <v>1504</v>
      </c>
      <c r="C958" s="152" t="s">
        <v>1385</v>
      </c>
      <c r="D958" s="152" t="s">
        <v>1373</v>
      </c>
      <c r="E958" s="107" t="s">
        <v>55</v>
      </c>
      <c r="F958" s="333">
        <v>14</v>
      </c>
      <c r="G958" s="57">
        <v>12</v>
      </c>
      <c r="H958" s="65">
        <v>2</v>
      </c>
      <c r="I958" s="69">
        <f t="shared" si="150"/>
        <v>14</v>
      </c>
      <c r="J958" s="64">
        <f t="shared" si="151"/>
        <v>8</v>
      </c>
      <c r="K958" s="64">
        <f t="shared" si="152"/>
        <v>7</v>
      </c>
    </row>
    <row r="959" spans="1:11" ht="17.25" x14ac:dyDescent="0.35">
      <c r="B959" s="403" t="s">
        <v>1505</v>
      </c>
      <c r="C959" s="152" t="s">
        <v>1506</v>
      </c>
      <c r="D959" s="152" t="s">
        <v>1459</v>
      </c>
      <c r="E959" s="107" t="s">
        <v>179</v>
      </c>
      <c r="F959" s="108">
        <v>9.5</v>
      </c>
      <c r="G959" s="57">
        <v>10</v>
      </c>
      <c r="H959" s="65">
        <v>3</v>
      </c>
      <c r="I959" s="69">
        <f t="shared" si="150"/>
        <v>13</v>
      </c>
      <c r="J959" s="64">
        <f t="shared" si="151"/>
        <v>7</v>
      </c>
      <c r="K959" s="64">
        <f t="shared" si="152"/>
        <v>6</v>
      </c>
    </row>
    <row r="960" spans="1:11" ht="17.25" x14ac:dyDescent="0.35">
      <c r="B960" s="403" t="s">
        <v>1507</v>
      </c>
      <c r="C960" s="152" t="s">
        <v>1508</v>
      </c>
      <c r="D960" s="152" t="s">
        <v>1459</v>
      </c>
      <c r="E960" s="107" t="s">
        <v>179</v>
      </c>
      <c r="F960" s="108">
        <v>9.5</v>
      </c>
      <c r="G960" s="57">
        <v>10</v>
      </c>
      <c r="H960" s="65">
        <v>2</v>
      </c>
      <c r="I960" s="69">
        <f t="shared" si="150"/>
        <v>12</v>
      </c>
      <c r="J960" s="64">
        <f t="shared" si="151"/>
        <v>7</v>
      </c>
      <c r="K960" s="64">
        <f t="shared" si="152"/>
        <v>6</v>
      </c>
    </row>
    <row r="961" spans="1:11" ht="17.25" x14ac:dyDescent="0.2">
      <c r="B961" s="340"/>
      <c r="C961" s="100"/>
      <c r="D961" s="100"/>
      <c r="E961" s="107"/>
      <c r="F961" s="108"/>
      <c r="G961" s="57"/>
      <c r="H961" s="65"/>
      <c r="I961" s="69" t="str">
        <f t="shared" si="150"/>
        <v/>
      </c>
      <c r="J961" s="64" t="str">
        <f t="shared" si="151"/>
        <v/>
      </c>
      <c r="K961" s="64" t="str">
        <f t="shared" si="152"/>
        <v/>
      </c>
    </row>
    <row r="962" spans="1:11" ht="17.25" x14ac:dyDescent="0.2">
      <c r="B962" s="340"/>
      <c r="C962" s="100"/>
      <c r="D962" s="100"/>
      <c r="E962" s="107"/>
      <c r="F962" s="108"/>
      <c r="G962" s="57"/>
      <c r="H962" s="65"/>
      <c r="I962" s="69"/>
      <c r="J962" s="64" t="str">
        <f t="shared" si="151"/>
        <v/>
      </c>
      <c r="K962" s="64" t="str">
        <f t="shared" si="152"/>
        <v/>
      </c>
    </row>
    <row r="963" spans="1:11" ht="17.25" x14ac:dyDescent="0.2">
      <c r="B963" s="340"/>
      <c r="C963" s="100"/>
      <c r="D963" s="100"/>
      <c r="E963" s="107"/>
      <c r="F963" s="108"/>
      <c r="G963" s="57"/>
      <c r="H963" s="65"/>
      <c r="I963" s="69"/>
      <c r="J963" s="64" t="str">
        <f t="shared" si="151"/>
        <v/>
      </c>
      <c r="K963" s="64" t="str">
        <f t="shared" si="152"/>
        <v/>
      </c>
    </row>
    <row r="964" spans="1:11" ht="17.25" x14ac:dyDescent="0.2">
      <c r="B964" s="340"/>
      <c r="C964" s="100"/>
      <c r="D964" s="100"/>
      <c r="E964" s="107"/>
      <c r="F964" s="108"/>
      <c r="G964" s="57"/>
      <c r="H964" s="65"/>
      <c r="I964" s="69"/>
      <c r="J964" s="64" t="str">
        <f t="shared" si="151"/>
        <v/>
      </c>
      <c r="K964" s="64" t="str">
        <f t="shared" si="152"/>
        <v/>
      </c>
    </row>
    <row r="965" spans="1:11" ht="17.25" x14ac:dyDescent="0.2">
      <c r="B965" s="340"/>
      <c r="C965" s="100"/>
      <c r="D965" s="100"/>
      <c r="E965" s="107"/>
      <c r="F965" s="108"/>
      <c r="G965" s="57"/>
      <c r="H965" s="65"/>
      <c r="I965" s="69"/>
      <c r="J965" s="64" t="str">
        <f t="shared" si="151"/>
        <v/>
      </c>
      <c r="K965" s="64" t="str">
        <f t="shared" si="152"/>
        <v/>
      </c>
    </row>
    <row r="966" spans="1:11" ht="17.25" x14ac:dyDescent="0.2">
      <c r="B966" s="340"/>
      <c r="C966" s="100"/>
      <c r="D966" s="100"/>
      <c r="E966" s="107"/>
      <c r="F966" s="108"/>
      <c r="G966" s="57"/>
      <c r="H966" s="65"/>
      <c r="I966" s="69"/>
      <c r="J966" s="64" t="str">
        <f t="shared" si="151"/>
        <v/>
      </c>
      <c r="K966" s="64" t="str">
        <f t="shared" si="152"/>
        <v/>
      </c>
    </row>
    <row r="967" spans="1:11" ht="17.25" x14ac:dyDescent="0.2">
      <c r="B967" s="340"/>
      <c r="C967" s="100"/>
      <c r="D967" s="100"/>
      <c r="E967" s="107"/>
      <c r="F967" s="108"/>
      <c r="G967" s="57"/>
      <c r="H967" s="65"/>
      <c r="I967" s="69"/>
      <c r="J967" s="64" t="str">
        <f t="shared" si="151"/>
        <v/>
      </c>
      <c r="K967" s="64" t="str">
        <f t="shared" si="152"/>
        <v/>
      </c>
    </row>
    <row r="968" spans="1:11" ht="17.25" x14ac:dyDescent="0.2">
      <c r="B968" s="340"/>
      <c r="C968" s="100"/>
      <c r="D968" s="100"/>
      <c r="E968" s="107"/>
      <c r="F968" s="108"/>
      <c r="G968" s="57"/>
      <c r="H968" s="65"/>
      <c r="I968" s="69"/>
      <c r="J968" s="64" t="str">
        <f t="shared" si="151"/>
        <v/>
      </c>
      <c r="K968" s="64" t="str">
        <f t="shared" si="152"/>
        <v/>
      </c>
    </row>
    <row r="969" spans="1:11" ht="17.25" x14ac:dyDescent="0.2">
      <c r="B969" s="340"/>
      <c r="C969" s="100"/>
      <c r="D969" s="100"/>
      <c r="E969" s="107"/>
      <c r="F969" s="108"/>
      <c r="G969" s="57"/>
      <c r="H969" s="65"/>
      <c r="I969" s="69"/>
      <c r="J969" s="64" t="str">
        <f t="shared" si="151"/>
        <v/>
      </c>
      <c r="K969" s="64" t="str">
        <f t="shared" si="152"/>
        <v/>
      </c>
    </row>
    <row r="970" spans="1:11" ht="17.25" x14ac:dyDescent="0.2">
      <c r="B970" s="340"/>
      <c r="C970" s="100"/>
      <c r="D970" s="100"/>
      <c r="E970" s="107"/>
      <c r="F970" s="108"/>
      <c r="G970" s="57"/>
      <c r="H970" s="65"/>
      <c r="I970" s="69"/>
      <c r="J970" s="64" t="str">
        <f t="shared" si="151"/>
        <v/>
      </c>
      <c r="K970" s="64" t="str">
        <f t="shared" si="152"/>
        <v/>
      </c>
    </row>
    <row r="971" spans="1:11" ht="18" customHeight="1" x14ac:dyDescent="0.2">
      <c r="B971" s="561" t="s">
        <v>22</v>
      </c>
      <c r="C971" s="561" t="s">
        <v>177</v>
      </c>
      <c r="D971" s="561" t="s">
        <v>243</v>
      </c>
      <c r="E971" s="561" t="s">
        <v>23</v>
      </c>
      <c r="F971" s="562" t="s">
        <v>234</v>
      </c>
      <c r="G971" s="562"/>
      <c r="H971" s="562"/>
      <c r="I971" s="562"/>
      <c r="J971" s="562"/>
      <c r="K971" s="562"/>
    </row>
    <row r="972" spans="1:11" ht="21" x14ac:dyDescent="0.2">
      <c r="A972" s="114" t="s">
        <v>1509</v>
      </c>
      <c r="B972" s="435" t="s">
        <v>1135</v>
      </c>
      <c r="C972" s="115" t="s">
        <v>622</v>
      </c>
      <c r="D972" s="114" t="s">
        <v>1500</v>
      </c>
      <c r="E972" s="329" t="str">
        <f>IF($O$54="","",$O$54)</f>
        <v>Nova Fazenda - Reg. Sul</v>
      </c>
      <c r="F972" s="563">
        <f>IF(B972="","",VLOOKUP(E972,$O$2:$T$120,6,0))</f>
        <v>41864</v>
      </c>
      <c r="G972" s="564"/>
      <c r="H972" s="564"/>
      <c r="I972" s="564"/>
      <c r="J972" s="564"/>
      <c r="K972" s="565"/>
    </row>
    <row r="973" spans="1:11" ht="43.5" x14ac:dyDescent="0.2">
      <c r="A973" s="166" t="s">
        <v>779</v>
      </c>
      <c r="B973" s="116"/>
      <c r="C973" s="116"/>
      <c r="D973" s="116"/>
      <c r="E973" s="116" t="s">
        <v>1</v>
      </c>
      <c r="F973" s="117" t="s">
        <v>3</v>
      </c>
      <c r="G973" s="116" t="s">
        <v>216</v>
      </c>
      <c r="H973" s="180" t="s">
        <v>242</v>
      </c>
      <c r="I973" s="116" t="s">
        <v>245</v>
      </c>
      <c r="J973" s="116" t="s">
        <v>217</v>
      </c>
      <c r="K973" s="116" t="s">
        <v>218</v>
      </c>
    </row>
    <row r="974" spans="1:11" ht="17.25" x14ac:dyDescent="0.35">
      <c r="B974" s="403" t="s">
        <v>1510</v>
      </c>
      <c r="C974" s="152" t="s">
        <v>1383</v>
      </c>
      <c r="D974" s="152" t="s">
        <v>1373</v>
      </c>
      <c r="E974" s="182" t="s">
        <v>55</v>
      </c>
      <c r="F974" s="333">
        <v>14</v>
      </c>
      <c r="G974" s="57">
        <v>10</v>
      </c>
      <c r="H974" s="65">
        <v>2</v>
      </c>
      <c r="I974" s="69">
        <f>IF(G974="","",SUM(G974:H974))</f>
        <v>12</v>
      </c>
      <c r="J974" s="64">
        <f>IF(G974="","",ROUNDUP(G974*0.65,0))</f>
        <v>7</v>
      </c>
      <c r="K974" s="64">
        <f>IF(G974="","",ROUNDUP(G974*0.55,0))</f>
        <v>6</v>
      </c>
    </row>
    <row r="975" spans="1:11" ht="17.25" x14ac:dyDescent="0.35">
      <c r="B975" s="403" t="s">
        <v>1511</v>
      </c>
      <c r="C975" s="152" t="s">
        <v>1512</v>
      </c>
      <c r="D975" s="152" t="s">
        <v>1459</v>
      </c>
      <c r="E975" s="182" t="s">
        <v>265</v>
      </c>
      <c r="F975" s="108">
        <v>12.5</v>
      </c>
      <c r="G975" s="57">
        <v>10</v>
      </c>
      <c r="H975" s="65">
        <v>3</v>
      </c>
      <c r="I975" s="69">
        <f t="shared" ref="I975:I980" si="153">IF(G975="","",SUM(G975:H975))</f>
        <v>13</v>
      </c>
      <c r="J975" s="64">
        <f t="shared" ref="J975:J989" si="154">IF(G975="","",ROUNDUP(G975*0.65,0))</f>
        <v>7</v>
      </c>
      <c r="K975" s="64">
        <f t="shared" ref="K975:K989" si="155">IF(G975="","",ROUNDUP(G975*0.55,0))</f>
        <v>6</v>
      </c>
    </row>
    <row r="976" spans="1:11" ht="17.25" x14ac:dyDescent="0.35">
      <c r="B976" s="403" t="s">
        <v>1513</v>
      </c>
      <c r="C976" s="152" t="s">
        <v>1395</v>
      </c>
      <c r="D976" s="152" t="s">
        <v>1514</v>
      </c>
      <c r="E976" s="182" t="s">
        <v>265</v>
      </c>
      <c r="F976" s="108">
        <v>12.5</v>
      </c>
      <c r="G976" s="57">
        <v>10</v>
      </c>
      <c r="H976" s="65">
        <v>3</v>
      </c>
      <c r="I976" s="69">
        <f t="shared" si="153"/>
        <v>13</v>
      </c>
      <c r="J976" s="64">
        <f t="shared" si="154"/>
        <v>7</v>
      </c>
      <c r="K976" s="64">
        <f t="shared" si="155"/>
        <v>6</v>
      </c>
    </row>
    <row r="977" spans="1:11" ht="17.25" x14ac:dyDescent="0.35">
      <c r="B977" s="403" t="s">
        <v>1515</v>
      </c>
      <c r="C977" s="152" t="s">
        <v>1393</v>
      </c>
      <c r="D977" s="152" t="s">
        <v>1459</v>
      </c>
      <c r="E977" s="182" t="s">
        <v>265</v>
      </c>
      <c r="F977" s="108">
        <v>12.5</v>
      </c>
      <c r="G977" s="57">
        <v>8</v>
      </c>
      <c r="H977" s="65">
        <v>2</v>
      </c>
      <c r="I977" s="69">
        <f t="shared" si="153"/>
        <v>10</v>
      </c>
      <c r="J977" s="64">
        <f t="shared" si="154"/>
        <v>6</v>
      </c>
      <c r="K977" s="64">
        <f t="shared" si="155"/>
        <v>5</v>
      </c>
    </row>
    <row r="978" spans="1:11" ht="17.25" x14ac:dyDescent="0.35">
      <c r="B978" s="403" t="s">
        <v>1516</v>
      </c>
      <c r="C978" s="152" t="s">
        <v>1405</v>
      </c>
      <c r="D978" s="152" t="s">
        <v>1459</v>
      </c>
      <c r="E978" s="107" t="s">
        <v>179</v>
      </c>
      <c r="F978" s="108">
        <v>9.5</v>
      </c>
      <c r="G978" s="57">
        <v>8</v>
      </c>
      <c r="H978" s="65">
        <v>3</v>
      </c>
      <c r="I978" s="69">
        <f t="shared" si="153"/>
        <v>11</v>
      </c>
      <c r="J978" s="64">
        <f t="shared" si="154"/>
        <v>6</v>
      </c>
      <c r="K978" s="64">
        <f t="shared" si="155"/>
        <v>5</v>
      </c>
    </row>
    <row r="979" spans="1:11" ht="17.25" x14ac:dyDescent="0.35">
      <c r="B979" s="403" t="s">
        <v>1517</v>
      </c>
      <c r="C979" s="152" t="s">
        <v>1407</v>
      </c>
      <c r="D979" s="152" t="s">
        <v>1459</v>
      </c>
      <c r="E979" s="107" t="s">
        <v>179</v>
      </c>
      <c r="F979" s="108">
        <v>9.5</v>
      </c>
      <c r="G979" s="57">
        <v>8</v>
      </c>
      <c r="H979" s="65">
        <v>3</v>
      </c>
      <c r="I979" s="69">
        <f t="shared" si="153"/>
        <v>11</v>
      </c>
      <c r="J979" s="64">
        <f t="shared" si="154"/>
        <v>6</v>
      </c>
      <c r="K979" s="64">
        <f t="shared" si="155"/>
        <v>5</v>
      </c>
    </row>
    <row r="980" spans="1:11" ht="17.25" x14ac:dyDescent="0.2">
      <c r="B980" s="341"/>
      <c r="C980" s="101"/>
      <c r="D980" s="101"/>
      <c r="E980" s="107"/>
      <c r="F980" s="108"/>
      <c r="G980" s="64"/>
      <c r="H980" s="65"/>
      <c r="I980" s="69" t="str">
        <f t="shared" si="153"/>
        <v/>
      </c>
      <c r="J980" s="64" t="str">
        <f t="shared" si="154"/>
        <v/>
      </c>
      <c r="K980" s="64" t="str">
        <f t="shared" si="155"/>
        <v/>
      </c>
    </row>
    <row r="981" spans="1:11" ht="17.25" x14ac:dyDescent="0.2">
      <c r="B981" s="341"/>
      <c r="C981" s="101"/>
      <c r="D981" s="101"/>
      <c r="E981" s="107"/>
      <c r="F981" s="108"/>
      <c r="G981" s="64"/>
      <c r="H981" s="65"/>
      <c r="I981" s="69"/>
      <c r="J981" s="64" t="str">
        <f t="shared" si="154"/>
        <v/>
      </c>
      <c r="K981" s="64" t="str">
        <f t="shared" si="155"/>
        <v/>
      </c>
    </row>
    <row r="982" spans="1:11" ht="17.25" x14ac:dyDescent="0.2">
      <c r="B982" s="341"/>
      <c r="C982" s="101"/>
      <c r="D982" s="101"/>
      <c r="E982" s="107"/>
      <c r="F982" s="108"/>
      <c r="G982" s="64"/>
      <c r="H982" s="65"/>
      <c r="I982" s="69"/>
      <c r="J982" s="64" t="str">
        <f t="shared" si="154"/>
        <v/>
      </c>
      <c r="K982" s="64" t="str">
        <f t="shared" si="155"/>
        <v/>
      </c>
    </row>
    <row r="983" spans="1:11" ht="17.25" x14ac:dyDescent="0.2">
      <c r="B983" s="341"/>
      <c r="C983" s="101"/>
      <c r="D983" s="101"/>
      <c r="E983" s="107"/>
      <c r="F983" s="108"/>
      <c r="G983" s="64"/>
      <c r="H983" s="65"/>
      <c r="I983" s="69"/>
      <c r="J983" s="64" t="str">
        <f t="shared" si="154"/>
        <v/>
      </c>
      <c r="K983" s="64" t="str">
        <f t="shared" si="155"/>
        <v/>
      </c>
    </row>
    <row r="984" spans="1:11" ht="17.25" x14ac:dyDescent="0.2">
      <c r="B984" s="341"/>
      <c r="C984" s="101"/>
      <c r="D984" s="101"/>
      <c r="E984" s="107"/>
      <c r="F984" s="108"/>
      <c r="G984" s="64"/>
      <c r="H984" s="65"/>
      <c r="I984" s="69"/>
      <c r="J984" s="64" t="str">
        <f t="shared" si="154"/>
        <v/>
      </c>
      <c r="K984" s="64" t="str">
        <f t="shared" si="155"/>
        <v/>
      </c>
    </row>
    <row r="985" spans="1:11" ht="17.25" x14ac:dyDescent="0.2">
      <c r="B985" s="341"/>
      <c r="C985" s="101"/>
      <c r="D985" s="101"/>
      <c r="E985" s="107"/>
      <c r="F985" s="108"/>
      <c r="G985" s="64"/>
      <c r="H985" s="65"/>
      <c r="I985" s="69"/>
      <c r="J985" s="64" t="str">
        <f t="shared" si="154"/>
        <v/>
      </c>
      <c r="K985" s="64" t="str">
        <f t="shared" si="155"/>
        <v/>
      </c>
    </row>
    <row r="986" spans="1:11" ht="17.25" x14ac:dyDescent="0.2">
      <c r="B986" s="341"/>
      <c r="C986" s="101"/>
      <c r="D986" s="101"/>
      <c r="E986" s="107"/>
      <c r="F986" s="108"/>
      <c r="G986" s="64"/>
      <c r="H986" s="65"/>
      <c r="I986" s="69"/>
      <c r="J986" s="64" t="str">
        <f t="shared" si="154"/>
        <v/>
      </c>
      <c r="K986" s="64" t="str">
        <f t="shared" si="155"/>
        <v/>
      </c>
    </row>
    <row r="987" spans="1:11" ht="17.25" x14ac:dyDescent="0.2">
      <c r="B987" s="341"/>
      <c r="C987" s="101"/>
      <c r="D987" s="101"/>
      <c r="E987" s="107"/>
      <c r="F987" s="108"/>
      <c r="G987" s="64"/>
      <c r="H987" s="65"/>
      <c r="I987" s="69"/>
      <c r="J987" s="64" t="str">
        <f t="shared" si="154"/>
        <v/>
      </c>
      <c r="K987" s="64" t="str">
        <f t="shared" si="155"/>
        <v/>
      </c>
    </row>
    <row r="988" spans="1:11" ht="17.25" x14ac:dyDescent="0.2">
      <c r="B988" s="341"/>
      <c r="C988" s="101"/>
      <c r="D988" s="101"/>
      <c r="E988" s="107"/>
      <c r="F988" s="108"/>
      <c r="G988" s="64"/>
      <c r="H988" s="65"/>
      <c r="I988" s="69"/>
      <c r="J988" s="64" t="str">
        <f t="shared" si="154"/>
        <v/>
      </c>
      <c r="K988" s="64" t="str">
        <f t="shared" si="155"/>
        <v/>
      </c>
    </row>
    <row r="989" spans="1:11" ht="17.25" x14ac:dyDescent="0.2">
      <c r="B989" s="341"/>
      <c r="C989" s="101"/>
      <c r="D989" s="101"/>
      <c r="E989" s="107"/>
      <c r="F989" s="108"/>
      <c r="G989" s="64"/>
      <c r="H989" s="65"/>
      <c r="I989" s="69"/>
      <c r="J989" s="64" t="str">
        <f t="shared" si="154"/>
        <v/>
      </c>
      <c r="K989" s="64" t="str">
        <f t="shared" si="155"/>
        <v/>
      </c>
    </row>
    <row r="990" spans="1:11" ht="18" customHeight="1" x14ac:dyDescent="0.2">
      <c r="B990" s="561" t="s">
        <v>22</v>
      </c>
      <c r="C990" s="561" t="s">
        <v>177</v>
      </c>
      <c r="D990" s="561" t="s">
        <v>243</v>
      </c>
      <c r="E990" s="561" t="s">
        <v>23</v>
      </c>
      <c r="F990" s="562" t="s">
        <v>234</v>
      </c>
      <c r="G990" s="562"/>
      <c r="H990" s="562"/>
      <c r="I990" s="562"/>
      <c r="J990" s="562"/>
      <c r="K990" s="562"/>
    </row>
    <row r="991" spans="1:11" ht="21" x14ac:dyDescent="0.2">
      <c r="A991" s="114" t="s">
        <v>1518</v>
      </c>
      <c r="B991" s="433" t="s">
        <v>1029</v>
      </c>
      <c r="C991" s="115" t="s">
        <v>1477</v>
      </c>
      <c r="D991" s="114" t="s">
        <v>1478</v>
      </c>
      <c r="E991" s="329" t="str">
        <f>IF($O$55="","",$O$55)</f>
        <v>Limoeiro - Reg. Leste</v>
      </c>
      <c r="F991" s="563">
        <f>IF(B991="","",VLOOKUP(E991,$O$2:$T$120,6,0))</f>
        <v>57369</v>
      </c>
      <c r="G991" s="564"/>
      <c r="H991" s="564"/>
      <c r="I991" s="564"/>
      <c r="J991" s="564"/>
      <c r="K991" s="565"/>
    </row>
    <row r="992" spans="1:11" ht="43.5" x14ac:dyDescent="0.2">
      <c r="A992" s="166" t="s">
        <v>779</v>
      </c>
      <c r="B992" s="116" t="s">
        <v>0</v>
      </c>
      <c r="C992" s="116" t="s">
        <v>20</v>
      </c>
      <c r="D992" s="116" t="s">
        <v>21</v>
      </c>
      <c r="E992" s="116" t="s">
        <v>1</v>
      </c>
      <c r="F992" s="117" t="s">
        <v>3</v>
      </c>
      <c r="G992" s="116" t="s">
        <v>216</v>
      </c>
      <c r="H992" s="180" t="s">
        <v>242</v>
      </c>
      <c r="I992" s="116" t="s">
        <v>245</v>
      </c>
      <c r="J992" s="116" t="s">
        <v>217</v>
      </c>
      <c r="K992" s="116" t="s">
        <v>218</v>
      </c>
    </row>
    <row r="993" spans="2:11" ht="17.25" x14ac:dyDescent="0.35">
      <c r="B993" s="404" t="s">
        <v>1519</v>
      </c>
      <c r="C993" s="152" t="s">
        <v>1418</v>
      </c>
      <c r="D993" s="152" t="s">
        <v>1520</v>
      </c>
      <c r="E993" s="123" t="s">
        <v>265</v>
      </c>
      <c r="F993" s="108">
        <v>12.5</v>
      </c>
      <c r="G993" s="57">
        <v>16</v>
      </c>
      <c r="H993" s="65">
        <v>2</v>
      </c>
      <c r="I993" s="69">
        <f>IF(G993="","",SUM(G993:H993))</f>
        <v>18</v>
      </c>
      <c r="J993" s="64">
        <f>IF(G993="","",ROUNDUP(G993*0.65,0))</f>
        <v>11</v>
      </c>
      <c r="K993" s="64">
        <f>IF(G993="","",ROUNDUP(G993*0.55,0))</f>
        <v>9</v>
      </c>
    </row>
    <row r="994" spans="2:11" ht="17.25" x14ac:dyDescent="0.35">
      <c r="B994" s="404" t="s">
        <v>1521</v>
      </c>
      <c r="C994" s="152" t="s">
        <v>1420</v>
      </c>
      <c r="D994" s="152" t="s">
        <v>1522</v>
      </c>
      <c r="E994" s="123" t="s">
        <v>265</v>
      </c>
      <c r="F994" s="108">
        <v>12.5</v>
      </c>
      <c r="G994" s="57">
        <v>16</v>
      </c>
      <c r="H994" s="65">
        <v>2</v>
      </c>
      <c r="I994" s="69">
        <f t="shared" ref="I994:I1006" si="156">IF(G994="","",SUM(G994:H994))</f>
        <v>18</v>
      </c>
      <c r="J994" s="64">
        <f t="shared" ref="J994:J1008" si="157">IF(G994="","",ROUNDUP(G994*0.65,0))</f>
        <v>11</v>
      </c>
      <c r="K994" s="64">
        <f t="shared" ref="K994:K1008" si="158">IF(G994="","",ROUNDUP(G994*0.55,0))</f>
        <v>9</v>
      </c>
    </row>
    <row r="995" spans="2:11" ht="17.25" x14ac:dyDescent="0.35">
      <c r="B995" s="404" t="s">
        <v>1523</v>
      </c>
      <c r="C995" s="152" t="s">
        <v>1422</v>
      </c>
      <c r="D995" s="152" t="s">
        <v>1522</v>
      </c>
      <c r="E995" s="123" t="s">
        <v>55</v>
      </c>
      <c r="F995" s="333">
        <v>14</v>
      </c>
      <c r="G995" s="57">
        <v>18</v>
      </c>
      <c r="H995" s="65">
        <v>2</v>
      </c>
      <c r="I995" s="69">
        <f t="shared" si="156"/>
        <v>20</v>
      </c>
      <c r="J995" s="64">
        <f t="shared" si="157"/>
        <v>12</v>
      </c>
      <c r="K995" s="64">
        <f t="shared" si="158"/>
        <v>10</v>
      </c>
    </row>
    <row r="996" spans="2:11" ht="17.25" x14ac:dyDescent="0.35">
      <c r="B996" s="404" t="s">
        <v>1524</v>
      </c>
      <c r="C996" s="152" t="s">
        <v>1430</v>
      </c>
      <c r="D996" s="152" t="s">
        <v>1522</v>
      </c>
      <c r="E996" s="123" t="s">
        <v>265</v>
      </c>
      <c r="F996" s="108">
        <v>12.5</v>
      </c>
      <c r="G996" s="57">
        <v>12</v>
      </c>
      <c r="H996" s="65">
        <v>2</v>
      </c>
      <c r="I996" s="69">
        <f t="shared" si="156"/>
        <v>14</v>
      </c>
      <c r="J996" s="64">
        <f t="shared" si="157"/>
        <v>8</v>
      </c>
      <c r="K996" s="64">
        <f t="shared" si="158"/>
        <v>7</v>
      </c>
    </row>
    <row r="997" spans="2:11" ht="17.25" x14ac:dyDescent="0.35">
      <c r="B997" s="404" t="s">
        <v>1525</v>
      </c>
      <c r="C997" s="152" t="s">
        <v>1526</v>
      </c>
      <c r="D997" s="152" t="s">
        <v>1459</v>
      </c>
      <c r="E997" s="107" t="s">
        <v>179</v>
      </c>
      <c r="F997" s="108">
        <v>9.5</v>
      </c>
      <c r="G997" s="57">
        <v>12</v>
      </c>
      <c r="H997" s="65">
        <v>3</v>
      </c>
      <c r="I997" s="69">
        <f t="shared" si="156"/>
        <v>15</v>
      </c>
      <c r="J997" s="64">
        <f t="shared" si="157"/>
        <v>8</v>
      </c>
      <c r="K997" s="64">
        <f t="shared" si="158"/>
        <v>7</v>
      </c>
    </row>
    <row r="998" spans="2:11" ht="17.25" x14ac:dyDescent="0.2">
      <c r="B998" s="343"/>
      <c r="C998" s="102"/>
      <c r="D998" s="110"/>
      <c r="E998" s="107"/>
      <c r="F998" s="108"/>
      <c r="G998" s="57"/>
      <c r="H998" s="65"/>
      <c r="I998" s="69" t="str">
        <f t="shared" si="156"/>
        <v/>
      </c>
      <c r="J998" s="64" t="str">
        <f t="shared" si="157"/>
        <v/>
      </c>
      <c r="K998" s="64" t="str">
        <f t="shared" si="158"/>
        <v/>
      </c>
    </row>
    <row r="999" spans="2:11" ht="17.25" x14ac:dyDescent="0.2">
      <c r="B999" s="343"/>
      <c r="C999" s="102"/>
      <c r="D999" s="102"/>
      <c r="E999" s="107"/>
      <c r="F999" s="108"/>
      <c r="G999" s="57"/>
      <c r="H999" s="65"/>
      <c r="I999" s="69" t="str">
        <f t="shared" si="156"/>
        <v/>
      </c>
      <c r="J999" s="64" t="str">
        <f t="shared" si="157"/>
        <v/>
      </c>
      <c r="K999" s="64" t="str">
        <f t="shared" si="158"/>
        <v/>
      </c>
    </row>
    <row r="1000" spans="2:11" ht="17.25" x14ac:dyDescent="0.2">
      <c r="B1000" s="343"/>
      <c r="C1000" s="102"/>
      <c r="D1000" s="102"/>
      <c r="E1000" s="107"/>
      <c r="F1000" s="108"/>
      <c r="G1000" s="57"/>
      <c r="H1000" s="65"/>
      <c r="I1000" s="69" t="str">
        <f t="shared" si="156"/>
        <v/>
      </c>
      <c r="J1000" s="64" t="str">
        <f t="shared" si="157"/>
        <v/>
      </c>
      <c r="K1000" s="64" t="str">
        <f t="shared" si="158"/>
        <v/>
      </c>
    </row>
    <row r="1001" spans="2:11" ht="17.25" x14ac:dyDescent="0.2">
      <c r="B1001" s="343"/>
      <c r="C1001" s="102"/>
      <c r="D1001" s="110"/>
      <c r="E1001" s="107"/>
      <c r="F1001" s="108"/>
      <c r="G1001" s="57"/>
      <c r="H1001" s="65"/>
      <c r="I1001" s="69" t="str">
        <f t="shared" si="156"/>
        <v/>
      </c>
      <c r="J1001" s="64" t="str">
        <f t="shared" si="157"/>
        <v/>
      </c>
      <c r="K1001" s="64" t="str">
        <f t="shared" si="158"/>
        <v/>
      </c>
    </row>
    <row r="1002" spans="2:11" ht="17.25" x14ac:dyDescent="0.2">
      <c r="B1002" s="343"/>
      <c r="C1002" s="102"/>
      <c r="D1002" s="110"/>
      <c r="E1002" s="107"/>
      <c r="F1002" s="108"/>
      <c r="G1002" s="57"/>
      <c r="H1002" s="65"/>
      <c r="I1002" s="69" t="str">
        <f t="shared" si="156"/>
        <v/>
      </c>
      <c r="J1002" s="64" t="str">
        <f t="shared" si="157"/>
        <v/>
      </c>
      <c r="K1002" s="64" t="str">
        <f t="shared" si="158"/>
        <v/>
      </c>
    </row>
    <row r="1003" spans="2:11" ht="17.25" x14ac:dyDescent="0.2">
      <c r="B1003" s="343"/>
      <c r="C1003" s="102"/>
      <c r="D1003" s="102"/>
      <c r="E1003" s="107"/>
      <c r="F1003" s="108"/>
      <c r="G1003" s="57"/>
      <c r="H1003" s="65"/>
      <c r="I1003" s="69" t="str">
        <f t="shared" si="156"/>
        <v/>
      </c>
      <c r="J1003" s="64" t="str">
        <f t="shared" si="157"/>
        <v/>
      </c>
      <c r="K1003" s="64" t="str">
        <f t="shared" si="158"/>
        <v/>
      </c>
    </row>
    <row r="1004" spans="2:11" ht="17.25" x14ac:dyDescent="0.2">
      <c r="B1004" s="343"/>
      <c r="C1004" s="102"/>
      <c r="D1004" s="102"/>
      <c r="E1004" s="107"/>
      <c r="F1004" s="108"/>
      <c r="G1004" s="57"/>
      <c r="H1004" s="65"/>
      <c r="I1004" s="69" t="str">
        <f t="shared" si="156"/>
        <v/>
      </c>
      <c r="J1004" s="64" t="str">
        <f t="shared" si="157"/>
        <v/>
      </c>
      <c r="K1004" s="64" t="str">
        <f t="shared" si="158"/>
        <v/>
      </c>
    </row>
    <row r="1005" spans="2:11" ht="17.25" x14ac:dyDescent="0.2">
      <c r="B1005" s="343"/>
      <c r="C1005" s="102"/>
      <c r="D1005" s="102"/>
      <c r="E1005" s="107"/>
      <c r="F1005" s="108"/>
      <c r="G1005" s="57"/>
      <c r="H1005" s="65"/>
      <c r="I1005" s="69" t="str">
        <f t="shared" si="156"/>
        <v/>
      </c>
      <c r="J1005" s="64" t="str">
        <f t="shared" si="157"/>
        <v/>
      </c>
      <c r="K1005" s="64" t="str">
        <f t="shared" si="158"/>
        <v/>
      </c>
    </row>
    <row r="1006" spans="2:11" ht="17.25" x14ac:dyDescent="0.2">
      <c r="B1006" s="343"/>
      <c r="C1006" s="102"/>
      <c r="D1006" s="102"/>
      <c r="E1006" s="107"/>
      <c r="F1006" s="108"/>
      <c r="G1006" s="57"/>
      <c r="H1006" s="65"/>
      <c r="I1006" s="69" t="str">
        <f t="shared" si="156"/>
        <v/>
      </c>
      <c r="J1006" s="64" t="str">
        <f t="shared" si="157"/>
        <v/>
      </c>
      <c r="K1006" s="64" t="str">
        <f t="shared" si="158"/>
        <v/>
      </c>
    </row>
    <row r="1007" spans="2:11" ht="17.25" x14ac:dyDescent="0.2">
      <c r="B1007" s="343"/>
      <c r="C1007" s="102"/>
      <c r="D1007" s="102"/>
      <c r="E1007" s="107"/>
      <c r="F1007" s="108"/>
      <c r="G1007" s="57"/>
      <c r="H1007" s="65"/>
      <c r="I1007" s="69"/>
      <c r="J1007" s="64" t="str">
        <f t="shared" si="157"/>
        <v/>
      </c>
      <c r="K1007" s="64" t="str">
        <f t="shared" si="158"/>
        <v/>
      </c>
    </row>
    <row r="1008" spans="2:11" ht="17.25" x14ac:dyDescent="0.2">
      <c r="B1008" s="343"/>
      <c r="C1008" s="102"/>
      <c r="D1008" s="102"/>
      <c r="E1008" s="107"/>
      <c r="F1008" s="108"/>
      <c r="G1008" s="57"/>
      <c r="H1008" s="65"/>
      <c r="I1008" s="69"/>
      <c r="J1008" s="64" t="str">
        <f t="shared" si="157"/>
        <v/>
      </c>
      <c r="K1008" s="64" t="str">
        <f t="shared" si="158"/>
        <v/>
      </c>
    </row>
    <row r="1009" spans="1:11" ht="18" customHeight="1" x14ac:dyDescent="0.2">
      <c r="B1009" s="561" t="s">
        <v>22</v>
      </c>
      <c r="C1009" s="561" t="s">
        <v>177</v>
      </c>
      <c r="D1009" s="561" t="s">
        <v>243</v>
      </c>
      <c r="E1009" s="561" t="s">
        <v>23</v>
      </c>
      <c r="F1009" s="562" t="s">
        <v>234</v>
      </c>
      <c r="G1009" s="562"/>
      <c r="H1009" s="562"/>
      <c r="I1009" s="562"/>
      <c r="J1009" s="562"/>
      <c r="K1009" s="562"/>
    </row>
    <row r="1010" spans="1:11" ht="21" x14ac:dyDescent="0.2">
      <c r="A1010" s="114" t="s">
        <v>1527</v>
      </c>
      <c r="B1010" s="433" t="s">
        <v>1030</v>
      </c>
      <c r="C1010" s="115" t="s">
        <v>1477</v>
      </c>
      <c r="D1010" s="114" t="s">
        <v>1478</v>
      </c>
      <c r="E1010" s="329" t="str">
        <f>IF($O$56="","",$O$56)</f>
        <v>Limoeiro - Reg. Oeste</v>
      </c>
      <c r="F1010" s="563">
        <f>IF(B1010="","",VLOOKUP(E1010,$O$2:$T$120,6,0))</f>
        <v>57369</v>
      </c>
      <c r="G1010" s="564"/>
      <c r="H1010" s="564"/>
      <c r="I1010" s="564"/>
      <c r="J1010" s="564"/>
      <c r="K1010" s="565"/>
    </row>
    <row r="1011" spans="1:11" ht="43.5" x14ac:dyDescent="0.2">
      <c r="A1011" s="166" t="s">
        <v>779</v>
      </c>
      <c r="B1011" s="116" t="s">
        <v>0</v>
      </c>
      <c r="C1011" s="116" t="s">
        <v>20</v>
      </c>
      <c r="D1011" s="116" t="s">
        <v>21</v>
      </c>
      <c r="E1011" s="116" t="s">
        <v>1</v>
      </c>
      <c r="F1011" s="117" t="s">
        <v>3</v>
      </c>
      <c r="G1011" s="116" t="s">
        <v>216</v>
      </c>
      <c r="H1011" s="180" t="s">
        <v>242</v>
      </c>
      <c r="I1011" s="116" t="s">
        <v>245</v>
      </c>
      <c r="J1011" s="116" t="s">
        <v>217</v>
      </c>
      <c r="K1011" s="116" t="s">
        <v>218</v>
      </c>
    </row>
    <row r="1012" spans="1:11" ht="17.25" x14ac:dyDescent="0.35">
      <c r="B1012" s="404" t="s">
        <v>1528</v>
      </c>
      <c r="C1012" s="152" t="s">
        <v>1529</v>
      </c>
      <c r="D1012" s="152" t="s">
        <v>1459</v>
      </c>
      <c r="E1012" s="107" t="s">
        <v>179</v>
      </c>
      <c r="F1012" s="108">
        <v>9.5</v>
      </c>
      <c r="G1012" s="57">
        <v>12</v>
      </c>
      <c r="H1012" s="65">
        <v>3</v>
      </c>
      <c r="I1012" s="69">
        <f>IF(G1012="","",SUM(G1012:H1012))</f>
        <v>15</v>
      </c>
      <c r="J1012" s="64">
        <f>IF(G1012="","",ROUNDUP(G1012*0.65,0))</f>
        <v>8</v>
      </c>
      <c r="K1012" s="64">
        <f>IF(G1012="","",ROUNDUP(G1012*0.55,0))</f>
        <v>7</v>
      </c>
    </row>
    <row r="1013" spans="1:11" ht="17.25" x14ac:dyDescent="0.35">
      <c r="B1013" s="404" t="s">
        <v>1530</v>
      </c>
      <c r="C1013" s="152" t="s">
        <v>1531</v>
      </c>
      <c r="D1013" s="152" t="s">
        <v>1522</v>
      </c>
      <c r="E1013" s="107" t="s">
        <v>55</v>
      </c>
      <c r="F1013" s="333">
        <v>14</v>
      </c>
      <c r="G1013" s="57">
        <v>18</v>
      </c>
      <c r="H1013" s="65">
        <v>2</v>
      </c>
      <c r="I1013" s="69">
        <f t="shared" ref="I1013:I1019" si="159">IF(G1013="","",SUM(G1013:H1013))</f>
        <v>20</v>
      </c>
      <c r="J1013" s="64">
        <f t="shared" ref="J1013:J1027" si="160">IF(G1013="","",ROUNDUP(G1013*0.65,0))</f>
        <v>12</v>
      </c>
      <c r="K1013" s="64">
        <f t="shared" ref="K1013:K1027" si="161">IF(G1013="","",ROUNDUP(G1013*0.55,0))</f>
        <v>10</v>
      </c>
    </row>
    <row r="1014" spans="1:11" ht="17.25" x14ac:dyDescent="0.35">
      <c r="B1014" s="404" t="s">
        <v>1532</v>
      </c>
      <c r="C1014" s="152" t="s">
        <v>1533</v>
      </c>
      <c r="D1014" s="152" t="s">
        <v>1459</v>
      </c>
      <c r="E1014" s="107" t="s">
        <v>265</v>
      </c>
      <c r="F1014" s="108">
        <v>12.5</v>
      </c>
      <c r="G1014" s="57">
        <v>14</v>
      </c>
      <c r="H1014" s="65">
        <v>2</v>
      </c>
      <c r="I1014" s="69">
        <f t="shared" si="159"/>
        <v>16</v>
      </c>
      <c r="J1014" s="64">
        <f t="shared" si="160"/>
        <v>10</v>
      </c>
      <c r="K1014" s="64">
        <f t="shared" si="161"/>
        <v>8</v>
      </c>
    </row>
    <row r="1015" spans="1:11" ht="17.25" x14ac:dyDescent="0.35">
      <c r="B1015" s="404" t="s">
        <v>1534</v>
      </c>
      <c r="C1015" s="152" t="s">
        <v>1439</v>
      </c>
      <c r="D1015" s="152" t="s">
        <v>1535</v>
      </c>
      <c r="E1015" s="107" t="s">
        <v>265</v>
      </c>
      <c r="F1015" s="108">
        <v>12.5</v>
      </c>
      <c r="G1015" s="57">
        <v>14</v>
      </c>
      <c r="H1015" s="65">
        <v>2</v>
      </c>
      <c r="I1015" s="69">
        <f t="shared" si="159"/>
        <v>16</v>
      </c>
      <c r="J1015" s="64">
        <f t="shared" si="160"/>
        <v>10</v>
      </c>
      <c r="K1015" s="64">
        <f t="shared" si="161"/>
        <v>8</v>
      </c>
    </row>
    <row r="1016" spans="1:11" ht="17.25" x14ac:dyDescent="0.35">
      <c r="B1016" s="404" t="s">
        <v>1536</v>
      </c>
      <c r="C1016" s="152" t="s">
        <v>1441</v>
      </c>
      <c r="D1016" s="152" t="s">
        <v>1459</v>
      </c>
      <c r="E1016" s="107" t="s">
        <v>265</v>
      </c>
      <c r="F1016" s="108">
        <v>12.5</v>
      </c>
      <c r="G1016" s="57">
        <v>16</v>
      </c>
      <c r="H1016" s="65">
        <v>2</v>
      </c>
      <c r="I1016" s="69">
        <f t="shared" si="159"/>
        <v>18</v>
      </c>
      <c r="J1016" s="64">
        <f t="shared" si="160"/>
        <v>11</v>
      </c>
      <c r="K1016" s="64">
        <f t="shared" si="161"/>
        <v>9</v>
      </c>
    </row>
    <row r="1017" spans="1:11" ht="17.25" x14ac:dyDescent="0.2">
      <c r="B1017" s="336"/>
      <c r="C1017" s="103"/>
      <c r="D1017" s="103"/>
      <c r="E1017" s="107"/>
      <c r="F1017" s="108"/>
      <c r="G1017" s="64"/>
      <c r="H1017" s="65"/>
      <c r="I1017" s="69" t="str">
        <f t="shared" si="159"/>
        <v/>
      </c>
      <c r="J1017" s="64" t="str">
        <f t="shared" si="160"/>
        <v/>
      </c>
      <c r="K1017" s="64" t="str">
        <f t="shared" si="161"/>
        <v/>
      </c>
    </row>
    <row r="1018" spans="1:11" ht="17.25" x14ac:dyDescent="0.2">
      <c r="B1018" s="336"/>
      <c r="C1018" s="103"/>
      <c r="D1018" s="103"/>
      <c r="E1018" s="107"/>
      <c r="F1018" s="108"/>
      <c r="G1018" s="64"/>
      <c r="H1018" s="65"/>
      <c r="I1018" s="69" t="str">
        <f t="shared" si="159"/>
        <v/>
      </c>
      <c r="J1018" s="64" t="str">
        <f t="shared" si="160"/>
        <v/>
      </c>
      <c r="K1018" s="64" t="str">
        <f t="shared" si="161"/>
        <v/>
      </c>
    </row>
    <row r="1019" spans="1:11" ht="17.25" x14ac:dyDescent="0.2">
      <c r="B1019" s="336"/>
      <c r="C1019" s="103"/>
      <c r="D1019" s="103"/>
      <c r="E1019" s="107"/>
      <c r="F1019" s="108"/>
      <c r="G1019" s="64"/>
      <c r="H1019" s="65"/>
      <c r="I1019" s="69" t="str">
        <f t="shared" si="159"/>
        <v/>
      </c>
      <c r="J1019" s="64" t="str">
        <f t="shared" si="160"/>
        <v/>
      </c>
      <c r="K1019" s="64" t="str">
        <f t="shared" si="161"/>
        <v/>
      </c>
    </row>
    <row r="1020" spans="1:11" ht="17.25" x14ac:dyDescent="0.2">
      <c r="B1020" s="336"/>
      <c r="C1020" s="103"/>
      <c r="D1020" s="103"/>
      <c r="E1020" s="107"/>
      <c r="F1020" s="108"/>
      <c r="G1020" s="64"/>
      <c r="H1020" s="65"/>
      <c r="I1020" s="69"/>
      <c r="J1020" s="64" t="str">
        <f t="shared" si="160"/>
        <v/>
      </c>
      <c r="K1020" s="64" t="str">
        <f t="shared" si="161"/>
        <v/>
      </c>
    </row>
    <row r="1021" spans="1:11" ht="17.25" x14ac:dyDescent="0.2">
      <c r="B1021" s="336"/>
      <c r="C1021" s="103"/>
      <c r="D1021" s="103"/>
      <c r="E1021" s="107"/>
      <c r="F1021" s="108"/>
      <c r="G1021" s="64"/>
      <c r="H1021" s="65"/>
      <c r="I1021" s="69"/>
      <c r="J1021" s="64" t="str">
        <f t="shared" si="160"/>
        <v/>
      </c>
      <c r="K1021" s="64" t="str">
        <f t="shared" si="161"/>
        <v/>
      </c>
    </row>
    <row r="1022" spans="1:11" ht="17.25" x14ac:dyDescent="0.2">
      <c r="B1022" s="336"/>
      <c r="C1022" s="103"/>
      <c r="D1022" s="103"/>
      <c r="E1022" s="107"/>
      <c r="F1022" s="108"/>
      <c r="G1022" s="64"/>
      <c r="H1022" s="65"/>
      <c r="I1022" s="69"/>
      <c r="J1022" s="64" t="str">
        <f t="shared" si="160"/>
        <v/>
      </c>
      <c r="K1022" s="64" t="str">
        <f t="shared" si="161"/>
        <v/>
      </c>
    </row>
    <row r="1023" spans="1:11" ht="17.25" x14ac:dyDescent="0.2">
      <c r="B1023" s="336"/>
      <c r="C1023" s="103"/>
      <c r="D1023" s="103"/>
      <c r="E1023" s="107"/>
      <c r="F1023" s="108"/>
      <c r="G1023" s="64"/>
      <c r="H1023" s="65"/>
      <c r="I1023" s="69"/>
      <c r="J1023" s="64" t="str">
        <f t="shared" si="160"/>
        <v/>
      </c>
      <c r="K1023" s="64" t="str">
        <f t="shared" si="161"/>
        <v/>
      </c>
    </row>
    <row r="1024" spans="1:11" ht="17.25" x14ac:dyDescent="0.2">
      <c r="B1024" s="336"/>
      <c r="C1024" s="103"/>
      <c r="D1024" s="103"/>
      <c r="E1024" s="107"/>
      <c r="F1024" s="108"/>
      <c r="G1024" s="64"/>
      <c r="H1024" s="65"/>
      <c r="I1024" s="69"/>
      <c r="J1024" s="64" t="str">
        <f t="shared" si="160"/>
        <v/>
      </c>
      <c r="K1024" s="64" t="str">
        <f t="shared" si="161"/>
        <v/>
      </c>
    </row>
    <row r="1025" spans="1:11" ht="17.25" x14ac:dyDescent="0.2">
      <c r="B1025" s="336"/>
      <c r="C1025" s="103"/>
      <c r="D1025" s="103"/>
      <c r="E1025" s="107"/>
      <c r="F1025" s="108"/>
      <c r="G1025" s="64"/>
      <c r="H1025" s="65"/>
      <c r="I1025" s="69"/>
      <c r="J1025" s="64" t="str">
        <f t="shared" si="160"/>
        <v/>
      </c>
      <c r="K1025" s="64" t="str">
        <f t="shared" si="161"/>
        <v/>
      </c>
    </row>
    <row r="1026" spans="1:11" ht="17.25" x14ac:dyDescent="0.2">
      <c r="B1026" s="336"/>
      <c r="C1026" s="103"/>
      <c r="D1026" s="103"/>
      <c r="E1026" s="107"/>
      <c r="F1026" s="108"/>
      <c r="G1026" s="64"/>
      <c r="H1026" s="65"/>
      <c r="I1026" s="69"/>
      <c r="J1026" s="64" t="str">
        <f t="shared" si="160"/>
        <v/>
      </c>
      <c r="K1026" s="64" t="str">
        <f t="shared" si="161"/>
        <v/>
      </c>
    </row>
    <row r="1027" spans="1:11" ht="17.25" x14ac:dyDescent="0.2">
      <c r="B1027" s="336"/>
      <c r="C1027" s="103"/>
      <c r="D1027" s="103"/>
      <c r="E1027" s="107"/>
      <c r="F1027" s="108"/>
      <c r="G1027" s="64"/>
      <c r="H1027" s="65"/>
      <c r="I1027" s="69"/>
      <c r="J1027" s="64" t="str">
        <f t="shared" si="160"/>
        <v/>
      </c>
      <c r="K1027" s="64" t="str">
        <f t="shared" si="161"/>
        <v/>
      </c>
    </row>
    <row r="1028" spans="1:11" ht="18" customHeight="1" x14ac:dyDescent="0.2">
      <c r="B1028" s="561" t="s">
        <v>22</v>
      </c>
      <c r="C1028" s="561" t="s">
        <v>177</v>
      </c>
      <c r="D1028" s="561" t="s">
        <v>243</v>
      </c>
      <c r="E1028" s="561" t="s">
        <v>23</v>
      </c>
      <c r="F1028" s="566" t="s">
        <v>234</v>
      </c>
      <c r="G1028" s="567"/>
      <c r="H1028" s="567"/>
      <c r="I1028" s="567"/>
      <c r="J1028" s="567"/>
      <c r="K1028" s="568"/>
    </row>
    <row r="1029" spans="1:11" ht="21" x14ac:dyDescent="0.2">
      <c r="A1029" s="114" t="s">
        <v>1067</v>
      </c>
      <c r="B1029" s="434" t="s">
        <v>2714</v>
      </c>
      <c r="C1029" s="115" t="s">
        <v>498</v>
      </c>
      <c r="D1029" s="114" t="s">
        <v>639</v>
      </c>
      <c r="E1029" s="329" t="str">
        <f>IF($O$57="","",$O$57)</f>
        <v>Miraporanga - Lote 1</v>
      </c>
      <c r="F1029" s="563">
        <f>IF(B1029="","",VLOOKUP(E1029,$O$2:$T$120,6,0))</f>
        <v>153098</v>
      </c>
      <c r="G1029" s="564"/>
      <c r="H1029" s="564"/>
      <c r="I1029" s="564"/>
      <c r="J1029" s="564"/>
      <c r="K1029" s="565"/>
    </row>
    <row r="1030" spans="1:11" ht="43.5" x14ac:dyDescent="0.2">
      <c r="A1030" s="166" t="s">
        <v>779</v>
      </c>
      <c r="B1030" s="116" t="s">
        <v>0</v>
      </c>
      <c r="C1030" s="116" t="s">
        <v>20</v>
      </c>
      <c r="D1030" s="116" t="s">
        <v>21</v>
      </c>
      <c r="E1030" s="116" t="s">
        <v>1</v>
      </c>
      <c r="F1030" s="117" t="s">
        <v>3</v>
      </c>
      <c r="G1030" s="116" t="s">
        <v>216</v>
      </c>
      <c r="H1030" s="180" t="s">
        <v>242</v>
      </c>
      <c r="I1030" s="116" t="s">
        <v>245</v>
      </c>
      <c r="J1030" s="116" t="s">
        <v>217</v>
      </c>
      <c r="K1030" s="116" t="s">
        <v>218</v>
      </c>
    </row>
    <row r="1031" spans="1:11" ht="17.25" x14ac:dyDescent="0.2">
      <c r="B1031" s="405" t="s">
        <v>1545</v>
      </c>
      <c r="C1031" s="97" t="s">
        <v>1546</v>
      </c>
      <c r="D1031" s="97" t="s">
        <v>1547</v>
      </c>
      <c r="E1031" s="107" t="s">
        <v>56</v>
      </c>
      <c r="F1031" s="333">
        <v>17.5</v>
      </c>
      <c r="G1031" s="335">
        <v>18</v>
      </c>
      <c r="H1031" s="65">
        <v>3</v>
      </c>
      <c r="I1031" s="69">
        <f>IF(G1031="","",SUM(G1031:H1031))</f>
        <v>21</v>
      </c>
      <c r="J1031" s="64">
        <f>IF(G1031="","",ROUNDUP(G1031*0.65,0))</f>
        <v>12</v>
      </c>
      <c r="K1031" s="64">
        <f>IF(G1031="","",ROUNDUP(G1031*0.55,0))</f>
        <v>10</v>
      </c>
    </row>
    <row r="1032" spans="1:11" ht="17.25" x14ac:dyDescent="0.2">
      <c r="B1032" s="405" t="s">
        <v>1548</v>
      </c>
      <c r="C1032" s="97" t="s">
        <v>1546</v>
      </c>
      <c r="D1032" s="97" t="s">
        <v>1549</v>
      </c>
      <c r="E1032" s="107" t="s">
        <v>56</v>
      </c>
      <c r="F1032" s="333">
        <v>17.5</v>
      </c>
      <c r="G1032" s="335">
        <v>16</v>
      </c>
      <c r="H1032" s="65">
        <v>3</v>
      </c>
      <c r="I1032" s="69">
        <f t="shared" ref="I1032:I1041" si="162">IF(G1032="","",SUM(G1032:H1032))</f>
        <v>19</v>
      </c>
      <c r="J1032" s="64">
        <f t="shared" ref="J1032:J1046" si="163">IF(G1032="","",ROUNDUP(G1032*0.65,0))</f>
        <v>11</v>
      </c>
      <c r="K1032" s="64">
        <f t="shared" ref="K1032:K1046" si="164">IF(G1032="","",ROUNDUP(G1032*0.55,0))</f>
        <v>9</v>
      </c>
    </row>
    <row r="1033" spans="1:11" ht="17.25" x14ac:dyDescent="0.2">
      <c r="B1033" s="405" t="s">
        <v>1550</v>
      </c>
      <c r="C1033" s="97" t="s">
        <v>1551</v>
      </c>
      <c r="D1033" s="97" t="s">
        <v>1549</v>
      </c>
      <c r="E1033" s="107" t="s">
        <v>56</v>
      </c>
      <c r="F1033" s="333">
        <v>17.5</v>
      </c>
      <c r="G1033" s="335">
        <v>18</v>
      </c>
      <c r="H1033" s="65">
        <v>2</v>
      </c>
      <c r="I1033" s="69">
        <f t="shared" si="162"/>
        <v>20</v>
      </c>
      <c r="J1033" s="64">
        <f t="shared" si="163"/>
        <v>12</v>
      </c>
      <c r="K1033" s="64">
        <f t="shared" si="164"/>
        <v>10</v>
      </c>
    </row>
    <row r="1034" spans="1:11" ht="17.25" x14ac:dyDescent="0.2">
      <c r="B1034" s="405" t="s">
        <v>1552</v>
      </c>
      <c r="C1034" s="97" t="s">
        <v>1553</v>
      </c>
      <c r="D1034" s="97" t="s">
        <v>1554</v>
      </c>
      <c r="E1034" s="107" t="s">
        <v>56</v>
      </c>
      <c r="F1034" s="333">
        <v>17.5</v>
      </c>
      <c r="G1034" s="335">
        <v>22</v>
      </c>
      <c r="H1034" s="65">
        <v>7</v>
      </c>
      <c r="I1034" s="69">
        <f t="shared" si="162"/>
        <v>29</v>
      </c>
      <c r="J1034" s="64">
        <f t="shared" si="163"/>
        <v>15</v>
      </c>
      <c r="K1034" s="64">
        <f t="shared" si="164"/>
        <v>13</v>
      </c>
    </row>
    <row r="1035" spans="1:11" ht="17.25" x14ac:dyDescent="0.2">
      <c r="B1035" s="405" t="s">
        <v>1555</v>
      </c>
      <c r="C1035" s="97" t="s">
        <v>1553</v>
      </c>
      <c r="D1035" s="97" t="s">
        <v>1549</v>
      </c>
      <c r="E1035" s="107" t="s">
        <v>56</v>
      </c>
      <c r="F1035" s="333">
        <v>17.5</v>
      </c>
      <c r="G1035" s="335">
        <v>24</v>
      </c>
      <c r="H1035" s="65">
        <v>7</v>
      </c>
      <c r="I1035" s="69">
        <f t="shared" si="162"/>
        <v>31</v>
      </c>
      <c r="J1035" s="64">
        <f t="shared" si="163"/>
        <v>16</v>
      </c>
      <c r="K1035" s="64">
        <f t="shared" si="164"/>
        <v>14</v>
      </c>
    </row>
    <row r="1036" spans="1:11" ht="17.25" x14ac:dyDescent="0.2">
      <c r="B1036" s="405" t="s">
        <v>1556</v>
      </c>
      <c r="C1036" s="97" t="s">
        <v>1546</v>
      </c>
      <c r="D1036" s="97" t="s">
        <v>1547</v>
      </c>
      <c r="E1036" s="107" t="s">
        <v>180</v>
      </c>
      <c r="F1036" s="333">
        <v>16.5</v>
      </c>
      <c r="G1036" s="335">
        <v>14</v>
      </c>
      <c r="H1036" s="65">
        <v>1</v>
      </c>
      <c r="I1036" s="69">
        <f t="shared" si="162"/>
        <v>15</v>
      </c>
      <c r="J1036" s="64">
        <f t="shared" si="163"/>
        <v>10</v>
      </c>
      <c r="K1036" s="64">
        <f t="shared" si="164"/>
        <v>8</v>
      </c>
    </row>
    <row r="1037" spans="1:11" ht="17.25" x14ac:dyDescent="0.2">
      <c r="B1037" s="405" t="s">
        <v>1557</v>
      </c>
      <c r="C1037" s="97" t="s">
        <v>1551</v>
      </c>
      <c r="D1037" s="97" t="s">
        <v>1549</v>
      </c>
      <c r="E1037" s="107" t="s">
        <v>180</v>
      </c>
      <c r="F1037" s="333">
        <v>16.5</v>
      </c>
      <c r="G1037" s="335">
        <v>16</v>
      </c>
      <c r="H1037" s="65">
        <v>4</v>
      </c>
      <c r="I1037" s="69">
        <f t="shared" si="162"/>
        <v>20</v>
      </c>
      <c r="J1037" s="64">
        <f t="shared" si="163"/>
        <v>11</v>
      </c>
      <c r="K1037" s="64">
        <f t="shared" si="164"/>
        <v>9</v>
      </c>
    </row>
    <row r="1038" spans="1:11" ht="17.25" x14ac:dyDescent="0.2">
      <c r="B1038" s="405" t="s">
        <v>1558</v>
      </c>
      <c r="C1038" s="97" t="s">
        <v>1553</v>
      </c>
      <c r="D1038" s="97" t="s">
        <v>1554</v>
      </c>
      <c r="E1038" s="107" t="s">
        <v>180</v>
      </c>
      <c r="F1038" s="333">
        <v>16.5</v>
      </c>
      <c r="G1038" s="335">
        <v>16</v>
      </c>
      <c r="H1038" s="65">
        <v>4</v>
      </c>
      <c r="I1038" s="69">
        <f t="shared" si="162"/>
        <v>20</v>
      </c>
      <c r="J1038" s="64">
        <f t="shared" si="163"/>
        <v>11</v>
      </c>
      <c r="K1038" s="64">
        <f t="shared" si="164"/>
        <v>9</v>
      </c>
    </row>
    <row r="1039" spans="1:11" ht="17.25" x14ac:dyDescent="0.2">
      <c r="B1039" s="405" t="s">
        <v>1559</v>
      </c>
      <c r="C1039" s="97" t="s">
        <v>1546</v>
      </c>
      <c r="D1039" s="97" t="s">
        <v>1560</v>
      </c>
      <c r="E1039" s="107" t="s">
        <v>55</v>
      </c>
      <c r="F1039" s="333">
        <v>14</v>
      </c>
      <c r="G1039" s="335">
        <v>16</v>
      </c>
      <c r="H1039" s="65">
        <v>4</v>
      </c>
      <c r="I1039" s="69">
        <f t="shared" si="162"/>
        <v>20</v>
      </c>
      <c r="J1039" s="64">
        <f t="shared" si="163"/>
        <v>11</v>
      </c>
      <c r="K1039" s="64">
        <f t="shared" si="164"/>
        <v>9</v>
      </c>
    </row>
    <row r="1040" spans="1:11" ht="17.25" x14ac:dyDescent="0.2">
      <c r="B1040" s="405" t="s">
        <v>1561</v>
      </c>
      <c r="C1040" s="97" t="s">
        <v>1551</v>
      </c>
      <c r="D1040" s="97" t="s">
        <v>1554</v>
      </c>
      <c r="E1040" s="107" t="s">
        <v>55</v>
      </c>
      <c r="F1040" s="333">
        <v>14</v>
      </c>
      <c r="G1040" s="335">
        <v>12</v>
      </c>
      <c r="H1040" s="65">
        <v>3</v>
      </c>
      <c r="I1040" s="69">
        <f t="shared" si="162"/>
        <v>15</v>
      </c>
      <c r="J1040" s="64">
        <f t="shared" si="163"/>
        <v>8</v>
      </c>
      <c r="K1040" s="64">
        <f t="shared" si="164"/>
        <v>7</v>
      </c>
    </row>
    <row r="1041" spans="1:11" ht="17.25" x14ac:dyDescent="0.2">
      <c r="B1041" s="405" t="s">
        <v>1562</v>
      </c>
      <c r="C1041" s="97" t="s">
        <v>1553</v>
      </c>
      <c r="D1041" s="97" t="s">
        <v>1549</v>
      </c>
      <c r="E1041" s="107" t="s">
        <v>55</v>
      </c>
      <c r="F1041" s="333">
        <v>14</v>
      </c>
      <c r="G1041" s="335">
        <v>16</v>
      </c>
      <c r="H1041" s="65">
        <v>4</v>
      </c>
      <c r="I1041" s="69">
        <f t="shared" si="162"/>
        <v>20</v>
      </c>
      <c r="J1041" s="64">
        <f t="shared" si="163"/>
        <v>11</v>
      </c>
      <c r="K1041" s="64">
        <f t="shared" si="164"/>
        <v>9</v>
      </c>
    </row>
    <row r="1042" spans="1:11" ht="17.25" x14ac:dyDescent="0.2">
      <c r="B1042" s="332"/>
      <c r="C1042" s="112"/>
      <c r="D1042" s="112"/>
      <c r="E1042" s="107"/>
      <c r="F1042" s="108"/>
      <c r="G1042" s="57"/>
      <c r="H1042" s="65"/>
      <c r="I1042" s="69"/>
      <c r="J1042" s="64" t="str">
        <f t="shared" si="163"/>
        <v/>
      </c>
      <c r="K1042" s="64" t="str">
        <f t="shared" si="164"/>
        <v/>
      </c>
    </row>
    <row r="1043" spans="1:11" ht="17.25" x14ac:dyDescent="0.2">
      <c r="B1043" s="332"/>
      <c r="C1043" s="112"/>
      <c r="D1043" s="112"/>
      <c r="E1043" s="107"/>
      <c r="F1043" s="108"/>
      <c r="G1043" s="57"/>
      <c r="H1043" s="65"/>
      <c r="I1043" s="69"/>
      <c r="J1043" s="64" t="str">
        <f t="shared" si="163"/>
        <v/>
      </c>
      <c r="K1043" s="64" t="str">
        <f t="shared" si="164"/>
        <v/>
      </c>
    </row>
    <row r="1044" spans="1:11" ht="17.25" x14ac:dyDescent="0.2">
      <c r="B1044" s="332"/>
      <c r="C1044" s="112"/>
      <c r="D1044" s="112"/>
      <c r="E1044" s="107"/>
      <c r="F1044" s="108"/>
      <c r="G1044" s="57"/>
      <c r="H1044" s="65"/>
      <c r="I1044" s="69"/>
      <c r="J1044" s="64" t="str">
        <f t="shared" si="163"/>
        <v/>
      </c>
      <c r="K1044" s="64" t="str">
        <f t="shared" si="164"/>
        <v/>
      </c>
    </row>
    <row r="1045" spans="1:11" ht="17.25" x14ac:dyDescent="0.2">
      <c r="B1045" s="332"/>
      <c r="C1045" s="112"/>
      <c r="D1045" s="112"/>
      <c r="E1045" s="107"/>
      <c r="F1045" s="108"/>
      <c r="G1045" s="57"/>
      <c r="H1045" s="65"/>
      <c r="I1045" s="69"/>
      <c r="J1045" s="64" t="str">
        <f t="shared" si="163"/>
        <v/>
      </c>
      <c r="K1045" s="64" t="str">
        <f t="shared" si="164"/>
        <v/>
      </c>
    </row>
    <row r="1046" spans="1:11" ht="17.25" x14ac:dyDescent="0.2">
      <c r="B1046" s="332"/>
      <c r="C1046" s="112"/>
      <c r="D1046" s="112"/>
      <c r="E1046" s="107"/>
      <c r="F1046" s="108"/>
      <c r="G1046" s="57"/>
      <c r="H1046" s="65"/>
      <c r="I1046" s="69"/>
      <c r="J1046" s="64" t="str">
        <f t="shared" si="163"/>
        <v/>
      </c>
      <c r="K1046" s="64" t="str">
        <f t="shared" si="164"/>
        <v/>
      </c>
    </row>
    <row r="1047" spans="1:11" ht="18" customHeight="1" x14ac:dyDescent="0.2">
      <c r="B1047" s="561" t="s">
        <v>22</v>
      </c>
      <c r="C1047" s="561" t="s">
        <v>177</v>
      </c>
      <c r="D1047" s="561" t="s">
        <v>243</v>
      </c>
      <c r="E1047" s="561" t="s">
        <v>23</v>
      </c>
      <c r="F1047" s="562" t="s">
        <v>234</v>
      </c>
      <c r="G1047" s="562"/>
      <c r="H1047" s="562"/>
      <c r="I1047" s="562"/>
      <c r="J1047" s="562"/>
      <c r="K1047" s="562"/>
    </row>
    <row r="1048" spans="1:11" ht="21" x14ac:dyDescent="0.2">
      <c r="A1048" s="114" t="s">
        <v>1068</v>
      </c>
      <c r="B1048" s="432" t="s">
        <v>2695</v>
      </c>
      <c r="C1048" s="115" t="s">
        <v>2515</v>
      </c>
      <c r="D1048" s="114" t="s">
        <v>574</v>
      </c>
      <c r="E1048" s="329" t="str">
        <f>IF($O$58="","",$O$58)</f>
        <v>Miraporanga - Lote 2</v>
      </c>
      <c r="F1048" s="563">
        <f>IF(B1048="","",VLOOKUP(E1048,$O$2:$T$120,6,0))</f>
        <v>89930</v>
      </c>
      <c r="G1048" s="564"/>
      <c r="H1048" s="564"/>
      <c r="I1048" s="564"/>
      <c r="J1048" s="564"/>
      <c r="K1048" s="565"/>
    </row>
    <row r="1049" spans="1:11" ht="43.5" x14ac:dyDescent="0.2">
      <c r="A1049" s="166" t="s">
        <v>779</v>
      </c>
      <c r="B1049" s="116" t="s">
        <v>0</v>
      </c>
      <c r="C1049" s="116" t="s">
        <v>20</v>
      </c>
      <c r="D1049" s="116" t="s">
        <v>21</v>
      </c>
      <c r="E1049" s="116" t="s">
        <v>1</v>
      </c>
      <c r="F1049" s="117" t="s">
        <v>3</v>
      </c>
      <c r="G1049" s="116" t="s">
        <v>216</v>
      </c>
      <c r="H1049" s="180" t="s">
        <v>242</v>
      </c>
      <c r="I1049" s="116" t="s">
        <v>245</v>
      </c>
      <c r="J1049" s="116" t="s">
        <v>217</v>
      </c>
      <c r="K1049" s="116" t="s">
        <v>218</v>
      </c>
    </row>
    <row r="1050" spans="1:11" ht="17.25" x14ac:dyDescent="0.2">
      <c r="B1050" s="405" t="s">
        <v>1564</v>
      </c>
      <c r="C1050" s="97" t="s">
        <v>1547</v>
      </c>
      <c r="D1050" s="97" t="s">
        <v>1549</v>
      </c>
      <c r="E1050" s="107" t="s">
        <v>56</v>
      </c>
      <c r="F1050" s="333">
        <v>17.5</v>
      </c>
      <c r="G1050" s="335">
        <v>16</v>
      </c>
      <c r="H1050" s="65">
        <v>4</v>
      </c>
      <c r="I1050" s="69">
        <f>IF(G1050="","",SUM(G1050:H1050))</f>
        <v>20</v>
      </c>
      <c r="J1050" s="64">
        <f>IF(G1050="","",ROUNDUP(G1050*0.65,0))</f>
        <v>11</v>
      </c>
      <c r="K1050" s="64">
        <f>IF(G1050="","",ROUNDUP(G1050*0.55,0))</f>
        <v>9</v>
      </c>
    </row>
    <row r="1051" spans="1:11" ht="17.25" x14ac:dyDescent="0.2">
      <c r="B1051" s="405" t="s">
        <v>1565</v>
      </c>
      <c r="C1051" s="97" t="s">
        <v>1547</v>
      </c>
      <c r="D1051" s="97" t="s">
        <v>1549</v>
      </c>
      <c r="E1051" s="107" t="s">
        <v>55</v>
      </c>
      <c r="F1051" s="333">
        <v>14</v>
      </c>
      <c r="G1051" s="335">
        <v>12</v>
      </c>
      <c r="H1051" s="65">
        <v>3</v>
      </c>
      <c r="I1051" s="69">
        <f t="shared" ref="I1051:I1061" si="165">IF(G1051="","",SUM(G1051:H1051))</f>
        <v>15</v>
      </c>
      <c r="J1051" s="64">
        <f t="shared" ref="J1051:J1065" si="166">IF(G1051="","",ROUNDUP(G1051*0.65,0))</f>
        <v>8</v>
      </c>
      <c r="K1051" s="64">
        <f t="shared" ref="K1051:K1065" si="167">IF(G1051="","",ROUNDUP(G1051*0.55,0))</f>
        <v>7</v>
      </c>
    </row>
    <row r="1052" spans="1:11" ht="17.25" x14ac:dyDescent="0.2">
      <c r="B1052" s="405" t="s">
        <v>1566</v>
      </c>
      <c r="C1052" s="97" t="s">
        <v>1560</v>
      </c>
      <c r="D1052" s="97" t="s">
        <v>1567</v>
      </c>
      <c r="E1052" s="107" t="s">
        <v>180</v>
      </c>
      <c r="F1052" s="333">
        <v>16.5</v>
      </c>
      <c r="G1052" s="335">
        <v>8</v>
      </c>
      <c r="H1052" s="65">
        <v>2</v>
      </c>
      <c r="I1052" s="69">
        <f t="shared" si="165"/>
        <v>10</v>
      </c>
      <c r="J1052" s="64">
        <f t="shared" si="166"/>
        <v>6</v>
      </c>
      <c r="K1052" s="64">
        <f t="shared" si="167"/>
        <v>5</v>
      </c>
    </row>
    <row r="1053" spans="1:11" ht="17.25" x14ac:dyDescent="0.2">
      <c r="B1053" s="405" t="s">
        <v>1568</v>
      </c>
      <c r="C1053" s="97" t="s">
        <v>1560</v>
      </c>
      <c r="D1053" s="97" t="s">
        <v>1567</v>
      </c>
      <c r="E1053" s="107" t="s">
        <v>180</v>
      </c>
      <c r="F1053" s="333">
        <v>16.5</v>
      </c>
      <c r="G1053" s="335">
        <v>8</v>
      </c>
      <c r="H1053" s="65">
        <v>2</v>
      </c>
      <c r="I1053" s="69">
        <f t="shared" si="165"/>
        <v>10</v>
      </c>
      <c r="J1053" s="64">
        <f t="shared" si="166"/>
        <v>6</v>
      </c>
      <c r="K1053" s="64">
        <f t="shared" si="167"/>
        <v>5</v>
      </c>
    </row>
    <row r="1054" spans="1:11" ht="17.25" x14ac:dyDescent="0.2">
      <c r="B1054" s="405" t="s">
        <v>1569</v>
      </c>
      <c r="C1054" s="97" t="s">
        <v>1570</v>
      </c>
      <c r="D1054" s="97" t="s">
        <v>1571</v>
      </c>
      <c r="E1054" s="107" t="s">
        <v>179</v>
      </c>
      <c r="F1054" s="108">
        <v>9.5</v>
      </c>
      <c r="G1054" s="335">
        <v>12</v>
      </c>
      <c r="H1054" s="65">
        <v>2</v>
      </c>
      <c r="I1054" s="69">
        <f t="shared" si="165"/>
        <v>14</v>
      </c>
      <c r="J1054" s="64">
        <f t="shared" si="166"/>
        <v>8</v>
      </c>
      <c r="K1054" s="64">
        <f t="shared" si="167"/>
        <v>7</v>
      </c>
    </row>
    <row r="1055" spans="1:11" ht="17.25" x14ac:dyDescent="0.2">
      <c r="B1055" s="405" t="s">
        <v>1572</v>
      </c>
      <c r="C1055" s="97" t="s">
        <v>1573</v>
      </c>
      <c r="D1055" s="97" t="s">
        <v>1574</v>
      </c>
      <c r="E1055" s="107" t="s">
        <v>179</v>
      </c>
      <c r="F1055" s="108">
        <v>9.5</v>
      </c>
      <c r="G1055" s="335">
        <v>2</v>
      </c>
      <c r="H1055" s="65">
        <v>1</v>
      </c>
      <c r="I1055" s="69">
        <f t="shared" si="165"/>
        <v>3</v>
      </c>
      <c r="J1055" s="64">
        <f t="shared" si="166"/>
        <v>2</v>
      </c>
      <c r="K1055" s="64">
        <f t="shared" si="167"/>
        <v>2</v>
      </c>
    </row>
    <row r="1056" spans="1:11" ht="17.25" x14ac:dyDescent="0.2">
      <c r="B1056" s="405" t="s">
        <v>1575</v>
      </c>
      <c r="C1056" s="97" t="s">
        <v>1576</v>
      </c>
      <c r="D1056" s="97" t="s">
        <v>1577</v>
      </c>
      <c r="E1056" s="107" t="s">
        <v>179</v>
      </c>
      <c r="F1056" s="108">
        <v>9.5</v>
      </c>
      <c r="G1056" s="335">
        <v>4</v>
      </c>
      <c r="H1056" s="65">
        <v>1</v>
      </c>
      <c r="I1056" s="69">
        <f t="shared" si="165"/>
        <v>5</v>
      </c>
      <c r="J1056" s="64">
        <f t="shared" si="166"/>
        <v>3</v>
      </c>
      <c r="K1056" s="64">
        <f t="shared" si="167"/>
        <v>3</v>
      </c>
    </row>
    <row r="1057" spans="1:11" ht="17.25" x14ac:dyDescent="0.2">
      <c r="B1057" s="405" t="s">
        <v>1578</v>
      </c>
      <c r="C1057" s="97" t="s">
        <v>1579</v>
      </c>
      <c r="D1057" s="97" t="s">
        <v>1580</v>
      </c>
      <c r="E1057" s="107" t="s">
        <v>179</v>
      </c>
      <c r="F1057" s="108">
        <v>9.5</v>
      </c>
      <c r="G1057" s="335">
        <v>2</v>
      </c>
      <c r="H1057" s="65">
        <v>1</v>
      </c>
      <c r="I1057" s="69">
        <f t="shared" si="165"/>
        <v>3</v>
      </c>
      <c r="J1057" s="64">
        <f t="shared" si="166"/>
        <v>2</v>
      </c>
      <c r="K1057" s="64">
        <f t="shared" si="167"/>
        <v>2</v>
      </c>
    </row>
    <row r="1058" spans="1:11" ht="17.25" x14ac:dyDescent="0.2">
      <c r="B1058" s="405" t="s">
        <v>1581</v>
      </c>
      <c r="C1058" s="97" t="s">
        <v>1582</v>
      </c>
      <c r="D1058" s="97" t="s">
        <v>1583</v>
      </c>
      <c r="E1058" s="107" t="s">
        <v>55</v>
      </c>
      <c r="F1058" s="333">
        <v>14</v>
      </c>
      <c r="G1058" s="335">
        <v>14</v>
      </c>
      <c r="H1058" s="65">
        <v>4</v>
      </c>
      <c r="I1058" s="69">
        <f t="shared" si="165"/>
        <v>18</v>
      </c>
      <c r="J1058" s="64">
        <f t="shared" si="166"/>
        <v>10</v>
      </c>
      <c r="K1058" s="64">
        <f t="shared" si="167"/>
        <v>8</v>
      </c>
    </row>
    <row r="1059" spans="1:11" ht="17.25" x14ac:dyDescent="0.2">
      <c r="B1059" s="405" t="s">
        <v>1584</v>
      </c>
      <c r="C1059" s="97" t="s">
        <v>1582</v>
      </c>
      <c r="D1059" s="97" t="s">
        <v>1585</v>
      </c>
      <c r="E1059" s="107" t="s">
        <v>55</v>
      </c>
      <c r="F1059" s="333">
        <v>14</v>
      </c>
      <c r="G1059" s="335">
        <v>14</v>
      </c>
      <c r="H1059" s="65">
        <v>3</v>
      </c>
      <c r="I1059" s="69">
        <f t="shared" si="165"/>
        <v>17</v>
      </c>
      <c r="J1059" s="64">
        <f t="shared" si="166"/>
        <v>10</v>
      </c>
      <c r="K1059" s="64">
        <f t="shared" si="167"/>
        <v>8</v>
      </c>
    </row>
    <row r="1060" spans="1:11" ht="17.25" x14ac:dyDescent="0.2">
      <c r="B1060" s="405" t="s">
        <v>1586</v>
      </c>
      <c r="C1060" s="97" t="s">
        <v>1546</v>
      </c>
      <c r="D1060" s="97" t="s">
        <v>1587</v>
      </c>
      <c r="E1060" s="107" t="s">
        <v>180</v>
      </c>
      <c r="F1060" s="333">
        <v>16.5</v>
      </c>
      <c r="G1060" s="335">
        <v>12</v>
      </c>
      <c r="H1060" s="65">
        <v>3</v>
      </c>
      <c r="I1060" s="69">
        <f t="shared" si="165"/>
        <v>15</v>
      </c>
      <c r="J1060" s="64">
        <f t="shared" si="166"/>
        <v>8</v>
      </c>
      <c r="K1060" s="64">
        <f t="shared" si="167"/>
        <v>7</v>
      </c>
    </row>
    <row r="1061" spans="1:11" ht="17.25" x14ac:dyDescent="0.2">
      <c r="B1061" s="405" t="s">
        <v>1588</v>
      </c>
      <c r="C1061" s="97" t="s">
        <v>1546</v>
      </c>
      <c r="D1061" s="97" t="s">
        <v>1589</v>
      </c>
      <c r="E1061" s="107" t="s">
        <v>56</v>
      </c>
      <c r="F1061" s="333">
        <v>17.5</v>
      </c>
      <c r="G1061" s="335">
        <v>12</v>
      </c>
      <c r="H1061" s="65">
        <v>3</v>
      </c>
      <c r="I1061" s="69">
        <f t="shared" si="165"/>
        <v>15</v>
      </c>
      <c r="J1061" s="64">
        <f t="shared" si="166"/>
        <v>8</v>
      </c>
      <c r="K1061" s="64">
        <f t="shared" si="167"/>
        <v>7</v>
      </c>
    </row>
    <row r="1062" spans="1:11" ht="17.25" x14ac:dyDescent="0.2">
      <c r="B1062" s="336"/>
      <c r="C1062" s="99"/>
      <c r="D1062" s="99"/>
      <c r="E1062" s="107"/>
      <c r="F1062" s="108"/>
      <c r="G1062" s="57"/>
      <c r="H1062" s="65"/>
      <c r="I1062" s="69"/>
      <c r="J1062" s="64" t="str">
        <f t="shared" si="166"/>
        <v/>
      </c>
      <c r="K1062" s="64" t="str">
        <f t="shared" si="167"/>
        <v/>
      </c>
    </row>
    <row r="1063" spans="1:11" ht="17.25" x14ac:dyDescent="0.2">
      <c r="B1063" s="336"/>
      <c r="C1063" s="99"/>
      <c r="D1063" s="99"/>
      <c r="E1063" s="107"/>
      <c r="F1063" s="108"/>
      <c r="G1063" s="57"/>
      <c r="H1063" s="65"/>
      <c r="I1063" s="69"/>
      <c r="J1063" s="64" t="str">
        <f t="shared" si="166"/>
        <v/>
      </c>
      <c r="K1063" s="64" t="str">
        <f t="shared" si="167"/>
        <v/>
      </c>
    </row>
    <row r="1064" spans="1:11" ht="17.25" x14ac:dyDescent="0.2">
      <c r="B1064" s="336"/>
      <c r="C1064" s="99"/>
      <c r="D1064" s="99"/>
      <c r="E1064" s="107"/>
      <c r="F1064" s="108"/>
      <c r="G1064" s="57"/>
      <c r="H1064" s="65"/>
      <c r="I1064" s="69"/>
      <c r="J1064" s="64" t="str">
        <f t="shared" si="166"/>
        <v/>
      </c>
      <c r="K1064" s="64" t="str">
        <f t="shared" si="167"/>
        <v/>
      </c>
    </row>
    <row r="1065" spans="1:11" ht="17.25" x14ac:dyDescent="0.2">
      <c r="B1065" s="336"/>
      <c r="C1065" s="99"/>
      <c r="D1065" s="99"/>
      <c r="E1065" s="107"/>
      <c r="F1065" s="108"/>
      <c r="G1065" s="57"/>
      <c r="H1065" s="65"/>
      <c r="I1065" s="69"/>
      <c r="J1065" s="64" t="str">
        <f t="shared" si="166"/>
        <v/>
      </c>
      <c r="K1065" s="64" t="str">
        <f t="shared" si="167"/>
        <v/>
      </c>
    </row>
    <row r="1066" spans="1:11" ht="18" customHeight="1" x14ac:dyDescent="0.2">
      <c r="B1066" s="561" t="s">
        <v>22</v>
      </c>
      <c r="C1066" s="561" t="s">
        <v>177</v>
      </c>
      <c r="D1066" s="561" t="s">
        <v>243</v>
      </c>
      <c r="E1066" s="561" t="s">
        <v>23</v>
      </c>
      <c r="F1066" s="562" t="s">
        <v>234</v>
      </c>
      <c r="G1066" s="562"/>
      <c r="H1066" s="562"/>
      <c r="I1066" s="562"/>
      <c r="J1066" s="562"/>
      <c r="K1066" s="562"/>
    </row>
    <row r="1067" spans="1:11" ht="21" x14ac:dyDescent="0.2">
      <c r="A1067" s="114" t="s">
        <v>1069</v>
      </c>
      <c r="B1067" s="432" t="s">
        <v>2636</v>
      </c>
      <c r="C1067" s="115" t="s">
        <v>573</v>
      </c>
      <c r="D1067" s="114" t="s">
        <v>574</v>
      </c>
      <c r="E1067" s="329" t="str">
        <f>IF($O$59="","",$O$59)</f>
        <v>Miraporanga - Lote 3</v>
      </c>
      <c r="F1067" s="563">
        <f>IF(B1067="","",VLOOKUP(E1067,$O$2:$T$120,6,0))</f>
        <v>55818</v>
      </c>
      <c r="G1067" s="564"/>
      <c r="H1067" s="564"/>
      <c r="I1067" s="564"/>
      <c r="J1067" s="564"/>
      <c r="K1067" s="565"/>
    </row>
    <row r="1068" spans="1:11" ht="43.5" x14ac:dyDescent="0.2">
      <c r="A1068" s="166" t="s">
        <v>779</v>
      </c>
      <c r="B1068" s="116" t="s">
        <v>0</v>
      </c>
      <c r="C1068" s="116" t="s">
        <v>20</v>
      </c>
      <c r="D1068" s="116" t="s">
        <v>21</v>
      </c>
      <c r="E1068" s="116" t="s">
        <v>1</v>
      </c>
      <c r="F1068" s="117" t="s">
        <v>3</v>
      </c>
      <c r="G1068" s="116" t="s">
        <v>216</v>
      </c>
      <c r="H1068" s="180" t="s">
        <v>242</v>
      </c>
      <c r="I1068" s="116" t="s">
        <v>245</v>
      </c>
      <c r="J1068" s="116" t="s">
        <v>217</v>
      </c>
      <c r="K1068" s="116" t="s">
        <v>218</v>
      </c>
    </row>
    <row r="1069" spans="1:11" ht="17.25" x14ac:dyDescent="0.2">
      <c r="B1069" s="406" t="s">
        <v>1590</v>
      </c>
      <c r="C1069" s="97" t="s">
        <v>1591</v>
      </c>
      <c r="D1069" s="97" t="s">
        <v>1553</v>
      </c>
      <c r="E1069" s="107" t="s">
        <v>265</v>
      </c>
      <c r="F1069" s="108">
        <v>12.5</v>
      </c>
      <c r="G1069" s="335">
        <v>8</v>
      </c>
      <c r="H1069" s="65">
        <v>4</v>
      </c>
      <c r="I1069" s="69">
        <f>IF(G1069="","",SUM(G1069:H1069))</f>
        <v>12</v>
      </c>
      <c r="J1069" s="64">
        <f>IF(G1069="","",ROUNDUP(G1069*0.65,0))</f>
        <v>6</v>
      </c>
      <c r="K1069" s="64">
        <f>IF(G1069="","",ROUNDUP(G1069*0.55,0))</f>
        <v>5</v>
      </c>
    </row>
    <row r="1070" spans="1:11" ht="17.25" x14ac:dyDescent="0.2">
      <c r="B1070" s="406" t="s">
        <v>1592</v>
      </c>
      <c r="C1070" s="97" t="s">
        <v>1591</v>
      </c>
      <c r="D1070" s="97" t="s">
        <v>1593</v>
      </c>
      <c r="E1070" s="107" t="s">
        <v>265</v>
      </c>
      <c r="F1070" s="108">
        <v>12.5</v>
      </c>
      <c r="G1070" s="335">
        <v>6</v>
      </c>
      <c r="H1070" s="65">
        <v>2</v>
      </c>
      <c r="I1070" s="69">
        <f t="shared" ref="I1070:I1078" si="168">IF(G1070="","",SUM(G1070:H1070))</f>
        <v>8</v>
      </c>
      <c r="J1070" s="64">
        <f t="shared" ref="J1070:J1084" si="169">IF(G1070="","",ROUNDUP(G1070*0.65,0))</f>
        <v>4</v>
      </c>
      <c r="K1070" s="64">
        <f t="shared" ref="K1070:K1084" si="170">IF(G1070="","",ROUNDUP(G1070*0.55,0))</f>
        <v>4</v>
      </c>
    </row>
    <row r="1071" spans="1:11" ht="17.25" x14ac:dyDescent="0.2">
      <c r="B1071" s="406" t="s">
        <v>1594</v>
      </c>
      <c r="C1071" s="97" t="s">
        <v>1553</v>
      </c>
      <c r="D1071" s="97" t="s">
        <v>1595</v>
      </c>
      <c r="E1071" s="107" t="s">
        <v>55</v>
      </c>
      <c r="F1071" s="333">
        <v>14</v>
      </c>
      <c r="G1071" s="335">
        <v>10</v>
      </c>
      <c r="H1071" s="65">
        <v>1</v>
      </c>
      <c r="I1071" s="69">
        <f t="shared" si="168"/>
        <v>11</v>
      </c>
      <c r="J1071" s="64">
        <f t="shared" si="169"/>
        <v>7</v>
      </c>
      <c r="K1071" s="64">
        <f t="shared" si="170"/>
        <v>6</v>
      </c>
    </row>
    <row r="1072" spans="1:11" ht="17.25" x14ac:dyDescent="0.2">
      <c r="B1072" s="406" t="s">
        <v>1596</v>
      </c>
      <c r="C1072" s="97" t="s">
        <v>1591</v>
      </c>
      <c r="D1072" s="97" t="s">
        <v>1595</v>
      </c>
      <c r="E1072" s="107" t="s">
        <v>55</v>
      </c>
      <c r="F1072" s="333">
        <v>14</v>
      </c>
      <c r="G1072" s="335">
        <v>6</v>
      </c>
      <c r="H1072" s="65">
        <v>1</v>
      </c>
      <c r="I1072" s="69">
        <f t="shared" si="168"/>
        <v>7</v>
      </c>
      <c r="J1072" s="64">
        <f t="shared" si="169"/>
        <v>4</v>
      </c>
      <c r="K1072" s="64">
        <f t="shared" si="170"/>
        <v>4</v>
      </c>
    </row>
    <row r="1073" spans="1:11" ht="17.25" x14ac:dyDescent="0.2">
      <c r="B1073" s="406" t="s">
        <v>1597</v>
      </c>
      <c r="C1073" s="97" t="s">
        <v>1553</v>
      </c>
      <c r="D1073" s="97" t="s">
        <v>1598</v>
      </c>
      <c r="E1073" s="107" t="s">
        <v>55</v>
      </c>
      <c r="F1073" s="333">
        <v>14</v>
      </c>
      <c r="G1073" s="335">
        <v>10</v>
      </c>
      <c r="H1073" s="65">
        <v>2</v>
      </c>
      <c r="I1073" s="69">
        <f t="shared" si="168"/>
        <v>12</v>
      </c>
      <c r="J1073" s="64">
        <f t="shared" si="169"/>
        <v>7</v>
      </c>
      <c r="K1073" s="64">
        <f t="shared" si="170"/>
        <v>6</v>
      </c>
    </row>
    <row r="1074" spans="1:11" ht="17.25" x14ac:dyDescent="0.2">
      <c r="B1074" s="406" t="s">
        <v>1599</v>
      </c>
      <c r="C1074" s="97" t="s">
        <v>1600</v>
      </c>
      <c r="D1074" s="97" t="s">
        <v>1601</v>
      </c>
      <c r="E1074" s="107" t="s">
        <v>179</v>
      </c>
      <c r="F1074" s="108">
        <v>9.5</v>
      </c>
      <c r="G1074" s="335">
        <v>4</v>
      </c>
      <c r="H1074" s="65">
        <v>1</v>
      </c>
      <c r="I1074" s="69">
        <f t="shared" si="168"/>
        <v>5</v>
      </c>
      <c r="J1074" s="64">
        <f t="shared" si="169"/>
        <v>3</v>
      </c>
      <c r="K1074" s="64">
        <f t="shared" si="170"/>
        <v>3</v>
      </c>
    </row>
    <row r="1075" spans="1:11" ht="17.25" x14ac:dyDescent="0.2">
      <c r="B1075" s="406" t="s">
        <v>1602</v>
      </c>
      <c r="C1075" s="97" t="s">
        <v>1600</v>
      </c>
      <c r="D1075" s="97" t="s">
        <v>1553</v>
      </c>
      <c r="E1075" s="107" t="s">
        <v>179</v>
      </c>
      <c r="F1075" s="108">
        <v>9.5</v>
      </c>
      <c r="G1075" s="335">
        <v>4</v>
      </c>
      <c r="H1075" s="65">
        <v>1</v>
      </c>
      <c r="I1075" s="69">
        <f t="shared" si="168"/>
        <v>5</v>
      </c>
      <c r="J1075" s="64">
        <f t="shared" si="169"/>
        <v>3</v>
      </c>
      <c r="K1075" s="64">
        <f t="shared" si="170"/>
        <v>3</v>
      </c>
    </row>
    <row r="1076" spans="1:11" ht="17.25" x14ac:dyDescent="0.2">
      <c r="B1076" s="406" t="s">
        <v>1603</v>
      </c>
      <c r="C1076" s="97" t="s">
        <v>1591</v>
      </c>
      <c r="D1076" s="97" t="s">
        <v>1604</v>
      </c>
      <c r="E1076" s="107" t="s">
        <v>265</v>
      </c>
      <c r="F1076" s="108">
        <v>12.5</v>
      </c>
      <c r="G1076" s="335">
        <v>8</v>
      </c>
      <c r="H1076" s="65">
        <v>2</v>
      </c>
      <c r="I1076" s="69">
        <f t="shared" si="168"/>
        <v>10</v>
      </c>
      <c r="J1076" s="64">
        <f t="shared" si="169"/>
        <v>6</v>
      </c>
      <c r="K1076" s="64">
        <f t="shared" si="170"/>
        <v>5</v>
      </c>
    </row>
    <row r="1077" spans="1:11" ht="17.25" x14ac:dyDescent="0.2">
      <c r="B1077" s="406" t="s">
        <v>1605</v>
      </c>
      <c r="C1077" s="97" t="s">
        <v>1553</v>
      </c>
      <c r="D1077" s="97" t="s">
        <v>1606</v>
      </c>
      <c r="E1077" s="107" t="s">
        <v>55</v>
      </c>
      <c r="F1077" s="333">
        <v>14</v>
      </c>
      <c r="G1077" s="335">
        <v>8</v>
      </c>
      <c r="H1077" s="65">
        <v>2</v>
      </c>
      <c r="I1077" s="69">
        <f t="shared" si="168"/>
        <v>10</v>
      </c>
      <c r="J1077" s="64">
        <f t="shared" si="169"/>
        <v>6</v>
      </c>
      <c r="K1077" s="64">
        <f t="shared" si="170"/>
        <v>5</v>
      </c>
    </row>
    <row r="1078" spans="1:11" ht="17.25" x14ac:dyDescent="0.2">
      <c r="B1078" s="406" t="s">
        <v>1607</v>
      </c>
      <c r="C1078" s="97" t="s">
        <v>1546</v>
      </c>
      <c r="D1078" s="97" t="s">
        <v>1608</v>
      </c>
      <c r="E1078" s="107" t="s">
        <v>179</v>
      </c>
      <c r="F1078" s="108">
        <v>9.5</v>
      </c>
      <c r="G1078" s="335">
        <v>8</v>
      </c>
      <c r="H1078" s="65">
        <v>2</v>
      </c>
      <c r="I1078" s="69">
        <f t="shared" si="168"/>
        <v>10</v>
      </c>
      <c r="J1078" s="64">
        <f t="shared" si="169"/>
        <v>6</v>
      </c>
      <c r="K1078" s="64">
        <f t="shared" si="170"/>
        <v>5</v>
      </c>
    </row>
    <row r="1079" spans="1:11" ht="17.25" x14ac:dyDescent="0.2">
      <c r="B1079" s="338"/>
      <c r="C1079" s="109"/>
      <c r="D1079" s="109"/>
      <c r="E1079" s="107"/>
      <c r="F1079" s="108"/>
      <c r="G1079" s="64"/>
      <c r="H1079" s="65"/>
      <c r="I1079" s="69"/>
      <c r="J1079" s="64" t="str">
        <f t="shared" si="169"/>
        <v/>
      </c>
      <c r="K1079" s="64" t="str">
        <f t="shared" si="170"/>
        <v/>
      </c>
    </row>
    <row r="1080" spans="1:11" ht="17.25" x14ac:dyDescent="0.2">
      <c r="B1080" s="338"/>
      <c r="C1080" s="109"/>
      <c r="D1080" s="109"/>
      <c r="E1080" s="107"/>
      <c r="F1080" s="108"/>
      <c r="G1080" s="64"/>
      <c r="H1080" s="65"/>
      <c r="I1080" s="69"/>
      <c r="J1080" s="64" t="str">
        <f t="shared" si="169"/>
        <v/>
      </c>
      <c r="K1080" s="64" t="str">
        <f t="shared" si="170"/>
        <v/>
      </c>
    </row>
    <row r="1081" spans="1:11" ht="17.25" x14ac:dyDescent="0.2">
      <c r="B1081" s="338"/>
      <c r="C1081" s="109"/>
      <c r="D1081" s="109"/>
      <c r="E1081" s="107"/>
      <c r="F1081" s="108"/>
      <c r="G1081" s="64"/>
      <c r="H1081" s="65"/>
      <c r="I1081" s="69"/>
      <c r="J1081" s="64" t="str">
        <f t="shared" si="169"/>
        <v/>
      </c>
      <c r="K1081" s="64" t="str">
        <f t="shared" si="170"/>
        <v/>
      </c>
    </row>
    <row r="1082" spans="1:11" ht="17.25" x14ac:dyDescent="0.2">
      <c r="B1082" s="338"/>
      <c r="C1082" s="109"/>
      <c r="D1082" s="109"/>
      <c r="E1082" s="107"/>
      <c r="F1082" s="108"/>
      <c r="G1082" s="64"/>
      <c r="H1082" s="65"/>
      <c r="I1082" s="69"/>
      <c r="J1082" s="64" t="str">
        <f t="shared" si="169"/>
        <v/>
      </c>
      <c r="K1082" s="64" t="str">
        <f t="shared" si="170"/>
        <v/>
      </c>
    </row>
    <row r="1083" spans="1:11" ht="17.25" x14ac:dyDescent="0.2">
      <c r="B1083" s="338"/>
      <c r="C1083" s="109"/>
      <c r="D1083" s="109"/>
      <c r="E1083" s="107"/>
      <c r="F1083" s="108"/>
      <c r="G1083" s="64"/>
      <c r="H1083" s="65"/>
      <c r="I1083" s="69"/>
      <c r="J1083" s="64" t="str">
        <f t="shared" si="169"/>
        <v/>
      </c>
      <c r="K1083" s="64" t="str">
        <f t="shared" si="170"/>
        <v/>
      </c>
    </row>
    <row r="1084" spans="1:11" ht="17.25" x14ac:dyDescent="0.2">
      <c r="B1084" s="338"/>
      <c r="C1084" s="109"/>
      <c r="D1084" s="109"/>
      <c r="E1084" s="107"/>
      <c r="F1084" s="108"/>
      <c r="G1084" s="64"/>
      <c r="H1084" s="65"/>
      <c r="I1084" s="69"/>
      <c r="J1084" s="64" t="str">
        <f t="shared" si="169"/>
        <v/>
      </c>
      <c r="K1084" s="64" t="str">
        <f t="shared" si="170"/>
        <v/>
      </c>
    </row>
    <row r="1085" spans="1:11" ht="18" customHeight="1" x14ac:dyDescent="0.2">
      <c r="B1085" s="561" t="s">
        <v>22</v>
      </c>
      <c r="C1085" s="561" t="s">
        <v>177</v>
      </c>
      <c r="D1085" s="561" t="s">
        <v>243</v>
      </c>
      <c r="E1085" s="561" t="s">
        <v>23</v>
      </c>
      <c r="F1085" s="562" t="s">
        <v>234</v>
      </c>
      <c r="G1085" s="562"/>
      <c r="H1085" s="562"/>
      <c r="I1085" s="562"/>
      <c r="J1085" s="562"/>
      <c r="K1085" s="562"/>
    </row>
    <row r="1086" spans="1:11" ht="21" x14ac:dyDescent="0.2">
      <c r="A1086" s="114" t="s">
        <v>1070</v>
      </c>
      <c r="B1086" s="432" t="s">
        <v>2645</v>
      </c>
      <c r="C1086" s="115" t="s">
        <v>573</v>
      </c>
      <c r="D1086" s="114" t="s">
        <v>574</v>
      </c>
      <c r="E1086" s="329" t="str">
        <f>IF($O$60="","",$O$60)</f>
        <v>Miraporanga - Lote 4</v>
      </c>
      <c r="F1086" s="563">
        <f>IF(B1086="","",VLOOKUP(E1086,$O$2:$T$120,6,0))</f>
        <v>34111</v>
      </c>
      <c r="G1086" s="564"/>
      <c r="H1086" s="564"/>
      <c r="I1086" s="564"/>
      <c r="J1086" s="564"/>
      <c r="K1086" s="565"/>
    </row>
    <row r="1087" spans="1:11" ht="43.5" x14ac:dyDescent="0.2">
      <c r="A1087" s="166" t="s">
        <v>779</v>
      </c>
      <c r="B1087" s="116" t="s">
        <v>0</v>
      </c>
      <c r="C1087" s="116" t="s">
        <v>20</v>
      </c>
      <c r="D1087" s="116" t="s">
        <v>21</v>
      </c>
      <c r="E1087" s="116" t="s">
        <v>1</v>
      </c>
      <c r="F1087" s="117" t="s">
        <v>3</v>
      </c>
      <c r="G1087" s="116" t="s">
        <v>216</v>
      </c>
      <c r="H1087" s="180" t="s">
        <v>242</v>
      </c>
      <c r="I1087" s="116" t="s">
        <v>245</v>
      </c>
      <c r="J1087" s="116" t="s">
        <v>217</v>
      </c>
      <c r="K1087" s="116" t="s">
        <v>218</v>
      </c>
    </row>
    <row r="1088" spans="1:11" ht="17.25" x14ac:dyDescent="0.2">
      <c r="B1088" s="406" t="s">
        <v>1609</v>
      </c>
      <c r="C1088" s="97" t="s">
        <v>1610</v>
      </c>
      <c r="D1088" s="97" t="s">
        <v>1546</v>
      </c>
      <c r="E1088" s="107" t="s">
        <v>265</v>
      </c>
      <c r="F1088" s="108">
        <v>12.5</v>
      </c>
      <c r="G1088" s="335">
        <v>8</v>
      </c>
      <c r="H1088" s="65">
        <v>2</v>
      </c>
      <c r="I1088" s="69">
        <f>IF(G1088="","",SUM(G1088:H1088))</f>
        <v>10</v>
      </c>
      <c r="J1088" s="64">
        <f>IF(G1088="","",ROUNDUP(G1088*0.65,0))</f>
        <v>6</v>
      </c>
      <c r="K1088" s="64">
        <f>IF(G1088="","",ROUNDUP(G1088*0.55,0))</f>
        <v>5</v>
      </c>
    </row>
    <row r="1089" spans="2:11" ht="17.25" x14ac:dyDescent="0.2">
      <c r="B1089" s="406" t="s">
        <v>1611</v>
      </c>
      <c r="C1089" s="97" t="s">
        <v>1551</v>
      </c>
      <c r="D1089" s="97" t="s">
        <v>1612</v>
      </c>
      <c r="E1089" s="107" t="s">
        <v>265</v>
      </c>
      <c r="F1089" s="108">
        <v>12.5</v>
      </c>
      <c r="G1089" s="335">
        <v>6</v>
      </c>
      <c r="H1089" s="65">
        <v>2</v>
      </c>
      <c r="I1089" s="69">
        <f t="shared" ref="I1089:I1098" si="171">IF(G1089="","",SUM(G1089:H1089))</f>
        <v>8</v>
      </c>
      <c r="J1089" s="64">
        <f t="shared" ref="J1089:J1103" si="172">IF(G1089="","",ROUNDUP(G1089*0.65,0))</f>
        <v>4</v>
      </c>
      <c r="K1089" s="64">
        <f t="shared" ref="K1089:K1103" si="173">IF(G1089="","",ROUNDUP(G1089*0.55,0))</f>
        <v>4</v>
      </c>
    </row>
    <row r="1090" spans="2:11" ht="17.25" x14ac:dyDescent="0.2">
      <c r="B1090" s="406" t="s">
        <v>1613</v>
      </c>
      <c r="C1090" s="97" t="s">
        <v>1551</v>
      </c>
      <c r="D1090" s="97" t="s">
        <v>1614</v>
      </c>
      <c r="E1090" s="107" t="s">
        <v>265</v>
      </c>
      <c r="F1090" s="108">
        <v>12.5</v>
      </c>
      <c r="G1090" s="335">
        <v>6</v>
      </c>
      <c r="H1090" s="65">
        <v>2</v>
      </c>
      <c r="I1090" s="69">
        <f t="shared" si="171"/>
        <v>8</v>
      </c>
      <c r="J1090" s="64">
        <f t="shared" si="172"/>
        <v>4</v>
      </c>
      <c r="K1090" s="64">
        <f t="shared" si="173"/>
        <v>4</v>
      </c>
    </row>
    <row r="1091" spans="2:11" ht="17.25" x14ac:dyDescent="0.2">
      <c r="B1091" s="406" t="s">
        <v>1615</v>
      </c>
      <c r="C1091" s="97" t="s">
        <v>1546</v>
      </c>
      <c r="D1091" s="97" t="s">
        <v>1551</v>
      </c>
      <c r="E1091" s="107" t="s">
        <v>265</v>
      </c>
      <c r="F1091" s="108">
        <v>12.5</v>
      </c>
      <c r="G1091" s="335">
        <v>12</v>
      </c>
      <c r="H1091" s="65">
        <v>2</v>
      </c>
      <c r="I1091" s="69">
        <f t="shared" si="171"/>
        <v>14</v>
      </c>
      <c r="J1091" s="64">
        <f t="shared" si="172"/>
        <v>8</v>
      </c>
      <c r="K1091" s="64">
        <f t="shared" si="173"/>
        <v>7</v>
      </c>
    </row>
    <row r="1092" spans="2:11" ht="17.25" x14ac:dyDescent="0.2">
      <c r="B1092" s="406" t="s">
        <v>1616</v>
      </c>
      <c r="C1092" s="97" t="s">
        <v>1617</v>
      </c>
      <c r="D1092" s="97" t="s">
        <v>1551</v>
      </c>
      <c r="E1092" s="107" t="s">
        <v>55</v>
      </c>
      <c r="F1092" s="333">
        <v>14</v>
      </c>
      <c r="G1092" s="335">
        <v>6</v>
      </c>
      <c r="H1092" s="65">
        <v>2</v>
      </c>
      <c r="I1092" s="69">
        <f t="shared" si="171"/>
        <v>8</v>
      </c>
      <c r="J1092" s="64">
        <f t="shared" si="172"/>
        <v>4</v>
      </c>
      <c r="K1092" s="64">
        <f t="shared" si="173"/>
        <v>4</v>
      </c>
    </row>
    <row r="1093" spans="2:11" ht="17.25" x14ac:dyDescent="0.2">
      <c r="B1093" s="406" t="s">
        <v>1618</v>
      </c>
      <c r="C1093" s="97" t="s">
        <v>1619</v>
      </c>
      <c r="D1093" s="97" t="s">
        <v>1551</v>
      </c>
      <c r="E1093" s="107" t="s">
        <v>55</v>
      </c>
      <c r="F1093" s="333">
        <v>14</v>
      </c>
      <c r="G1093" s="335">
        <v>6</v>
      </c>
      <c r="H1093" s="65">
        <v>1</v>
      </c>
      <c r="I1093" s="69">
        <f t="shared" si="171"/>
        <v>7</v>
      </c>
      <c r="J1093" s="64">
        <f t="shared" si="172"/>
        <v>4</v>
      </c>
      <c r="K1093" s="64">
        <f t="shared" si="173"/>
        <v>4</v>
      </c>
    </row>
    <row r="1094" spans="2:11" ht="17.25" x14ac:dyDescent="0.2">
      <c r="B1094" s="339"/>
      <c r="C1094" s="101"/>
      <c r="D1094" s="101"/>
      <c r="E1094" s="107"/>
      <c r="F1094" s="108"/>
      <c r="G1094" s="64"/>
      <c r="H1094" s="65"/>
      <c r="I1094" s="69" t="str">
        <f t="shared" si="171"/>
        <v/>
      </c>
      <c r="J1094" s="64" t="str">
        <f t="shared" si="172"/>
        <v/>
      </c>
      <c r="K1094" s="64" t="str">
        <f t="shared" si="173"/>
        <v/>
      </c>
    </row>
    <row r="1095" spans="2:11" ht="17.25" x14ac:dyDescent="0.2">
      <c r="B1095" s="339"/>
      <c r="C1095" s="101"/>
      <c r="D1095" s="101"/>
      <c r="E1095" s="107"/>
      <c r="F1095" s="108"/>
      <c r="G1095" s="64"/>
      <c r="H1095" s="65"/>
      <c r="I1095" s="69" t="str">
        <f t="shared" si="171"/>
        <v/>
      </c>
      <c r="J1095" s="64" t="str">
        <f t="shared" si="172"/>
        <v/>
      </c>
      <c r="K1095" s="64" t="str">
        <f t="shared" si="173"/>
        <v/>
      </c>
    </row>
    <row r="1096" spans="2:11" ht="17.25" x14ac:dyDescent="0.2">
      <c r="B1096" s="339"/>
      <c r="C1096" s="101"/>
      <c r="D1096" s="101"/>
      <c r="E1096" s="107"/>
      <c r="F1096" s="108"/>
      <c r="G1096" s="64"/>
      <c r="H1096" s="65"/>
      <c r="I1096" s="69" t="str">
        <f t="shared" si="171"/>
        <v/>
      </c>
      <c r="J1096" s="64" t="str">
        <f t="shared" si="172"/>
        <v/>
      </c>
      <c r="K1096" s="64" t="str">
        <f t="shared" si="173"/>
        <v/>
      </c>
    </row>
    <row r="1097" spans="2:11" ht="17.25" x14ac:dyDescent="0.2">
      <c r="B1097" s="339"/>
      <c r="C1097" s="101"/>
      <c r="D1097" s="101"/>
      <c r="E1097" s="107"/>
      <c r="F1097" s="108"/>
      <c r="G1097" s="64"/>
      <c r="H1097" s="65"/>
      <c r="I1097" s="69" t="str">
        <f t="shared" si="171"/>
        <v/>
      </c>
      <c r="J1097" s="64" t="str">
        <f t="shared" si="172"/>
        <v/>
      </c>
      <c r="K1097" s="64" t="str">
        <f t="shared" si="173"/>
        <v/>
      </c>
    </row>
    <row r="1098" spans="2:11" ht="17.25" x14ac:dyDescent="0.2">
      <c r="B1098" s="339"/>
      <c r="C1098" s="101"/>
      <c r="D1098" s="101"/>
      <c r="E1098" s="107"/>
      <c r="F1098" s="108"/>
      <c r="G1098" s="64"/>
      <c r="H1098" s="65"/>
      <c r="I1098" s="69" t="str">
        <f t="shared" si="171"/>
        <v/>
      </c>
      <c r="J1098" s="64" t="str">
        <f t="shared" si="172"/>
        <v/>
      </c>
      <c r="K1098" s="64" t="str">
        <f t="shared" si="173"/>
        <v/>
      </c>
    </row>
    <row r="1099" spans="2:11" ht="17.25" x14ac:dyDescent="0.2">
      <c r="B1099" s="339"/>
      <c r="C1099" s="101"/>
      <c r="D1099" s="101"/>
      <c r="E1099" s="107"/>
      <c r="F1099" s="108"/>
      <c r="G1099" s="64"/>
      <c r="H1099" s="65"/>
      <c r="I1099" s="69"/>
      <c r="J1099" s="64" t="str">
        <f t="shared" si="172"/>
        <v/>
      </c>
      <c r="K1099" s="64" t="str">
        <f t="shared" si="173"/>
        <v/>
      </c>
    </row>
    <row r="1100" spans="2:11" ht="17.25" x14ac:dyDescent="0.2">
      <c r="B1100" s="339"/>
      <c r="C1100" s="101"/>
      <c r="D1100" s="101"/>
      <c r="E1100" s="107"/>
      <c r="F1100" s="108"/>
      <c r="G1100" s="64"/>
      <c r="H1100" s="65"/>
      <c r="I1100" s="69"/>
      <c r="J1100" s="64" t="str">
        <f t="shared" si="172"/>
        <v/>
      </c>
      <c r="K1100" s="64" t="str">
        <f t="shared" si="173"/>
        <v/>
      </c>
    </row>
    <row r="1101" spans="2:11" ht="17.25" x14ac:dyDescent="0.2">
      <c r="B1101" s="339"/>
      <c r="C1101" s="101"/>
      <c r="D1101" s="101"/>
      <c r="E1101" s="107"/>
      <c r="F1101" s="108"/>
      <c r="G1101" s="64"/>
      <c r="H1101" s="65"/>
      <c r="I1101" s="69"/>
      <c r="J1101" s="64" t="str">
        <f t="shared" si="172"/>
        <v/>
      </c>
      <c r="K1101" s="64" t="str">
        <f t="shared" si="173"/>
        <v/>
      </c>
    </row>
    <row r="1102" spans="2:11" ht="17.25" x14ac:dyDescent="0.2">
      <c r="B1102" s="339"/>
      <c r="C1102" s="101"/>
      <c r="D1102" s="101"/>
      <c r="E1102" s="107"/>
      <c r="F1102" s="108"/>
      <c r="G1102" s="64"/>
      <c r="H1102" s="65"/>
      <c r="I1102" s="69"/>
      <c r="J1102" s="64" t="str">
        <f t="shared" si="172"/>
        <v/>
      </c>
      <c r="K1102" s="64" t="str">
        <f t="shared" si="173"/>
        <v/>
      </c>
    </row>
    <row r="1103" spans="2:11" ht="17.25" x14ac:dyDescent="0.2">
      <c r="B1103" s="339"/>
      <c r="C1103" s="101"/>
      <c r="D1103" s="101"/>
      <c r="E1103" s="107"/>
      <c r="F1103" s="108"/>
      <c r="G1103" s="64"/>
      <c r="H1103" s="65"/>
      <c r="I1103" s="69"/>
      <c r="J1103" s="64" t="str">
        <f t="shared" si="172"/>
        <v/>
      </c>
      <c r="K1103" s="64" t="str">
        <f t="shared" si="173"/>
        <v/>
      </c>
    </row>
    <row r="1104" spans="2:11" ht="18" customHeight="1" x14ac:dyDescent="0.2">
      <c r="B1104" s="561" t="s">
        <v>22</v>
      </c>
      <c r="C1104" s="561" t="s">
        <v>177</v>
      </c>
      <c r="D1104" s="561" t="s">
        <v>243</v>
      </c>
      <c r="E1104" s="561" t="s">
        <v>23</v>
      </c>
      <c r="F1104" s="562" t="s">
        <v>234</v>
      </c>
      <c r="G1104" s="562"/>
      <c r="H1104" s="562"/>
      <c r="I1104" s="562"/>
      <c r="J1104" s="562"/>
      <c r="K1104" s="562"/>
    </row>
    <row r="1105" spans="1:11" ht="21" x14ac:dyDescent="0.2">
      <c r="A1105" s="114" t="s">
        <v>1071</v>
      </c>
      <c r="B1105" s="432" t="s">
        <v>2646</v>
      </c>
      <c r="C1105" s="115" t="s">
        <v>573</v>
      </c>
      <c r="D1105" s="114" t="s">
        <v>574</v>
      </c>
      <c r="E1105" s="329" t="str">
        <f>IF($O$61="","",$O$61)</f>
        <v>Miraporanga - Lote 5</v>
      </c>
      <c r="F1105" s="563">
        <f>IF(B1105="","",VLOOKUP(E1105,$O$2:$T$120,6,0))</f>
        <v>37212</v>
      </c>
      <c r="G1105" s="564"/>
      <c r="H1105" s="564"/>
      <c r="I1105" s="564"/>
      <c r="J1105" s="564"/>
      <c r="K1105" s="565"/>
    </row>
    <row r="1106" spans="1:11" ht="43.5" x14ac:dyDescent="0.2">
      <c r="A1106" s="166" t="s">
        <v>779</v>
      </c>
      <c r="B1106" s="116" t="s">
        <v>0</v>
      </c>
      <c r="C1106" s="116" t="s">
        <v>20</v>
      </c>
      <c r="D1106" s="116" t="s">
        <v>21</v>
      </c>
      <c r="E1106" s="116" t="s">
        <v>1</v>
      </c>
      <c r="F1106" s="117" t="s">
        <v>3</v>
      </c>
      <c r="G1106" s="116" t="s">
        <v>216</v>
      </c>
      <c r="H1106" s="180" t="s">
        <v>242</v>
      </c>
      <c r="I1106" s="116" t="s">
        <v>245</v>
      </c>
      <c r="J1106" s="116" t="s">
        <v>217</v>
      </c>
      <c r="K1106" s="116" t="s">
        <v>218</v>
      </c>
    </row>
    <row r="1107" spans="1:11" ht="17.25" x14ac:dyDescent="0.2">
      <c r="B1107" s="406" t="s">
        <v>1620</v>
      </c>
      <c r="C1107" s="97" t="s">
        <v>1621</v>
      </c>
      <c r="D1107" s="97" t="s">
        <v>1546</v>
      </c>
      <c r="E1107" s="107" t="s">
        <v>265</v>
      </c>
      <c r="F1107" s="108">
        <v>12.5</v>
      </c>
      <c r="G1107" s="335">
        <v>8</v>
      </c>
      <c r="H1107" s="65">
        <v>2</v>
      </c>
      <c r="I1107" s="69">
        <f>IF(G1107="","",SUM(G1107:H1107))</f>
        <v>10</v>
      </c>
      <c r="J1107" s="64">
        <f>IF(G1107="","",ROUNDUP(G1107*0.65,0))</f>
        <v>6</v>
      </c>
      <c r="K1107" s="64">
        <f>IF(G1107="","",ROUNDUP(G1107*0.55,0))</f>
        <v>5</v>
      </c>
    </row>
    <row r="1108" spans="1:11" ht="17.25" x14ac:dyDescent="0.2">
      <c r="B1108" s="406" t="s">
        <v>1622</v>
      </c>
      <c r="C1108" s="97" t="s">
        <v>1623</v>
      </c>
      <c r="D1108" s="97" t="s">
        <v>1546</v>
      </c>
      <c r="E1108" s="107" t="s">
        <v>55</v>
      </c>
      <c r="F1108" s="333">
        <v>14</v>
      </c>
      <c r="G1108" s="335">
        <v>8</v>
      </c>
      <c r="H1108" s="65">
        <v>2</v>
      </c>
      <c r="I1108" s="69">
        <f t="shared" ref="I1108:I1113" si="174">IF(G1108="","",SUM(G1108:H1108))</f>
        <v>10</v>
      </c>
      <c r="J1108" s="64">
        <f t="shared" ref="J1108:J1122" si="175">IF(G1108="","",ROUNDUP(G1108*0.65,0))</f>
        <v>6</v>
      </c>
      <c r="K1108" s="64">
        <f t="shared" ref="K1108:K1122" si="176">IF(G1108="","",ROUNDUP(G1108*0.55,0))</f>
        <v>5</v>
      </c>
    </row>
    <row r="1109" spans="1:11" ht="17.25" x14ac:dyDescent="0.2">
      <c r="B1109" s="406" t="s">
        <v>1624</v>
      </c>
      <c r="C1109" s="97" t="s">
        <v>1551</v>
      </c>
      <c r="D1109" s="97" t="s">
        <v>1625</v>
      </c>
      <c r="E1109" s="107" t="s">
        <v>55</v>
      </c>
      <c r="F1109" s="333">
        <v>14</v>
      </c>
      <c r="G1109" s="335">
        <v>6</v>
      </c>
      <c r="H1109" s="65">
        <v>2</v>
      </c>
      <c r="I1109" s="69">
        <f t="shared" si="174"/>
        <v>8</v>
      </c>
      <c r="J1109" s="64">
        <f t="shared" si="175"/>
        <v>4</v>
      </c>
      <c r="K1109" s="64">
        <f t="shared" si="176"/>
        <v>4</v>
      </c>
    </row>
    <row r="1110" spans="1:11" ht="17.25" x14ac:dyDescent="0.2">
      <c r="B1110" s="406" t="s">
        <v>1626</v>
      </c>
      <c r="C1110" s="97" t="s">
        <v>1551</v>
      </c>
      <c r="D1110" s="97" t="s">
        <v>1627</v>
      </c>
      <c r="E1110" s="107" t="s">
        <v>55</v>
      </c>
      <c r="F1110" s="333">
        <v>14</v>
      </c>
      <c r="G1110" s="335">
        <v>16</v>
      </c>
      <c r="H1110" s="65">
        <v>3</v>
      </c>
      <c r="I1110" s="69">
        <f t="shared" si="174"/>
        <v>19</v>
      </c>
      <c r="J1110" s="64">
        <f t="shared" si="175"/>
        <v>11</v>
      </c>
      <c r="K1110" s="64">
        <f t="shared" si="176"/>
        <v>9</v>
      </c>
    </row>
    <row r="1111" spans="1:11" ht="17.25" x14ac:dyDescent="0.2">
      <c r="B1111" s="406" t="s">
        <v>1628</v>
      </c>
      <c r="C1111" s="97" t="s">
        <v>1551</v>
      </c>
      <c r="D1111" s="97" t="s">
        <v>1629</v>
      </c>
      <c r="E1111" s="107" t="s">
        <v>55</v>
      </c>
      <c r="F1111" s="333">
        <v>14</v>
      </c>
      <c r="G1111" s="335">
        <v>10</v>
      </c>
      <c r="H1111" s="65">
        <v>3</v>
      </c>
      <c r="I1111" s="69">
        <f t="shared" si="174"/>
        <v>13</v>
      </c>
      <c r="J1111" s="64">
        <f t="shared" si="175"/>
        <v>7</v>
      </c>
      <c r="K1111" s="64">
        <f t="shared" si="176"/>
        <v>6</v>
      </c>
    </row>
    <row r="1112" spans="1:11" ht="17.25" x14ac:dyDescent="0.2">
      <c r="B1112" s="340"/>
      <c r="C1112" s="100"/>
      <c r="D1112" s="100"/>
      <c r="E1112" s="107"/>
      <c r="F1112" s="108"/>
      <c r="G1112" s="57"/>
      <c r="H1112" s="65"/>
      <c r="I1112" s="69" t="str">
        <f t="shared" si="174"/>
        <v/>
      </c>
      <c r="J1112" s="64" t="str">
        <f t="shared" si="175"/>
        <v/>
      </c>
      <c r="K1112" s="64" t="str">
        <f t="shared" si="176"/>
        <v/>
      </c>
    </row>
    <row r="1113" spans="1:11" ht="17.25" x14ac:dyDescent="0.2">
      <c r="B1113" s="340"/>
      <c r="C1113" s="100"/>
      <c r="D1113" s="100"/>
      <c r="E1113" s="107"/>
      <c r="F1113" s="108"/>
      <c r="G1113" s="57"/>
      <c r="H1113" s="65"/>
      <c r="I1113" s="69" t="str">
        <f t="shared" si="174"/>
        <v/>
      </c>
      <c r="J1113" s="64" t="str">
        <f t="shared" si="175"/>
        <v/>
      </c>
      <c r="K1113" s="64" t="str">
        <f t="shared" si="176"/>
        <v/>
      </c>
    </row>
    <row r="1114" spans="1:11" ht="17.25" x14ac:dyDescent="0.2">
      <c r="B1114" s="340"/>
      <c r="C1114" s="100"/>
      <c r="D1114" s="100"/>
      <c r="E1114" s="107"/>
      <c r="F1114" s="108"/>
      <c r="G1114" s="57"/>
      <c r="H1114" s="65"/>
      <c r="I1114" s="69"/>
      <c r="J1114" s="64" t="str">
        <f t="shared" si="175"/>
        <v/>
      </c>
      <c r="K1114" s="64" t="str">
        <f t="shared" si="176"/>
        <v/>
      </c>
    </row>
    <row r="1115" spans="1:11" ht="17.25" x14ac:dyDescent="0.2">
      <c r="B1115" s="340"/>
      <c r="C1115" s="100"/>
      <c r="D1115" s="100"/>
      <c r="E1115" s="107"/>
      <c r="F1115" s="108"/>
      <c r="G1115" s="57"/>
      <c r="H1115" s="65"/>
      <c r="I1115" s="69"/>
      <c r="J1115" s="64" t="str">
        <f t="shared" si="175"/>
        <v/>
      </c>
      <c r="K1115" s="64" t="str">
        <f t="shared" si="176"/>
        <v/>
      </c>
    </row>
    <row r="1116" spans="1:11" ht="17.25" x14ac:dyDescent="0.2">
      <c r="B1116" s="340"/>
      <c r="C1116" s="100"/>
      <c r="D1116" s="100"/>
      <c r="E1116" s="107"/>
      <c r="F1116" s="108"/>
      <c r="G1116" s="57"/>
      <c r="H1116" s="65"/>
      <c r="I1116" s="69"/>
      <c r="J1116" s="64" t="str">
        <f t="shared" si="175"/>
        <v/>
      </c>
      <c r="K1116" s="64" t="str">
        <f t="shared" si="176"/>
        <v/>
      </c>
    </row>
    <row r="1117" spans="1:11" ht="17.25" x14ac:dyDescent="0.2">
      <c r="B1117" s="340"/>
      <c r="C1117" s="100"/>
      <c r="D1117" s="100"/>
      <c r="E1117" s="107"/>
      <c r="F1117" s="108"/>
      <c r="G1117" s="57"/>
      <c r="H1117" s="65"/>
      <c r="I1117" s="69"/>
      <c r="J1117" s="64" t="str">
        <f t="shared" si="175"/>
        <v/>
      </c>
      <c r="K1117" s="64" t="str">
        <f t="shared" si="176"/>
        <v/>
      </c>
    </row>
    <row r="1118" spans="1:11" ht="17.25" x14ac:dyDescent="0.2">
      <c r="B1118" s="340"/>
      <c r="C1118" s="100"/>
      <c r="D1118" s="100"/>
      <c r="E1118" s="107"/>
      <c r="F1118" s="108"/>
      <c r="G1118" s="57"/>
      <c r="H1118" s="65"/>
      <c r="I1118" s="69"/>
      <c r="J1118" s="64" t="str">
        <f t="shared" si="175"/>
        <v/>
      </c>
      <c r="K1118" s="64" t="str">
        <f t="shared" si="176"/>
        <v/>
      </c>
    </row>
    <row r="1119" spans="1:11" ht="17.25" x14ac:dyDescent="0.2">
      <c r="B1119" s="340"/>
      <c r="C1119" s="100"/>
      <c r="D1119" s="100"/>
      <c r="E1119" s="107"/>
      <c r="F1119" s="108"/>
      <c r="G1119" s="57"/>
      <c r="H1119" s="65"/>
      <c r="I1119" s="69"/>
      <c r="J1119" s="64" t="str">
        <f t="shared" si="175"/>
        <v/>
      </c>
      <c r="K1119" s="64" t="str">
        <f t="shared" si="176"/>
        <v/>
      </c>
    </row>
    <row r="1120" spans="1:11" ht="17.25" x14ac:dyDescent="0.2">
      <c r="B1120" s="340"/>
      <c r="C1120" s="100"/>
      <c r="D1120" s="100"/>
      <c r="E1120" s="107"/>
      <c r="F1120" s="108"/>
      <c r="G1120" s="57"/>
      <c r="H1120" s="65"/>
      <c r="I1120" s="69"/>
      <c r="J1120" s="64" t="str">
        <f t="shared" si="175"/>
        <v/>
      </c>
      <c r="K1120" s="64" t="str">
        <f t="shared" si="176"/>
        <v/>
      </c>
    </row>
    <row r="1121" spans="1:11" ht="17.25" x14ac:dyDescent="0.2">
      <c r="B1121" s="340"/>
      <c r="C1121" s="100"/>
      <c r="D1121" s="100"/>
      <c r="E1121" s="107"/>
      <c r="F1121" s="108"/>
      <c r="G1121" s="57"/>
      <c r="H1121" s="65"/>
      <c r="I1121" s="69"/>
      <c r="J1121" s="64" t="str">
        <f t="shared" si="175"/>
        <v/>
      </c>
      <c r="K1121" s="64" t="str">
        <f t="shared" si="176"/>
        <v/>
      </c>
    </row>
    <row r="1122" spans="1:11" ht="17.25" x14ac:dyDescent="0.2">
      <c r="B1122" s="340"/>
      <c r="C1122" s="100"/>
      <c r="D1122" s="100"/>
      <c r="E1122" s="107"/>
      <c r="F1122" s="108"/>
      <c r="G1122" s="57"/>
      <c r="H1122" s="65"/>
      <c r="I1122" s="69"/>
      <c r="J1122" s="64" t="str">
        <f t="shared" si="175"/>
        <v/>
      </c>
      <c r="K1122" s="64" t="str">
        <f t="shared" si="176"/>
        <v/>
      </c>
    </row>
    <row r="1123" spans="1:11" ht="18" customHeight="1" x14ac:dyDescent="0.2">
      <c r="B1123" s="561" t="s">
        <v>22</v>
      </c>
      <c r="C1123" s="561" t="s">
        <v>177</v>
      </c>
      <c r="D1123" s="561" t="s">
        <v>243</v>
      </c>
      <c r="E1123" s="561" t="s">
        <v>23</v>
      </c>
      <c r="F1123" s="562" t="s">
        <v>234</v>
      </c>
      <c r="G1123" s="562"/>
      <c r="H1123" s="562"/>
      <c r="I1123" s="562"/>
      <c r="J1123" s="562"/>
      <c r="K1123" s="562"/>
    </row>
    <row r="1124" spans="1:11" ht="21" x14ac:dyDescent="0.2">
      <c r="A1124" s="114" t="s">
        <v>1072</v>
      </c>
      <c r="B1124" s="440" t="s">
        <v>2668</v>
      </c>
      <c r="C1124" s="115" t="s">
        <v>1133</v>
      </c>
      <c r="D1124" s="114" t="s">
        <v>1563</v>
      </c>
      <c r="E1124" s="329" t="str">
        <f>IF($O$62="","",$O$62)</f>
        <v>Miraporanga - Lote 6</v>
      </c>
      <c r="F1124" s="563">
        <f>IF(B1124="","",VLOOKUP(E1124,$O$2:$T$120,6,0))</f>
        <v>53492</v>
      </c>
      <c r="G1124" s="564"/>
      <c r="H1124" s="564"/>
      <c r="I1124" s="564"/>
      <c r="J1124" s="564"/>
      <c r="K1124" s="565"/>
    </row>
    <row r="1125" spans="1:11" ht="43.5" x14ac:dyDescent="0.2">
      <c r="A1125" s="166" t="s">
        <v>779</v>
      </c>
      <c r="B1125" s="116" t="s">
        <v>0</v>
      </c>
      <c r="C1125" s="116" t="s">
        <v>20</v>
      </c>
      <c r="D1125" s="116" t="s">
        <v>21</v>
      </c>
      <c r="E1125" s="116" t="s">
        <v>1</v>
      </c>
      <c r="F1125" s="117" t="s">
        <v>3</v>
      </c>
      <c r="G1125" s="116" t="s">
        <v>216</v>
      </c>
      <c r="H1125" s="180" t="s">
        <v>242</v>
      </c>
      <c r="I1125" s="116" t="s">
        <v>245</v>
      </c>
      <c r="J1125" s="116" t="s">
        <v>217</v>
      </c>
      <c r="K1125" s="116" t="s">
        <v>218</v>
      </c>
    </row>
    <row r="1126" spans="1:11" ht="17.25" x14ac:dyDescent="0.2">
      <c r="B1126" s="406" t="s">
        <v>1630</v>
      </c>
      <c r="C1126" s="97" t="s">
        <v>1631</v>
      </c>
      <c r="D1126" s="97" t="s">
        <v>1547</v>
      </c>
      <c r="E1126" s="107" t="s">
        <v>265</v>
      </c>
      <c r="F1126" s="108">
        <v>12.5</v>
      </c>
      <c r="G1126" s="335">
        <v>8</v>
      </c>
      <c r="H1126" s="65">
        <v>2</v>
      </c>
      <c r="I1126" s="69">
        <f>IF(G1126="","",SUM(G1126:H1126))</f>
        <v>10</v>
      </c>
      <c r="J1126" s="64">
        <f>IF(G1126="","",ROUNDUP(G1126*0.65,0))</f>
        <v>6</v>
      </c>
      <c r="K1126" s="64">
        <f>IF(G1126="","",ROUNDUP(G1126*0.55,0))</f>
        <v>5</v>
      </c>
    </row>
    <row r="1127" spans="1:11" ht="17.25" x14ac:dyDescent="0.2">
      <c r="B1127" s="406" t="s">
        <v>1632</v>
      </c>
      <c r="C1127" s="97" t="s">
        <v>1633</v>
      </c>
      <c r="D1127" s="97" t="s">
        <v>1547</v>
      </c>
      <c r="E1127" s="107" t="s">
        <v>265</v>
      </c>
      <c r="F1127" s="108">
        <v>12.5</v>
      </c>
      <c r="G1127" s="335">
        <v>7</v>
      </c>
      <c r="H1127" s="65">
        <v>2</v>
      </c>
      <c r="I1127" s="69">
        <f t="shared" ref="I1127:I1133" si="177">IF(G1127="","",SUM(G1127:H1127))</f>
        <v>9</v>
      </c>
      <c r="J1127" s="64">
        <f t="shared" ref="J1127:J1141" si="178">IF(G1127="","",ROUNDUP(G1127*0.65,0))</f>
        <v>5</v>
      </c>
      <c r="K1127" s="64">
        <f t="shared" ref="K1127:K1141" si="179">IF(G1127="","",ROUNDUP(G1127*0.55,0))</f>
        <v>4</v>
      </c>
    </row>
    <row r="1128" spans="1:11" ht="17.25" x14ac:dyDescent="0.2">
      <c r="B1128" s="406" t="s">
        <v>1634</v>
      </c>
      <c r="C1128" s="97" t="s">
        <v>1547</v>
      </c>
      <c r="D1128" s="97" t="s">
        <v>1635</v>
      </c>
      <c r="E1128" s="107" t="s">
        <v>55</v>
      </c>
      <c r="F1128" s="333">
        <v>14</v>
      </c>
      <c r="G1128" s="335">
        <v>6</v>
      </c>
      <c r="H1128" s="65">
        <v>2</v>
      </c>
      <c r="I1128" s="69">
        <f t="shared" si="177"/>
        <v>8</v>
      </c>
      <c r="J1128" s="64">
        <f t="shared" si="178"/>
        <v>4</v>
      </c>
      <c r="K1128" s="64">
        <f t="shared" si="179"/>
        <v>4</v>
      </c>
    </row>
    <row r="1129" spans="1:11" ht="17.25" x14ac:dyDescent="0.2">
      <c r="B1129" s="406" t="s">
        <v>1636</v>
      </c>
      <c r="C1129" s="97" t="s">
        <v>1547</v>
      </c>
      <c r="D1129" s="97" t="s">
        <v>1637</v>
      </c>
      <c r="E1129" s="107" t="s">
        <v>55</v>
      </c>
      <c r="F1129" s="333">
        <v>14</v>
      </c>
      <c r="G1129" s="335">
        <v>6</v>
      </c>
      <c r="H1129" s="65">
        <v>1</v>
      </c>
      <c r="I1129" s="69">
        <f t="shared" si="177"/>
        <v>7</v>
      </c>
      <c r="J1129" s="64">
        <f t="shared" si="178"/>
        <v>4</v>
      </c>
      <c r="K1129" s="64">
        <f t="shared" si="179"/>
        <v>4</v>
      </c>
    </row>
    <row r="1130" spans="1:11" ht="17.25" x14ac:dyDescent="0.2">
      <c r="B1130" s="406" t="s">
        <v>1638</v>
      </c>
      <c r="C1130" s="97" t="s">
        <v>1639</v>
      </c>
      <c r="D1130" s="97" t="s">
        <v>1560</v>
      </c>
      <c r="E1130" s="107" t="s">
        <v>265</v>
      </c>
      <c r="F1130" s="108">
        <v>12.5</v>
      </c>
      <c r="G1130" s="335">
        <v>6</v>
      </c>
      <c r="H1130" s="65">
        <v>2</v>
      </c>
      <c r="I1130" s="69">
        <f t="shared" si="177"/>
        <v>8</v>
      </c>
      <c r="J1130" s="64">
        <f t="shared" si="178"/>
        <v>4</v>
      </c>
      <c r="K1130" s="64">
        <f t="shared" si="179"/>
        <v>4</v>
      </c>
    </row>
    <row r="1131" spans="1:11" ht="17.25" x14ac:dyDescent="0.2">
      <c r="B1131" s="406" t="s">
        <v>1640</v>
      </c>
      <c r="C1131" s="97" t="s">
        <v>1641</v>
      </c>
      <c r="D1131" s="97" t="s">
        <v>1560</v>
      </c>
      <c r="E1131" s="107" t="s">
        <v>265</v>
      </c>
      <c r="F1131" s="108">
        <v>12.5</v>
      </c>
      <c r="G1131" s="335">
        <v>6</v>
      </c>
      <c r="H1131" s="65">
        <v>2</v>
      </c>
      <c r="I1131" s="69">
        <f t="shared" si="177"/>
        <v>8</v>
      </c>
      <c r="J1131" s="64">
        <f t="shared" si="178"/>
        <v>4</v>
      </c>
      <c r="K1131" s="64">
        <f t="shared" si="179"/>
        <v>4</v>
      </c>
    </row>
    <row r="1132" spans="1:11" ht="17.25" x14ac:dyDescent="0.2">
      <c r="B1132" s="406" t="s">
        <v>1642</v>
      </c>
      <c r="C1132" s="97" t="s">
        <v>1560</v>
      </c>
      <c r="D1132" s="97" t="s">
        <v>1570</v>
      </c>
      <c r="E1132" s="107" t="s">
        <v>56</v>
      </c>
      <c r="F1132" s="333">
        <v>17.5</v>
      </c>
      <c r="G1132" s="335">
        <v>12</v>
      </c>
      <c r="H1132" s="65">
        <v>3</v>
      </c>
      <c r="I1132" s="69">
        <f t="shared" si="177"/>
        <v>15</v>
      </c>
      <c r="J1132" s="64">
        <f t="shared" si="178"/>
        <v>8</v>
      </c>
      <c r="K1132" s="64">
        <f t="shared" si="179"/>
        <v>7</v>
      </c>
    </row>
    <row r="1133" spans="1:11" ht="17.25" x14ac:dyDescent="0.2">
      <c r="B1133" s="406" t="s">
        <v>1643</v>
      </c>
      <c r="C1133" s="97" t="s">
        <v>1560</v>
      </c>
      <c r="D1133" s="97" t="s">
        <v>1644</v>
      </c>
      <c r="E1133" s="107" t="s">
        <v>56</v>
      </c>
      <c r="F1133" s="333">
        <v>17.5</v>
      </c>
      <c r="G1133" s="335">
        <v>18</v>
      </c>
      <c r="H1133" s="65">
        <v>2</v>
      </c>
      <c r="I1133" s="69">
        <f t="shared" si="177"/>
        <v>20</v>
      </c>
      <c r="J1133" s="64">
        <f t="shared" si="178"/>
        <v>12</v>
      </c>
      <c r="K1133" s="64">
        <f t="shared" si="179"/>
        <v>10</v>
      </c>
    </row>
    <row r="1134" spans="1:11" ht="17.25" x14ac:dyDescent="0.2">
      <c r="B1134" s="341"/>
      <c r="C1134" s="101"/>
      <c r="D1134" s="101"/>
      <c r="E1134" s="107"/>
      <c r="F1134" s="108"/>
      <c r="G1134" s="64"/>
      <c r="H1134" s="65"/>
      <c r="I1134" s="69"/>
      <c r="J1134" s="64" t="str">
        <f t="shared" si="178"/>
        <v/>
      </c>
      <c r="K1134" s="64" t="str">
        <f t="shared" si="179"/>
        <v/>
      </c>
    </row>
    <row r="1135" spans="1:11" ht="17.25" x14ac:dyDescent="0.2">
      <c r="B1135" s="341"/>
      <c r="C1135" s="101"/>
      <c r="D1135" s="101"/>
      <c r="E1135" s="107"/>
      <c r="F1135" s="108"/>
      <c r="G1135" s="64"/>
      <c r="H1135" s="65"/>
      <c r="I1135" s="69"/>
      <c r="J1135" s="64" t="str">
        <f t="shared" si="178"/>
        <v/>
      </c>
      <c r="K1135" s="64" t="str">
        <f t="shared" si="179"/>
        <v/>
      </c>
    </row>
    <row r="1136" spans="1:11" ht="17.25" x14ac:dyDescent="0.2">
      <c r="B1136" s="341"/>
      <c r="C1136" s="101"/>
      <c r="D1136" s="101"/>
      <c r="E1136" s="107"/>
      <c r="F1136" s="108"/>
      <c r="G1136" s="64"/>
      <c r="H1136" s="65"/>
      <c r="I1136" s="69"/>
      <c r="J1136" s="64" t="str">
        <f t="shared" si="178"/>
        <v/>
      </c>
      <c r="K1136" s="64" t="str">
        <f t="shared" si="179"/>
        <v/>
      </c>
    </row>
    <row r="1137" spans="1:11" ht="17.25" x14ac:dyDescent="0.2">
      <c r="B1137" s="341"/>
      <c r="C1137" s="101"/>
      <c r="D1137" s="101"/>
      <c r="E1137" s="107"/>
      <c r="F1137" s="108"/>
      <c r="G1137" s="64"/>
      <c r="H1137" s="65"/>
      <c r="I1137" s="69"/>
      <c r="J1137" s="64" t="str">
        <f t="shared" si="178"/>
        <v/>
      </c>
      <c r="K1137" s="64" t="str">
        <f t="shared" si="179"/>
        <v/>
      </c>
    </row>
    <row r="1138" spans="1:11" ht="17.25" x14ac:dyDescent="0.2">
      <c r="B1138" s="341"/>
      <c r="C1138" s="101"/>
      <c r="D1138" s="101"/>
      <c r="E1138" s="107"/>
      <c r="F1138" s="108"/>
      <c r="G1138" s="64"/>
      <c r="H1138" s="65"/>
      <c r="I1138" s="69"/>
      <c r="J1138" s="64" t="str">
        <f t="shared" si="178"/>
        <v/>
      </c>
      <c r="K1138" s="64" t="str">
        <f t="shared" si="179"/>
        <v/>
      </c>
    </row>
    <row r="1139" spans="1:11" ht="17.25" x14ac:dyDescent="0.2">
      <c r="B1139" s="341"/>
      <c r="C1139" s="101"/>
      <c r="D1139" s="101"/>
      <c r="E1139" s="107"/>
      <c r="F1139" s="108"/>
      <c r="G1139" s="64"/>
      <c r="H1139" s="65"/>
      <c r="I1139" s="69"/>
      <c r="J1139" s="64" t="str">
        <f t="shared" si="178"/>
        <v/>
      </c>
      <c r="K1139" s="64" t="str">
        <f t="shared" si="179"/>
        <v/>
      </c>
    </row>
    <row r="1140" spans="1:11" ht="17.25" x14ac:dyDescent="0.2">
      <c r="B1140" s="341"/>
      <c r="C1140" s="101"/>
      <c r="D1140" s="101"/>
      <c r="E1140" s="107"/>
      <c r="F1140" s="108"/>
      <c r="G1140" s="64"/>
      <c r="H1140" s="65"/>
      <c r="I1140" s="69"/>
      <c r="J1140" s="64" t="str">
        <f t="shared" si="178"/>
        <v/>
      </c>
      <c r="K1140" s="64" t="str">
        <f t="shared" si="179"/>
        <v/>
      </c>
    </row>
    <row r="1141" spans="1:11" ht="17.25" x14ac:dyDescent="0.2">
      <c r="B1141" s="341"/>
      <c r="C1141" s="101"/>
      <c r="D1141" s="101"/>
      <c r="E1141" s="107"/>
      <c r="F1141" s="108"/>
      <c r="G1141" s="64"/>
      <c r="H1141" s="65"/>
      <c r="I1141" s="69"/>
      <c r="J1141" s="64" t="str">
        <f t="shared" si="178"/>
        <v/>
      </c>
      <c r="K1141" s="64" t="str">
        <f t="shared" si="179"/>
        <v/>
      </c>
    </row>
    <row r="1142" spans="1:11" ht="18" customHeight="1" x14ac:dyDescent="0.2">
      <c r="B1142" s="561" t="s">
        <v>22</v>
      </c>
      <c r="C1142" s="561" t="s">
        <v>177</v>
      </c>
      <c r="D1142" s="561" t="s">
        <v>243</v>
      </c>
      <c r="E1142" s="561" t="s">
        <v>23</v>
      </c>
      <c r="F1142" s="562" t="s">
        <v>234</v>
      </c>
      <c r="G1142" s="562"/>
      <c r="H1142" s="562"/>
      <c r="I1142" s="562"/>
      <c r="J1142" s="562"/>
      <c r="K1142" s="562"/>
    </row>
    <row r="1143" spans="1:11" ht="21" x14ac:dyDescent="0.2">
      <c r="A1143" s="114" t="s">
        <v>1073</v>
      </c>
      <c r="B1143" s="440" t="s">
        <v>2671</v>
      </c>
      <c r="C1143" s="115" t="s">
        <v>1133</v>
      </c>
      <c r="D1143" s="114" t="s">
        <v>1563</v>
      </c>
      <c r="E1143" s="329" t="str">
        <f>IF($O$63="","",$O$63)</f>
        <v>Miraporanga - Lote 7</v>
      </c>
      <c r="F1143" s="563">
        <f>IF(B1143="","",VLOOKUP(E1143,$O$2:$T$120,6,0))</f>
        <v>41864</v>
      </c>
      <c r="G1143" s="564"/>
      <c r="H1143" s="564"/>
      <c r="I1143" s="564"/>
      <c r="J1143" s="564"/>
      <c r="K1143" s="565"/>
    </row>
    <row r="1144" spans="1:11" ht="43.5" x14ac:dyDescent="0.2">
      <c r="A1144" s="166" t="s">
        <v>779</v>
      </c>
      <c r="B1144" s="116" t="s">
        <v>0</v>
      </c>
      <c r="C1144" s="116" t="s">
        <v>20</v>
      </c>
      <c r="D1144" s="116" t="s">
        <v>21</v>
      </c>
      <c r="E1144" s="116" t="s">
        <v>1</v>
      </c>
      <c r="F1144" s="117" t="s">
        <v>3</v>
      </c>
      <c r="G1144" s="116" t="s">
        <v>216</v>
      </c>
      <c r="H1144" s="180" t="s">
        <v>242</v>
      </c>
      <c r="I1144" s="116" t="s">
        <v>245</v>
      </c>
      <c r="J1144" s="116" t="s">
        <v>217</v>
      </c>
      <c r="K1144" s="116" t="s">
        <v>218</v>
      </c>
    </row>
    <row r="1145" spans="1:11" ht="17.25" x14ac:dyDescent="0.2">
      <c r="B1145" s="406" t="s">
        <v>1645</v>
      </c>
      <c r="C1145" s="97" t="s">
        <v>1547</v>
      </c>
      <c r="D1145" s="97" t="s">
        <v>1646</v>
      </c>
      <c r="E1145" s="107" t="s">
        <v>180</v>
      </c>
      <c r="F1145" s="333">
        <v>16.5</v>
      </c>
      <c r="G1145" s="335">
        <v>6</v>
      </c>
      <c r="H1145" s="65">
        <v>2</v>
      </c>
      <c r="I1145" s="69">
        <f>IF(G1145="","",SUM(G1145:H1145))</f>
        <v>8</v>
      </c>
      <c r="J1145" s="64">
        <f>IF(G1145="","",ROUNDUP(G1145*0.65,0))</f>
        <v>4</v>
      </c>
      <c r="K1145" s="64">
        <f>IF(G1145="","",ROUNDUP(G1145*0.55,0))</f>
        <v>4</v>
      </c>
    </row>
    <row r="1146" spans="1:11" ht="17.25" x14ac:dyDescent="0.2">
      <c r="B1146" s="406" t="s">
        <v>1647</v>
      </c>
      <c r="C1146" s="97" t="s">
        <v>1547</v>
      </c>
      <c r="D1146" s="97" t="s">
        <v>1648</v>
      </c>
      <c r="E1146" s="107" t="s">
        <v>180</v>
      </c>
      <c r="F1146" s="333">
        <v>16.5</v>
      </c>
      <c r="G1146" s="335">
        <v>6</v>
      </c>
      <c r="H1146" s="65">
        <v>2</v>
      </c>
      <c r="I1146" s="69">
        <f t="shared" ref="I1146:I1158" si="180">IF(G1146="","",SUM(G1146:H1146))</f>
        <v>8</v>
      </c>
      <c r="J1146" s="64">
        <f t="shared" ref="J1146:J1160" si="181">IF(G1146="","",ROUNDUP(G1146*0.65,0))</f>
        <v>4</v>
      </c>
      <c r="K1146" s="64">
        <f t="shared" ref="K1146:K1160" si="182">IF(G1146="","",ROUNDUP(G1146*0.55,0))</f>
        <v>4</v>
      </c>
    </row>
    <row r="1147" spans="1:11" ht="17.25" x14ac:dyDescent="0.2">
      <c r="B1147" s="406" t="s">
        <v>1649</v>
      </c>
      <c r="C1147" s="97" t="s">
        <v>1560</v>
      </c>
      <c r="D1147" s="97" t="s">
        <v>1650</v>
      </c>
      <c r="E1147" s="107" t="s">
        <v>55</v>
      </c>
      <c r="F1147" s="333">
        <v>14</v>
      </c>
      <c r="G1147" s="335">
        <v>8</v>
      </c>
      <c r="H1147" s="65">
        <v>2</v>
      </c>
      <c r="I1147" s="69">
        <f t="shared" si="180"/>
        <v>10</v>
      </c>
      <c r="J1147" s="64">
        <f t="shared" si="181"/>
        <v>6</v>
      </c>
      <c r="K1147" s="64">
        <f t="shared" si="182"/>
        <v>5</v>
      </c>
    </row>
    <row r="1148" spans="1:11" ht="17.25" x14ac:dyDescent="0.2">
      <c r="B1148" s="406" t="s">
        <v>1651</v>
      </c>
      <c r="C1148" s="97" t="s">
        <v>1652</v>
      </c>
      <c r="D1148" s="97" t="s">
        <v>1560</v>
      </c>
      <c r="E1148" s="107" t="s">
        <v>55</v>
      </c>
      <c r="F1148" s="333">
        <v>14</v>
      </c>
      <c r="G1148" s="335">
        <v>8</v>
      </c>
      <c r="H1148" s="65">
        <v>2</v>
      </c>
      <c r="I1148" s="69">
        <f t="shared" si="180"/>
        <v>10</v>
      </c>
      <c r="J1148" s="64">
        <f t="shared" si="181"/>
        <v>6</v>
      </c>
      <c r="K1148" s="64">
        <f t="shared" si="182"/>
        <v>5</v>
      </c>
    </row>
    <row r="1149" spans="1:11" ht="17.25" x14ac:dyDescent="0.2">
      <c r="B1149" s="406" t="s">
        <v>1653</v>
      </c>
      <c r="C1149" s="97" t="s">
        <v>1654</v>
      </c>
      <c r="D1149" s="97" t="s">
        <v>1560</v>
      </c>
      <c r="E1149" s="107" t="s">
        <v>180</v>
      </c>
      <c r="F1149" s="333">
        <v>16.5</v>
      </c>
      <c r="G1149" s="335">
        <v>6</v>
      </c>
      <c r="H1149" s="65">
        <v>2</v>
      </c>
      <c r="I1149" s="69">
        <f t="shared" si="180"/>
        <v>8</v>
      </c>
      <c r="J1149" s="64">
        <f t="shared" si="181"/>
        <v>4</v>
      </c>
      <c r="K1149" s="64">
        <f t="shared" si="182"/>
        <v>4</v>
      </c>
    </row>
    <row r="1150" spans="1:11" ht="17.25" x14ac:dyDescent="0.2">
      <c r="B1150" s="406" t="s">
        <v>1655</v>
      </c>
      <c r="C1150" s="97" t="s">
        <v>1560</v>
      </c>
      <c r="D1150" s="97" t="s">
        <v>1656</v>
      </c>
      <c r="E1150" s="107" t="s">
        <v>180</v>
      </c>
      <c r="F1150" s="333">
        <v>16.5</v>
      </c>
      <c r="G1150" s="335">
        <v>12</v>
      </c>
      <c r="H1150" s="65">
        <v>4</v>
      </c>
      <c r="I1150" s="69">
        <f t="shared" si="180"/>
        <v>16</v>
      </c>
      <c r="J1150" s="64">
        <f t="shared" si="181"/>
        <v>8</v>
      </c>
      <c r="K1150" s="64">
        <f t="shared" si="182"/>
        <v>7</v>
      </c>
    </row>
    <row r="1151" spans="1:11" ht="17.25" x14ac:dyDescent="0.2">
      <c r="B1151" s="406" t="s">
        <v>1657</v>
      </c>
      <c r="C1151" s="97" t="s">
        <v>1547</v>
      </c>
      <c r="D1151" s="97" t="s">
        <v>1553</v>
      </c>
      <c r="E1151" s="107" t="s">
        <v>56</v>
      </c>
      <c r="F1151" s="333">
        <v>17.5</v>
      </c>
      <c r="G1151" s="335">
        <v>8</v>
      </c>
      <c r="H1151" s="65">
        <v>2</v>
      </c>
      <c r="I1151" s="69">
        <f t="shared" si="180"/>
        <v>10</v>
      </c>
      <c r="J1151" s="64">
        <f t="shared" si="181"/>
        <v>6</v>
      </c>
      <c r="K1151" s="64">
        <f t="shared" si="182"/>
        <v>5</v>
      </c>
    </row>
    <row r="1152" spans="1:11" ht="17.25" x14ac:dyDescent="0.2">
      <c r="B1152" s="343"/>
      <c r="C1152" s="102"/>
      <c r="D1152" s="102"/>
      <c r="E1152" s="107"/>
      <c r="F1152" s="108"/>
      <c r="G1152" s="57"/>
      <c r="H1152" s="65"/>
      <c r="I1152" s="69" t="str">
        <f t="shared" si="180"/>
        <v/>
      </c>
      <c r="J1152" s="64" t="str">
        <f t="shared" si="181"/>
        <v/>
      </c>
      <c r="K1152" s="64" t="str">
        <f t="shared" si="182"/>
        <v/>
      </c>
    </row>
    <row r="1153" spans="1:11" ht="17.25" x14ac:dyDescent="0.2">
      <c r="B1153" s="343"/>
      <c r="C1153" s="102"/>
      <c r="D1153" s="110"/>
      <c r="E1153" s="107"/>
      <c r="F1153" s="108"/>
      <c r="G1153" s="57"/>
      <c r="H1153" s="65"/>
      <c r="I1153" s="69" t="str">
        <f t="shared" si="180"/>
        <v/>
      </c>
      <c r="J1153" s="64" t="str">
        <f t="shared" si="181"/>
        <v/>
      </c>
      <c r="K1153" s="64" t="str">
        <f t="shared" si="182"/>
        <v/>
      </c>
    </row>
    <row r="1154" spans="1:11" ht="17.25" x14ac:dyDescent="0.2">
      <c r="B1154" s="343"/>
      <c r="C1154" s="102"/>
      <c r="D1154" s="110"/>
      <c r="E1154" s="107"/>
      <c r="F1154" s="108"/>
      <c r="G1154" s="57"/>
      <c r="H1154" s="65"/>
      <c r="I1154" s="69" t="str">
        <f t="shared" si="180"/>
        <v/>
      </c>
      <c r="J1154" s="64" t="str">
        <f t="shared" si="181"/>
        <v/>
      </c>
      <c r="K1154" s="64" t="str">
        <f t="shared" si="182"/>
        <v/>
      </c>
    </row>
    <row r="1155" spans="1:11" ht="17.25" x14ac:dyDescent="0.2">
      <c r="B1155" s="343"/>
      <c r="C1155" s="102"/>
      <c r="D1155" s="102"/>
      <c r="E1155" s="107"/>
      <c r="F1155" s="108"/>
      <c r="G1155" s="57"/>
      <c r="H1155" s="65"/>
      <c r="I1155" s="69" t="str">
        <f t="shared" si="180"/>
        <v/>
      </c>
      <c r="J1155" s="64" t="str">
        <f t="shared" si="181"/>
        <v/>
      </c>
      <c r="K1155" s="64" t="str">
        <f t="shared" si="182"/>
        <v/>
      </c>
    </row>
    <row r="1156" spans="1:11" ht="17.25" x14ac:dyDescent="0.2">
      <c r="B1156" s="343"/>
      <c r="C1156" s="102"/>
      <c r="D1156" s="102"/>
      <c r="E1156" s="107"/>
      <c r="F1156" s="108"/>
      <c r="G1156" s="57"/>
      <c r="H1156" s="65"/>
      <c r="I1156" s="69" t="str">
        <f t="shared" si="180"/>
        <v/>
      </c>
      <c r="J1156" s="64" t="str">
        <f t="shared" si="181"/>
        <v/>
      </c>
      <c r="K1156" s="64" t="str">
        <f t="shared" si="182"/>
        <v/>
      </c>
    </row>
    <row r="1157" spans="1:11" ht="17.25" x14ac:dyDescent="0.2">
      <c r="B1157" s="343"/>
      <c r="C1157" s="102"/>
      <c r="D1157" s="102"/>
      <c r="E1157" s="107"/>
      <c r="F1157" s="108"/>
      <c r="G1157" s="57"/>
      <c r="H1157" s="65"/>
      <c r="I1157" s="69" t="str">
        <f t="shared" si="180"/>
        <v/>
      </c>
      <c r="J1157" s="64" t="str">
        <f t="shared" si="181"/>
        <v/>
      </c>
      <c r="K1157" s="64" t="str">
        <f t="shared" si="182"/>
        <v/>
      </c>
    </row>
    <row r="1158" spans="1:11" ht="17.25" x14ac:dyDescent="0.2">
      <c r="B1158" s="343"/>
      <c r="C1158" s="102"/>
      <c r="D1158" s="102"/>
      <c r="E1158" s="107"/>
      <c r="F1158" s="108"/>
      <c r="G1158" s="57"/>
      <c r="H1158" s="65"/>
      <c r="I1158" s="69" t="str">
        <f t="shared" si="180"/>
        <v/>
      </c>
      <c r="J1158" s="64" t="str">
        <f t="shared" si="181"/>
        <v/>
      </c>
      <c r="K1158" s="64" t="str">
        <f t="shared" si="182"/>
        <v/>
      </c>
    </row>
    <row r="1159" spans="1:11" ht="17.25" x14ac:dyDescent="0.2">
      <c r="B1159" s="343"/>
      <c r="C1159" s="102"/>
      <c r="D1159" s="102"/>
      <c r="E1159" s="107"/>
      <c r="F1159" s="108"/>
      <c r="G1159" s="57"/>
      <c r="H1159" s="65"/>
      <c r="I1159" s="69"/>
      <c r="J1159" s="64" t="str">
        <f t="shared" si="181"/>
        <v/>
      </c>
      <c r="K1159" s="64" t="str">
        <f t="shared" si="182"/>
        <v/>
      </c>
    </row>
    <row r="1160" spans="1:11" ht="17.25" x14ac:dyDescent="0.2">
      <c r="B1160" s="343"/>
      <c r="C1160" s="102"/>
      <c r="D1160" s="102"/>
      <c r="E1160" s="107"/>
      <c r="F1160" s="108"/>
      <c r="G1160" s="57"/>
      <c r="H1160" s="65"/>
      <c r="I1160" s="69"/>
      <c r="J1160" s="64" t="str">
        <f t="shared" si="181"/>
        <v/>
      </c>
      <c r="K1160" s="64" t="str">
        <f t="shared" si="182"/>
        <v/>
      </c>
    </row>
    <row r="1161" spans="1:11" ht="18" customHeight="1" x14ac:dyDescent="0.2">
      <c r="B1161" s="561" t="s">
        <v>22</v>
      </c>
      <c r="C1161" s="561" t="s">
        <v>177</v>
      </c>
      <c r="D1161" s="561" t="s">
        <v>243</v>
      </c>
      <c r="E1161" s="561" t="s">
        <v>23</v>
      </c>
      <c r="F1161" s="562" t="s">
        <v>234</v>
      </c>
      <c r="G1161" s="562"/>
      <c r="H1161" s="562"/>
      <c r="I1161" s="562"/>
      <c r="J1161" s="562"/>
      <c r="K1161" s="562"/>
    </row>
    <row r="1162" spans="1:11" ht="21" x14ac:dyDescent="0.2">
      <c r="A1162" s="114" t="s">
        <v>1074</v>
      </c>
      <c r="B1162" s="587" t="s">
        <v>2696</v>
      </c>
      <c r="C1162" s="115" t="s">
        <v>536</v>
      </c>
      <c r="D1162" s="114" t="s">
        <v>537</v>
      </c>
      <c r="E1162" s="329" t="str">
        <f>IF($O$64="","",$O$64)</f>
        <v>Miraporanga - Lote 8</v>
      </c>
      <c r="F1162" s="563">
        <f>IF(B1162="","",VLOOKUP(E1162,$O$2:$T$120,6,0))</f>
        <v>34111</v>
      </c>
      <c r="G1162" s="564"/>
      <c r="H1162" s="564"/>
      <c r="I1162" s="564"/>
      <c r="J1162" s="564"/>
      <c r="K1162" s="565"/>
    </row>
    <row r="1163" spans="1:11" ht="43.5" x14ac:dyDescent="0.2">
      <c r="A1163" s="166" t="s">
        <v>779</v>
      </c>
      <c r="B1163" s="116" t="s">
        <v>0</v>
      </c>
      <c r="C1163" s="116" t="s">
        <v>20</v>
      </c>
      <c r="D1163" s="116" t="s">
        <v>21</v>
      </c>
      <c r="E1163" s="116" t="s">
        <v>1</v>
      </c>
      <c r="F1163" s="117" t="s">
        <v>3</v>
      </c>
      <c r="G1163" s="116" t="s">
        <v>216</v>
      </c>
      <c r="H1163" s="180" t="s">
        <v>242</v>
      </c>
      <c r="I1163" s="116" t="s">
        <v>245</v>
      </c>
      <c r="J1163" s="116" t="s">
        <v>217</v>
      </c>
      <c r="K1163" s="116" t="s">
        <v>218</v>
      </c>
    </row>
    <row r="1164" spans="1:11" ht="17.25" x14ac:dyDescent="0.2">
      <c r="B1164" s="406" t="s">
        <v>1659</v>
      </c>
      <c r="C1164" s="97" t="s">
        <v>1660</v>
      </c>
      <c r="D1164" s="97" t="s">
        <v>1549</v>
      </c>
      <c r="E1164" s="107" t="s">
        <v>265</v>
      </c>
      <c r="F1164" s="108">
        <v>12.5</v>
      </c>
      <c r="G1164" s="335">
        <v>8</v>
      </c>
      <c r="H1164" s="65">
        <v>3</v>
      </c>
      <c r="I1164" s="69">
        <f>IF(G1164="","",SUM(G1164:H1164))</f>
        <v>11</v>
      </c>
      <c r="J1164" s="64">
        <f>IF(G1164="","",ROUNDUP(G1164*0.65,0))</f>
        <v>6</v>
      </c>
      <c r="K1164" s="64">
        <f>IF(G1164="","",ROUNDUP(G1164*0.55,0))</f>
        <v>5</v>
      </c>
    </row>
    <row r="1165" spans="1:11" ht="17.25" x14ac:dyDescent="0.2">
      <c r="B1165" s="406" t="s">
        <v>1661</v>
      </c>
      <c r="C1165" s="97" t="s">
        <v>1549</v>
      </c>
      <c r="D1165" s="97" t="s">
        <v>1662</v>
      </c>
      <c r="E1165" s="107" t="s">
        <v>265</v>
      </c>
      <c r="F1165" s="108">
        <v>12.5</v>
      </c>
      <c r="G1165" s="335">
        <v>6</v>
      </c>
      <c r="H1165" s="65">
        <v>3</v>
      </c>
      <c r="I1165" s="69">
        <f t="shared" ref="I1165:I1171" si="183">IF(G1165="","",SUM(G1165:H1165))</f>
        <v>9</v>
      </c>
      <c r="J1165" s="64">
        <f t="shared" ref="J1165:J1179" si="184">IF(G1165="","",ROUNDUP(G1165*0.65,0))</f>
        <v>4</v>
      </c>
      <c r="K1165" s="64">
        <f t="shared" ref="K1165:K1179" si="185">IF(G1165="","",ROUNDUP(G1165*0.55,0))</f>
        <v>4</v>
      </c>
    </row>
    <row r="1166" spans="1:11" ht="17.25" x14ac:dyDescent="0.2">
      <c r="B1166" s="406" t="s">
        <v>1663</v>
      </c>
      <c r="C1166" s="97" t="s">
        <v>1549</v>
      </c>
      <c r="D1166" s="97" t="s">
        <v>1664</v>
      </c>
      <c r="E1166" s="107" t="s">
        <v>265</v>
      </c>
      <c r="F1166" s="108">
        <v>12.5</v>
      </c>
      <c r="G1166" s="335">
        <v>6</v>
      </c>
      <c r="H1166" s="65">
        <v>3</v>
      </c>
      <c r="I1166" s="69">
        <f t="shared" si="183"/>
        <v>9</v>
      </c>
      <c r="J1166" s="64">
        <f t="shared" si="184"/>
        <v>4</v>
      </c>
      <c r="K1166" s="64">
        <f t="shared" si="185"/>
        <v>4</v>
      </c>
    </row>
    <row r="1167" spans="1:11" ht="17.25" x14ac:dyDescent="0.2">
      <c r="B1167" s="406" t="s">
        <v>1665</v>
      </c>
      <c r="C1167" s="97" t="s">
        <v>1666</v>
      </c>
      <c r="D1167" s="97" t="s">
        <v>1549</v>
      </c>
      <c r="E1167" s="107" t="s">
        <v>265</v>
      </c>
      <c r="F1167" s="108">
        <v>12.5</v>
      </c>
      <c r="G1167" s="335">
        <v>8</v>
      </c>
      <c r="H1167" s="65">
        <v>3</v>
      </c>
      <c r="I1167" s="69">
        <f t="shared" si="183"/>
        <v>11</v>
      </c>
      <c r="J1167" s="64">
        <f t="shared" si="184"/>
        <v>6</v>
      </c>
      <c r="K1167" s="64">
        <f t="shared" si="185"/>
        <v>5</v>
      </c>
    </row>
    <row r="1168" spans="1:11" ht="17.25" x14ac:dyDescent="0.2">
      <c r="B1168" s="406" t="s">
        <v>1667</v>
      </c>
      <c r="C1168" s="97" t="s">
        <v>1549</v>
      </c>
      <c r="D1168" s="97" t="s">
        <v>1668</v>
      </c>
      <c r="E1168" s="107" t="s">
        <v>55</v>
      </c>
      <c r="F1168" s="333">
        <v>14</v>
      </c>
      <c r="G1168" s="335">
        <v>8</v>
      </c>
      <c r="H1168" s="65">
        <v>2</v>
      </c>
      <c r="I1168" s="69">
        <f t="shared" si="183"/>
        <v>10</v>
      </c>
      <c r="J1168" s="64">
        <f t="shared" si="184"/>
        <v>6</v>
      </c>
      <c r="K1168" s="64">
        <f t="shared" si="185"/>
        <v>5</v>
      </c>
    </row>
    <row r="1169" spans="1:11" ht="17.25" x14ac:dyDescent="0.2">
      <c r="B1169" s="406" t="s">
        <v>1669</v>
      </c>
      <c r="C1169" s="97" t="s">
        <v>1554</v>
      </c>
      <c r="D1169" s="97" t="s">
        <v>1670</v>
      </c>
      <c r="E1169" s="107" t="s">
        <v>55</v>
      </c>
      <c r="F1169" s="333">
        <v>14</v>
      </c>
      <c r="G1169" s="335">
        <v>8</v>
      </c>
      <c r="H1169" s="65">
        <v>2</v>
      </c>
      <c r="I1169" s="69">
        <f t="shared" si="183"/>
        <v>10</v>
      </c>
      <c r="J1169" s="64">
        <f t="shared" si="184"/>
        <v>6</v>
      </c>
      <c r="K1169" s="64">
        <f t="shared" si="185"/>
        <v>5</v>
      </c>
    </row>
    <row r="1170" spans="1:11" ht="17.25" x14ac:dyDescent="0.2">
      <c r="B1170" s="336"/>
      <c r="C1170" s="103"/>
      <c r="D1170" s="103"/>
      <c r="E1170" s="107"/>
      <c r="F1170" s="108"/>
      <c r="G1170" s="64"/>
      <c r="H1170" s="65"/>
      <c r="I1170" s="69" t="str">
        <f t="shared" si="183"/>
        <v/>
      </c>
      <c r="J1170" s="64" t="str">
        <f t="shared" si="184"/>
        <v/>
      </c>
      <c r="K1170" s="64" t="str">
        <f t="shared" si="185"/>
        <v/>
      </c>
    </row>
    <row r="1171" spans="1:11" ht="17.25" x14ac:dyDescent="0.2">
      <c r="B1171" s="336"/>
      <c r="C1171" s="103"/>
      <c r="D1171" s="103"/>
      <c r="E1171" s="107"/>
      <c r="F1171" s="108"/>
      <c r="G1171" s="64"/>
      <c r="H1171" s="65"/>
      <c r="I1171" s="69" t="str">
        <f t="shared" si="183"/>
        <v/>
      </c>
      <c r="J1171" s="64" t="str">
        <f t="shared" si="184"/>
        <v/>
      </c>
      <c r="K1171" s="64" t="str">
        <f t="shared" si="185"/>
        <v/>
      </c>
    </row>
    <row r="1172" spans="1:11" ht="17.25" x14ac:dyDescent="0.2">
      <c r="B1172" s="336"/>
      <c r="C1172" s="103"/>
      <c r="D1172" s="103"/>
      <c r="E1172" s="107"/>
      <c r="F1172" s="108"/>
      <c r="G1172" s="64"/>
      <c r="H1172" s="65"/>
      <c r="I1172" s="69"/>
      <c r="J1172" s="64" t="str">
        <f t="shared" si="184"/>
        <v/>
      </c>
      <c r="K1172" s="64" t="str">
        <f t="shared" si="185"/>
        <v/>
      </c>
    </row>
    <row r="1173" spans="1:11" ht="17.25" x14ac:dyDescent="0.2">
      <c r="B1173" s="336"/>
      <c r="C1173" s="103"/>
      <c r="D1173" s="103"/>
      <c r="E1173" s="107"/>
      <c r="F1173" s="108"/>
      <c r="G1173" s="64"/>
      <c r="H1173" s="65"/>
      <c r="I1173" s="69"/>
      <c r="J1173" s="64" t="str">
        <f t="shared" si="184"/>
        <v/>
      </c>
      <c r="K1173" s="64" t="str">
        <f t="shared" si="185"/>
        <v/>
      </c>
    </row>
    <row r="1174" spans="1:11" ht="17.25" x14ac:dyDescent="0.2">
      <c r="B1174" s="336"/>
      <c r="C1174" s="103"/>
      <c r="D1174" s="103"/>
      <c r="E1174" s="107"/>
      <c r="F1174" s="108"/>
      <c r="G1174" s="64"/>
      <c r="H1174" s="65"/>
      <c r="I1174" s="69"/>
      <c r="J1174" s="64" t="str">
        <f t="shared" si="184"/>
        <v/>
      </c>
      <c r="K1174" s="64" t="str">
        <f t="shared" si="185"/>
        <v/>
      </c>
    </row>
    <row r="1175" spans="1:11" ht="17.25" x14ac:dyDescent="0.2">
      <c r="B1175" s="336"/>
      <c r="C1175" s="103"/>
      <c r="D1175" s="103"/>
      <c r="E1175" s="107"/>
      <c r="F1175" s="108"/>
      <c r="G1175" s="64"/>
      <c r="H1175" s="65"/>
      <c r="I1175" s="69"/>
      <c r="J1175" s="64" t="str">
        <f t="shared" si="184"/>
        <v/>
      </c>
      <c r="K1175" s="64" t="str">
        <f t="shared" si="185"/>
        <v/>
      </c>
    </row>
    <row r="1176" spans="1:11" ht="17.25" x14ac:dyDescent="0.2">
      <c r="B1176" s="336"/>
      <c r="C1176" s="103"/>
      <c r="D1176" s="103"/>
      <c r="E1176" s="107"/>
      <c r="F1176" s="108"/>
      <c r="G1176" s="64"/>
      <c r="H1176" s="65"/>
      <c r="I1176" s="69"/>
      <c r="J1176" s="64" t="str">
        <f t="shared" si="184"/>
        <v/>
      </c>
      <c r="K1176" s="64" t="str">
        <f t="shared" si="185"/>
        <v/>
      </c>
    </row>
    <row r="1177" spans="1:11" ht="17.25" x14ac:dyDescent="0.2">
      <c r="B1177" s="336"/>
      <c r="C1177" s="103"/>
      <c r="D1177" s="103"/>
      <c r="E1177" s="107"/>
      <c r="F1177" s="108"/>
      <c r="G1177" s="64"/>
      <c r="H1177" s="65"/>
      <c r="I1177" s="69"/>
      <c r="J1177" s="64" t="str">
        <f t="shared" si="184"/>
        <v/>
      </c>
      <c r="K1177" s="64" t="str">
        <f t="shared" si="185"/>
        <v/>
      </c>
    </row>
    <row r="1178" spans="1:11" ht="17.25" x14ac:dyDescent="0.2">
      <c r="B1178" s="336"/>
      <c r="C1178" s="103"/>
      <c r="D1178" s="103"/>
      <c r="E1178" s="107"/>
      <c r="F1178" s="108"/>
      <c r="G1178" s="64"/>
      <c r="H1178" s="65"/>
      <c r="I1178" s="69"/>
      <c r="J1178" s="64" t="str">
        <f t="shared" si="184"/>
        <v/>
      </c>
      <c r="K1178" s="64" t="str">
        <f t="shared" si="185"/>
        <v/>
      </c>
    </row>
    <row r="1179" spans="1:11" ht="17.25" x14ac:dyDescent="0.2">
      <c r="B1179" s="336"/>
      <c r="C1179" s="103"/>
      <c r="D1179" s="103"/>
      <c r="E1179" s="107"/>
      <c r="F1179" s="108"/>
      <c r="G1179" s="64"/>
      <c r="H1179" s="65"/>
      <c r="I1179" s="69"/>
      <c r="J1179" s="64" t="str">
        <f t="shared" si="184"/>
        <v/>
      </c>
      <c r="K1179" s="64" t="str">
        <f t="shared" si="185"/>
        <v/>
      </c>
    </row>
    <row r="1180" spans="1:11" ht="18" customHeight="1" x14ac:dyDescent="0.2">
      <c r="B1180" s="561" t="s">
        <v>22</v>
      </c>
      <c r="C1180" s="561" t="s">
        <v>177</v>
      </c>
      <c r="D1180" s="561" t="s">
        <v>243</v>
      </c>
      <c r="E1180" s="561" t="s">
        <v>23</v>
      </c>
      <c r="F1180" s="562" t="s">
        <v>234</v>
      </c>
      <c r="G1180" s="562"/>
      <c r="H1180" s="562"/>
      <c r="I1180" s="562"/>
      <c r="J1180" s="562"/>
      <c r="K1180" s="562"/>
    </row>
    <row r="1181" spans="1:11" ht="21" x14ac:dyDescent="0.2">
      <c r="A1181" s="114" t="s">
        <v>1075</v>
      </c>
      <c r="B1181" s="587" t="s">
        <v>2641</v>
      </c>
      <c r="C1181" s="115" t="s">
        <v>1477</v>
      </c>
      <c r="D1181" s="114" t="s">
        <v>1478</v>
      </c>
      <c r="E1181" s="329" t="str">
        <f>IF($O$65="","",$O$65)</f>
        <v>Miraporanga - Lote 9</v>
      </c>
      <c r="F1181" s="563">
        <f>IF(B1181="","",VLOOKUP(E1181,$O$2:$T$120,6,0))</f>
        <v>36437</v>
      </c>
      <c r="G1181" s="564"/>
      <c r="H1181" s="564"/>
      <c r="I1181" s="564"/>
      <c r="J1181" s="564"/>
      <c r="K1181" s="565"/>
    </row>
    <row r="1182" spans="1:11" ht="43.5" x14ac:dyDescent="0.2">
      <c r="A1182" s="166" t="s">
        <v>779</v>
      </c>
      <c r="B1182" s="116" t="s">
        <v>0</v>
      </c>
      <c r="C1182" s="116" t="s">
        <v>20</v>
      </c>
      <c r="D1182" s="116" t="s">
        <v>21</v>
      </c>
      <c r="E1182" s="116" t="s">
        <v>1</v>
      </c>
      <c r="F1182" s="117" t="s">
        <v>3</v>
      </c>
      <c r="G1182" s="116" t="s">
        <v>216</v>
      </c>
      <c r="H1182" s="180" t="s">
        <v>242</v>
      </c>
      <c r="I1182" s="116" t="s">
        <v>245</v>
      </c>
      <c r="J1182" s="116" t="s">
        <v>217</v>
      </c>
      <c r="K1182" s="116" t="s">
        <v>218</v>
      </c>
    </row>
    <row r="1183" spans="1:11" ht="17.25" x14ac:dyDescent="0.2">
      <c r="B1183" s="406" t="s">
        <v>1671</v>
      </c>
      <c r="C1183" s="97" t="s">
        <v>1672</v>
      </c>
      <c r="D1183" s="97" t="s">
        <v>1549</v>
      </c>
      <c r="E1183" s="107" t="s">
        <v>55</v>
      </c>
      <c r="F1183" s="333">
        <v>14</v>
      </c>
      <c r="G1183" s="335">
        <v>8</v>
      </c>
      <c r="H1183" s="65">
        <v>2</v>
      </c>
      <c r="I1183" s="69">
        <f>IF(G1183="","",SUM(G1183:H1183))</f>
        <v>10</v>
      </c>
      <c r="J1183" s="64">
        <f>IF(G1183="","",ROUNDUP(G1183*0.65,0))</f>
        <v>6</v>
      </c>
      <c r="K1183" s="64">
        <f>IF(G1183="","",ROUNDUP(G1183*0.55,0))</f>
        <v>5</v>
      </c>
    </row>
    <row r="1184" spans="1:11" ht="17.25" x14ac:dyDescent="0.2">
      <c r="B1184" s="406" t="s">
        <v>1673</v>
      </c>
      <c r="C1184" s="97" t="s">
        <v>1674</v>
      </c>
      <c r="D1184" s="97" t="s">
        <v>1549</v>
      </c>
      <c r="E1184" s="107" t="s">
        <v>55</v>
      </c>
      <c r="F1184" s="333">
        <v>14</v>
      </c>
      <c r="G1184" s="335">
        <v>6</v>
      </c>
      <c r="H1184" s="65">
        <v>2</v>
      </c>
      <c r="I1184" s="69">
        <f t="shared" ref="I1184:I1198" si="186">IF(G1184="","",SUM(G1184:H1184))</f>
        <v>8</v>
      </c>
      <c r="J1184" s="64">
        <f t="shared" ref="J1184:J1198" si="187">IF(G1184="","",ROUNDUP(G1184*0.65,0))</f>
        <v>4</v>
      </c>
      <c r="K1184" s="64">
        <f t="shared" ref="K1184:K1198" si="188">IF(G1184="","",ROUNDUP(G1184*0.55,0))</f>
        <v>4</v>
      </c>
    </row>
    <row r="1185" spans="1:11" ht="17.25" x14ac:dyDescent="0.2">
      <c r="B1185" s="406" t="s">
        <v>1675</v>
      </c>
      <c r="C1185" s="97" t="s">
        <v>1676</v>
      </c>
      <c r="D1185" s="97" t="s">
        <v>1549</v>
      </c>
      <c r="E1185" s="107" t="s">
        <v>55</v>
      </c>
      <c r="F1185" s="333">
        <v>14</v>
      </c>
      <c r="G1185" s="335">
        <v>6</v>
      </c>
      <c r="H1185" s="65">
        <v>2</v>
      </c>
      <c r="I1185" s="69">
        <f t="shared" si="186"/>
        <v>8</v>
      </c>
      <c r="J1185" s="64">
        <f t="shared" si="187"/>
        <v>4</v>
      </c>
      <c r="K1185" s="64">
        <f t="shared" si="188"/>
        <v>4</v>
      </c>
    </row>
    <row r="1186" spans="1:11" ht="17.25" x14ac:dyDescent="0.2">
      <c r="B1186" s="406" t="s">
        <v>1677</v>
      </c>
      <c r="C1186" s="97" t="s">
        <v>1678</v>
      </c>
      <c r="D1186" s="97" t="s">
        <v>1549</v>
      </c>
      <c r="E1186" s="107" t="s">
        <v>55</v>
      </c>
      <c r="F1186" s="333">
        <v>14</v>
      </c>
      <c r="G1186" s="335">
        <v>7</v>
      </c>
      <c r="H1186" s="65">
        <v>2</v>
      </c>
      <c r="I1186" s="69">
        <f t="shared" si="186"/>
        <v>9</v>
      </c>
      <c r="J1186" s="64">
        <f t="shared" si="187"/>
        <v>5</v>
      </c>
      <c r="K1186" s="64">
        <f t="shared" si="188"/>
        <v>4</v>
      </c>
    </row>
    <row r="1187" spans="1:11" ht="17.25" x14ac:dyDescent="0.2">
      <c r="B1187" s="406" t="s">
        <v>1679</v>
      </c>
      <c r="C1187" s="97" t="s">
        <v>1549</v>
      </c>
      <c r="D1187" s="97" t="s">
        <v>1680</v>
      </c>
      <c r="E1187" s="107" t="s">
        <v>265</v>
      </c>
      <c r="F1187" s="108">
        <v>12.5</v>
      </c>
      <c r="G1187" s="335">
        <v>6</v>
      </c>
      <c r="H1187" s="65">
        <v>1</v>
      </c>
      <c r="I1187" s="69">
        <f t="shared" si="186"/>
        <v>7</v>
      </c>
      <c r="J1187" s="64">
        <f t="shared" si="187"/>
        <v>4</v>
      </c>
      <c r="K1187" s="64">
        <f t="shared" si="188"/>
        <v>4</v>
      </c>
    </row>
    <row r="1188" spans="1:11" ht="17.25" x14ac:dyDescent="0.2">
      <c r="B1188" s="406" t="s">
        <v>1681</v>
      </c>
      <c r="C1188" s="97" t="s">
        <v>1549</v>
      </c>
      <c r="D1188" s="97" t="s">
        <v>1682</v>
      </c>
      <c r="E1188" s="107" t="s">
        <v>265</v>
      </c>
      <c r="F1188" s="108">
        <v>12.5</v>
      </c>
      <c r="G1188" s="335">
        <v>6</v>
      </c>
      <c r="H1188" s="65">
        <v>2</v>
      </c>
      <c r="I1188" s="69">
        <f t="shared" si="186"/>
        <v>8</v>
      </c>
      <c r="J1188" s="64">
        <f t="shared" si="187"/>
        <v>4</v>
      </c>
      <c r="K1188" s="64">
        <f t="shared" si="188"/>
        <v>4</v>
      </c>
    </row>
    <row r="1189" spans="1:11" ht="17.25" x14ac:dyDescent="0.2">
      <c r="B1189" s="406" t="s">
        <v>1683</v>
      </c>
      <c r="C1189" s="97" t="s">
        <v>1554</v>
      </c>
      <c r="D1189" s="97" t="s">
        <v>1549</v>
      </c>
      <c r="E1189" s="107" t="s">
        <v>265</v>
      </c>
      <c r="F1189" s="108">
        <v>12.5</v>
      </c>
      <c r="G1189" s="335">
        <v>8</v>
      </c>
      <c r="H1189" s="65">
        <v>2</v>
      </c>
      <c r="I1189" s="69">
        <f t="shared" si="186"/>
        <v>10</v>
      </c>
      <c r="J1189" s="64">
        <f t="shared" si="187"/>
        <v>6</v>
      </c>
      <c r="K1189" s="64">
        <f t="shared" si="188"/>
        <v>5</v>
      </c>
    </row>
    <row r="1190" spans="1:11" ht="17.25" x14ac:dyDescent="0.2">
      <c r="B1190" s="344"/>
      <c r="C1190" s="97"/>
      <c r="D1190" s="97"/>
      <c r="E1190" s="107"/>
      <c r="F1190" s="333"/>
      <c r="G1190" s="335"/>
      <c r="H1190" s="65"/>
      <c r="I1190" s="69" t="str">
        <f t="shared" si="186"/>
        <v/>
      </c>
      <c r="J1190" s="64" t="str">
        <f t="shared" si="187"/>
        <v/>
      </c>
      <c r="K1190" s="64" t="str">
        <f t="shared" si="188"/>
        <v/>
      </c>
    </row>
    <row r="1191" spans="1:11" ht="17.25" x14ac:dyDescent="0.2">
      <c r="B1191" s="344"/>
      <c r="C1191" s="97"/>
      <c r="D1191" s="97"/>
      <c r="E1191" s="107"/>
      <c r="F1191" s="108"/>
      <c r="G1191" s="57"/>
      <c r="H1191" s="65"/>
      <c r="I1191" s="69" t="str">
        <f t="shared" si="186"/>
        <v/>
      </c>
      <c r="J1191" s="64" t="str">
        <f t="shared" si="187"/>
        <v/>
      </c>
      <c r="K1191" s="64" t="str">
        <f t="shared" si="188"/>
        <v/>
      </c>
    </row>
    <row r="1192" spans="1:11" ht="17.25" x14ac:dyDescent="0.2">
      <c r="B1192" s="344"/>
      <c r="C1192" s="97"/>
      <c r="D1192" s="97"/>
      <c r="E1192" s="107"/>
      <c r="F1192" s="108"/>
      <c r="G1192" s="57"/>
      <c r="H1192" s="65"/>
      <c r="I1192" s="69" t="str">
        <f t="shared" si="186"/>
        <v/>
      </c>
      <c r="J1192" s="64" t="str">
        <f t="shared" si="187"/>
        <v/>
      </c>
      <c r="K1192" s="64" t="str">
        <f t="shared" si="188"/>
        <v/>
      </c>
    </row>
    <row r="1193" spans="1:11" ht="17.25" x14ac:dyDescent="0.2">
      <c r="B1193" s="344"/>
      <c r="C1193" s="97"/>
      <c r="D1193" s="97"/>
      <c r="E1193" s="107"/>
      <c r="F1193" s="108"/>
      <c r="G1193" s="57"/>
      <c r="H1193" s="65"/>
      <c r="I1193" s="69" t="str">
        <f t="shared" si="186"/>
        <v/>
      </c>
      <c r="J1193" s="64" t="str">
        <f t="shared" si="187"/>
        <v/>
      </c>
      <c r="K1193" s="64" t="str">
        <f t="shared" si="188"/>
        <v/>
      </c>
    </row>
    <row r="1194" spans="1:11" ht="17.25" x14ac:dyDescent="0.2">
      <c r="B1194" s="344"/>
      <c r="C1194" s="97"/>
      <c r="D1194" s="97"/>
      <c r="E1194" s="107"/>
      <c r="F1194" s="108"/>
      <c r="G1194" s="57"/>
      <c r="H1194" s="65"/>
      <c r="I1194" s="69" t="str">
        <f t="shared" si="186"/>
        <v/>
      </c>
      <c r="J1194" s="64" t="str">
        <f t="shared" si="187"/>
        <v/>
      </c>
      <c r="K1194" s="64" t="str">
        <f t="shared" si="188"/>
        <v/>
      </c>
    </row>
    <row r="1195" spans="1:11" ht="17.25" x14ac:dyDescent="0.2">
      <c r="B1195" s="344"/>
      <c r="C1195" s="97"/>
      <c r="D1195" s="97"/>
      <c r="E1195" s="107"/>
      <c r="F1195" s="108"/>
      <c r="G1195" s="57"/>
      <c r="H1195" s="65"/>
      <c r="I1195" s="69" t="str">
        <f t="shared" si="186"/>
        <v/>
      </c>
      <c r="J1195" s="64" t="str">
        <f t="shared" si="187"/>
        <v/>
      </c>
      <c r="K1195" s="64" t="str">
        <f t="shared" si="188"/>
        <v/>
      </c>
    </row>
    <row r="1196" spans="1:11" ht="17.25" x14ac:dyDescent="0.2">
      <c r="B1196" s="344"/>
      <c r="C1196" s="97"/>
      <c r="D1196" s="97"/>
      <c r="E1196" s="107"/>
      <c r="F1196" s="108"/>
      <c r="G1196" s="57"/>
      <c r="H1196" s="65"/>
      <c r="I1196" s="69" t="str">
        <f t="shared" si="186"/>
        <v/>
      </c>
      <c r="J1196" s="64" t="str">
        <f t="shared" si="187"/>
        <v/>
      </c>
      <c r="K1196" s="64" t="str">
        <f t="shared" si="188"/>
        <v/>
      </c>
    </row>
    <row r="1197" spans="1:11" ht="17.25" x14ac:dyDescent="0.2">
      <c r="B1197" s="344"/>
      <c r="C1197" s="97"/>
      <c r="D1197" s="97"/>
      <c r="E1197" s="107"/>
      <c r="F1197" s="108"/>
      <c r="G1197" s="57"/>
      <c r="H1197" s="65"/>
      <c r="I1197" s="69" t="str">
        <f t="shared" si="186"/>
        <v/>
      </c>
      <c r="J1197" s="64" t="str">
        <f t="shared" si="187"/>
        <v/>
      </c>
      <c r="K1197" s="64" t="str">
        <f t="shared" si="188"/>
        <v/>
      </c>
    </row>
    <row r="1198" spans="1:11" ht="17.25" x14ac:dyDescent="0.2">
      <c r="B1198" s="344"/>
      <c r="C1198" s="97"/>
      <c r="D1198" s="97"/>
      <c r="E1198" s="107"/>
      <c r="F1198" s="108"/>
      <c r="G1198" s="57"/>
      <c r="H1198" s="65"/>
      <c r="I1198" s="69" t="str">
        <f t="shared" si="186"/>
        <v/>
      </c>
      <c r="J1198" s="64" t="str">
        <f t="shared" si="187"/>
        <v/>
      </c>
      <c r="K1198" s="64" t="str">
        <f t="shared" si="188"/>
        <v/>
      </c>
    </row>
    <row r="1199" spans="1:11" ht="18" customHeight="1" x14ac:dyDescent="0.2">
      <c r="B1199" s="561" t="s">
        <v>22</v>
      </c>
      <c r="C1199" s="561" t="s">
        <v>177</v>
      </c>
      <c r="D1199" s="561" t="s">
        <v>243</v>
      </c>
      <c r="E1199" s="561" t="s">
        <v>23</v>
      </c>
      <c r="F1199" s="566" t="s">
        <v>234</v>
      </c>
      <c r="G1199" s="567"/>
      <c r="H1199" s="567"/>
      <c r="I1199" s="567"/>
      <c r="J1199" s="567"/>
      <c r="K1199" s="568"/>
    </row>
    <row r="1200" spans="1:11" ht="21" x14ac:dyDescent="0.2">
      <c r="A1200" s="114" t="s">
        <v>1076</v>
      </c>
      <c r="B1200" s="440" t="s">
        <v>2672</v>
      </c>
      <c r="C1200" s="115" t="s">
        <v>1133</v>
      </c>
      <c r="D1200" s="114" t="s">
        <v>1563</v>
      </c>
      <c r="E1200" s="329" t="str">
        <f>IF($O$66="","",$O$66)</f>
        <v>Metropol. de Barbarema - Área 1</v>
      </c>
      <c r="F1200" s="563">
        <f>IF(B1200="","",VLOOKUP(E1200,$O$2:$T$120,6,0))</f>
        <v>50391</v>
      </c>
      <c r="G1200" s="564"/>
      <c r="H1200" s="564"/>
      <c r="I1200" s="564"/>
      <c r="J1200" s="564"/>
      <c r="K1200" s="565"/>
    </row>
    <row r="1201" spans="1:11" ht="43.5" x14ac:dyDescent="0.2">
      <c r="A1201" s="166" t="s">
        <v>779</v>
      </c>
      <c r="B1201" s="116" t="s">
        <v>0</v>
      </c>
      <c r="C1201" s="116" t="s">
        <v>20</v>
      </c>
      <c r="D1201" s="116" t="s">
        <v>21</v>
      </c>
      <c r="E1201" s="116" t="s">
        <v>1</v>
      </c>
      <c r="F1201" s="117" t="s">
        <v>3</v>
      </c>
      <c r="G1201" s="116" t="s">
        <v>216</v>
      </c>
      <c r="H1201" s="180" t="s">
        <v>242</v>
      </c>
      <c r="I1201" s="116" t="s">
        <v>245</v>
      </c>
      <c r="J1201" s="116" t="s">
        <v>217</v>
      </c>
      <c r="K1201" s="116" t="s">
        <v>218</v>
      </c>
    </row>
    <row r="1202" spans="1:11" ht="17.25" x14ac:dyDescent="0.2">
      <c r="B1202" s="407" t="s">
        <v>1705</v>
      </c>
      <c r="C1202" s="103" t="s">
        <v>1706</v>
      </c>
      <c r="D1202" s="97" t="s">
        <v>1707</v>
      </c>
      <c r="E1202" s="107" t="s">
        <v>56</v>
      </c>
      <c r="F1202" s="333">
        <v>17.5</v>
      </c>
      <c r="G1202" s="57">
        <v>13</v>
      </c>
      <c r="H1202" s="65">
        <v>2</v>
      </c>
      <c r="I1202" s="69">
        <f>IF(G1202="","",SUM(G1202:H1202))</f>
        <v>15</v>
      </c>
      <c r="J1202" s="64">
        <f>IF(G1202="","",ROUNDUP(G1202*0.65,0))</f>
        <v>9</v>
      </c>
      <c r="K1202" s="64">
        <f>IF(G1202="","",ROUNDUP(G1202*0.55,0))</f>
        <v>8</v>
      </c>
    </row>
    <row r="1203" spans="1:11" ht="17.25" x14ac:dyDescent="0.2">
      <c r="B1203" s="407" t="s">
        <v>1708</v>
      </c>
      <c r="C1203" s="103" t="s">
        <v>1560</v>
      </c>
      <c r="D1203" s="97" t="s">
        <v>1709</v>
      </c>
      <c r="E1203" s="107" t="s">
        <v>56</v>
      </c>
      <c r="F1203" s="333">
        <v>17.5</v>
      </c>
      <c r="G1203" s="57">
        <v>13</v>
      </c>
      <c r="H1203" s="65">
        <v>2</v>
      </c>
      <c r="I1203" s="69">
        <f t="shared" ref="I1203:I1212" si="189">IF(G1203="","",SUM(G1203:H1203))</f>
        <v>15</v>
      </c>
      <c r="J1203" s="64">
        <f t="shared" ref="J1203:J1217" si="190">IF(G1203="","",ROUNDUP(G1203*0.65,0))</f>
        <v>9</v>
      </c>
      <c r="K1203" s="64">
        <f t="shared" ref="K1203:K1217" si="191">IF(G1203="","",ROUNDUP(G1203*0.55,0))</f>
        <v>8</v>
      </c>
    </row>
    <row r="1204" spans="1:11" ht="17.25" x14ac:dyDescent="0.2">
      <c r="B1204" s="407" t="s">
        <v>1710</v>
      </c>
      <c r="C1204" s="103" t="s">
        <v>1706</v>
      </c>
      <c r="D1204" s="97" t="s">
        <v>1711</v>
      </c>
      <c r="E1204" s="107" t="s">
        <v>1019</v>
      </c>
      <c r="F1204" s="108">
        <v>16.5</v>
      </c>
      <c r="G1204" s="57">
        <v>7</v>
      </c>
      <c r="H1204" s="65">
        <v>3</v>
      </c>
      <c r="I1204" s="69">
        <f t="shared" si="189"/>
        <v>10</v>
      </c>
      <c r="J1204" s="64">
        <f t="shared" si="190"/>
        <v>5</v>
      </c>
      <c r="K1204" s="64">
        <f t="shared" si="191"/>
        <v>4</v>
      </c>
    </row>
    <row r="1205" spans="1:11" ht="17.25" x14ac:dyDescent="0.2">
      <c r="B1205" s="407" t="s">
        <v>1712</v>
      </c>
      <c r="C1205" s="103" t="s">
        <v>1706</v>
      </c>
      <c r="D1205" s="97" t="s">
        <v>1713</v>
      </c>
      <c r="E1205" s="107" t="s">
        <v>55</v>
      </c>
      <c r="F1205" s="333">
        <v>14</v>
      </c>
      <c r="G1205" s="57">
        <v>10</v>
      </c>
      <c r="H1205" s="65">
        <v>2</v>
      </c>
      <c r="I1205" s="69">
        <f t="shared" si="189"/>
        <v>12</v>
      </c>
      <c r="J1205" s="64">
        <f t="shared" si="190"/>
        <v>7</v>
      </c>
      <c r="K1205" s="64">
        <f t="shared" si="191"/>
        <v>6</v>
      </c>
    </row>
    <row r="1206" spans="1:11" ht="17.25" x14ac:dyDescent="0.2">
      <c r="B1206" s="407" t="s">
        <v>1714</v>
      </c>
      <c r="C1206" s="103" t="s">
        <v>1547</v>
      </c>
      <c r="D1206" s="97" t="s">
        <v>1713</v>
      </c>
      <c r="E1206" s="107" t="s">
        <v>55</v>
      </c>
      <c r="F1206" s="333">
        <v>14</v>
      </c>
      <c r="G1206" s="57">
        <v>10</v>
      </c>
      <c r="H1206" s="65">
        <v>3</v>
      </c>
      <c r="I1206" s="69">
        <f t="shared" si="189"/>
        <v>13</v>
      </c>
      <c r="J1206" s="64">
        <f t="shared" si="190"/>
        <v>7</v>
      </c>
      <c r="K1206" s="64">
        <f t="shared" si="191"/>
        <v>6</v>
      </c>
    </row>
    <row r="1207" spans="1:11" ht="17.25" x14ac:dyDescent="0.2">
      <c r="B1207" s="407" t="s">
        <v>1715</v>
      </c>
      <c r="C1207" s="103" t="s">
        <v>1706</v>
      </c>
      <c r="D1207" s="97" t="s">
        <v>1716</v>
      </c>
      <c r="E1207" s="107" t="s">
        <v>265</v>
      </c>
      <c r="F1207" s="108">
        <v>12.5</v>
      </c>
      <c r="G1207" s="57">
        <v>12</v>
      </c>
      <c r="H1207" s="65">
        <v>3</v>
      </c>
      <c r="I1207" s="69">
        <f t="shared" si="189"/>
        <v>15</v>
      </c>
      <c r="J1207" s="64">
        <f t="shared" si="190"/>
        <v>8</v>
      </c>
      <c r="K1207" s="64">
        <f t="shared" si="191"/>
        <v>7</v>
      </c>
    </row>
    <row r="1208" spans="1:11" ht="17.25" x14ac:dyDescent="0.2">
      <c r="B1208" s="332"/>
      <c r="C1208" s="112"/>
      <c r="D1208" s="112"/>
      <c r="E1208" s="107"/>
      <c r="F1208" s="108"/>
      <c r="G1208" s="57"/>
      <c r="H1208" s="65"/>
      <c r="I1208" s="69" t="str">
        <f t="shared" si="189"/>
        <v/>
      </c>
      <c r="J1208" s="64" t="str">
        <f t="shared" si="190"/>
        <v/>
      </c>
      <c r="K1208" s="64" t="str">
        <f t="shared" si="191"/>
        <v/>
      </c>
    </row>
    <row r="1209" spans="1:11" ht="17.25" x14ac:dyDescent="0.2">
      <c r="B1209" s="334"/>
      <c r="C1209" s="112"/>
      <c r="D1209" s="112"/>
      <c r="E1209" s="107"/>
      <c r="F1209" s="108"/>
      <c r="G1209" s="335"/>
      <c r="H1209" s="65"/>
      <c r="I1209" s="69" t="str">
        <f t="shared" si="189"/>
        <v/>
      </c>
      <c r="J1209" s="64" t="str">
        <f t="shared" si="190"/>
        <v/>
      </c>
      <c r="K1209" s="64" t="str">
        <f t="shared" si="191"/>
        <v/>
      </c>
    </row>
    <row r="1210" spans="1:11" ht="17.25" x14ac:dyDescent="0.2">
      <c r="B1210" s="332"/>
      <c r="C1210" s="112"/>
      <c r="D1210" s="113"/>
      <c r="E1210" s="107"/>
      <c r="F1210" s="108"/>
      <c r="G1210" s="57"/>
      <c r="H1210" s="65"/>
      <c r="I1210" s="69" t="str">
        <f t="shared" si="189"/>
        <v/>
      </c>
      <c r="J1210" s="64" t="str">
        <f t="shared" si="190"/>
        <v/>
      </c>
      <c r="K1210" s="64" t="str">
        <f t="shared" si="191"/>
        <v/>
      </c>
    </row>
    <row r="1211" spans="1:11" ht="17.25" x14ac:dyDescent="0.2">
      <c r="B1211" s="332"/>
      <c r="C1211" s="112"/>
      <c r="D1211" s="112"/>
      <c r="E1211" s="107"/>
      <c r="F1211" s="108"/>
      <c r="G1211" s="57"/>
      <c r="H1211" s="65"/>
      <c r="I1211" s="69" t="str">
        <f t="shared" si="189"/>
        <v/>
      </c>
      <c r="J1211" s="64" t="str">
        <f t="shared" si="190"/>
        <v/>
      </c>
      <c r="K1211" s="64" t="str">
        <f t="shared" si="191"/>
        <v/>
      </c>
    </row>
    <row r="1212" spans="1:11" ht="17.25" x14ac:dyDescent="0.2">
      <c r="B1212" s="332"/>
      <c r="C1212" s="112"/>
      <c r="D1212" s="112"/>
      <c r="E1212" s="107"/>
      <c r="F1212" s="108"/>
      <c r="G1212" s="57"/>
      <c r="H1212" s="65"/>
      <c r="I1212" s="69" t="str">
        <f t="shared" si="189"/>
        <v/>
      </c>
      <c r="J1212" s="64" t="str">
        <f t="shared" si="190"/>
        <v/>
      </c>
      <c r="K1212" s="64" t="str">
        <f t="shared" si="191"/>
        <v/>
      </c>
    </row>
    <row r="1213" spans="1:11" ht="17.25" x14ac:dyDescent="0.2">
      <c r="B1213" s="332"/>
      <c r="C1213" s="112"/>
      <c r="D1213" s="112"/>
      <c r="E1213" s="107"/>
      <c r="F1213" s="108"/>
      <c r="G1213" s="57"/>
      <c r="H1213" s="65"/>
      <c r="I1213" s="69"/>
      <c r="J1213" s="64" t="str">
        <f t="shared" si="190"/>
        <v/>
      </c>
      <c r="K1213" s="64" t="str">
        <f t="shared" si="191"/>
        <v/>
      </c>
    </row>
    <row r="1214" spans="1:11" ht="17.25" x14ac:dyDescent="0.2">
      <c r="B1214" s="332"/>
      <c r="C1214" s="112"/>
      <c r="D1214" s="112"/>
      <c r="E1214" s="107"/>
      <c r="F1214" s="108"/>
      <c r="G1214" s="57"/>
      <c r="H1214" s="65"/>
      <c r="I1214" s="69"/>
      <c r="J1214" s="64" t="str">
        <f t="shared" si="190"/>
        <v/>
      </c>
      <c r="K1214" s="64" t="str">
        <f t="shared" si="191"/>
        <v/>
      </c>
    </row>
    <row r="1215" spans="1:11" ht="17.25" x14ac:dyDescent="0.2">
      <c r="B1215" s="332"/>
      <c r="C1215" s="112"/>
      <c r="D1215" s="112"/>
      <c r="E1215" s="107"/>
      <c r="F1215" s="108"/>
      <c r="G1215" s="57"/>
      <c r="H1215" s="65"/>
      <c r="I1215" s="69"/>
      <c r="J1215" s="64" t="str">
        <f t="shared" si="190"/>
        <v/>
      </c>
      <c r="K1215" s="64" t="str">
        <f t="shared" si="191"/>
        <v/>
      </c>
    </row>
    <row r="1216" spans="1:11" ht="17.25" x14ac:dyDescent="0.2">
      <c r="B1216" s="332"/>
      <c r="C1216" s="112"/>
      <c r="D1216" s="112"/>
      <c r="E1216" s="107"/>
      <c r="F1216" s="108"/>
      <c r="G1216" s="57"/>
      <c r="H1216" s="65"/>
      <c r="I1216" s="69"/>
      <c r="J1216" s="64" t="str">
        <f t="shared" si="190"/>
        <v/>
      </c>
      <c r="K1216" s="64" t="str">
        <f t="shared" si="191"/>
        <v/>
      </c>
    </row>
    <row r="1217" spans="1:11" ht="17.25" x14ac:dyDescent="0.2">
      <c r="B1217" s="332"/>
      <c r="C1217" s="112"/>
      <c r="D1217" s="112"/>
      <c r="E1217" s="107"/>
      <c r="F1217" s="108"/>
      <c r="G1217" s="57"/>
      <c r="H1217" s="65"/>
      <c r="I1217" s="69"/>
      <c r="J1217" s="64" t="str">
        <f t="shared" si="190"/>
        <v/>
      </c>
      <c r="K1217" s="64" t="str">
        <f t="shared" si="191"/>
        <v/>
      </c>
    </row>
    <row r="1218" spans="1:11" ht="18" customHeight="1" x14ac:dyDescent="0.2">
      <c r="B1218" s="561" t="s">
        <v>22</v>
      </c>
      <c r="C1218" s="561" t="s">
        <v>177</v>
      </c>
      <c r="D1218" s="561" t="s">
        <v>243</v>
      </c>
      <c r="E1218" s="561" t="s">
        <v>23</v>
      </c>
      <c r="F1218" s="562" t="s">
        <v>234</v>
      </c>
      <c r="G1218" s="562"/>
      <c r="H1218" s="562"/>
      <c r="I1218" s="562"/>
      <c r="J1218" s="562"/>
      <c r="K1218" s="562"/>
    </row>
    <row r="1219" spans="1:11" ht="21" x14ac:dyDescent="0.2">
      <c r="A1219" s="114" t="s">
        <v>1077</v>
      </c>
      <c r="B1219" s="437" t="s">
        <v>2682</v>
      </c>
      <c r="C1219" s="115" t="s">
        <v>2699</v>
      </c>
      <c r="D1219" s="114" t="s">
        <v>1209</v>
      </c>
      <c r="E1219" s="329" t="str">
        <f>IF($O$67="","",$O$67)</f>
        <v>Metropol. de Barbarema - Área 2</v>
      </c>
      <c r="F1219" s="563">
        <f>IF(B1219="","",VLOOKUP(E1219,$O$2:$T$120,6,0))</f>
        <v>62021</v>
      </c>
      <c r="G1219" s="564"/>
      <c r="H1219" s="564"/>
      <c r="I1219" s="564"/>
      <c r="J1219" s="564"/>
      <c r="K1219" s="565"/>
    </row>
    <row r="1220" spans="1:11" ht="43.5" x14ac:dyDescent="0.2">
      <c r="A1220" s="166" t="s">
        <v>779</v>
      </c>
      <c r="B1220" s="116" t="s">
        <v>0</v>
      </c>
      <c r="C1220" s="116" t="s">
        <v>20</v>
      </c>
      <c r="D1220" s="116" t="s">
        <v>21</v>
      </c>
      <c r="E1220" s="116" t="s">
        <v>1</v>
      </c>
      <c r="F1220" s="117" t="s">
        <v>3</v>
      </c>
      <c r="G1220" s="116" t="s">
        <v>216</v>
      </c>
      <c r="H1220" s="180" t="s">
        <v>242</v>
      </c>
      <c r="I1220" s="116" t="s">
        <v>245</v>
      </c>
      <c r="J1220" s="116" t="s">
        <v>217</v>
      </c>
      <c r="K1220" s="116" t="s">
        <v>218</v>
      </c>
    </row>
    <row r="1221" spans="1:11" ht="17.25" x14ac:dyDescent="0.2">
      <c r="B1221" s="407" t="s">
        <v>1717</v>
      </c>
      <c r="C1221" s="112" t="s">
        <v>1706</v>
      </c>
      <c r="D1221" s="113" t="s">
        <v>1709</v>
      </c>
      <c r="E1221" s="107" t="s">
        <v>56</v>
      </c>
      <c r="F1221" s="333">
        <v>17.5</v>
      </c>
      <c r="G1221" s="57">
        <v>13</v>
      </c>
      <c r="H1221" s="65">
        <v>2</v>
      </c>
      <c r="I1221" s="69">
        <f>IF(G1221="","",SUM(G1221:H1221))</f>
        <v>15</v>
      </c>
      <c r="J1221" s="64">
        <f>IF(G1221="","",ROUNDUP(G1221*0.65,0))</f>
        <v>9</v>
      </c>
      <c r="K1221" s="64">
        <f>IF(G1221="","",ROUNDUP(G1221*0.55,0))</f>
        <v>8</v>
      </c>
    </row>
    <row r="1222" spans="1:11" ht="17.25" x14ac:dyDescent="0.2">
      <c r="B1222" s="407" t="s">
        <v>1718</v>
      </c>
      <c r="C1222" s="112" t="s">
        <v>1547</v>
      </c>
      <c r="D1222" s="113" t="s">
        <v>1709</v>
      </c>
      <c r="E1222" s="107" t="s">
        <v>56</v>
      </c>
      <c r="F1222" s="333">
        <v>17.5</v>
      </c>
      <c r="G1222" s="57">
        <v>13</v>
      </c>
      <c r="H1222" s="65">
        <v>2</v>
      </c>
      <c r="I1222" s="69">
        <f t="shared" ref="I1222:I1227" si="192">IF(G1222="","",SUM(G1222:H1222))</f>
        <v>15</v>
      </c>
      <c r="J1222" s="64">
        <f t="shared" ref="J1222:J1236" si="193">IF(G1222="","",ROUNDUP(G1222*0.65,0))</f>
        <v>9</v>
      </c>
      <c r="K1222" s="64">
        <f t="shared" ref="K1222:K1236" si="194">IF(G1222="","",ROUNDUP(G1222*0.55,0))</f>
        <v>8</v>
      </c>
    </row>
    <row r="1223" spans="1:11" ht="17.25" x14ac:dyDescent="0.2">
      <c r="B1223" s="407" t="s">
        <v>1719</v>
      </c>
      <c r="C1223" s="112" t="s">
        <v>1706</v>
      </c>
      <c r="D1223" s="113" t="s">
        <v>1720</v>
      </c>
      <c r="E1223" s="107" t="s">
        <v>55</v>
      </c>
      <c r="F1223" s="333">
        <v>14</v>
      </c>
      <c r="G1223" s="57">
        <v>12</v>
      </c>
      <c r="H1223" s="65">
        <v>3</v>
      </c>
      <c r="I1223" s="69">
        <f t="shared" si="192"/>
        <v>15</v>
      </c>
      <c r="J1223" s="64">
        <f t="shared" si="193"/>
        <v>8</v>
      </c>
      <c r="K1223" s="64">
        <f t="shared" si="194"/>
        <v>7</v>
      </c>
    </row>
    <row r="1224" spans="1:11" ht="17.25" x14ac:dyDescent="0.2">
      <c r="B1224" s="407" t="s">
        <v>1721</v>
      </c>
      <c r="C1224" s="112" t="s">
        <v>1560</v>
      </c>
      <c r="D1224" s="113" t="s">
        <v>1716</v>
      </c>
      <c r="E1224" s="107" t="s">
        <v>265</v>
      </c>
      <c r="F1224" s="108">
        <v>12.5</v>
      </c>
      <c r="G1224" s="57">
        <v>12</v>
      </c>
      <c r="H1224" s="65">
        <v>3</v>
      </c>
      <c r="I1224" s="69">
        <f t="shared" si="192"/>
        <v>15</v>
      </c>
      <c r="J1224" s="64">
        <f t="shared" si="193"/>
        <v>8</v>
      </c>
      <c r="K1224" s="64">
        <f t="shared" si="194"/>
        <v>7</v>
      </c>
    </row>
    <row r="1225" spans="1:11" ht="17.25" x14ac:dyDescent="0.2">
      <c r="B1225" s="407" t="s">
        <v>1722</v>
      </c>
      <c r="C1225" s="112" t="s">
        <v>1547</v>
      </c>
      <c r="D1225" s="113" t="s">
        <v>1716</v>
      </c>
      <c r="E1225" s="107" t="s">
        <v>265</v>
      </c>
      <c r="F1225" s="108">
        <v>12.5</v>
      </c>
      <c r="G1225" s="57">
        <v>15</v>
      </c>
      <c r="H1225" s="65">
        <v>2</v>
      </c>
      <c r="I1225" s="69">
        <f t="shared" si="192"/>
        <v>17</v>
      </c>
      <c r="J1225" s="64">
        <f t="shared" si="193"/>
        <v>10</v>
      </c>
      <c r="K1225" s="64">
        <f t="shared" si="194"/>
        <v>9</v>
      </c>
    </row>
    <row r="1226" spans="1:11" ht="17.25" x14ac:dyDescent="0.2">
      <c r="B1226" s="407" t="s">
        <v>1723</v>
      </c>
      <c r="C1226" s="112" t="s">
        <v>1706</v>
      </c>
      <c r="D1226" s="113" t="s">
        <v>1724</v>
      </c>
      <c r="E1226" s="107" t="s">
        <v>265</v>
      </c>
      <c r="F1226" s="108">
        <v>12.5</v>
      </c>
      <c r="G1226" s="57">
        <v>15</v>
      </c>
      <c r="H1226" s="65">
        <v>3</v>
      </c>
      <c r="I1226" s="69">
        <f t="shared" si="192"/>
        <v>18</v>
      </c>
      <c r="J1226" s="64">
        <f t="shared" si="193"/>
        <v>10</v>
      </c>
      <c r="K1226" s="64">
        <f t="shared" si="194"/>
        <v>9</v>
      </c>
    </row>
    <row r="1227" spans="1:11" ht="17.25" x14ac:dyDescent="0.2">
      <c r="B1227" s="336"/>
      <c r="C1227" s="112"/>
      <c r="D1227" s="113"/>
      <c r="E1227" s="107"/>
      <c r="F1227" s="108"/>
      <c r="G1227" s="57"/>
      <c r="H1227" s="65"/>
      <c r="I1227" s="69" t="str">
        <f t="shared" si="192"/>
        <v/>
      </c>
      <c r="J1227" s="64" t="str">
        <f t="shared" si="193"/>
        <v/>
      </c>
      <c r="K1227" s="64" t="str">
        <f t="shared" si="194"/>
        <v/>
      </c>
    </row>
    <row r="1228" spans="1:11" ht="17.25" x14ac:dyDescent="0.2">
      <c r="B1228" s="336"/>
      <c r="C1228" s="112"/>
      <c r="D1228" s="113"/>
      <c r="E1228" s="107"/>
      <c r="F1228" s="108"/>
      <c r="G1228" s="57"/>
      <c r="H1228" s="65"/>
      <c r="I1228" s="69"/>
      <c r="J1228" s="64" t="str">
        <f t="shared" si="193"/>
        <v/>
      </c>
      <c r="K1228" s="64" t="str">
        <f t="shared" si="194"/>
        <v/>
      </c>
    </row>
    <row r="1229" spans="1:11" ht="17.25" x14ac:dyDescent="0.2">
      <c r="B1229" s="336"/>
      <c r="C1229" s="112"/>
      <c r="D1229" s="113"/>
      <c r="E1229" s="107"/>
      <c r="F1229" s="108"/>
      <c r="G1229" s="57"/>
      <c r="H1229" s="65"/>
      <c r="I1229" s="69"/>
      <c r="J1229" s="64" t="str">
        <f t="shared" si="193"/>
        <v/>
      </c>
      <c r="K1229" s="64" t="str">
        <f t="shared" si="194"/>
        <v/>
      </c>
    </row>
    <row r="1230" spans="1:11" ht="17.25" x14ac:dyDescent="0.2">
      <c r="B1230" s="336"/>
      <c r="C1230" s="112"/>
      <c r="D1230" s="113"/>
      <c r="E1230" s="107"/>
      <c r="F1230" s="108"/>
      <c r="G1230" s="57"/>
      <c r="H1230" s="65"/>
      <c r="I1230" s="69"/>
      <c r="J1230" s="64" t="str">
        <f t="shared" si="193"/>
        <v/>
      </c>
      <c r="K1230" s="64" t="str">
        <f t="shared" si="194"/>
        <v/>
      </c>
    </row>
    <row r="1231" spans="1:11" ht="17.25" x14ac:dyDescent="0.2">
      <c r="B1231" s="336"/>
      <c r="C1231" s="99"/>
      <c r="D1231" s="99"/>
      <c r="E1231" s="107"/>
      <c r="F1231" s="108"/>
      <c r="G1231" s="57"/>
      <c r="H1231" s="65"/>
      <c r="I1231" s="69"/>
      <c r="J1231" s="64" t="str">
        <f t="shared" si="193"/>
        <v/>
      </c>
      <c r="K1231" s="64" t="str">
        <f t="shared" si="194"/>
        <v/>
      </c>
    </row>
    <row r="1232" spans="1:11" ht="17.25" x14ac:dyDescent="0.2">
      <c r="B1232" s="336"/>
      <c r="C1232" s="99"/>
      <c r="D1232" s="99"/>
      <c r="E1232" s="107"/>
      <c r="F1232" s="108"/>
      <c r="G1232" s="57"/>
      <c r="H1232" s="65"/>
      <c r="I1232" s="69"/>
      <c r="J1232" s="64" t="str">
        <f t="shared" si="193"/>
        <v/>
      </c>
      <c r="K1232" s="64" t="str">
        <f t="shared" si="194"/>
        <v/>
      </c>
    </row>
    <row r="1233" spans="1:11" ht="17.25" x14ac:dyDescent="0.2">
      <c r="B1233" s="336"/>
      <c r="C1233" s="99"/>
      <c r="D1233" s="99"/>
      <c r="E1233" s="107"/>
      <c r="F1233" s="108"/>
      <c r="G1233" s="57"/>
      <c r="H1233" s="65"/>
      <c r="I1233" s="69"/>
      <c r="J1233" s="64" t="str">
        <f t="shared" si="193"/>
        <v/>
      </c>
      <c r="K1233" s="64" t="str">
        <f t="shared" si="194"/>
        <v/>
      </c>
    </row>
    <row r="1234" spans="1:11" ht="17.25" x14ac:dyDescent="0.2">
      <c r="B1234" s="336"/>
      <c r="C1234" s="99"/>
      <c r="D1234" s="99"/>
      <c r="E1234" s="107"/>
      <c r="F1234" s="108"/>
      <c r="G1234" s="57"/>
      <c r="H1234" s="65"/>
      <c r="I1234" s="69"/>
      <c r="J1234" s="64" t="str">
        <f t="shared" si="193"/>
        <v/>
      </c>
      <c r="K1234" s="64" t="str">
        <f t="shared" si="194"/>
        <v/>
      </c>
    </row>
    <row r="1235" spans="1:11" ht="17.25" x14ac:dyDescent="0.2">
      <c r="B1235" s="336"/>
      <c r="C1235" s="99"/>
      <c r="D1235" s="99"/>
      <c r="E1235" s="107"/>
      <c r="F1235" s="108"/>
      <c r="G1235" s="57"/>
      <c r="H1235" s="65"/>
      <c r="I1235" s="69"/>
      <c r="J1235" s="64" t="str">
        <f t="shared" si="193"/>
        <v/>
      </c>
      <c r="K1235" s="64" t="str">
        <f t="shared" si="194"/>
        <v/>
      </c>
    </row>
    <row r="1236" spans="1:11" ht="17.25" x14ac:dyDescent="0.2">
      <c r="B1236" s="336"/>
      <c r="C1236" s="99"/>
      <c r="D1236" s="99"/>
      <c r="E1236" s="107"/>
      <c r="F1236" s="108"/>
      <c r="G1236" s="57"/>
      <c r="H1236" s="65"/>
      <c r="I1236" s="69"/>
      <c r="J1236" s="64" t="str">
        <f t="shared" si="193"/>
        <v/>
      </c>
      <c r="K1236" s="64" t="str">
        <f t="shared" si="194"/>
        <v/>
      </c>
    </row>
    <row r="1237" spans="1:11" ht="18" customHeight="1" x14ac:dyDescent="0.2">
      <c r="B1237" s="561" t="s">
        <v>22</v>
      </c>
      <c r="C1237" s="561" t="s">
        <v>177</v>
      </c>
      <c r="D1237" s="561" t="s">
        <v>243</v>
      </c>
      <c r="E1237" s="561" t="s">
        <v>23</v>
      </c>
      <c r="F1237" s="562" t="s">
        <v>234</v>
      </c>
      <c r="G1237" s="562"/>
      <c r="H1237" s="562"/>
      <c r="I1237" s="562"/>
      <c r="J1237" s="562"/>
      <c r="K1237" s="562"/>
    </row>
    <row r="1238" spans="1:11" ht="21" x14ac:dyDescent="0.2">
      <c r="A1238" s="114" t="s">
        <v>1078</v>
      </c>
      <c r="B1238" s="434" t="s">
        <v>2716</v>
      </c>
      <c r="C1238" s="115" t="s">
        <v>498</v>
      </c>
      <c r="D1238" s="114" t="s">
        <v>639</v>
      </c>
      <c r="E1238" s="329" t="str">
        <f>IF($O$68="","",$O$68)</f>
        <v>Metropol. de Itajubinha - Área 1</v>
      </c>
      <c r="F1238" s="563">
        <f>IF(B1238="","",VLOOKUP(E1238,$O$2:$T$120,6,0))</f>
        <v>59694</v>
      </c>
      <c r="G1238" s="564"/>
      <c r="H1238" s="564"/>
      <c r="I1238" s="564"/>
      <c r="J1238" s="564"/>
      <c r="K1238" s="565"/>
    </row>
    <row r="1239" spans="1:11" ht="43.5" x14ac:dyDescent="0.2">
      <c r="A1239" s="166" t="s">
        <v>779</v>
      </c>
      <c r="B1239" s="116" t="s">
        <v>0</v>
      </c>
      <c r="C1239" s="116" t="s">
        <v>20</v>
      </c>
      <c r="D1239" s="116" t="s">
        <v>21</v>
      </c>
      <c r="E1239" s="116" t="s">
        <v>1</v>
      </c>
      <c r="F1239" s="117" t="s">
        <v>3</v>
      </c>
      <c r="G1239" s="116" t="s">
        <v>216</v>
      </c>
      <c r="H1239" s="180" t="s">
        <v>242</v>
      </c>
      <c r="I1239" s="116" t="s">
        <v>245</v>
      </c>
      <c r="J1239" s="116" t="s">
        <v>217</v>
      </c>
      <c r="K1239" s="116" t="s">
        <v>218</v>
      </c>
    </row>
    <row r="1240" spans="1:11" ht="17.25" x14ac:dyDescent="0.2">
      <c r="B1240" s="405" t="s">
        <v>1725</v>
      </c>
      <c r="C1240" s="112" t="s">
        <v>1591</v>
      </c>
      <c r="D1240" s="113" t="s">
        <v>1726</v>
      </c>
      <c r="E1240" s="107" t="s">
        <v>56</v>
      </c>
      <c r="F1240" s="333">
        <v>17.5</v>
      </c>
      <c r="G1240" s="57">
        <v>13</v>
      </c>
      <c r="H1240" s="65">
        <v>2</v>
      </c>
      <c r="I1240" s="69">
        <f>IF(G1240="","",SUM(G1240:H1240))</f>
        <v>15</v>
      </c>
      <c r="J1240" s="64">
        <f>IF(G1240="","",ROUNDUP(G1240*0.65,0))</f>
        <v>9</v>
      </c>
      <c r="K1240" s="64">
        <f>IF(G1240="","",ROUNDUP(G1240*0.55,0))</f>
        <v>8</v>
      </c>
    </row>
    <row r="1241" spans="1:11" ht="17.25" x14ac:dyDescent="0.2">
      <c r="B1241" s="405" t="s">
        <v>1727</v>
      </c>
      <c r="C1241" s="112" t="s">
        <v>1591</v>
      </c>
      <c r="D1241" s="113" t="s">
        <v>1728</v>
      </c>
      <c r="E1241" s="107" t="s">
        <v>55</v>
      </c>
      <c r="F1241" s="333">
        <v>14</v>
      </c>
      <c r="G1241" s="57">
        <v>12</v>
      </c>
      <c r="H1241" s="65">
        <v>3</v>
      </c>
      <c r="I1241" s="69">
        <f t="shared" ref="I1241:I1246" si="195">IF(G1241="","",SUM(G1241:H1241))</f>
        <v>15</v>
      </c>
      <c r="J1241" s="64">
        <f t="shared" ref="J1241:J1255" si="196">IF(G1241="","",ROUNDUP(G1241*0.65,0))</f>
        <v>8</v>
      </c>
      <c r="K1241" s="64">
        <f t="shared" ref="K1241:K1255" si="197">IF(G1241="","",ROUNDUP(G1241*0.55,0))</f>
        <v>7</v>
      </c>
    </row>
    <row r="1242" spans="1:11" ht="17.25" x14ac:dyDescent="0.2">
      <c r="B1242" s="405" t="s">
        <v>1729</v>
      </c>
      <c r="C1242" s="112" t="s">
        <v>1591</v>
      </c>
      <c r="D1242" s="113" t="s">
        <v>1730</v>
      </c>
      <c r="E1242" s="107" t="s">
        <v>55</v>
      </c>
      <c r="F1242" s="333">
        <v>14</v>
      </c>
      <c r="G1242" s="57">
        <v>13</v>
      </c>
      <c r="H1242" s="65">
        <v>2</v>
      </c>
      <c r="I1242" s="69">
        <f t="shared" si="195"/>
        <v>15</v>
      </c>
      <c r="J1242" s="64">
        <f t="shared" si="196"/>
        <v>9</v>
      </c>
      <c r="K1242" s="64">
        <f t="shared" si="197"/>
        <v>8</v>
      </c>
    </row>
    <row r="1243" spans="1:11" ht="17.25" x14ac:dyDescent="0.2">
      <c r="B1243" s="405" t="s">
        <v>1731</v>
      </c>
      <c r="C1243" s="112" t="s">
        <v>1591</v>
      </c>
      <c r="D1243" s="113" t="s">
        <v>1732</v>
      </c>
      <c r="E1243" s="107" t="s">
        <v>265</v>
      </c>
      <c r="F1243" s="108">
        <v>12.5</v>
      </c>
      <c r="G1243" s="57">
        <v>12</v>
      </c>
      <c r="H1243" s="65">
        <v>2</v>
      </c>
      <c r="I1243" s="69">
        <f t="shared" si="195"/>
        <v>14</v>
      </c>
      <c r="J1243" s="64">
        <f t="shared" si="196"/>
        <v>8</v>
      </c>
      <c r="K1243" s="64">
        <f t="shared" si="197"/>
        <v>7</v>
      </c>
    </row>
    <row r="1244" spans="1:11" ht="17.25" x14ac:dyDescent="0.2">
      <c r="B1244" s="405" t="s">
        <v>1733</v>
      </c>
      <c r="C1244" s="112" t="s">
        <v>1591</v>
      </c>
      <c r="D1244" s="113" t="s">
        <v>1734</v>
      </c>
      <c r="E1244" s="107" t="s">
        <v>265</v>
      </c>
      <c r="F1244" s="108">
        <v>12.5</v>
      </c>
      <c r="G1244" s="57">
        <v>12</v>
      </c>
      <c r="H1244" s="65">
        <v>2</v>
      </c>
      <c r="I1244" s="69">
        <f t="shared" si="195"/>
        <v>14</v>
      </c>
      <c r="J1244" s="64">
        <f t="shared" si="196"/>
        <v>8</v>
      </c>
      <c r="K1244" s="64">
        <f t="shared" si="197"/>
        <v>7</v>
      </c>
    </row>
    <row r="1245" spans="1:11" ht="17.25" x14ac:dyDescent="0.2">
      <c r="B1245" s="405" t="s">
        <v>1735</v>
      </c>
      <c r="C1245" s="112" t="s">
        <v>1591</v>
      </c>
      <c r="D1245" s="113" t="s">
        <v>1736</v>
      </c>
      <c r="E1245" s="107" t="s">
        <v>265</v>
      </c>
      <c r="F1245" s="108">
        <v>12.5</v>
      </c>
      <c r="G1245" s="57">
        <v>15</v>
      </c>
      <c r="H1245" s="65">
        <v>2</v>
      </c>
      <c r="I1245" s="69">
        <f t="shared" si="195"/>
        <v>17</v>
      </c>
      <c r="J1245" s="64">
        <f t="shared" si="196"/>
        <v>10</v>
      </c>
      <c r="K1245" s="64">
        <f t="shared" si="197"/>
        <v>9</v>
      </c>
    </row>
    <row r="1246" spans="1:11" ht="17.25" x14ac:dyDescent="0.2">
      <c r="B1246" s="338"/>
      <c r="C1246" s="112"/>
      <c r="D1246" s="113"/>
      <c r="E1246" s="107"/>
      <c r="F1246" s="108"/>
      <c r="G1246" s="57"/>
      <c r="H1246" s="65"/>
      <c r="I1246" s="69" t="str">
        <f t="shared" si="195"/>
        <v/>
      </c>
      <c r="J1246" s="64" t="str">
        <f t="shared" si="196"/>
        <v/>
      </c>
      <c r="K1246" s="64" t="str">
        <f t="shared" si="197"/>
        <v/>
      </c>
    </row>
    <row r="1247" spans="1:11" ht="17.25" x14ac:dyDescent="0.2">
      <c r="B1247" s="338"/>
      <c r="C1247" s="112"/>
      <c r="D1247" s="113"/>
      <c r="E1247" s="107"/>
      <c r="F1247" s="108"/>
      <c r="G1247" s="57"/>
      <c r="H1247" s="65"/>
      <c r="I1247" s="69"/>
      <c r="J1247" s="64" t="str">
        <f t="shared" si="196"/>
        <v/>
      </c>
      <c r="K1247" s="64" t="str">
        <f t="shared" si="197"/>
        <v/>
      </c>
    </row>
    <row r="1248" spans="1:11" ht="17.25" x14ac:dyDescent="0.2">
      <c r="B1248" s="338"/>
      <c r="C1248" s="112"/>
      <c r="D1248" s="113"/>
      <c r="E1248" s="107"/>
      <c r="F1248" s="108"/>
      <c r="G1248" s="57"/>
      <c r="H1248" s="65"/>
      <c r="I1248" s="69"/>
      <c r="J1248" s="64" t="str">
        <f t="shared" si="196"/>
        <v/>
      </c>
      <c r="K1248" s="64" t="str">
        <f t="shared" si="197"/>
        <v/>
      </c>
    </row>
    <row r="1249" spans="1:11" ht="17.25" x14ac:dyDescent="0.2">
      <c r="B1249" s="338"/>
      <c r="C1249" s="112"/>
      <c r="D1249" s="113"/>
      <c r="E1249" s="107"/>
      <c r="F1249" s="108"/>
      <c r="G1249" s="57"/>
      <c r="H1249" s="65"/>
      <c r="I1249" s="69"/>
      <c r="J1249" s="64" t="str">
        <f t="shared" si="196"/>
        <v/>
      </c>
      <c r="K1249" s="64" t="str">
        <f t="shared" si="197"/>
        <v/>
      </c>
    </row>
    <row r="1250" spans="1:11" ht="17.25" x14ac:dyDescent="0.2">
      <c r="B1250" s="338"/>
      <c r="C1250" s="109"/>
      <c r="D1250" s="109"/>
      <c r="E1250" s="107"/>
      <c r="F1250" s="108"/>
      <c r="G1250" s="64"/>
      <c r="H1250" s="65"/>
      <c r="I1250" s="69"/>
      <c r="J1250" s="64" t="str">
        <f t="shared" si="196"/>
        <v/>
      </c>
      <c r="K1250" s="64" t="str">
        <f t="shared" si="197"/>
        <v/>
      </c>
    </row>
    <row r="1251" spans="1:11" ht="17.25" x14ac:dyDescent="0.2">
      <c r="B1251" s="338"/>
      <c r="C1251" s="109"/>
      <c r="D1251" s="109"/>
      <c r="E1251" s="107"/>
      <c r="F1251" s="108"/>
      <c r="G1251" s="64"/>
      <c r="H1251" s="65"/>
      <c r="I1251" s="69"/>
      <c r="J1251" s="64" t="str">
        <f t="shared" si="196"/>
        <v/>
      </c>
      <c r="K1251" s="64" t="str">
        <f t="shared" si="197"/>
        <v/>
      </c>
    </row>
    <row r="1252" spans="1:11" ht="17.25" x14ac:dyDescent="0.2">
      <c r="B1252" s="338"/>
      <c r="C1252" s="109"/>
      <c r="D1252" s="109"/>
      <c r="E1252" s="107"/>
      <c r="F1252" s="108"/>
      <c r="G1252" s="64"/>
      <c r="H1252" s="65"/>
      <c r="I1252" s="69"/>
      <c r="J1252" s="64" t="str">
        <f t="shared" si="196"/>
        <v/>
      </c>
      <c r="K1252" s="64" t="str">
        <f t="shared" si="197"/>
        <v/>
      </c>
    </row>
    <row r="1253" spans="1:11" ht="17.25" x14ac:dyDescent="0.2">
      <c r="B1253" s="338"/>
      <c r="C1253" s="109"/>
      <c r="D1253" s="109"/>
      <c r="E1253" s="107"/>
      <c r="F1253" s="108"/>
      <c r="G1253" s="64"/>
      <c r="H1253" s="65"/>
      <c r="I1253" s="69"/>
      <c r="J1253" s="64" t="str">
        <f t="shared" si="196"/>
        <v/>
      </c>
      <c r="K1253" s="64" t="str">
        <f t="shared" si="197"/>
        <v/>
      </c>
    </row>
    <row r="1254" spans="1:11" ht="17.25" x14ac:dyDescent="0.2">
      <c r="B1254" s="338"/>
      <c r="C1254" s="109"/>
      <c r="D1254" s="109"/>
      <c r="E1254" s="107"/>
      <c r="F1254" s="108"/>
      <c r="G1254" s="64"/>
      <c r="H1254" s="65"/>
      <c r="I1254" s="69"/>
      <c r="J1254" s="64" t="str">
        <f t="shared" si="196"/>
        <v/>
      </c>
      <c r="K1254" s="64" t="str">
        <f t="shared" si="197"/>
        <v/>
      </c>
    </row>
    <row r="1255" spans="1:11" ht="17.25" x14ac:dyDescent="0.2">
      <c r="B1255" s="338"/>
      <c r="C1255" s="109"/>
      <c r="D1255" s="109"/>
      <c r="E1255" s="107"/>
      <c r="F1255" s="108"/>
      <c r="G1255" s="64"/>
      <c r="H1255" s="65"/>
      <c r="I1255" s="69"/>
      <c r="J1255" s="64" t="str">
        <f t="shared" si="196"/>
        <v/>
      </c>
      <c r="K1255" s="64" t="str">
        <f t="shared" si="197"/>
        <v/>
      </c>
    </row>
    <row r="1256" spans="1:11" ht="18" customHeight="1" x14ac:dyDescent="0.2">
      <c r="B1256" s="561" t="s">
        <v>22</v>
      </c>
      <c r="C1256" s="561" t="s">
        <v>177</v>
      </c>
      <c r="D1256" s="561" t="s">
        <v>243</v>
      </c>
      <c r="E1256" s="561" t="s">
        <v>23</v>
      </c>
      <c r="F1256" s="562" t="s">
        <v>234</v>
      </c>
      <c r="G1256" s="562"/>
      <c r="H1256" s="562"/>
      <c r="I1256" s="562"/>
      <c r="J1256" s="562"/>
      <c r="K1256" s="562"/>
    </row>
    <row r="1257" spans="1:11" ht="21" x14ac:dyDescent="0.2">
      <c r="A1257" s="114" t="s">
        <v>1079</v>
      </c>
      <c r="B1257" s="436" t="s">
        <v>2683</v>
      </c>
      <c r="C1257" s="115" t="s">
        <v>2699</v>
      </c>
      <c r="D1257" s="114" t="s">
        <v>1209</v>
      </c>
      <c r="E1257" s="329" t="str">
        <f>IF($O$69="","",$O$69)</f>
        <v>Metropol. de Itajubinha - Área 2</v>
      </c>
      <c r="F1257" s="563">
        <f>IF(B1257="","",VLOOKUP(E1257,$O$2:$T$120,6,0))</f>
        <v>48841</v>
      </c>
      <c r="G1257" s="564"/>
      <c r="H1257" s="564"/>
      <c r="I1257" s="564"/>
      <c r="J1257" s="564"/>
      <c r="K1257" s="565"/>
    </row>
    <row r="1258" spans="1:11" ht="43.5" x14ac:dyDescent="0.2">
      <c r="A1258" s="166" t="s">
        <v>779</v>
      </c>
      <c r="B1258" s="116" t="s">
        <v>0</v>
      </c>
      <c r="C1258" s="116" t="s">
        <v>20</v>
      </c>
      <c r="D1258" s="116" t="s">
        <v>21</v>
      </c>
      <c r="E1258" s="116" t="s">
        <v>1</v>
      </c>
      <c r="F1258" s="117" t="s">
        <v>3</v>
      </c>
      <c r="G1258" s="116" t="s">
        <v>216</v>
      </c>
      <c r="H1258" s="180" t="s">
        <v>242</v>
      </c>
      <c r="I1258" s="116" t="s">
        <v>245</v>
      </c>
      <c r="J1258" s="116" t="s">
        <v>217</v>
      </c>
      <c r="K1258" s="116" t="s">
        <v>218</v>
      </c>
    </row>
    <row r="1259" spans="1:11" ht="17.25" x14ac:dyDescent="0.2">
      <c r="B1259" s="405" t="s">
        <v>1737</v>
      </c>
      <c r="C1259" s="112" t="s">
        <v>1591</v>
      </c>
      <c r="D1259" s="113" t="s">
        <v>1738</v>
      </c>
      <c r="E1259" s="107" t="s">
        <v>56</v>
      </c>
      <c r="F1259" s="333">
        <v>17.5</v>
      </c>
      <c r="G1259" s="57">
        <v>13</v>
      </c>
      <c r="H1259" s="65">
        <v>2</v>
      </c>
      <c r="I1259" s="69">
        <f>IF(G1259="","",SUM(G1259:H1259))</f>
        <v>15</v>
      </c>
      <c r="J1259" s="64">
        <f>IF(G1259="","",ROUNDUP(G1259*0.65,0))</f>
        <v>9</v>
      </c>
      <c r="K1259" s="64">
        <f>IF(G1259="","",ROUNDUP(G1259*0.55,0))</f>
        <v>8</v>
      </c>
    </row>
    <row r="1260" spans="1:11" ht="17.25" x14ac:dyDescent="0.2">
      <c r="B1260" s="405" t="s">
        <v>1739</v>
      </c>
      <c r="C1260" s="112" t="s">
        <v>1591</v>
      </c>
      <c r="D1260" s="113" t="s">
        <v>1740</v>
      </c>
      <c r="E1260" s="107" t="s">
        <v>55</v>
      </c>
      <c r="F1260" s="333">
        <v>14</v>
      </c>
      <c r="G1260" s="57">
        <v>12</v>
      </c>
      <c r="H1260" s="65">
        <v>3</v>
      </c>
      <c r="I1260" s="69">
        <f t="shared" ref="I1260:I1269" si="198">IF(G1260="","",SUM(G1260:H1260))</f>
        <v>15</v>
      </c>
      <c r="J1260" s="64">
        <f t="shared" ref="J1260:J1274" si="199">IF(G1260="","",ROUNDUP(G1260*0.65,0))</f>
        <v>8</v>
      </c>
      <c r="K1260" s="64">
        <f t="shared" ref="K1260:K1274" si="200">IF(G1260="","",ROUNDUP(G1260*0.55,0))</f>
        <v>7</v>
      </c>
    </row>
    <row r="1261" spans="1:11" ht="17.25" x14ac:dyDescent="0.2">
      <c r="B1261" s="405" t="s">
        <v>1741</v>
      </c>
      <c r="C1261" s="112" t="s">
        <v>1591</v>
      </c>
      <c r="D1261" s="113" t="s">
        <v>1742</v>
      </c>
      <c r="E1261" s="107" t="s">
        <v>55</v>
      </c>
      <c r="F1261" s="333">
        <v>14</v>
      </c>
      <c r="G1261" s="57">
        <v>12</v>
      </c>
      <c r="H1261" s="65">
        <v>3</v>
      </c>
      <c r="I1261" s="69">
        <f t="shared" si="198"/>
        <v>15</v>
      </c>
      <c r="J1261" s="64">
        <f t="shared" si="199"/>
        <v>8</v>
      </c>
      <c r="K1261" s="64">
        <f t="shared" si="200"/>
        <v>7</v>
      </c>
    </row>
    <row r="1262" spans="1:11" ht="17.25" x14ac:dyDescent="0.2">
      <c r="B1262" s="405" t="s">
        <v>1743</v>
      </c>
      <c r="C1262" s="112" t="s">
        <v>1591</v>
      </c>
      <c r="D1262" s="113" t="s">
        <v>1744</v>
      </c>
      <c r="E1262" s="107" t="s">
        <v>265</v>
      </c>
      <c r="F1262" s="108">
        <v>12.5</v>
      </c>
      <c r="G1262" s="57">
        <v>14</v>
      </c>
      <c r="H1262" s="65">
        <v>1</v>
      </c>
      <c r="I1262" s="69">
        <f t="shared" si="198"/>
        <v>15</v>
      </c>
      <c r="J1262" s="64">
        <f t="shared" si="199"/>
        <v>10</v>
      </c>
      <c r="K1262" s="64">
        <f t="shared" si="200"/>
        <v>8</v>
      </c>
    </row>
    <row r="1263" spans="1:11" ht="17.25" x14ac:dyDescent="0.2">
      <c r="B1263" s="405" t="s">
        <v>1745</v>
      </c>
      <c r="C1263" s="112" t="s">
        <v>1591</v>
      </c>
      <c r="D1263" s="113" t="s">
        <v>1746</v>
      </c>
      <c r="E1263" s="107" t="s">
        <v>265</v>
      </c>
      <c r="F1263" s="108">
        <v>12.5</v>
      </c>
      <c r="G1263" s="57">
        <v>12</v>
      </c>
      <c r="H1263" s="65">
        <v>3</v>
      </c>
      <c r="I1263" s="69">
        <f t="shared" si="198"/>
        <v>15</v>
      </c>
      <c r="J1263" s="64">
        <f t="shared" si="199"/>
        <v>8</v>
      </c>
      <c r="K1263" s="64">
        <f t="shared" si="200"/>
        <v>7</v>
      </c>
    </row>
    <row r="1264" spans="1:11" ht="17.25" x14ac:dyDescent="0.2">
      <c r="B1264" s="339"/>
      <c r="C1264" s="112"/>
      <c r="D1264" s="113"/>
      <c r="E1264" s="107"/>
      <c r="F1264" s="108"/>
      <c r="G1264" s="57"/>
      <c r="H1264" s="65"/>
      <c r="I1264" s="69" t="str">
        <f t="shared" si="198"/>
        <v/>
      </c>
      <c r="J1264" s="64" t="str">
        <f t="shared" si="199"/>
        <v/>
      </c>
      <c r="K1264" s="64" t="str">
        <f t="shared" si="200"/>
        <v/>
      </c>
    </row>
    <row r="1265" spans="1:11" ht="17.25" x14ac:dyDescent="0.2">
      <c r="B1265" s="339"/>
      <c r="C1265" s="112"/>
      <c r="D1265" s="113"/>
      <c r="E1265" s="107"/>
      <c r="F1265" s="108"/>
      <c r="G1265" s="57"/>
      <c r="H1265" s="65"/>
      <c r="I1265" s="69" t="str">
        <f t="shared" si="198"/>
        <v/>
      </c>
      <c r="J1265" s="64" t="str">
        <f t="shared" si="199"/>
        <v/>
      </c>
      <c r="K1265" s="64" t="str">
        <f t="shared" si="200"/>
        <v/>
      </c>
    </row>
    <row r="1266" spans="1:11" ht="17.25" x14ac:dyDescent="0.2">
      <c r="B1266" s="339"/>
      <c r="C1266" s="112"/>
      <c r="D1266" s="113"/>
      <c r="E1266" s="107"/>
      <c r="F1266" s="108"/>
      <c r="G1266" s="57"/>
      <c r="H1266" s="65"/>
      <c r="I1266" s="69" t="str">
        <f t="shared" si="198"/>
        <v/>
      </c>
      <c r="J1266" s="64" t="str">
        <f t="shared" si="199"/>
        <v/>
      </c>
      <c r="K1266" s="64" t="str">
        <f t="shared" si="200"/>
        <v/>
      </c>
    </row>
    <row r="1267" spans="1:11" ht="17.25" x14ac:dyDescent="0.2">
      <c r="B1267" s="339"/>
      <c r="C1267" s="112"/>
      <c r="D1267" s="113"/>
      <c r="E1267" s="107"/>
      <c r="F1267" s="108"/>
      <c r="G1267" s="57"/>
      <c r="H1267" s="65"/>
      <c r="I1267" s="69" t="str">
        <f t="shared" si="198"/>
        <v/>
      </c>
      <c r="J1267" s="64" t="str">
        <f t="shared" si="199"/>
        <v/>
      </c>
      <c r="K1267" s="64" t="str">
        <f t="shared" si="200"/>
        <v/>
      </c>
    </row>
    <row r="1268" spans="1:11" ht="17.25" x14ac:dyDescent="0.2">
      <c r="B1268" s="339"/>
      <c r="C1268" s="112"/>
      <c r="D1268" s="113"/>
      <c r="E1268" s="107"/>
      <c r="F1268" s="108"/>
      <c r="G1268" s="57"/>
      <c r="H1268" s="65"/>
      <c r="I1268" s="69" t="str">
        <f t="shared" si="198"/>
        <v/>
      </c>
      <c r="J1268" s="64" t="str">
        <f t="shared" si="199"/>
        <v/>
      </c>
      <c r="K1268" s="64" t="str">
        <f t="shared" si="200"/>
        <v/>
      </c>
    </row>
    <row r="1269" spans="1:11" ht="17.25" x14ac:dyDescent="0.2">
      <c r="B1269" s="339"/>
      <c r="C1269" s="101"/>
      <c r="D1269" s="101"/>
      <c r="E1269" s="107"/>
      <c r="F1269" s="108"/>
      <c r="G1269" s="64"/>
      <c r="H1269" s="65"/>
      <c r="I1269" s="69" t="str">
        <f t="shared" si="198"/>
        <v/>
      </c>
      <c r="J1269" s="64" t="str">
        <f t="shared" si="199"/>
        <v/>
      </c>
      <c r="K1269" s="64" t="str">
        <f t="shared" si="200"/>
        <v/>
      </c>
    </row>
    <row r="1270" spans="1:11" ht="17.25" x14ac:dyDescent="0.2">
      <c r="B1270" s="339"/>
      <c r="C1270" s="101"/>
      <c r="D1270" s="101"/>
      <c r="E1270" s="107"/>
      <c r="F1270" s="108"/>
      <c r="G1270" s="64"/>
      <c r="H1270" s="65"/>
      <c r="I1270" s="69"/>
      <c r="J1270" s="64" t="str">
        <f t="shared" si="199"/>
        <v/>
      </c>
      <c r="K1270" s="64" t="str">
        <f t="shared" si="200"/>
        <v/>
      </c>
    </row>
    <row r="1271" spans="1:11" ht="17.25" x14ac:dyDescent="0.2">
      <c r="B1271" s="339"/>
      <c r="C1271" s="101"/>
      <c r="D1271" s="101"/>
      <c r="E1271" s="107"/>
      <c r="F1271" s="108"/>
      <c r="G1271" s="64"/>
      <c r="H1271" s="65"/>
      <c r="I1271" s="69"/>
      <c r="J1271" s="64" t="str">
        <f t="shared" si="199"/>
        <v/>
      </c>
      <c r="K1271" s="64" t="str">
        <f t="shared" si="200"/>
        <v/>
      </c>
    </row>
    <row r="1272" spans="1:11" ht="17.25" x14ac:dyDescent="0.2">
      <c r="B1272" s="339"/>
      <c r="C1272" s="101"/>
      <c r="D1272" s="101"/>
      <c r="E1272" s="107"/>
      <c r="F1272" s="108"/>
      <c r="G1272" s="64"/>
      <c r="H1272" s="65"/>
      <c r="I1272" s="69"/>
      <c r="J1272" s="64" t="str">
        <f t="shared" si="199"/>
        <v/>
      </c>
      <c r="K1272" s="64" t="str">
        <f t="shared" si="200"/>
        <v/>
      </c>
    </row>
    <row r="1273" spans="1:11" ht="17.25" x14ac:dyDescent="0.2">
      <c r="B1273" s="339"/>
      <c r="C1273" s="101"/>
      <c r="D1273" s="101"/>
      <c r="E1273" s="107"/>
      <c r="F1273" s="108"/>
      <c r="G1273" s="64"/>
      <c r="H1273" s="65"/>
      <c r="I1273" s="69"/>
      <c r="J1273" s="64" t="str">
        <f t="shared" si="199"/>
        <v/>
      </c>
      <c r="K1273" s="64" t="str">
        <f t="shared" si="200"/>
        <v/>
      </c>
    </row>
    <row r="1274" spans="1:11" ht="17.25" x14ac:dyDescent="0.2">
      <c r="B1274" s="339"/>
      <c r="C1274" s="101"/>
      <c r="D1274" s="101"/>
      <c r="E1274" s="107"/>
      <c r="F1274" s="108"/>
      <c r="G1274" s="64"/>
      <c r="H1274" s="65"/>
      <c r="I1274" s="69"/>
      <c r="J1274" s="64" t="str">
        <f t="shared" si="199"/>
        <v/>
      </c>
      <c r="K1274" s="64" t="str">
        <f t="shared" si="200"/>
        <v/>
      </c>
    </row>
    <row r="1275" spans="1:11" ht="18" customHeight="1" x14ac:dyDescent="0.2">
      <c r="B1275" s="561" t="s">
        <v>22</v>
      </c>
      <c r="C1275" s="561" t="s">
        <v>177</v>
      </c>
      <c r="D1275" s="561" t="s">
        <v>243</v>
      </c>
      <c r="E1275" s="561" t="s">
        <v>23</v>
      </c>
      <c r="F1275" s="562" t="s">
        <v>234</v>
      </c>
      <c r="G1275" s="562"/>
      <c r="H1275" s="562"/>
      <c r="I1275" s="562"/>
      <c r="J1275" s="562"/>
      <c r="K1275" s="562"/>
    </row>
    <row r="1276" spans="1:11" ht="21" x14ac:dyDescent="0.2">
      <c r="A1276" s="114" t="s">
        <v>1080</v>
      </c>
      <c r="B1276" s="434" t="s">
        <v>2717</v>
      </c>
      <c r="C1276" s="115" t="s">
        <v>498</v>
      </c>
      <c r="D1276" s="114" t="s">
        <v>639</v>
      </c>
      <c r="E1276" s="329" t="str">
        <f>IF($O$70="","",$O$70)</f>
        <v>Metropol. de João Batista - Área 1</v>
      </c>
      <c r="F1276" s="563">
        <f>IF(B1276="","",VLOOKUP(E1276,$O$2:$T$120,6,0))</f>
        <v>75166</v>
      </c>
      <c r="G1276" s="564"/>
      <c r="H1276" s="564"/>
      <c r="I1276" s="564"/>
      <c r="J1276" s="564"/>
      <c r="K1276" s="565"/>
    </row>
    <row r="1277" spans="1:11" ht="43.5" x14ac:dyDescent="0.2">
      <c r="A1277" s="166" t="s">
        <v>779</v>
      </c>
      <c r="B1277" s="116" t="s">
        <v>0</v>
      </c>
      <c r="C1277" s="116" t="s">
        <v>20</v>
      </c>
      <c r="D1277" s="116" t="s">
        <v>21</v>
      </c>
      <c r="E1277" s="116" t="s">
        <v>1</v>
      </c>
      <c r="F1277" s="117" t="s">
        <v>3</v>
      </c>
      <c r="G1277" s="116" t="s">
        <v>216</v>
      </c>
      <c r="H1277" s="180" t="s">
        <v>242</v>
      </c>
      <c r="I1277" s="116" t="s">
        <v>245</v>
      </c>
      <c r="J1277" s="116" t="s">
        <v>217</v>
      </c>
      <c r="K1277" s="116" t="s">
        <v>218</v>
      </c>
    </row>
    <row r="1278" spans="1:11" ht="17.25" x14ac:dyDescent="0.2">
      <c r="B1278" s="408" t="s">
        <v>1747</v>
      </c>
      <c r="C1278" s="112" t="s">
        <v>1706</v>
      </c>
      <c r="D1278" s="113" t="s">
        <v>1748</v>
      </c>
      <c r="E1278" s="107" t="s">
        <v>56</v>
      </c>
      <c r="F1278" s="333">
        <v>17.5</v>
      </c>
      <c r="G1278" s="57">
        <v>13</v>
      </c>
      <c r="H1278" s="65">
        <v>2</v>
      </c>
      <c r="I1278" s="69">
        <f>IF(G1278="","",SUM(G1278:H1278))</f>
        <v>15</v>
      </c>
      <c r="J1278" s="64">
        <f>IF(G1278="","",ROUNDUP(G1278*0.65,0))</f>
        <v>9</v>
      </c>
      <c r="K1278" s="64">
        <f>IF(G1278="","",ROUNDUP(G1278*0.55,0))</f>
        <v>8</v>
      </c>
    </row>
    <row r="1279" spans="1:11" ht="17.25" x14ac:dyDescent="0.2">
      <c r="B1279" s="408" t="s">
        <v>1749</v>
      </c>
      <c r="C1279" s="112" t="s">
        <v>1549</v>
      </c>
      <c r="D1279" s="113" t="s">
        <v>1750</v>
      </c>
      <c r="E1279" s="107" t="s">
        <v>56</v>
      </c>
      <c r="F1279" s="333">
        <v>17.5</v>
      </c>
      <c r="G1279" s="57">
        <v>13</v>
      </c>
      <c r="H1279" s="65">
        <v>2</v>
      </c>
      <c r="I1279" s="69">
        <f t="shared" ref="I1279:I1284" si="201">IF(G1279="","",SUM(G1279:H1279))</f>
        <v>15</v>
      </c>
      <c r="J1279" s="64">
        <f t="shared" ref="J1279:J1293" si="202">IF(G1279="","",ROUNDUP(G1279*0.65,0))</f>
        <v>9</v>
      </c>
      <c r="K1279" s="64">
        <f t="shared" ref="K1279:K1293" si="203">IF(G1279="","",ROUNDUP(G1279*0.55,0))</f>
        <v>8</v>
      </c>
    </row>
    <row r="1280" spans="1:11" ht="17.25" x14ac:dyDescent="0.2">
      <c r="B1280" s="408" t="s">
        <v>1751</v>
      </c>
      <c r="C1280" s="112" t="s">
        <v>1549</v>
      </c>
      <c r="D1280" s="113" t="s">
        <v>1752</v>
      </c>
      <c r="E1280" s="107" t="s">
        <v>55</v>
      </c>
      <c r="F1280" s="333">
        <v>14</v>
      </c>
      <c r="G1280" s="57">
        <v>12</v>
      </c>
      <c r="H1280" s="65">
        <v>3</v>
      </c>
      <c r="I1280" s="69">
        <f t="shared" si="201"/>
        <v>15</v>
      </c>
      <c r="J1280" s="64">
        <f t="shared" si="202"/>
        <v>8</v>
      </c>
      <c r="K1280" s="64">
        <f t="shared" si="203"/>
        <v>7</v>
      </c>
    </row>
    <row r="1281" spans="1:11" ht="17.25" x14ac:dyDescent="0.2">
      <c r="B1281" s="408" t="s">
        <v>1753</v>
      </c>
      <c r="C1281" s="112" t="s">
        <v>1706</v>
      </c>
      <c r="D1281" s="113" t="s">
        <v>1754</v>
      </c>
      <c r="E1281" s="107" t="s">
        <v>55</v>
      </c>
      <c r="F1281" s="333">
        <v>14</v>
      </c>
      <c r="G1281" s="57">
        <v>12</v>
      </c>
      <c r="H1281" s="65">
        <v>3</v>
      </c>
      <c r="I1281" s="69">
        <f t="shared" si="201"/>
        <v>15</v>
      </c>
      <c r="J1281" s="64">
        <f t="shared" si="202"/>
        <v>8</v>
      </c>
      <c r="K1281" s="64">
        <f t="shared" si="203"/>
        <v>7</v>
      </c>
    </row>
    <row r="1282" spans="1:11" ht="17.25" x14ac:dyDescent="0.2">
      <c r="B1282" s="408" t="s">
        <v>1755</v>
      </c>
      <c r="C1282" s="112" t="s">
        <v>1706</v>
      </c>
      <c r="D1282" s="113" t="s">
        <v>1756</v>
      </c>
      <c r="E1282" s="107" t="s">
        <v>265</v>
      </c>
      <c r="F1282" s="108">
        <v>12.5</v>
      </c>
      <c r="G1282" s="57">
        <v>12</v>
      </c>
      <c r="H1282" s="65">
        <v>3</v>
      </c>
      <c r="I1282" s="69">
        <f t="shared" si="201"/>
        <v>15</v>
      </c>
      <c r="J1282" s="64">
        <f t="shared" si="202"/>
        <v>8</v>
      </c>
      <c r="K1282" s="64">
        <f t="shared" si="203"/>
        <v>7</v>
      </c>
    </row>
    <row r="1283" spans="1:11" ht="17.25" x14ac:dyDescent="0.2">
      <c r="B1283" s="408" t="s">
        <v>1757</v>
      </c>
      <c r="C1283" s="112" t="s">
        <v>1706</v>
      </c>
      <c r="D1283" s="113" t="s">
        <v>1758</v>
      </c>
      <c r="E1283" s="107" t="s">
        <v>265</v>
      </c>
      <c r="F1283" s="108">
        <v>12.5</v>
      </c>
      <c r="G1283" s="57">
        <v>16</v>
      </c>
      <c r="H1283" s="65">
        <v>4</v>
      </c>
      <c r="I1283" s="69">
        <f t="shared" si="201"/>
        <v>20</v>
      </c>
      <c r="J1283" s="64">
        <f t="shared" si="202"/>
        <v>11</v>
      </c>
      <c r="K1283" s="64">
        <f t="shared" si="203"/>
        <v>9</v>
      </c>
    </row>
    <row r="1284" spans="1:11" ht="17.25" x14ac:dyDescent="0.2">
      <c r="B1284" s="340"/>
      <c r="C1284" s="112"/>
      <c r="D1284" s="113"/>
      <c r="E1284" s="107"/>
      <c r="F1284" s="108"/>
      <c r="G1284" s="57"/>
      <c r="H1284" s="65"/>
      <c r="I1284" s="69" t="str">
        <f t="shared" si="201"/>
        <v/>
      </c>
      <c r="J1284" s="64" t="str">
        <f t="shared" si="202"/>
        <v/>
      </c>
      <c r="K1284" s="64" t="str">
        <f t="shared" si="203"/>
        <v/>
      </c>
    </row>
    <row r="1285" spans="1:11" ht="17.25" x14ac:dyDescent="0.2">
      <c r="B1285" s="340"/>
      <c r="C1285" s="112"/>
      <c r="D1285" s="113"/>
      <c r="E1285" s="107"/>
      <c r="F1285" s="108"/>
      <c r="G1285" s="57"/>
      <c r="H1285" s="65"/>
      <c r="I1285" s="69"/>
      <c r="J1285" s="64" t="str">
        <f t="shared" si="202"/>
        <v/>
      </c>
      <c r="K1285" s="64" t="str">
        <f t="shared" si="203"/>
        <v/>
      </c>
    </row>
    <row r="1286" spans="1:11" ht="17.25" x14ac:dyDescent="0.2">
      <c r="B1286" s="340"/>
      <c r="C1286" s="112"/>
      <c r="D1286" s="113"/>
      <c r="E1286" s="107"/>
      <c r="F1286" s="108"/>
      <c r="G1286" s="57"/>
      <c r="H1286" s="65"/>
      <c r="I1286" s="69"/>
      <c r="J1286" s="64" t="str">
        <f t="shared" si="202"/>
        <v/>
      </c>
      <c r="K1286" s="64" t="str">
        <f t="shared" si="203"/>
        <v/>
      </c>
    </row>
    <row r="1287" spans="1:11" ht="17.25" x14ac:dyDescent="0.2">
      <c r="B1287" s="340"/>
      <c r="C1287" s="112"/>
      <c r="D1287" s="113"/>
      <c r="E1287" s="107"/>
      <c r="F1287" s="108"/>
      <c r="G1287" s="57"/>
      <c r="H1287" s="65"/>
      <c r="I1287" s="69"/>
      <c r="J1287" s="64" t="str">
        <f t="shared" si="202"/>
        <v/>
      </c>
      <c r="K1287" s="64" t="str">
        <f t="shared" si="203"/>
        <v/>
      </c>
    </row>
    <row r="1288" spans="1:11" ht="17.25" x14ac:dyDescent="0.2">
      <c r="B1288" s="340"/>
      <c r="C1288" s="100"/>
      <c r="D1288" s="100"/>
      <c r="E1288" s="107"/>
      <c r="F1288" s="108"/>
      <c r="G1288" s="57"/>
      <c r="H1288" s="65"/>
      <c r="I1288" s="69"/>
      <c r="J1288" s="64" t="str">
        <f t="shared" si="202"/>
        <v/>
      </c>
      <c r="K1288" s="64" t="str">
        <f t="shared" si="203"/>
        <v/>
      </c>
    </row>
    <row r="1289" spans="1:11" ht="17.25" x14ac:dyDescent="0.2">
      <c r="B1289" s="340"/>
      <c r="C1289" s="100"/>
      <c r="D1289" s="100"/>
      <c r="E1289" s="107"/>
      <c r="F1289" s="108"/>
      <c r="G1289" s="57"/>
      <c r="H1289" s="65"/>
      <c r="I1289" s="69"/>
      <c r="J1289" s="64" t="str">
        <f t="shared" si="202"/>
        <v/>
      </c>
      <c r="K1289" s="64" t="str">
        <f t="shared" si="203"/>
        <v/>
      </c>
    </row>
    <row r="1290" spans="1:11" ht="17.25" x14ac:dyDescent="0.2">
      <c r="B1290" s="340"/>
      <c r="C1290" s="100"/>
      <c r="D1290" s="100"/>
      <c r="E1290" s="107"/>
      <c r="F1290" s="108"/>
      <c r="G1290" s="57"/>
      <c r="H1290" s="65"/>
      <c r="I1290" s="69"/>
      <c r="J1290" s="64" t="str">
        <f t="shared" si="202"/>
        <v/>
      </c>
      <c r="K1290" s="64" t="str">
        <f t="shared" si="203"/>
        <v/>
      </c>
    </row>
    <row r="1291" spans="1:11" ht="17.25" x14ac:dyDescent="0.2">
      <c r="B1291" s="340"/>
      <c r="C1291" s="100"/>
      <c r="D1291" s="100"/>
      <c r="E1291" s="107"/>
      <c r="F1291" s="108"/>
      <c r="G1291" s="57"/>
      <c r="H1291" s="65"/>
      <c r="I1291" s="69"/>
      <c r="J1291" s="64" t="str">
        <f t="shared" si="202"/>
        <v/>
      </c>
      <c r="K1291" s="64" t="str">
        <f t="shared" si="203"/>
        <v/>
      </c>
    </row>
    <row r="1292" spans="1:11" ht="17.25" x14ac:dyDescent="0.2">
      <c r="B1292" s="340"/>
      <c r="C1292" s="100"/>
      <c r="D1292" s="100"/>
      <c r="E1292" s="107"/>
      <c r="F1292" s="108"/>
      <c r="G1292" s="57"/>
      <c r="H1292" s="65"/>
      <c r="I1292" s="69"/>
      <c r="J1292" s="64" t="str">
        <f t="shared" si="202"/>
        <v/>
      </c>
      <c r="K1292" s="64" t="str">
        <f t="shared" si="203"/>
        <v/>
      </c>
    </row>
    <row r="1293" spans="1:11" ht="17.25" x14ac:dyDescent="0.2">
      <c r="B1293" s="340"/>
      <c r="C1293" s="100"/>
      <c r="D1293" s="100"/>
      <c r="E1293" s="107"/>
      <c r="F1293" s="108"/>
      <c r="G1293" s="57"/>
      <c r="H1293" s="65"/>
      <c r="I1293" s="69"/>
      <c r="J1293" s="64" t="str">
        <f t="shared" si="202"/>
        <v/>
      </c>
      <c r="K1293" s="64" t="str">
        <f t="shared" si="203"/>
        <v/>
      </c>
    </row>
    <row r="1294" spans="1:11" ht="18" customHeight="1" x14ac:dyDescent="0.2">
      <c r="B1294" s="561" t="s">
        <v>22</v>
      </c>
      <c r="C1294" s="561" t="s">
        <v>177</v>
      </c>
      <c r="D1294" s="561" t="s">
        <v>243</v>
      </c>
      <c r="E1294" s="561" t="s">
        <v>23</v>
      </c>
      <c r="F1294" s="562" t="s">
        <v>234</v>
      </c>
      <c r="G1294" s="562"/>
      <c r="H1294" s="562"/>
      <c r="I1294" s="562"/>
      <c r="J1294" s="562"/>
      <c r="K1294" s="562"/>
    </row>
    <row r="1295" spans="1:11" ht="21" x14ac:dyDescent="0.2">
      <c r="A1295" s="114" t="s">
        <v>1081</v>
      </c>
      <c r="B1295" s="436" t="s">
        <v>2684</v>
      </c>
      <c r="C1295" s="115" t="s">
        <v>2699</v>
      </c>
      <c r="D1295" s="114" t="s">
        <v>1209</v>
      </c>
      <c r="E1295" s="329" t="str">
        <f>IF($O$71="","",$O$71)</f>
        <v>Metropol. de João Batista - Área 2</v>
      </c>
      <c r="F1295" s="563">
        <f>IF(B1295="","",VLOOKUP(E1295,$O$2:$T$120,6,0))</f>
        <v>56593</v>
      </c>
      <c r="G1295" s="564"/>
      <c r="H1295" s="564"/>
      <c r="I1295" s="564"/>
      <c r="J1295" s="564"/>
      <c r="K1295" s="565"/>
    </row>
    <row r="1296" spans="1:11" ht="43.5" x14ac:dyDescent="0.2">
      <c r="A1296" s="166" t="s">
        <v>779</v>
      </c>
      <c r="B1296" s="116"/>
      <c r="C1296" s="116"/>
      <c r="D1296" s="116"/>
      <c r="E1296" s="116" t="s">
        <v>1</v>
      </c>
      <c r="F1296" s="117" t="s">
        <v>3</v>
      </c>
      <c r="G1296" s="116" t="s">
        <v>216</v>
      </c>
      <c r="H1296" s="180" t="s">
        <v>242</v>
      </c>
      <c r="I1296" s="116" t="s">
        <v>245</v>
      </c>
      <c r="J1296" s="116" t="s">
        <v>217</v>
      </c>
      <c r="K1296" s="116" t="s">
        <v>218</v>
      </c>
    </row>
    <row r="1297" spans="2:11" ht="17.25" x14ac:dyDescent="0.2">
      <c r="B1297" s="408" t="s">
        <v>1759</v>
      </c>
      <c r="C1297" s="112" t="s">
        <v>1549</v>
      </c>
      <c r="D1297" s="113" t="s">
        <v>1748</v>
      </c>
      <c r="E1297" s="107" t="s">
        <v>56</v>
      </c>
      <c r="F1297" s="333">
        <v>17.5</v>
      </c>
      <c r="G1297" s="57">
        <v>13</v>
      </c>
      <c r="H1297" s="65">
        <v>2</v>
      </c>
      <c r="I1297" s="69">
        <f>IF(G1297="","",SUM(G1297:H1297))</f>
        <v>15</v>
      </c>
      <c r="J1297" s="64">
        <f>IF(G1297="","",ROUNDUP(G1297*0.65,0))</f>
        <v>9</v>
      </c>
      <c r="K1297" s="64">
        <f>IF(G1297="","",ROUNDUP(G1297*0.55,0))</f>
        <v>8</v>
      </c>
    </row>
    <row r="1298" spans="2:11" ht="17.25" x14ac:dyDescent="0.2">
      <c r="B1298" s="408" t="s">
        <v>1760</v>
      </c>
      <c r="C1298" s="112" t="s">
        <v>1706</v>
      </c>
      <c r="D1298" s="113" t="s">
        <v>1750</v>
      </c>
      <c r="E1298" s="107" t="s">
        <v>56</v>
      </c>
      <c r="F1298" s="333">
        <v>17.5</v>
      </c>
      <c r="G1298" s="57">
        <v>13</v>
      </c>
      <c r="H1298" s="65">
        <v>2</v>
      </c>
      <c r="I1298" s="69">
        <f t="shared" ref="I1298:I1303" si="204">IF(G1298="","",SUM(G1298:H1298))</f>
        <v>15</v>
      </c>
      <c r="J1298" s="64">
        <f t="shared" ref="J1298:J1312" si="205">IF(G1298="","",ROUNDUP(G1298*0.65,0))</f>
        <v>9</v>
      </c>
      <c r="K1298" s="64">
        <f t="shared" ref="K1298:K1312" si="206">IF(G1298="","",ROUNDUP(G1298*0.55,0))</f>
        <v>8</v>
      </c>
    </row>
    <row r="1299" spans="2:11" ht="17.25" x14ac:dyDescent="0.2">
      <c r="B1299" s="408" t="s">
        <v>1761</v>
      </c>
      <c r="C1299" s="112" t="s">
        <v>1706</v>
      </c>
      <c r="D1299" s="113" t="s">
        <v>1762</v>
      </c>
      <c r="E1299" s="107" t="s">
        <v>55</v>
      </c>
      <c r="F1299" s="333">
        <v>14</v>
      </c>
      <c r="G1299" s="57">
        <v>8</v>
      </c>
      <c r="H1299" s="65">
        <v>2</v>
      </c>
      <c r="I1299" s="69">
        <f t="shared" si="204"/>
        <v>10</v>
      </c>
      <c r="J1299" s="64">
        <f t="shared" si="205"/>
        <v>6</v>
      </c>
      <c r="K1299" s="64">
        <f t="shared" si="206"/>
        <v>5</v>
      </c>
    </row>
    <row r="1300" spans="2:11" ht="17.25" x14ac:dyDescent="0.2">
      <c r="B1300" s="408" t="s">
        <v>1763</v>
      </c>
      <c r="C1300" s="112" t="s">
        <v>1549</v>
      </c>
      <c r="D1300" s="113" t="s">
        <v>1762</v>
      </c>
      <c r="E1300" s="107" t="s">
        <v>55</v>
      </c>
      <c r="F1300" s="333">
        <v>14</v>
      </c>
      <c r="G1300" s="57">
        <v>12</v>
      </c>
      <c r="H1300" s="65">
        <v>3</v>
      </c>
      <c r="I1300" s="69">
        <f t="shared" si="204"/>
        <v>15</v>
      </c>
      <c r="J1300" s="64">
        <f t="shared" si="205"/>
        <v>8</v>
      </c>
      <c r="K1300" s="64">
        <f t="shared" si="206"/>
        <v>7</v>
      </c>
    </row>
    <row r="1301" spans="2:11" ht="17.25" x14ac:dyDescent="0.2">
      <c r="B1301" s="408" t="s">
        <v>1764</v>
      </c>
      <c r="C1301" s="112" t="s">
        <v>1706</v>
      </c>
      <c r="D1301" s="113" t="s">
        <v>1765</v>
      </c>
      <c r="E1301" s="107" t="s">
        <v>265</v>
      </c>
      <c r="F1301" s="108">
        <v>12.5</v>
      </c>
      <c r="G1301" s="57">
        <v>15</v>
      </c>
      <c r="H1301" s="65">
        <v>1</v>
      </c>
      <c r="I1301" s="69">
        <f t="shared" si="204"/>
        <v>16</v>
      </c>
      <c r="J1301" s="64">
        <f t="shared" si="205"/>
        <v>10</v>
      </c>
      <c r="K1301" s="64">
        <f t="shared" si="206"/>
        <v>9</v>
      </c>
    </row>
    <row r="1302" spans="2:11" ht="17.25" x14ac:dyDescent="0.2">
      <c r="B1302" s="408" t="s">
        <v>1766</v>
      </c>
      <c r="C1302" s="112" t="s">
        <v>1549</v>
      </c>
      <c r="D1302" s="113" t="s">
        <v>1765</v>
      </c>
      <c r="E1302" s="107" t="s">
        <v>265</v>
      </c>
      <c r="F1302" s="108">
        <v>12.5</v>
      </c>
      <c r="G1302" s="57">
        <v>12</v>
      </c>
      <c r="H1302" s="65">
        <v>2</v>
      </c>
      <c r="I1302" s="69">
        <f t="shared" si="204"/>
        <v>14</v>
      </c>
      <c r="J1302" s="64">
        <f t="shared" si="205"/>
        <v>8</v>
      </c>
      <c r="K1302" s="64">
        <f t="shared" si="206"/>
        <v>7</v>
      </c>
    </row>
    <row r="1303" spans="2:11" ht="17.25" x14ac:dyDescent="0.2">
      <c r="B1303" s="341"/>
      <c r="C1303" s="112"/>
      <c r="D1303" s="113"/>
      <c r="E1303" s="107"/>
      <c r="F1303" s="108"/>
      <c r="G1303" s="57"/>
      <c r="H1303" s="65"/>
      <c r="I1303" s="69" t="str">
        <f t="shared" si="204"/>
        <v/>
      </c>
      <c r="J1303" s="64" t="str">
        <f t="shared" si="205"/>
        <v/>
      </c>
      <c r="K1303" s="64" t="str">
        <f t="shared" si="206"/>
        <v/>
      </c>
    </row>
    <row r="1304" spans="2:11" ht="17.25" x14ac:dyDescent="0.2">
      <c r="B1304" s="341"/>
      <c r="C1304" s="112"/>
      <c r="D1304" s="113"/>
      <c r="E1304" s="107"/>
      <c r="F1304" s="108"/>
      <c r="G1304" s="57"/>
      <c r="H1304" s="65"/>
      <c r="I1304" s="69"/>
      <c r="J1304" s="64" t="str">
        <f t="shared" si="205"/>
        <v/>
      </c>
      <c r="K1304" s="64" t="str">
        <f t="shared" si="206"/>
        <v/>
      </c>
    </row>
    <row r="1305" spans="2:11" ht="17.25" x14ac:dyDescent="0.2">
      <c r="B1305" s="341"/>
      <c r="C1305" s="101"/>
      <c r="D1305" s="101"/>
      <c r="E1305" s="107"/>
      <c r="F1305" s="108"/>
      <c r="G1305" s="64"/>
      <c r="H1305" s="65"/>
      <c r="I1305" s="69"/>
      <c r="J1305" s="64" t="str">
        <f t="shared" si="205"/>
        <v/>
      </c>
      <c r="K1305" s="64" t="str">
        <f t="shared" si="206"/>
        <v/>
      </c>
    </row>
    <row r="1306" spans="2:11" ht="17.25" x14ac:dyDescent="0.2">
      <c r="B1306" s="341"/>
      <c r="C1306" s="101"/>
      <c r="D1306" s="101"/>
      <c r="E1306" s="107"/>
      <c r="F1306" s="108"/>
      <c r="G1306" s="64"/>
      <c r="H1306" s="65"/>
      <c r="I1306" s="69"/>
      <c r="J1306" s="64" t="str">
        <f t="shared" si="205"/>
        <v/>
      </c>
      <c r="K1306" s="64" t="str">
        <f t="shared" si="206"/>
        <v/>
      </c>
    </row>
    <row r="1307" spans="2:11" ht="17.25" x14ac:dyDescent="0.2">
      <c r="B1307" s="341"/>
      <c r="C1307" s="101"/>
      <c r="D1307" s="101"/>
      <c r="E1307" s="107"/>
      <c r="F1307" s="108"/>
      <c r="G1307" s="64"/>
      <c r="H1307" s="65"/>
      <c r="I1307" s="69"/>
      <c r="J1307" s="64" t="str">
        <f t="shared" si="205"/>
        <v/>
      </c>
      <c r="K1307" s="64" t="str">
        <f t="shared" si="206"/>
        <v/>
      </c>
    </row>
    <row r="1308" spans="2:11" ht="17.25" x14ac:dyDescent="0.2">
      <c r="B1308" s="341"/>
      <c r="C1308" s="101"/>
      <c r="D1308" s="101"/>
      <c r="E1308" s="107"/>
      <c r="F1308" s="108"/>
      <c r="G1308" s="64"/>
      <c r="H1308" s="65"/>
      <c r="I1308" s="69"/>
      <c r="J1308" s="64" t="str">
        <f t="shared" si="205"/>
        <v/>
      </c>
      <c r="K1308" s="64" t="str">
        <f t="shared" si="206"/>
        <v/>
      </c>
    </row>
    <row r="1309" spans="2:11" ht="17.25" x14ac:dyDescent="0.2">
      <c r="B1309" s="341"/>
      <c r="C1309" s="101"/>
      <c r="D1309" s="101"/>
      <c r="E1309" s="107"/>
      <c r="F1309" s="108"/>
      <c r="G1309" s="64"/>
      <c r="H1309" s="65"/>
      <c r="I1309" s="69"/>
      <c r="J1309" s="64" t="str">
        <f t="shared" si="205"/>
        <v/>
      </c>
      <c r="K1309" s="64" t="str">
        <f t="shared" si="206"/>
        <v/>
      </c>
    </row>
    <row r="1310" spans="2:11" ht="17.25" x14ac:dyDescent="0.2">
      <c r="B1310" s="341"/>
      <c r="C1310" s="101"/>
      <c r="D1310" s="101"/>
      <c r="E1310" s="107"/>
      <c r="F1310" s="108"/>
      <c r="G1310" s="64"/>
      <c r="H1310" s="65"/>
      <c r="I1310" s="69"/>
      <c r="J1310" s="64" t="str">
        <f t="shared" si="205"/>
        <v/>
      </c>
      <c r="K1310" s="64" t="str">
        <f t="shared" si="206"/>
        <v/>
      </c>
    </row>
    <row r="1311" spans="2:11" ht="17.25" x14ac:dyDescent="0.2">
      <c r="B1311" s="341"/>
      <c r="C1311" s="101"/>
      <c r="D1311" s="101"/>
      <c r="E1311" s="107"/>
      <c r="F1311" s="108"/>
      <c r="G1311" s="64"/>
      <c r="H1311" s="65"/>
      <c r="I1311" s="69"/>
      <c r="J1311" s="64" t="str">
        <f t="shared" si="205"/>
        <v/>
      </c>
      <c r="K1311" s="64" t="str">
        <f t="shared" si="206"/>
        <v/>
      </c>
    </row>
    <row r="1312" spans="2:11" ht="17.25" x14ac:dyDescent="0.2">
      <c r="B1312" s="341"/>
      <c r="C1312" s="101"/>
      <c r="D1312" s="101"/>
      <c r="E1312" s="107"/>
      <c r="F1312" s="108"/>
      <c r="G1312" s="64"/>
      <c r="H1312" s="65"/>
      <c r="I1312" s="69"/>
      <c r="J1312" s="64" t="str">
        <f t="shared" si="205"/>
        <v/>
      </c>
      <c r="K1312" s="64" t="str">
        <f t="shared" si="206"/>
        <v/>
      </c>
    </row>
    <row r="1313" spans="1:11" ht="18" customHeight="1" x14ac:dyDescent="0.2">
      <c r="B1313" s="561" t="s">
        <v>22</v>
      </c>
      <c r="C1313" s="561" t="s">
        <v>177</v>
      </c>
      <c r="D1313" s="561" t="s">
        <v>243</v>
      </c>
      <c r="E1313" s="561" t="s">
        <v>23</v>
      </c>
      <c r="F1313" s="562" t="s">
        <v>234</v>
      </c>
      <c r="G1313" s="562"/>
      <c r="H1313" s="562"/>
      <c r="I1313" s="562"/>
      <c r="J1313" s="562"/>
      <c r="K1313" s="562"/>
    </row>
    <row r="1314" spans="1:11" ht="21" x14ac:dyDescent="0.2">
      <c r="A1314" s="114" t="s">
        <v>1082</v>
      </c>
      <c r="B1314" s="438" t="s">
        <v>2674</v>
      </c>
      <c r="C1314" s="115" t="s">
        <v>861</v>
      </c>
      <c r="D1314" s="114" t="s">
        <v>862</v>
      </c>
      <c r="E1314" s="329" t="str">
        <f>IF($O$72="","",$O$72)</f>
        <v>Metropol. de Lagos do Sul - Área 1</v>
      </c>
      <c r="F1314" s="563">
        <f>IF(B1314="","",VLOOKUP(E1314,$O$2:$T$120,6,0))</f>
        <v>55818</v>
      </c>
      <c r="G1314" s="564"/>
      <c r="H1314" s="564"/>
      <c r="I1314" s="564"/>
      <c r="J1314" s="564"/>
      <c r="K1314" s="565"/>
    </row>
    <row r="1315" spans="1:11" ht="43.5" x14ac:dyDescent="0.2">
      <c r="A1315" s="166" t="s">
        <v>779</v>
      </c>
      <c r="B1315" s="116" t="s">
        <v>0</v>
      </c>
      <c r="C1315" s="116" t="s">
        <v>20</v>
      </c>
      <c r="D1315" s="116" t="s">
        <v>21</v>
      </c>
      <c r="E1315" s="116" t="s">
        <v>1</v>
      </c>
      <c r="F1315" s="117" t="s">
        <v>3</v>
      </c>
      <c r="G1315" s="116" t="s">
        <v>216</v>
      </c>
      <c r="H1315" s="180" t="s">
        <v>242</v>
      </c>
      <c r="I1315" s="116" t="s">
        <v>245</v>
      </c>
      <c r="J1315" s="116" t="s">
        <v>217</v>
      </c>
      <c r="K1315" s="116" t="s">
        <v>218</v>
      </c>
    </row>
    <row r="1316" spans="1:11" ht="17.25" x14ac:dyDescent="0.2">
      <c r="B1316" s="409" t="s">
        <v>1767</v>
      </c>
      <c r="C1316" s="112" t="s">
        <v>1560</v>
      </c>
      <c r="D1316" s="113" t="s">
        <v>1768</v>
      </c>
      <c r="E1316" s="107" t="s">
        <v>56</v>
      </c>
      <c r="F1316" s="333">
        <v>17.5</v>
      </c>
      <c r="G1316" s="57">
        <v>13</v>
      </c>
      <c r="H1316" s="65">
        <v>2</v>
      </c>
      <c r="I1316" s="69">
        <f>IF(G1316="","",SUM(G1316:H1316))</f>
        <v>15</v>
      </c>
      <c r="J1316" s="64">
        <f>IF(G1316="","",ROUNDUP(G1316*0.65,0))</f>
        <v>9</v>
      </c>
      <c r="K1316" s="64">
        <f>IF(G1316="","",ROUNDUP(G1316*0.55,0))</f>
        <v>8</v>
      </c>
    </row>
    <row r="1317" spans="1:11" ht="17.25" x14ac:dyDescent="0.2">
      <c r="B1317" s="409" t="s">
        <v>1769</v>
      </c>
      <c r="C1317" s="112" t="s">
        <v>1553</v>
      </c>
      <c r="D1317" s="113" t="s">
        <v>1770</v>
      </c>
      <c r="E1317" s="107" t="s">
        <v>1019</v>
      </c>
      <c r="F1317" s="108">
        <v>16.5</v>
      </c>
      <c r="G1317" s="57">
        <v>8</v>
      </c>
      <c r="H1317" s="65">
        <v>2</v>
      </c>
      <c r="I1317" s="69">
        <f t="shared" ref="I1317:I1329" si="207">IF(G1317="","",SUM(G1317:H1317))</f>
        <v>10</v>
      </c>
      <c r="J1317" s="64">
        <f t="shared" ref="J1317:J1331" si="208">IF(G1317="","",ROUNDUP(G1317*0.65,0))</f>
        <v>6</v>
      </c>
      <c r="K1317" s="64">
        <f t="shared" ref="K1317:K1331" si="209">IF(G1317="","",ROUNDUP(G1317*0.55,0))</f>
        <v>5</v>
      </c>
    </row>
    <row r="1318" spans="1:11" ht="17.25" x14ac:dyDescent="0.2">
      <c r="B1318" s="409" t="s">
        <v>1771</v>
      </c>
      <c r="C1318" s="112" t="s">
        <v>1553</v>
      </c>
      <c r="D1318" s="113" t="s">
        <v>1772</v>
      </c>
      <c r="E1318" s="107" t="s">
        <v>55</v>
      </c>
      <c r="F1318" s="333">
        <v>14</v>
      </c>
      <c r="G1318" s="57">
        <v>12</v>
      </c>
      <c r="H1318" s="65">
        <v>3</v>
      </c>
      <c r="I1318" s="69">
        <f t="shared" si="207"/>
        <v>15</v>
      </c>
      <c r="J1318" s="64">
        <f t="shared" si="208"/>
        <v>8</v>
      </c>
      <c r="K1318" s="64">
        <f t="shared" si="209"/>
        <v>7</v>
      </c>
    </row>
    <row r="1319" spans="1:11" ht="17.25" x14ac:dyDescent="0.2">
      <c r="B1319" s="409" t="s">
        <v>1773</v>
      </c>
      <c r="C1319" s="112" t="s">
        <v>1553</v>
      </c>
      <c r="D1319" s="113" t="s">
        <v>1774</v>
      </c>
      <c r="E1319" s="107" t="s">
        <v>55</v>
      </c>
      <c r="F1319" s="333">
        <v>14</v>
      </c>
      <c r="G1319" s="57">
        <v>12</v>
      </c>
      <c r="H1319" s="65">
        <v>3</v>
      </c>
      <c r="I1319" s="69">
        <f t="shared" si="207"/>
        <v>15</v>
      </c>
      <c r="J1319" s="64">
        <f t="shared" si="208"/>
        <v>8</v>
      </c>
      <c r="K1319" s="64">
        <f t="shared" si="209"/>
        <v>7</v>
      </c>
    </row>
    <row r="1320" spans="1:11" ht="17.25" x14ac:dyDescent="0.2">
      <c r="B1320" s="409" t="s">
        <v>1775</v>
      </c>
      <c r="C1320" s="112" t="s">
        <v>1553</v>
      </c>
      <c r="D1320" s="113" t="s">
        <v>1776</v>
      </c>
      <c r="E1320" s="107" t="s">
        <v>265</v>
      </c>
      <c r="F1320" s="108">
        <v>12.5</v>
      </c>
      <c r="G1320" s="57">
        <v>12</v>
      </c>
      <c r="H1320" s="65">
        <v>2</v>
      </c>
      <c r="I1320" s="69">
        <f t="shared" si="207"/>
        <v>14</v>
      </c>
      <c r="J1320" s="64">
        <f t="shared" si="208"/>
        <v>8</v>
      </c>
      <c r="K1320" s="64">
        <f t="shared" si="209"/>
        <v>7</v>
      </c>
    </row>
    <row r="1321" spans="1:11" ht="17.25" x14ac:dyDescent="0.2">
      <c r="B1321" s="409" t="s">
        <v>1777</v>
      </c>
      <c r="C1321" s="112" t="s">
        <v>1553</v>
      </c>
      <c r="D1321" s="113" t="s">
        <v>1778</v>
      </c>
      <c r="E1321" s="107" t="s">
        <v>265</v>
      </c>
      <c r="F1321" s="108">
        <v>12.5</v>
      </c>
      <c r="G1321" s="57">
        <v>15</v>
      </c>
      <c r="H1321" s="65">
        <v>1</v>
      </c>
      <c r="I1321" s="69">
        <f t="shared" si="207"/>
        <v>16</v>
      </c>
      <c r="J1321" s="64">
        <f t="shared" si="208"/>
        <v>10</v>
      </c>
      <c r="K1321" s="64">
        <f t="shared" si="209"/>
        <v>9</v>
      </c>
    </row>
    <row r="1322" spans="1:11" ht="17.25" x14ac:dyDescent="0.2">
      <c r="B1322" s="343"/>
      <c r="C1322" s="112"/>
      <c r="D1322" s="113"/>
      <c r="E1322" s="107"/>
      <c r="F1322" s="108"/>
      <c r="G1322" s="57"/>
      <c r="H1322" s="65"/>
      <c r="I1322" s="69" t="str">
        <f t="shared" si="207"/>
        <v/>
      </c>
      <c r="J1322" s="64" t="str">
        <f t="shared" si="208"/>
        <v/>
      </c>
      <c r="K1322" s="64" t="str">
        <f t="shared" si="209"/>
        <v/>
      </c>
    </row>
    <row r="1323" spans="1:11" ht="17.25" x14ac:dyDescent="0.2">
      <c r="B1323" s="343"/>
      <c r="C1323" s="112"/>
      <c r="D1323" s="113"/>
      <c r="E1323" s="107"/>
      <c r="F1323" s="108"/>
      <c r="G1323" s="57"/>
      <c r="H1323" s="65"/>
      <c r="I1323" s="69" t="str">
        <f t="shared" si="207"/>
        <v/>
      </c>
      <c r="J1323" s="64" t="str">
        <f t="shared" si="208"/>
        <v/>
      </c>
      <c r="K1323" s="64" t="str">
        <f t="shared" si="209"/>
        <v/>
      </c>
    </row>
    <row r="1324" spans="1:11" ht="17.25" x14ac:dyDescent="0.2">
      <c r="B1324" s="343"/>
      <c r="C1324" s="112"/>
      <c r="D1324" s="113"/>
      <c r="E1324" s="107"/>
      <c r="F1324" s="108"/>
      <c r="G1324" s="57"/>
      <c r="H1324" s="65"/>
      <c r="I1324" s="69" t="str">
        <f t="shared" si="207"/>
        <v/>
      </c>
      <c r="J1324" s="64" t="str">
        <f t="shared" si="208"/>
        <v/>
      </c>
      <c r="K1324" s="64" t="str">
        <f t="shared" si="209"/>
        <v/>
      </c>
    </row>
    <row r="1325" spans="1:11" ht="17.25" x14ac:dyDescent="0.2">
      <c r="B1325" s="343"/>
      <c r="C1325" s="112"/>
      <c r="D1325" s="113"/>
      <c r="E1325" s="107"/>
      <c r="F1325" s="108"/>
      <c r="G1325" s="57"/>
      <c r="H1325" s="65"/>
      <c r="I1325" s="69" t="str">
        <f t="shared" si="207"/>
        <v/>
      </c>
      <c r="J1325" s="64" t="str">
        <f t="shared" si="208"/>
        <v/>
      </c>
      <c r="K1325" s="64" t="str">
        <f t="shared" si="209"/>
        <v/>
      </c>
    </row>
    <row r="1326" spans="1:11" ht="17.25" x14ac:dyDescent="0.2">
      <c r="B1326" s="343"/>
      <c r="C1326" s="102"/>
      <c r="D1326" s="102"/>
      <c r="E1326" s="107"/>
      <c r="F1326" s="108"/>
      <c r="G1326" s="57"/>
      <c r="H1326" s="65"/>
      <c r="I1326" s="69" t="str">
        <f t="shared" si="207"/>
        <v/>
      </c>
      <c r="J1326" s="64" t="str">
        <f t="shared" si="208"/>
        <v/>
      </c>
      <c r="K1326" s="64" t="str">
        <f t="shared" si="209"/>
        <v/>
      </c>
    </row>
    <row r="1327" spans="1:11" ht="17.25" x14ac:dyDescent="0.2">
      <c r="B1327" s="343"/>
      <c r="C1327" s="102"/>
      <c r="D1327" s="102"/>
      <c r="E1327" s="107"/>
      <c r="F1327" s="108"/>
      <c r="G1327" s="57"/>
      <c r="H1327" s="65"/>
      <c r="I1327" s="69" t="str">
        <f t="shared" si="207"/>
        <v/>
      </c>
      <c r="J1327" s="64" t="str">
        <f t="shared" si="208"/>
        <v/>
      </c>
      <c r="K1327" s="64" t="str">
        <f t="shared" si="209"/>
        <v/>
      </c>
    </row>
    <row r="1328" spans="1:11" ht="17.25" x14ac:dyDescent="0.2">
      <c r="B1328" s="343"/>
      <c r="C1328" s="102"/>
      <c r="D1328" s="102"/>
      <c r="E1328" s="107"/>
      <c r="F1328" s="108"/>
      <c r="G1328" s="57"/>
      <c r="H1328" s="65"/>
      <c r="I1328" s="69" t="str">
        <f t="shared" si="207"/>
        <v/>
      </c>
      <c r="J1328" s="64" t="str">
        <f t="shared" si="208"/>
        <v/>
      </c>
      <c r="K1328" s="64" t="str">
        <f t="shared" si="209"/>
        <v/>
      </c>
    </row>
    <row r="1329" spans="1:11" ht="17.25" x14ac:dyDescent="0.2">
      <c r="B1329" s="343"/>
      <c r="C1329" s="102"/>
      <c r="D1329" s="102"/>
      <c r="E1329" s="107"/>
      <c r="F1329" s="108"/>
      <c r="G1329" s="57"/>
      <c r="H1329" s="65"/>
      <c r="I1329" s="69" t="str">
        <f t="shared" si="207"/>
        <v/>
      </c>
      <c r="J1329" s="64" t="str">
        <f t="shared" si="208"/>
        <v/>
      </c>
      <c r="K1329" s="64" t="str">
        <f t="shared" si="209"/>
        <v/>
      </c>
    </row>
    <row r="1330" spans="1:11" ht="17.25" x14ac:dyDescent="0.2">
      <c r="B1330" s="343"/>
      <c r="C1330" s="102"/>
      <c r="D1330" s="102"/>
      <c r="E1330" s="107"/>
      <c r="F1330" s="108"/>
      <c r="G1330" s="57"/>
      <c r="H1330" s="65"/>
      <c r="I1330" s="69"/>
      <c r="J1330" s="64" t="str">
        <f t="shared" si="208"/>
        <v/>
      </c>
      <c r="K1330" s="64" t="str">
        <f t="shared" si="209"/>
        <v/>
      </c>
    </row>
    <row r="1331" spans="1:11" ht="17.25" x14ac:dyDescent="0.2">
      <c r="B1331" s="343"/>
      <c r="C1331" s="102"/>
      <c r="D1331" s="102"/>
      <c r="E1331" s="107"/>
      <c r="F1331" s="108"/>
      <c r="G1331" s="57"/>
      <c r="H1331" s="65"/>
      <c r="I1331" s="69"/>
      <c r="J1331" s="64" t="str">
        <f t="shared" si="208"/>
        <v/>
      </c>
      <c r="K1331" s="64" t="str">
        <f t="shared" si="209"/>
        <v/>
      </c>
    </row>
    <row r="1332" spans="1:11" ht="18" customHeight="1" x14ac:dyDescent="0.2">
      <c r="B1332" s="561" t="s">
        <v>22</v>
      </c>
      <c r="C1332" s="561" t="s">
        <v>177</v>
      </c>
      <c r="D1332" s="561" t="s">
        <v>243</v>
      </c>
      <c r="E1332" s="561" t="s">
        <v>23</v>
      </c>
      <c r="F1332" s="562" t="s">
        <v>234</v>
      </c>
      <c r="G1332" s="562"/>
      <c r="H1332" s="562"/>
      <c r="I1332" s="562"/>
      <c r="J1332" s="562"/>
      <c r="K1332" s="562"/>
    </row>
    <row r="1333" spans="1:11" ht="21" x14ac:dyDescent="0.2">
      <c r="A1333" s="114" t="s">
        <v>1083</v>
      </c>
      <c r="B1333" s="438" t="s">
        <v>2675</v>
      </c>
      <c r="C1333" s="115" t="s">
        <v>861</v>
      </c>
      <c r="D1333" s="114" t="s">
        <v>862</v>
      </c>
      <c r="E1333" s="329" t="str">
        <f>IF($O$73="","",$O$73)</f>
        <v>Metropol. de Lagos do Sul - Área 2</v>
      </c>
      <c r="F1333" s="563">
        <f>IF(B1333="","",VLOOKUP(E1333,$O$2:$T$120,6,0))</f>
        <v>59694</v>
      </c>
      <c r="G1333" s="564"/>
      <c r="H1333" s="564"/>
      <c r="I1333" s="564"/>
      <c r="J1333" s="564"/>
      <c r="K1333" s="565"/>
    </row>
    <row r="1334" spans="1:11" ht="43.5" x14ac:dyDescent="0.2">
      <c r="A1334" s="166" t="s">
        <v>779</v>
      </c>
      <c r="B1334" s="116" t="s">
        <v>0</v>
      </c>
      <c r="C1334" s="116" t="s">
        <v>20</v>
      </c>
      <c r="D1334" s="116" t="s">
        <v>21</v>
      </c>
      <c r="E1334" s="116" t="s">
        <v>1</v>
      </c>
      <c r="F1334" s="117" t="s">
        <v>3</v>
      </c>
      <c r="G1334" s="116" t="s">
        <v>216</v>
      </c>
      <c r="H1334" s="180" t="s">
        <v>242</v>
      </c>
      <c r="I1334" s="116" t="s">
        <v>245</v>
      </c>
      <c r="J1334" s="116" t="s">
        <v>217</v>
      </c>
      <c r="K1334" s="116" t="s">
        <v>218</v>
      </c>
    </row>
    <row r="1335" spans="1:11" ht="17.25" x14ac:dyDescent="0.2">
      <c r="B1335" s="409" t="s">
        <v>1779</v>
      </c>
      <c r="C1335" s="112" t="s">
        <v>1547</v>
      </c>
      <c r="D1335" s="113" t="s">
        <v>1768</v>
      </c>
      <c r="E1335" s="107" t="s">
        <v>56</v>
      </c>
      <c r="F1335" s="333">
        <v>17.5</v>
      </c>
      <c r="G1335" s="57">
        <v>13</v>
      </c>
      <c r="H1335" s="65">
        <v>2</v>
      </c>
      <c r="I1335" s="69">
        <f>IF(G1335="","",SUM(G1335:H1335))</f>
        <v>15</v>
      </c>
      <c r="J1335" s="64">
        <f>IF(G1335="","",ROUNDUP(G1335*0.65,0))</f>
        <v>9</v>
      </c>
      <c r="K1335" s="64">
        <f>IF(G1335="","",ROUNDUP(G1335*0.55,0))</f>
        <v>8</v>
      </c>
    </row>
    <row r="1336" spans="1:11" ht="17.25" x14ac:dyDescent="0.2">
      <c r="B1336" s="409" t="s">
        <v>1780</v>
      </c>
      <c r="C1336" s="112" t="s">
        <v>1547</v>
      </c>
      <c r="D1336" s="113" t="s">
        <v>1781</v>
      </c>
      <c r="E1336" s="107" t="s">
        <v>55</v>
      </c>
      <c r="F1336" s="333">
        <v>14</v>
      </c>
      <c r="G1336" s="57">
        <v>12</v>
      </c>
      <c r="H1336" s="65">
        <v>3</v>
      </c>
      <c r="I1336" s="69">
        <f t="shared" ref="I1336:I1342" si="210">IF(G1336="","",SUM(G1336:H1336))</f>
        <v>15</v>
      </c>
      <c r="J1336" s="64">
        <f t="shared" ref="J1336:J1350" si="211">IF(G1336="","",ROUNDUP(G1336*0.65,0))</f>
        <v>8</v>
      </c>
      <c r="K1336" s="64">
        <f t="shared" ref="K1336:K1350" si="212">IF(G1336="","",ROUNDUP(G1336*0.55,0))</f>
        <v>7</v>
      </c>
    </row>
    <row r="1337" spans="1:11" ht="17.25" x14ac:dyDescent="0.2">
      <c r="B1337" s="409" t="s">
        <v>1782</v>
      </c>
      <c r="C1337" s="112" t="s">
        <v>1553</v>
      </c>
      <c r="D1337" s="113" t="s">
        <v>1783</v>
      </c>
      <c r="E1337" s="107" t="s">
        <v>55</v>
      </c>
      <c r="F1337" s="333">
        <v>14</v>
      </c>
      <c r="G1337" s="57">
        <v>12</v>
      </c>
      <c r="H1337" s="65">
        <v>3</v>
      </c>
      <c r="I1337" s="69">
        <f t="shared" si="210"/>
        <v>15</v>
      </c>
      <c r="J1337" s="64">
        <f t="shared" si="211"/>
        <v>8</v>
      </c>
      <c r="K1337" s="64">
        <f t="shared" si="212"/>
        <v>7</v>
      </c>
    </row>
    <row r="1338" spans="1:11" ht="17.25" x14ac:dyDescent="0.2">
      <c r="B1338" s="409" t="s">
        <v>1784</v>
      </c>
      <c r="C1338" s="112" t="s">
        <v>1560</v>
      </c>
      <c r="D1338" s="113" t="s">
        <v>1781</v>
      </c>
      <c r="E1338" s="107" t="s">
        <v>55</v>
      </c>
      <c r="F1338" s="333">
        <v>14</v>
      </c>
      <c r="G1338" s="57">
        <v>12</v>
      </c>
      <c r="H1338" s="65">
        <v>3</v>
      </c>
      <c r="I1338" s="69">
        <f t="shared" si="210"/>
        <v>15</v>
      </c>
      <c r="J1338" s="64">
        <f t="shared" si="211"/>
        <v>8</v>
      </c>
      <c r="K1338" s="64">
        <f t="shared" si="212"/>
        <v>7</v>
      </c>
    </row>
    <row r="1339" spans="1:11" ht="17.25" x14ac:dyDescent="0.2">
      <c r="B1339" s="409" t="s">
        <v>1785</v>
      </c>
      <c r="C1339" s="112" t="s">
        <v>1553</v>
      </c>
      <c r="D1339" s="113" t="s">
        <v>1786</v>
      </c>
      <c r="E1339" s="107" t="s">
        <v>265</v>
      </c>
      <c r="F1339" s="108">
        <v>12.5</v>
      </c>
      <c r="G1339" s="57">
        <v>16</v>
      </c>
      <c r="H1339" s="65">
        <v>4</v>
      </c>
      <c r="I1339" s="69">
        <f t="shared" si="210"/>
        <v>20</v>
      </c>
      <c r="J1339" s="64">
        <f t="shared" si="211"/>
        <v>11</v>
      </c>
      <c r="K1339" s="64">
        <f t="shared" si="212"/>
        <v>9</v>
      </c>
    </row>
    <row r="1340" spans="1:11" ht="17.25" x14ac:dyDescent="0.2">
      <c r="B1340" s="409" t="s">
        <v>1787</v>
      </c>
      <c r="C1340" s="112" t="s">
        <v>1560</v>
      </c>
      <c r="D1340" s="113" t="s">
        <v>1788</v>
      </c>
      <c r="E1340" s="107" t="s">
        <v>265</v>
      </c>
      <c r="F1340" s="108">
        <v>12.5</v>
      </c>
      <c r="G1340" s="57">
        <v>12</v>
      </c>
      <c r="H1340" s="65">
        <v>3</v>
      </c>
      <c r="I1340" s="69">
        <f t="shared" si="210"/>
        <v>15</v>
      </c>
      <c r="J1340" s="64">
        <f t="shared" si="211"/>
        <v>8</v>
      </c>
      <c r="K1340" s="64">
        <f t="shared" si="212"/>
        <v>7</v>
      </c>
    </row>
    <row r="1341" spans="1:11" ht="17.25" x14ac:dyDescent="0.2">
      <c r="B1341" s="336"/>
      <c r="C1341" s="112"/>
      <c r="D1341" s="113"/>
      <c r="E1341" s="107"/>
      <c r="F1341" s="108"/>
      <c r="G1341" s="57"/>
      <c r="H1341" s="65"/>
      <c r="I1341" s="69" t="str">
        <f t="shared" si="210"/>
        <v/>
      </c>
      <c r="J1341" s="64" t="str">
        <f t="shared" si="211"/>
        <v/>
      </c>
      <c r="K1341" s="64" t="str">
        <f t="shared" si="212"/>
        <v/>
      </c>
    </row>
    <row r="1342" spans="1:11" ht="17.25" x14ac:dyDescent="0.2">
      <c r="B1342" s="336"/>
      <c r="C1342" s="112"/>
      <c r="D1342" s="113"/>
      <c r="E1342" s="107"/>
      <c r="F1342" s="108"/>
      <c r="G1342" s="57"/>
      <c r="H1342" s="65"/>
      <c r="I1342" s="69" t="str">
        <f t="shared" si="210"/>
        <v/>
      </c>
      <c r="J1342" s="64" t="str">
        <f t="shared" si="211"/>
        <v/>
      </c>
      <c r="K1342" s="64" t="str">
        <f t="shared" si="212"/>
        <v/>
      </c>
    </row>
    <row r="1343" spans="1:11" ht="17.25" x14ac:dyDescent="0.2">
      <c r="B1343" s="336"/>
      <c r="C1343" s="112"/>
      <c r="D1343" s="113"/>
      <c r="E1343" s="107"/>
      <c r="F1343" s="108"/>
      <c r="G1343" s="57"/>
      <c r="H1343" s="65"/>
      <c r="I1343" s="69"/>
      <c r="J1343" s="64" t="str">
        <f t="shared" si="211"/>
        <v/>
      </c>
      <c r="K1343" s="64" t="str">
        <f t="shared" si="212"/>
        <v/>
      </c>
    </row>
    <row r="1344" spans="1:11" ht="17.25" x14ac:dyDescent="0.2">
      <c r="B1344" s="336"/>
      <c r="C1344" s="103"/>
      <c r="D1344" s="103"/>
      <c r="E1344" s="107"/>
      <c r="F1344" s="108"/>
      <c r="G1344" s="64"/>
      <c r="H1344" s="65"/>
      <c r="I1344" s="69"/>
      <c r="J1344" s="64" t="str">
        <f t="shared" si="211"/>
        <v/>
      </c>
      <c r="K1344" s="64" t="str">
        <f t="shared" si="212"/>
        <v/>
      </c>
    </row>
    <row r="1345" spans="1:11" ht="17.25" x14ac:dyDescent="0.2">
      <c r="B1345" s="336"/>
      <c r="C1345" s="103"/>
      <c r="D1345" s="103"/>
      <c r="E1345" s="107"/>
      <c r="F1345" s="108"/>
      <c r="G1345" s="64"/>
      <c r="H1345" s="65"/>
      <c r="I1345" s="69"/>
      <c r="J1345" s="64" t="str">
        <f t="shared" si="211"/>
        <v/>
      </c>
      <c r="K1345" s="64" t="str">
        <f t="shared" si="212"/>
        <v/>
      </c>
    </row>
    <row r="1346" spans="1:11" ht="17.25" x14ac:dyDescent="0.2">
      <c r="B1346" s="336"/>
      <c r="C1346" s="103"/>
      <c r="D1346" s="103"/>
      <c r="E1346" s="107"/>
      <c r="F1346" s="108"/>
      <c r="G1346" s="64"/>
      <c r="H1346" s="65"/>
      <c r="I1346" s="69"/>
      <c r="J1346" s="64" t="str">
        <f t="shared" si="211"/>
        <v/>
      </c>
      <c r="K1346" s="64" t="str">
        <f t="shared" si="212"/>
        <v/>
      </c>
    </row>
    <row r="1347" spans="1:11" ht="17.25" x14ac:dyDescent="0.2">
      <c r="B1347" s="336"/>
      <c r="C1347" s="103"/>
      <c r="D1347" s="103"/>
      <c r="E1347" s="107"/>
      <c r="F1347" s="108"/>
      <c r="G1347" s="64"/>
      <c r="H1347" s="65"/>
      <c r="I1347" s="69"/>
      <c r="J1347" s="64" t="str">
        <f t="shared" si="211"/>
        <v/>
      </c>
      <c r="K1347" s="64" t="str">
        <f t="shared" si="212"/>
        <v/>
      </c>
    </row>
    <row r="1348" spans="1:11" ht="17.25" x14ac:dyDescent="0.2">
      <c r="B1348" s="336"/>
      <c r="C1348" s="103"/>
      <c r="D1348" s="103"/>
      <c r="E1348" s="107"/>
      <c r="F1348" s="108"/>
      <c r="G1348" s="64"/>
      <c r="H1348" s="65"/>
      <c r="I1348" s="69"/>
      <c r="J1348" s="64" t="str">
        <f t="shared" si="211"/>
        <v/>
      </c>
      <c r="K1348" s="64" t="str">
        <f t="shared" si="212"/>
        <v/>
      </c>
    </row>
    <row r="1349" spans="1:11" ht="17.25" x14ac:dyDescent="0.2">
      <c r="B1349" s="336"/>
      <c r="C1349" s="103"/>
      <c r="D1349" s="103"/>
      <c r="E1349" s="107"/>
      <c r="F1349" s="108"/>
      <c r="G1349" s="64"/>
      <c r="H1349" s="65"/>
      <c r="I1349" s="69"/>
      <c r="J1349" s="64" t="str">
        <f t="shared" si="211"/>
        <v/>
      </c>
      <c r="K1349" s="64" t="str">
        <f t="shared" si="212"/>
        <v/>
      </c>
    </row>
    <row r="1350" spans="1:11" ht="17.25" x14ac:dyDescent="0.2">
      <c r="B1350" s="336"/>
      <c r="C1350" s="103"/>
      <c r="D1350" s="103"/>
      <c r="E1350" s="107"/>
      <c r="F1350" s="108"/>
      <c r="G1350" s="64"/>
      <c r="H1350" s="65"/>
      <c r="I1350" s="69"/>
      <c r="J1350" s="64" t="str">
        <f t="shared" si="211"/>
        <v/>
      </c>
      <c r="K1350" s="64" t="str">
        <f t="shared" si="212"/>
        <v/>
      </c>
    </row>
    <row r="1351" spans="1:11" ht="18" customHeight="1" x14ac:dyDescent="0.2">
      <c r="B1351" s="561" t="s">
        <v>22</v>
      </c>
      <c r="C1351" s="561" t="s">
        <v>177</v>
      </c>
      <c r="D1351" s="561" t="s">
        <v>243</v>
      </c>
      <c r="E1351" s="561" t="s">
        <v>23</v>
      </c>
      <c r="F1351" s="562" t="s">
        <v>234</v>
      </c>
      <c r="G1351" s="562"/>
      <c r="H1351" s="562"/>
      <c r="I1351" s="562"/>
      <c r="J1351" s="562"/>
      <c r="K1351" s="562"/>
    </row>
    <row r="1352" spans="1:11" ht="21" x14ac:dyDescent="0.2">
      <c r="A1352" s="114" t="s">
        <v>1084</v>
      </c>
      <c r="B1352" s="436" t="s">
        <v>2685</v>
      </c>
      <c r="C1352" s="115" t="s">
        <v>2699</v>
      </c>
      <c r="D1352" s="114" t="s">
        <v>1209</v>
      </c>
      <c r="E1352" s="329" t="str">
        <f>IF($O$74="","",$O$74)</f>
        <v>Metropol. de Leões - Área 1</v>
      </c>
      <c r="F1352" s="563">
        <f>IF(B1352="","",VLOOKUP(E1352,$O$2:$T$120,6,0))</f>
        <v>53492</v>
      </c>
      <c r="G1352" s="564"/>
      <c r="H1352" s="564"/>
      <c r="I1352" s="564"/>
      <c r="J1352" s="564"/>
      <c r="K1352" s="565"/>
    </row>
    <row r="1353" spans="1:11" ht="43.5" x14ac:dyDescent="0.2">
      <c r="A1353" s="166" t="s">
        <v>779</v>
      </c>
      <c r="B1353" s="116" t="s">
        <v>0</v>
      </c>
      <c r="C1353" s="116" t="s">
        <v>20</v>
      </c>
      <c r="D1353" s="116" t="s">
        <v>21</v>
      </c>
      <c r="E1353" s="116" t="s">
        <v>1</v>
      </c>
      <c r="F1353" s="117" t="s">
        <v>3</v>
      </c>
      <c r="G1353" s="116" t="s">
        <v>216</v>
      </c>
      <c r="H1353" s="180" t="s">
        <v>242</v>
      </c>
      <c r="I1353" s="116" t="s">
        <v>245</v>
      </c>
      <c r="J1353" s="116" t="s">
        <v>217</v>
      </c>
      <c r="K1353" s="116" t="s">
        <v>218</v>
      </c>
    </row>
    <row r="1354" spans="1:11" ht="17.25" x14ac:dyDescent="0.2">
      <c r="B1354" s="410" t="s">
        <v>1789</v>
      </c>
      <c r="C1354" s="112" t="s">
        <v>1547</v>
      </c>
      <c r="D1354" s="113" t="s">
        <v>1768</v>
      </c>
      <c r="E1354" s="107" t="s">
        <v>56</v>
      </c>
      <c r="F1354" s="333">
        <v>17.5</v>
      </c>
      <c r="G1354" s="57">
        <v>13</v>
      </c>
      <c r="H1354" s="65">
        <v>2</v>
      </c>
      <c r="I1354" s="69">
        <f>IF(G1354="","",SUM(G1354:H1354))</f>
        <v>15</v>
      </c>
      <c r="J1354" s="64">
        <f>IF(G1354="","",ROUNDUP(G1354*0.65,0))</f>
        <v>9</v>
      </c>
      <c r="K1354" s="64">
        <f>IF(G1354="","",ROUNDUP(G1354*0.55,0))</f>
        <v>8</v>
      </c>
    </row>
    <row r="1355" spans="1:11" ht="17.25" x14ac:dyDescent="0.2">
      <c r="B1355" s="410" t="s">
        <v>1790</v>
      </c>
      <c r="C1355" s="112" t="s">
        <v>1547</v>
      </c>
      <c r="D1355" s="113" t="s">
        <v>1781</v>
      </c>
      <c r="E1355" s="107" t="s">
        <v>56</v>
      </c>
      <c r="F1355" s="333">
        <v>17.5</v>
      </c>
      <c r="G1355" s="57">
        <v>12</v>
      </c>
      <c r="H1355" s="65">
        <v>3</v>
      </c>
      <c r="I1355" s="69">
        <f t="shared" ref="I1355:I1369" si="213">IF(G1355="","",SUM(G1355:H1355))</f>
        <v>15</v>
      </c>
      <c r="J1355" s="64">
        <f t="shared" ref="J1355:J1369" si="214">IF(G1355="","",ROUNDUP(G1355*0.65,0))</f>
        <v>8</v>
      </c>
      <c r="K1355" s="64">
        <f t="shared" ref="K1355:K1369" si="215">IF(G1355="","",ROUNDUP(G1355*0.55,0))</f>
        <v>7</v>
      </c>
    </row>
    <row r="1356" spans="1:11" ht="17.25" x14ac:dyDescent="0.2">
      <c r="B1356" s="410" t="s">
        <v>1791</v>
      </c>
      <c r="C1356" s="112" t="s">
        <v>1553</v>
      </c>
      <c r="D1356" s="113" t="s">
        <v>1783</v>
      </c>
      <c r="E1356" s="107" t="s">
        <v>1019</v>
      </c>
      <c r="F1356" s="108">
        <v>16.5</v>
      </c>
      <c r="G1356" s="57">
        <v>12</v>
      </c>
      <c r="H1356" s="65">
        <v>3</v>
      </c>
      <c r="I1356" s="69">
        <f t="shared" si="213"/>
        <v>15</v>
      </c>
      <c r="J1356" s="64">
        <f t="shared" si="214"/>
        <v>8</v>
      </c>
      <c r="K1356" s="64">
        <f t="shared" si="215"/>
        <v>7</v>
      </c>
    </row>
    <row r="1357" spans="1:11" ht="17.25" x14ac:dyDescent="0.2">
      <c r="B1357" s="410" t="s">
        <v>1792</v>
      </c>
      <c r="C1357" s="112" t="s">
        <v>1560</v>
      </c>
      <c r="D1357" s="113" t="s">
        <v>1781</v>
      </c>
      <c r="E1357" s="107" t="s">
        <v>55</v>
      </c>
      <c r="F1357" s="333">
        <v>14</v>
      </c>
      <c r="G1357" s="57">
        <v>12</v>
      </c>
      <c r="H1357" s="65">
        <v>3</v>
      </c>
      <c r="I1357" s="69">
        <f t="shared" si="213"/>
        <v>15</v>
      </c>
      <c r="J1357" s="64">
        <f t="shared" si="214"/>
        <v>8</v>
      </c>
      <c r="K1357" s="64">
        <f t="shared" si="215"/>
        <v>7</v>
      </c>
    </row>
    <row r="1358" spans="1:11" ht="17.25" x14ac:dyDescent="0.2">
      <c r="B1358" s="410" t="s">
        <v>1793</v>
      </c>
      <c r="C1358" s="112" t="s">
        <v>1553</v>
      </c>
      <c r="D1358" s="113" t="s">
        <v>1786</v>
      </c>
      <c r="E1358" s="107" t="s">
        <v>55</v>
      </c>
      <c r="F1358" s="333">
        <v>14</v>
      </c>
      <c r="G1358" s="57">
        <v>16</v>
      </c>
      <c r="H1358" s="65">
        <v>4</v>
      </c>
      <c r="I1358" s="69">
        <f t="shared" si="213"/>
        <v>20</v>
      </c>
      <c r="J1358" s="64">
        <f t="shared" si="214"/>
        <v>11</v>
      </c>
      <c r="K1358" s="64">
        <f t="shared" si="215"/>
        <v>9</v>
      </c>
    </row>
    <row r="1359" spans="1:11" ht="17.25" x14ac:dyDescent="0.2">
      <c r="B1359" s="410" t="s">
        <v>1794</v>
      </c>
      <c r="C1359" s="112" t="s">
        <v>1560</v>
      </c>
      <c r="D1359" s="113" t="s">
        <v>1788</v>
      </c>
      <c r="E1359" s="107" t="s">
        <v>265</v>
      </c>
      <c r="F1359" s="108">
        <v>12.5</v>
      </c>
      <c r="G1359" s="57">
        <v>12</v>
      </c>
      <c r="H1359" s="65">
        <v>3</v>
      </c>
      <c r="I1359" s="69">
        <f t="shared" si="213"/>
        <v>15</v>
      </c>
      <c r="J1359" s="64">
        <f t="shared" si="214"/>
        <v>8</v>
      </c>
      <c r="K1359" s="64">
        <f t="shared" si="215"/>
        <v>7</v>
      </c>
    </row>
    <row r="1360" spans="1:11" ht="17.25" x14ac:dyDescent="0.2">
      <c r="B1360" s="344"/>
      <c r="C1360" s="112"/>
      <c r="D1360" s="113"/>
      <c r="E1360" s="107"/>
      <c r="F1360" s="108"/>
      <c r="G1360" s="57"/>
      <c r="H1360" s="65"/>
      <c r="I1360" s="69" t="str">
        <f t="shared" si="213"/>
        <v/>
      </c>
      <c r="J1360" s="64" t="str">
        <f t="shared" si="214"/>
        <v/>
      </c>
      <c r="K1360" s="64" t="str">
        <f t="shared" si="215"/>
        <v/>
      </c>
    </row>
    <row r="1361" spans="1:11" ht="17.25" x14ac:dyDescent="0.2">
      <c r="B1361" s="344"/>
      <c r="C1361" s="112"/>
      <c r="D1361" s="113"/>
      <c r="E1361" s="107"/>
      <c r="F1361" s="108"/>
      <c r="G1361" s="57"/>
      <c r="H1361" s="65"/>
      <c r="I1361" s="69" t="str">
        <f t="shared" si="213"/>
        <v/>
      </c>
      <c r="J1361" s="64" t="str">
        <f t="shared" si="214"/>
        <v/>
      </c>
      <c r="K1361" s="64" t="str">
        <f t="shared" si="215"/>
        <v/>
      </c>
    </row>
    <row r="1362" spans="1:11" ht="17.25" x14ac:dyDescent="0.2">
      <c r="B1362" s="344"/>
      <c r="C1362" s="97"/>
      <c r="D1362" s="97"/>
      <c r="E1362" s="107"/>
      <c r="F1362" s="108"/>
      <c r="G1362" s="57"/>
      <c r="H1362" s="65"/>
      <c r="I1362" s="69" t="str">
        <f t="shared" si="213"/>
        <v/>
      </c>
      <c r="J1362" s="64" t="str">
        <f t="shared" si="214"/>
        <v/>
      </c>
      <c r="K1362" s="64" t="str">
        <f t="shared" si="215"/>
        <v/>
      </c>
    </row>
    <row r="1363" spans="1:11" ht="17.25" x14ac:dyDescent="0.2">
      <c r="B1363" s="344"/>
      <c r="C1363" s="97"/>
      <c r="D1363" s="97"/>
      <c r="E1363" s="107"/>
      <c r="F1363" s="108"/>
      <c r="G1363" s="57"/>
      <c r="H1363" s="65"/>
      <c r="I1363" s="69" t="str">
        <f t="shared" si="213"/>
        <v/>
      </c>
      <c r="J1363" s="64" t="str">
        <f t="shared" si="214"/>
        <v/>
      </c>
      <c r="K1363" s="64" t="str">
        <f t="shared" si="215"/>
        <v/>
      </c>
    </row>
    <row r="1364" spans="1:11" ht="17.25" x14ac:dyDescent="0.2">
      <c r="B1364" s="344"/>
      <c r="C1364" s="97"/>
      <c r="D1364" s="97"/>
      <c r="E1364" s="107"/>
      <c r="F1364" s="108"/>
      <c r="G1364" s="57"/>
      <c r="H1364" s="65"/>
      <c r="I1364" s="69" t="str">
        <f t="shared" si="213"/>
        <v/>
      </c>
      <c r="J1364" s="64" t="str">
        <f t="shared" si="214"/>
        <v/>
      </c>
      <c r="K1364" s="64" t="str">
        <f t="shared" si="215"/>
        <v/>
      </c>
    </row>
    <row r="1365" spans="1:11" ht="17.25" x14ac:dyDescent="0.2">
      <c r="B1365" s="344"/>
      <c r="C1365" s="97"/>
      <c r="D1365" s="97"/>
      <c r="E1365" s="107"/>
      <c r="F1365" s="108"/>
      <c r="G1365" s="57"/>
      <c r="H1365" s="65"/>
      <c r="I1365" s="69" t="str">
        <f t="shared" si="213"/>
        <v/>
      </c>
      <c r="J1365" s="64" t="str">
        <f t="shared" si="214"/>
        <v/>
      </c>
      <c r="K1365" s="64" t="str">
        <f t="shared" si="215"/>
        <v/>
      </c>
    </row>
    <row r="1366" spans="1:11" ht="17.25" x14ac:dyDescent="0.2">
      <c r="B1366" s="344"/>
      <c r="C1366" s="97"/>
      <c r="D1366" s="97"/>
      <c r="E1366" s="107"/>
      <c r="F1366" s="108"/>
      <c r="G1366" s="57"/>
      <c r="H1366" s="65"/>
      <c r="I1366" s="69" t="str">
        <f t="shared" si="213"/>
        <v/>
      </c>
      <c r="J1366" s="64" t="str">
        <f t="shared" si="214"/>
        <v/>
      </c>
      <c r="K1366" s="64" t="str">
        <f t="shared" si="215"/>
        <v/>
      </c>
    </row>
    <row r="1367" spans="1:11" ht="17.25" x14ac:dyDescent="0.2">
      <c r="B1367" s="344"/>
      <c r="C1367" s="97"/>
      <c r="D1367" s="97"/>
      <c r="E1367" s="107"/>
      <c r="F1367" s="108"/>
      <c r="G1367" s="57"/>
      <c r="H1367" s="65"/>
      <c r="I1367" s="69" t="str">
        <f t="shared" si="213"/>
        <v/>
      </c>
      <c r="J1367" s="64" t="str">
        <f t="shared" si="214"/>
        <v/>
      </c>
      <c r="K1367" s="64" t="str">
        <f t="shared" si="215"/>
        <v/>
      </c>
    </row>
    <row r="1368" spans="1:11" ht="17.25" x14ac:dyDescent="0.2">
      <c r="B1368" s="344"/>
      <c r="C1368" s="97"/>
      <c r="D1368" s="97"/>
      <c r="E1368" s="107"/>
      <c r="F1368" s="108"/>
      <c r="G1368" s="57"/>
      <c r="H1368" s="65"/>
      <c r="I1368" s="69" t="str">
        <f t="shared" si="213"/>
        <v/>
      </c>
      <c r="J1368" s="64" t="str">
        <f t="shared" si="214"/>
        <v/>
      </c>
      <c r="K1368" s="64" t="str">
        <f t="shared" si="215"/>
        <v/>
      </c>
    </row>
    <row r="1369" spans="1:11" ht="17.25" x14ac:dyDescent="0.2">
      <c r="B1369" s="344"/>
      <c r="C1369" s="97"/>
      <c r="D1369" s="97"/>
      <c r="E1369" s="107"/>
      <c r="F1369" s="108"/>
      <c r="G1369" s="57"/>
      <c r="H1369" s="65"/>
      <c r="I1369" s="69" t="str">
        <f t="shared" si="213"/>
        <v/>
      </c>
      <c r="J1369" s="64" t="str">
        <f t="shared" si="214"/>
        <v/>
      </c>
      <c r="K1369" s="64" t="str">
        <f t="shared" si="215"/>
        <v/>
      </c>
    </row>
    <row r="1370" spans="1:11" ht="18" customHeight="1" x14ac:dyDescent="0.2">
      <c r="B1370" s="561" t="s">
        <v>22</v>
      </c>
      <c r="C1370" s="561" t="s">
        <v>177</v>
      </c>
      <c r="D1370" s="561" t="s">
        <v>243</v>
      </c>
      <c r="E1370" s="561" t="s">
        <v>23</v>
      </c>
      <c r="F1370" s="562" t="s">
        <v>234</v>
      </c>
      <c r="G1370" s="562"/>
      <c r="H1370" s="562"/>
      <c r="I1370" s="562"/>
      <c r="J1370" s="562"/>
      <c r="K1370" s="562"/>
    </row>
    <row r="1371" spans="1:11" ht="21" x14ac:dyDescent="0.2">
      <c r="A1371" s="114" t="s">
        <v>1085</v>
      </c>
      <c r="B1371" s="586" t="s">
        <v>2623</v>
      </c>
      <c r="C1371" s="115" t="s">
        <v>2624</v>
      </c>
      <c r="D1371" s="114" t="s">
        <v>623</v>
      </c>
      <c r="E1371" s="329" t="str">
        <f>IF($O$75="","",$O$75)</f>
        <v>Metropol. de Leões - Área 2</v>
      </c>
      <c r="F1371" s="563">
        <f>IF(B1371="","",VLOOKUP(E1371,$O$2:$T$120,6,0))</f>
        <v>51942</v>
      </c>
      <c r="G1371" s="564"/>
      <c r="H1371" s="564"/>
      <c r="I1371" s="564"/>
      <c r="J1371" s="564"/>
      <c r="K1371" s="565"/>
    </row>
    <row r="1372" spans="1:11" ht="43.5" x14ac:dyDescent="0.2">
      <c r="A1372" s="166" t="s">
        <v>779</v>
      </c>
      <c r="B1372" s="116" t="s">
        <v>0</v>
      </c>
      <c r="C1372" s="116" t="s">
        <v>20</v>
      </c>
      <c r="D1372" s="116" t="s">
        <v>21</v>
      </c>
      <c r="E1372" s="116" t="s">
        <v>1</v>
      </c>
      <c r="F1372" s="117" t="s">
        <v>3</v>
      </c>
      <c r="G1372" s="116" t="s">
        <v>216</v>
      </c>
      <c r="H1372" s="180" t="s">
        <v>242</v>
      </c>
      <c r="I1372" s="116" t="s">
        <v>245</v>
      </c>
      <c r="J1372" s="116" t="s">
        <v>217</v>
      </c>
      <c r="K1372" s="116" t="s">
        <v>218</v>
      </c>
    </row>
    <row r="1373" spans="1:11" ht="17.25" x14ac:dyDescent="0.2">
      <c r="B1373" s="410" t="s">
        <v>1795</v>
      </c>
      <c r="C1373" s="112" t="s">
        <v>1546</v>
      </c>
      <c r="D1373" s="113" t="s">
        <v>1796</v>
      </c>
      <c r="E1373" s="107" t="s">
        <v>56</v>
      </c>
      <c r="F1373" s="333">
        <v>17.5</v>
      </c>
      <c r="G1373" s="57">
        <v>13</v>
      </c>
      <c r="H1373" s="65">
        <v>2</v>
      </c>
      <c r="I1373" s="69">
        <f t="shared" ref="I1373:I1388" si="216">IF(G1373="","",SUM(G1373:H1373))</f>
        <v>15</v>
      </c>
      <c r="J1373" s="64">
        <f>IF(G1373="","",ROUNDUP(G1373*0.65,0))</f>
        <v>9</v>
      </c>
      <c r="K1373" s="64">
        <f>IF(G1373="","",ROUNDUP(G1373*0.55,0))</f>
        <v>8</v>
      </c>
    </row>
    <row r="1374" spans="1:11" ht="17.25" x14ac:dyDescent="0.2">
      <c r="B1374" s="410" t="s">
        <v>1797</v>
      </c>
      <c r="C1374" s="112" t="s">
        <v>1798</v>
      </c>
      <c r="D1374" s="113" t="s">
        <v>1799</v>
      </c>
      <c r="E1374" s="107" t="s">
        <v>55</v>
      </c>
      <c r="F1374" s="333">
        <v>14</v>
      </c>
      <c r="G1374" s="57">
        <v>12</v>
      </c>
      <c r="H1374" s="65">
        <v>3</v>
      </c>
      <c r="I1374" s="69">
        <f t="shared" si="216"/>
        <v>15</v>
      </c>
      <c r="J1374" s="64">
        <f t="shared" ref="J1374:J1388" si="217">IF(G1374="","",ROUNDUP(G1374*0.65,0))</f>
        <v>8</v>
      </c>
      <c r="K1374" s="64">
        <f t="shared" ref="K1374:K1388" si="218">IF(G1374="","",ROUNDUP(G1374*0.55,0))</f>
        <v>7</v>
      </c>
    </row>
    <row r="1375" spans="1:11" ht="17.25" x14ac:dyDescent="0.2">
      <c r="B1375" s="410" t="s">
        <v>1800</v>
      </c>
      <c r="C1375" s="112" t="s">
        <v>1801</v>
      </c>
      <c r="D1375" s="113" t="s">
        <v>1802</v>
      </c>
      <c r="E1375" s="107" t="s">
        <v>265</v>
      </c>
      <c r="F1375" s="108">
        <v>12.5</v>
      </c>
      <c r="G1375" s="57">
        <v>15</v>
      </c>
      <c r="H1375" s="65">
        <v>3</v>
      </c>
      <c r="I1375" s="69">
        <f t="shared" si="216"/>
        <v>18</v>
      </c>
      <c r="J1375" s="64">
        <f t="shared" si="217"/>
        <v>10</v>
      </c>
      <c r="K1375" s="64">
        <f t="shared" si="218"/>
        <v>9</v>
      </c>
    </row>
    <row r="1376" spans="1:11" ht="17.25" x14ac:dyDescent="0.2">
      <c r="B1376" s="410" t="s">
        <v>1803</v>
      </c>
      <c r="C1376" s="112" t="s">
        <v>1801</v>
      </c>
      <c r="D1376" s="113" t="s">
        <v>1804</v>
      </c>
      <c r="E1376" s="107" t="s">
        <v>265</v>
      </c>
      <c r="F1376" s="108">
        <v>12.5</v>
      </c>
      <c r="G1376" s="57">
        <v>15</v>
      </c>
      <c r="H1376" s="65">
        <v>3</v>
      </c>
      <c r="I1376" s="69">
        <f t="shared" si="216"/>
        <v>18</v>
      </c>
      <c r="J1376" s="64">
        <f t="shared" si="217"/>
        <v>10</v>
      </c>
      <c r="K1376" s="64">
        <f t="shared" si="218"/>
        <v>9</v>
      </c>
    </row>
    <row r="1377" spans="1:11" ht="17.25" x14ac:dyDescent="0.2">
      <c r="B1377" s="410" t="s">
        <v>1805</v>
      </c>
      <c r="C1377" s="112" t="s">
        <v>1801</v>
      </c>
      <c r="D1377" s="113" t="s">
        <v>1806</v>
      </c>
      <c r="E1377" s="107" t="s">
        <v>265</v>
      </c>
      <c r="F1377" s="108">
        <v>12.5</v>
      </c>
      <c r="G1377" s="57">
        <v>12</v>
      </c>
      <c r="H1377" s="65">
        <v>2</v>
      </c>
      <c r="I1377" s="69">
        <f t="shared" si="216"/>
        <v>14</v>
      </c>
      <c r="J1377" s="64">
        <f t="shared" si="217"/>
        <v>8</v>
      </c>
      <c r="K1377" s="64">
        <f t="shared" si="218"/>
        <v>7</v>
      </c>
    </row>
    <row r="1378" spans="1:11" ht="17.25" x14ac:dyDescent="0.2">
      <c r="B1378" s="345"/>
      <c r="C1378" s="112"/>
      <c r="D1378" s="113"/>
      <c r="E1378" s="107"/>
      <c r="F1378" s="108"/>
      <c r="G1378" s="57"/>
      <c r="H1378" s="65"/>
      <c r="I1378" s="69" t="str">
        <f t="shared" si="216"/>
        <v/>
      </c>
      <c r="J1378" s="64" t="str">
        <f t="shared" si="217"/>
        <v/>
      </c>
      <c r="K1378" s="64" t="str">
        <f t="shared" si="218"/>
        <v/>
      </c>
    </row>
    <row r="1379" spans="1:11" ht="17.25" x14ac:dyDescent="0.2">
      <c r="B1379" s="345"/>
      <c r="C1379" s="112"/>
      <c r="D1379" s="113"/>
      <c r="E1379" s="107"/>
      <c r="F1379" s="108"/>
      <c r="G1379" s="57"/>
      <c r="H1379" s="65"/>
      <c r="I1379" s="69" t="str">
        <f t="shared" si="216"/>
        <v/>
      </c>
      <c r="J1379" s="64" t="str">
        <f t="shared" si="217"/>
        <v/>
      </c>
      <c r="K1379" s="64" t="str">
        <f t="shared" si="218"/>
        <v/>
      </c>
    </row>
    <row r="1380" spans="1:11" ht="17.25" x14ac:dyDescent="0.2">
      <c r="B1380" s="345"/>
      <c r="C1380" s="112"/>
      <c r="D1380" s="113"/>
      <c r="E1380" s="107"/>
      <c r="F1380" s="108"/>
      <c r="G1380" s="57"/>
      <c r="H1380" s="65"/>
      <c r="I1380" s="69" t="str">
        <f t="shared" si="216"/>
        <v/>
      </c>
      <c r="J1380" s="64" t="str">
        <f t="shared" si="217"/>
        <v/>
      </c>
      <c r="K1380" s="64" t="str">
        <f t="shared" si="218"/>
        <v/>
      </c>
    </row>
    <row r="1381" spans="1:11" ht="17.25" x14ac:dyDescent="0.2">
      <c r="B1381" s="345"/>
      <c r="C1381" s="97"/>
      <c r="D1381" s="181"/>
      <c r="E1381" s="182"/>
      <c r="F1381" s="108"/>
      <c r="G1381" s="57"/>
      <c r="H1381" s="65"/>
      <c r="I1381" s="69" t="str">
        <f t="shared" si="216"/>
        <v/>
      </c>
      <c r="J1381" s="64" t="str">
        <f t="shared" si="217"/>
        <v/>
      </c>
      <c r="K1381" s="64" t="str">
        <f t="shared" si="218"/>
        <v/>
      </c>
    </row>
    <row r="1382" spans="1:11" ht="17.25" x14ac:dyDescent="0.2">
      <c r="B1382" s="345"/>
      <c r="C1382" s="97"/>
      <c r="D1382" s="181"/>
      <c r="E1382" s="182"/>
      <c r="F1382" s="108"/>
      <c r="G1382" s="57"/>
      <c r="H1382" s="65"/>
      <c r="I1382" s="69" t="str">
        <f t="shared" si="216"/>
        <v/>
      </c>
      <c r="J1382" s="64" t="str">
        <f t="shared" si="217"/>
        <v/>
      </c>
      <c r="K1382" s="64" t="str">
        <f t="shared" si="218"/>
        <v/>
      </c>
    </row>
    <row r="1383" spans="1:11" ht="17.25" x14ac:dyDescent="0.2">
      <c r="B1383" s="345"/>
      <c r="C1383" s="97"/>
      <c r="D1383" s="181"/>
      <c r="E1383" s="182"/>
      <c r="F1383" s="108"/>
      <c r="G1383" s="57"/>
      <c r="H1383" s="65"/>
      <c r="I1383" s="69" t="str">
        <f t="shared" si="216"/>
        <v/>
      </c>
      <c r="J1383" s="64" t="str">
        <f t="shared" si="217"/>
        <v/>
      </c>
      <c r="K1383" s="64" t="str">
        <f t="shared" si="218"/>
        <v/>
      </c>
    </row>
    <row r="1384" spans="1:11" ht="17.25" x14ac:dyDescent="0.2">
      <c r="B1384" s="345"/>
      <c r="C1384" s="97"/>
      <c r="D1384" s="181"/>
      <c r="E1384" s="182"/>
      <c r="F1384" s="108"/>
      <c r="G1384" s="57"/>
      <c r="H1384" s="65"/>
      <c r="I1384" s="69" t="str">
        <f t="shared" si="216"/>
        <v/>
      </c>
      <c r="J1384" s="64" t="str">
        <f t="shared" si="217"/>
        <v/>
      </c>
      <c r="K1384" s="64" t="str">
        <f t="shared" si="218"/>
        <v/>
      </c>
    </row>
    <row r="1385" spans="1:11" ht="17.25" x14ac:dyDescent="0.2">
      <c r="B1385" s="345"/>
      <c r="C1385" s="97"/>
      <c r="D1385" s="181"/>
      <c r="E1385" s="182"/>
      <c r="F1385" s="108"/>
      <c r="G1385" s="57"/>
      <c r="H1385" s="65"/>
      <c r="I1385" s="69" t="str">
        <f t="shared" si="216"/>
        <v/>
      </c>
      <c r="J1385" s="64" t="str">
        <f t="shared" si="217"/>
        <v/>
      </c>
      <c r="K1385" s="64" t="str">
        <f t="shared" si="218"/>
        <v/>
      </c>
    </row>
    <row r="1386" spans="1:11" ht="17.25" x14ac:dyDescent="0.2">
      <c r="B1386" s="345"/>
      <c r="C1386" s="97"/>
      <c r="D1386" s="181"/>
      <c r="E1386" s="182"/>
      <c r="F1386" s="108"/>
      <c r="G1386" s="57"/>
      <c r="H1386" s="65"/>
      <c r="I1386" s="69" t="str">
        <f t="shared" si="216"/>
        <v/>
      </c>
      <c r="J1386" s="64" t="str">
        <f t="shared" si="217"/>
        <v/>
      </c>
      <c r="K1386" s="64" t="str">
        <f t="shared" si="218"/>
        <v/>
      </c>
    </row>
    <row r="1387" spans="1:11" ht="17.25" x14ac:dyDescent="0.2">
      <c r="B1387" s="345"/>
      <c r="C1387" s="97"/>
      <c r="D1387" s="181"/>
      <c r="E1387" s="182"/>
      <c r="F1387" s="108"/>
      <c r="G1387" s="57"/>
      <c r="H1387" s="65"/>
      <c r="I1387" s="69" t="str">
        <f t="shared" si="216"/>
        <v/>
      </c>
      <c r="J1387" s="64" t="str">
        <f t="shared" si="217"/>
        <v/>
      </c>
      <c r="K1387" s="64" t="str">
        <f t="shared" si="218"/>
        <v/>
      </c>
    </row>
    <row r="1388" spans="1:11" ht="17.25" x14ac:dyDescent="0.2">
      <c r="B1388" s="345"/>
      <c r="C1388" s="112"/>
      <c r="D1388" s="112"/>
      <c r="E1388" s="107"/>
      <c r="F1388" s="108"/>
      <c r="G1388" s="57"/>
      <c r="H1388" s="65"/>
      <c r="I1388" s="69" t="str">
        <f t="shared" si="216"/>
        <v/>
      </c>
      <c r="J1388" s="64" t="str">
        <f t="shared" si="217"/>
        <v/>
      </c>
      <c r="K1388" s="64" t="str">
        <f t="shared" si="218"/>
        <v/>
      </c>
    </row>
    <row r="1389" spans="1:11" ht="18" customHeight="1" x14ac:dyDescent="0.2">
      <c r="B1389" s="561" t="s">
        <v>22</v>
      </c>
      <c r="C1389" s="561" t="s">
        <v>177</v>
      </c>
      <c r="D1389" s="561" t="s">
        <v>243</v>
      </c>
      <c r="E1389" s="561" t="s">
        <v>23</v>
      </c>
      <c r="F1389" s="562" t="s">
        <v>234</v>
      </c>
      <c r="G1389" s="562"/>
      <c r="H1389" s="562"/>
      <c r="I1389" s="562"/>
      <c r="J1389" s="562"/>
      <c r="K1389" s="562"/>
    </row>
    <row r="1390" spans="1:11" ht="21" x14ac:dyDescent="0.2">
      <c r="A1390" s="114" t="s">
        <v>1086</v>
      </c>
      <c r="B1390" s="436" t="s">
        <v>2686</v>
      </c>
      <c r="C1390" s="115" t="s">
        <v>2699</v>
      </c>
      <c r="D1390" s="114" t="s">
        <v>1209</v>
      </c>
      <c r="E1390" s="329" t="str">
        <f>IF($O$76="","",$O$76)</f>
        <v>Metropol. de São Gabriel - Área 1</v>
      </c>
      <c r="F1390" s="563">
        <f>IF(B1390="","",VLOOKUP(E1390,$O$2:$T$120,6,0))</f>
        <v>51166</v>
      </c>
      <c r="G1390" s="564"/>
      <c r="H1390" s="564"/>
      <c r="I1390" s="564"/>
      <c r="J1390" s="564"/>
      <c r="K1390" s="565"/>
    </row>
    <row r="1391" spans="1:11" ht="43.5" x14ac:dyDescent="0.2">
      <c r="A1391" s="166" t="s">
        <v>779</v>
      </c>
      <c r="B1391" s="116" t="s">
        <v>0</v>
      </c>
      <c r="C1391" s="116" t="s">
        <v>20</v>
      </c>
      <c r="D1391" s="116" t="s">
        <v>21</v>
      </c>
      <c r="E1391" s="116" t="s">
        <v>1</v>
      </c>
      <c r="F1391" s="117" t="s">
        <v>3</v>
      </c>
      <c r="G1391" s="116" t="s">
        <v>216</v>
      </c>
      <c r="H1391" s="180" t="s">
        <v>242</v>
      </c>
      <c r="I1391" s="116" t="s">
        <v>245</v>
      </c>
      <c r="J1391" s="116" t="s">
        <v>217</v>
      </c>
      <c r="K1391" s="116" t="s">
        <v>218</v>
      </c>
    </row>
    <row r="1392" spans="1:11" ht="17.25" x14ac:dyDescent="0.2">
      <c r="B1392" s="411" t="s">
        <v>1807</v>
      </c>
      <c r="C1392" s="112" t="s">
        <v>1546</v>
      </c>
      <c r="D1392" s="113" t="s">
        <v>1808</v>
      </c>
      <c r="E1392" s="107" t="s">
        <v>56</v>
      </c>
      <c r="F1392" s="333">
        <v>17.5</v>
      </c>
      <c r="G1392" s="57">
        <v>13</v>
      </c>
      <c r="H1392" s="65">
        <v>2</v>
      </c>
      <c r="I1392" s="69">
        <f t="shared" ref="I1392:I1401" si="219">IF(G1392="","",SUM(G1392:H1392))</f>
        <v>15</v>
      </c>
      <c r="J1392" s="64">
        <f>IF(G1392="","",ROUNDUP(G1392*0.65,0))</f>
        <v>9</v>
      </c>
      <c r="K1392" s="64">
        <f>IF(G1392="","",ROUNDUP(G1392*0.55,0))</f>
        <v>8</v>
      </c>
    </row>
    <row r="1393" spans="2:11" ht="17.25" x14ac:dyDescent="0.2">
      <c r="B1393" s="411" t="s">
        <v>1809</v>
      </c>
      <c r="C1393" s="112" t="s">
        <v>1801</v>
      </c>
      <c r="D1393" s="113" t="s">
        <v>1810</v>
      </c>
      <c r="E1393" s="107" t="s">
        <v>56</v>
      </c>
      <c r="F1393" s="333">
        <v>17.5</v>
      </c>
      <c r="G1393" s="57">
        <v>13</v>
      </c>
      <c r="H1393" s="65">
        <v>2</v>
      </c>
      <c r="I1393" s="69">
        <f t="shared" si="219"/>
        <v>15</v>
      </c>
      <c r="J1393" s="64">
        <f t="shared" ref="J1393:J1407" si="220">IF(G1393="","",ROUNDUP(G1393*0.65,0))</f>
        <v>9</v>
      </c>
      <c r="K1393" s="64">
        <f t="shared" ref="K1393:K1407" si="221">IF(G1393="","",ROUNDUP(G1393*0.55,0))</f>
        <v>8</v>
      </c>
    </row>
    <row r="1394" spans="2:11" ht="17.25" x14ac:dyDescent="0.2">
      <c r="B1394" s="411" t="s">
        <v>1811</v>
      </c>
      <c r="C1394" s="112" t="s">
        <v>1801</v>
      </c>
      <c r="D1394" s="113" t="s">
        <v>1812</v>
      </c>
      <c r="E1394" s="107" t="s">
        <v>55</v>
      </c>
      <c r="F1394" s="333">
        <v>14</v>
      </c>
      <c r="G1394" s="57">
        <v>12</v>
      </c>
      <c r="H1394" s="65">
        <v>3</v>
      </c>
      <c r="I1394" s="69">
        <f t="shared" si="219"/>
        <v>15</v>
      </c>
      <c r="J1394" s="64">
        <f t="shared" si="220"/>
        <v>8</v>
      </c>
      <c r="K1394" s="64">
        <f t="shared" si="221"/>
        <v>7</v>
      </c>
    </row>
    <row r="1395" spans="2:11" ht="17.25" x14ac:dyDescent="0.2">
      <c r="B1395" s="411" t="s">
        <v>1813</v>
      </c>
      <c r="C1395" s="112" t="s">
        <v>1801</v>
      </c>
      <c r="D1395" s="113" t="s">
        <v>1814</v>
      </c>
      <c r="E1395" s="107" t="s">
        <v>55</v>
      </c>
      <c r="F1395" s="333">
        <v>14</v>
      </c>
      <c r="G1395" s="57">
        <v>12</v>
      </c>
      <c r="H1395" s="65">
        <v>3</v>
      </c>
      <c r="I1395" s="69">
        <f t="shared" si="219"/>
        <v>15</v>
      </c>
      <c r="J1395" s="64">
        <f t="shared" si="220"/>
        <v>8</v>
      </c>
      <c r="K1395" s="64">
        <f t="shared" si="221"/>
        <v>7</v>
      </c>
    </row>
    <row r="1396" spans="2:11" ht="17.25" x14ac:dyDescent="0.2">
      <c r="B1396" s="411" t="s">
        <v>1815</v>
      </c>
      <c r="C1396" s="112" t="s">
        <v>1798</v>
      </c>
      <c r="D1396" s="113" t="s">
        <v>1816</v>
      </c>
      <c r="E1396" s="107" t="s">
        <v>265</v>
      </c>
      <c r="F1396" s="108">
        <v>12.5</v>
      </c>
      <c r="G1396" s="57">
        <v>16</v>
      </c>
      <c r="H1396" s="65">
        <v>4</v>
      </c>
      <c r="I1396" s="69">
        <f t="shared" si="219"/>
        <v>20</v>
      </c>
      <c r="J1396" s="64">
        <f t="shared" si="220"/>
        <v>11</v>
      </c>
      <c r="K1396" s="64">
        <f t="shared" si="221"/>
        <v>9</v>
      </c>
    </row>
    <row r="1397" spans="2:11" ht="17.25" x14ac:dyDescent="0.2">
      <c r="B1397" s="325"/>
      <c r="C1397" s="112"/>
      <c r="D1397" s="113"/>
      <c r="E1397" s="107"/>
      <c r="F1397" s="108"/>
      <c r="G1397" s="57"/>
      <c r="H1397" s="65"/>
      <c r="I1397" s="69" t="str">
        <f t="shared" si="219"/>
        <v/>
      </c>
      <c r="J1397" s="64" t="str">
        <f t="shared" si="220"/>
        <v/>
      </c>
      <c r="K1397" s="64" t="str">
        <f t="shared" si="221"/>
        <v/>
      </c>
    </row>
    <row r="1398" spans="2:11" ht="17.25" x14ac:dyDescent="0.2">
      <c r="B1398" s="325"/>
      <c r="C1398" s="97"/>
      <c r="D1398" s="97"/>
      <c r="E1398" s="123"/>
      <c r="F1398" s="108"/>
      <c r="G1398" s="64"/>
      <c r="H1398" s="65"/>
      <c r="I1398" s="69" t="str">
        <f t="shared" si="219"/>
        <v/>
      </c>
      <c r="J1398" s="64" t="str">
        <f t="shared" si="220"/>
        <v/>
      </c>
      <c r="K1398" s="64" t="str">
        <f t="shared" si="221"/>
        <v/>
      </c>
    </row>
    <row r="1399" spans="2:11" ht="17.25" x14ac:dyDescent="0.2">
      <c r="B1399" s="325"/>
      <c r="C1399" s="97"/>
      <c r="D1399" s="97"/>
      <c r="E1399" s="123"/>
      <c r="F1399" s="108"/>
      <c r="G1399" s="64"/>
      <c r="H1399" s="65"/>
      <c r="I1399" s="69" t="str">
        <f t="shared" si="219"/>
        <v/>
      </c>
      <c r="J1399" s="64" t="str">
        <f t="shared" si="220"/>
        <v/>
      </c>
      <c r="K1399" s="64" t="str">
        <f t="shared" si="221"/>
        <v/>
      </c>
    </row>
    <row r="1400" spans="2:11" ht="17.25" x14ac:dyDescent="0.2">
      <c r="B1400" s="325"/>
      <c r="C1400" s="97"/>
      <c r="D1400" s="97"/>
      <c r="E1400" s="123"/>
      <c r="F1400" s="108"/>
      <c r="G1400" s="64"/>
      <c r="H1400" s="65"/>
      <c r="I1400" s="69" t="str">
        <f t="shared" si="219"/>
        <v/>
      </c>
      <c r="J1400" s="64" t="str">
        <f t="shared" si="220"/>
        <v/>
      </c>
      <c r="K1400" s="64" t="str">
        <f t="shared" si="221"/>
        <v/>
      </c>
    </row>
    <row r="1401" spans="2:11" ht="17.25" x14ac:dyDescent="0.2">
      <c r="B1401" s="325"/>
      <c r="C1401" s="97"/>
      <c r="D1401" s="97"/>
      <c r="E1401" s="123"/>
      <c r="F1401" s="108"/>
      <c r="G1401" s="64"/>
      <c r="H1401" s="65"/>
      <c r="I1401" s="69" t="str">
        <f t="shared" si="219"/>
        <v/>
      </c>
      <c r="J1401" s="64" t="str">
        <f t="shared" si="220"/>
        <v/>
      </c>
      <c r="K1401" s="64" t="str">
        <f t="shared" si="221"/>
        <v/>
      </c>
    </row>
    <row r="1402" spans="2:11" ht="17.25" x14ac:dyDescent="0.2">
      <c r="B1402" s="325"/>
      <c r="C1402" s="97"/>
      <c r="D1402" s="97"/>
      <c r="E1402" s="123"/>
      <c r="F1402" s="108"/>
      <c r="G1402" s="64"/>
      <c r="H1402" s="65"/>
      <c r="I1402" s="69"/>
      <c r="J1402" s="64" t="str">
        <f t="shared" si="220"/>
        <v/>
      </c>
      <c r="K1402" s="64" t="str">
        <f t="shared" si="221"/>
        <v/>
      </c>
    </row>
    <row r="1403" spans="2:11" ht="17.25" x14ac:dyDescent="0.2">
      <c r="B1403" s="325"/>
      <c r="C1403" s="97"/>
      <c r="D1403" s="97"/>
      <c r="E1403" s="123"/>
      <c r="F1403" s="108"/>
      <c r="G1403" s="64"/>
      <c r="H1403" s="65"/>
      <c r="I1403" s="69"/>
      <c r="J1403" s="64" t="str">
        <f t="shared" si="220"/>
        <v/>
      </c>
      <c r="K1403" s="64" t="str">
        <f t="shared" si="221"/>
        <v/>
      </c>
    </row>
    <row r="1404" spans="2:11" ht="17.25" x14ac:dyDescent="0.2">
      <c r="B1404" s="325"/>
      <c r="C1404" s="97"/>
      <c r="D1404" s="97"/>
      <c r="E1404" s="123"/>
      <c r="F1404" s="108"/>
      <c r="G1404" s="64"/>
      <c r="H1404" s="65"/>
      <c r="I1404" s="69"/>
      <c r="J1404" s="64" t="str">
        <f t="shared" si="220"/>
        <v/>
      </c>
      <c r="K1404" s="64" t="str">
        <f t="shared" si="221"/>
        <v/>
      </c>
    </row>
    <row r="1405" spans="2:11" ht="17.25" x14ac:dyDescent="0.2">
      <c r="B1405" s="325"/>
      <c r="C1405" s="97"/>
      <c r="D1405" s="97"/>
      <c r="E1405" s="123"/>
      <c r="F1405" s="108"/>
      <c r="G1405" s="64"/>
      <c r="H1405" s="65"/>
      <c r="I1405" s="69"/>
      <c r="J1405" s="64" t="str">
        <f t="shared" si="220"/>
        <v/>
      </c>
      <c r="K1405" s="64" t="str">
        <f t="shared" si="221"/>
        <v/>
      </c>
    </row>
    <row r="1406" spans="2:11" ht="17.25" x14ac:dyDescent="0.2">
      <c r="B1406" s="325"/>
      <c r="C1406" s="97"/>
      <c r="D1406" s="97"/>
      <c r="E1406" s="123"/>
      <c r="F1406" s="108"/>
      <c r="G1406" s="64"/>
      <c r="H1406" s="65"/>
      <c r="I1406" s="69"/>
      <c r="J1406" s="64" t="str">
        <f t="shared" si="220"/>
        <v/>
      </c>
      <c r="K1406" s="64" t="str">
        <f t="shared" si="221"/>
        <v/>
      </c>
    </row>
    <row r="1407" spans="2:11" ht="17.25" x14ac:dyDescent="0.2">
      <c r="B1407" s="325"/>
      <c r="C1407" s="97"/>
      <c r="D1407" s="97"/>
      <c r="E1407" s="123"/>
      <c r="F1407" s="108"/>
      <c r="G1407" s="64"/>
      <c r="H1407" s="65"/>
      <c r="I1407" s="69"/>
      <c r="J1407" s="64" t="str">
        <f t="shared" si="220"/>
        <v/>
      </c>
      <c r="K1407" s="64" t="str">
        <f t="shared" si="221"/>
        <v/>
      </c>
    </row>
    <row r="1408" spans="2:11" ht="18" customHeight="1" x14ac:dyDescent="0.2">
      <c r="B1408" s="561" t="s">
        <v>22</v>
      </c>
      <c r="C1408" s="561" t="s">
        <v>177</v>
      </c>
      <c r="D1408" s="561" t="s">
        <v>243</v>
      </c>
      <c r="E1408" s="561" t="s">
        <v>23</v>
      </c>
      <c r="F1408" s="562" t="s">
        <v>234</v>
      </c>
      <c r="G1408" s="562"/>
      <c r="H1408" s="562"/>
      <c r="I1408" s="562"/>
      <c r="J1408" s="562"/>
      <c r="K1408" s="562"/>
    </row>
    <row r="1409" spans="1:11" ht="21" x14ac:dyDescent="0.2">
      <c r="A1409" s="114" t="s">
        <v>1087</v>
      </c>
      <c r="B1409" s="432" t="s">
        <v>2653</v>
      </c>
      <c r="C1409" s="115" t="s">
        <v>573</v>
      </c>
      <c r="D1409" s="114" t="s">
        <v>574</v>
      </c>
      <c r="E1409" s="329" t="str">
        <f>IF($O$77="","",$O$77)</f>
        <v>Metropol. de São Gabriel - Área 2</v>
      </c>
      <c r="F1409" s="563">
        <f>IF(B1409="","",VLOOKUP(E1409,$O$2:$T$120,6,0))</f>
        <v>48841</v>
      </c>
      <c r="G1409" s="564"/>
      <c r="H1409" s="564"/>
      <c r="I1409" s="564"/>
      <c r="J1409" s="564"/>
      <c r="K1409" s="565"/>
    </row>
    <row r="1410" spans="1:11" ht="43.5" x14ac:dyDescent="0.2">
      <c r="A1410" s="166" t="s">
        <v>779</v>
      </c>
      <c r="B1410" s="116" t="s">
        <v>0</v>
      </c>
      <c r="C1410" s="116" t="s">
        <v>20</v>
      </c>
      <c r="D1410" s="116" t="s">
        <v>21</v>
      </c>
      <c r="E1410" s="116" t="s">
        <v>1</v>
      </c>
      <c r="F1410" s="117" t="s">
        <v>3</v>
      </c>
      <c r="G1410" s="116" t="s">
        <v>216</v>
      </c>
      <c r="H1410" s="180" t="s">
        <v>242</v>
      </c>
      <c r="I1410" s="116" t="s">
        <v>245</v>
      </c>
      <c r="J1410" s="116" t="s">
        <v>217</v>
      </c>
      <c r="K1410" s="116" t="s">
        <v>218</v>
      </c>
    </row>
    <row r="1411" spans="1:11" ht="17.25" x14ac:dyDescent="0.2">
      <c r="B1411" s="411" t="s">
        <v>1817</v>
      </c>
      <c r="C1411" s="112" t="s">
        <v>1801</v>
      </c>
      <c r="D1411" s="113" t="s">
        <v>1808</v>
      </c>
      <c r="E1411" s="107" t="s">
        <v>56</v>
      </c>
      <c r="F1411" s="333">
        <v>17.5</v>
      </c>
      <c r="G1411" s="57">
        <v>13</v>
      </c>
      <c r="H1411" s="65">
        <v>2</v>
      </c>
      <c r="I1411" s="69">
        <f t="shared" ref="I1411:I1426" si="222">IF(G1411="","",SUM(G1411:H1411))</f>
        <v>15</v>
      </c>
      <c r="J1411" s="64">
        <f>IF(G1411="","",ROUNDUP(G1411*0.65,0))</f>
        <v>9</v>
      </c>
      <c r="K1411" s="64">
        <f>IF(G1411="","",ROUNDUP(G1411*0.55,0))</f>
        <v>8</v>
      </c>
    </row>
    <row r="1412" spans="1:11" ht="17.25" x14ac:dyDescent="0.2">
      <c r="B1412" s="411" t="s">
        <v>1818</v>
      </c>
      <c r="C1412" s="112" t="s">
        <v>1798</v>
      </c>
      <c r="D1412" s="113" t="s">
        <v>1819</v>
      </c>
      <c r="E1412" s="107" t="s">
        <v>1019</v>
      </c>
      <c r="F1412" s="108">
        <v>16.5</v>
      </c>
      <c r="G1412" s="57">
        <v>7</v>
      </c>
      <c r="H1412" s="65">
        <v>3</v>
      </c>
      <c r="I1412" s="69">
        <f t="shared" si="222"/>
        <v>10</v>
      </c>
      <c r="J1412" s="64">
        <f t="shared" ref="J1412:J1426" si="223">IF(G1412="","",ROUNDUP(G1412*0.65,0))</f>
        <v>5</v>
      </c>
      <c r="K1412" s="64">
        <f t="shared" ref="K1412:K1426" si="224">IF(G1412="","",ROUNDUP(G1412*0.55,0))</f>
        <v>4</v>
      </c>
    </row>
    <row r="1413" spans="1:11" ht="17.25" x14ac:dyDescent="0.2">
      <c r="B1413" s="411" t="s">
        <v>1820</v>
      </c>
      <c r="C1413" s="112" t="s">
        <v>1801</v>
      </c>
      <c r="D1413" s="113" t="s">
        <v>1821</v>
      </c>
      <c r="E1413" s="107" t="s">
        <v>55</v>
      </c>
      <c r="F1413" s="333">
        <v>14</v>
      </c>
      <c r="G1413" s="57">
        <v>13</v>
      </c>
      <c r="H1413" s="65">
        <v>2</v>
      </c>
      <c r="I1413" s="69">
        <f t="shared" si="222"/>
        <v>15</v>
      </c>
      <c r="J1413" s="64">
        <f t="shared" si="223"/>
        <v>9</v>
      </c>
      <c r="K1413" s="64">
        <f t="shared" si="224"/>
        <v>8</v>
      </c>
    </row>
    <row r="1414" spans="1:11" ht="17.25" x14ac:dyDescent="0.2">
      <c r="B1414" s="411" t="s">
        <v>1822</v>
      </c>
      <c r="C1414" s="112" t="s">
        <v>1801</v>
      </c>
      <c r="D1414" s="113" t="s">
        <v>1823</v>
      </c>
      <c r="E1414" s="107" t="s">
        <v>265</v>
      </c>
      <c r="F1414" s="108">
        <v>12.5</v>
      </c>
      <c r="G1414" s="57">
        <v>15</v>
      </c>
      <c r="H1414" s="65">
        <v>2</v>
      </c>
      <c r="I1414" s="69">
        <f t="shared" si="222"/>
        <v>17</v>
      </c>
      <c r="J1414" s="64">
        <f t="shared" si="223"/>
        <v>10</v>
      </c>
      <c r="K1414" s="64">
        <f t="shared" si="224"/>
        <v>9</v>
      </c>
    </row>
    <row r="1415" spans="1:11" ht="17.25" x14ac:dyDescent="0.2">
      <c r="B1415" s="411" t="s">
        <v>1824</v>
      </c>
      <c r="C1415" s="112" t="s">
        <v>1546</v>
      </c>
      <c r="D1415" s="113" t="s">
        <v>1825</v>
      </c>
      <c r="E1415" s="107" t="s">
        <v>265</v>
      </c>
      <c r="F1415" s="108">
        <v>12.5</v>
      </c>
      <c r="G1415" s="57">
        <v>15</v>
      </c>
      <c r="H1415" s="65">
        <v>3</v>
      </c>
      <c r="I1415" s="69">
        <f t="shared" si="222"/>
        <v>18</v>
      </c>
      <c r="J1415" s="64">
        <f t="shared" si="223"/>
        <v>10</v>
      </c>
      <c r="K1415" s="64">
        <f t="shared" si="224"/>
        <v>9</v>
      </c>
    </row>
    <row r="1416" spans="1:11" ht="17.25" x14ac:dyDescent="0.2">
      <c r="B1416" s="325"/>
      <c r="C1416" s="112"/>
      <c r="D1416" s="113"/>
      <c r="E1416" s="107"/>
      <c r="F1416" s="108"/>
      <c r="G1416" s="57"/>
      <c r="H1416" s="65"/>
      <c r="I1416" s="69" t="str">
        <f t="shared" si="222"/>
        <v/>
      </c>
      <c r="J1416" s="64" t="str">
        <f t="shared" si="223"/>
        <v/>
      </c>
      <c r="K1416" s="64" t="str">
        <f t="shared" si="224"/>
        <v/>
      </c>
    </row>
    <row r="1417" spans="1:11" ht="17.25" x14ac:dyDescent="0.2">
      <c r="B1417" s="325"/>
      <c r="C1417" s="112"/>
      <c r="D1417" s="113"/>
      <c r="E1417" s="123"/>
      <c r="F1417" s="108"/>
      <c r="G1417" s="57"/>
      <c r="H1417" s="65"/>
      <c r="I1417" s="69" t="str">
        <f t="shared" si="222"/>
        <v/>
      </c>
      <c r="J1417" s="64" t="str">
        <f t="shared" si="223"/>
        <v/>
      </c>
      <c r="K1417" s="64" t="str">
        <f t="shared" si="224"/>
        <v/>
      </c>
    </row>
    <row r="1418" spans="1:11" ht="17.25" x14ac:dyDescent="0.2">
      <c r="B1418" s="325"/>
      <c r="C1418" s="112"/>
      <c r="D1418" s="113"/>
      <c r="E1418" s="107"/>
      <c r="F1418" s="108"/>
      <c r="G1418" s="57"/>
      <c r="H1418" s="65"/>
      <c r="I1418" s="69" t="str">
        <f t="shared" si="222"/>
        <v/>
      </c>
      <c r="J1418" s="64" t="str">
        <f t="shared" si="223"/>
        <v/>
      </c>
      <c r="K1418" s="64" t="str">
        <f t="shared" si="224"/>
        <v/>
      </c>
    </row>
    <row r="1419" spans="1:11" ht="17.25" x14ac:dyDescent="0.2">
      <c r="B1419" s="325"/>
      <c r="C1419" s="112"/>
      <c r="D1419" s="113"/>
      <c r="E1419" s="107"/>
      <c r="F1419" s="108"/>
      <c r="G1419" s="57"/>
      <c r="H1419" s="65"/>
      <c r="I1419" s="69" t="str">
        <f t="shared" si="222"/>
        <v/>
      </c>
      <c r="J1419" s="64" t="str">
        <f t="shared" si="223"/>
        <v/>
      </c>
      <c r="K1419" s="64" t="str">
        <f t="shared" si="224"/>
        <v/>
      </c>
    </row>
    <row r="1420" spans="1:11" ht="17.25" x14ac:dyDescent="0.2">
      <c r="B1420" s="325"/>
      <c r="C1420" s="112"/>
      <c r="D1420" s="112"/>
      <c r="E1420" s="107"/>
      <c r="F1420" s="108"/>
      <c r="G1420" s="57"/>
      <c r="H1420" s="65"/>
      <c r="I1420" s="69" t="str">
        <f t="shared" si="222"/>
        <v/>
      </c>
      <c r="J1420" s="64" t="str">
        <f t="shared" si="223"/>
        <v/>
      </c>
      <c r="K1420" s="64" t="str">
        <f t="shared" si="224"/>
        <v/>
      </c>
    </row>
    <row r="1421" spans="1:11" ht="17.25" x14ac:dyDescent="0.2">
      <c r="B1421" s="325"/>
      <c r="C1421" s="112"/>
      <c r="D1421" s="112"/>
      <c r="E1421" s="107"/>
      <c r="F1421" s="108"/>
      <c r="G1421" s="57"/>
      <c r="H1421" s="65"/>
      <c r="I1421" s="69" t="str">
        <f t="shared" si="222"/>
        <v/>
      </c>
      <c r="J1421" s="64" t="str">
        <f t="shared" si="223"/>
        <v/>
      </c>
      <c r="K1421" s="64" t="str">
        <f t="shared" si="224"/>
        <v/>
      </c>
    </row>
    <row r="1422" spans="1:11" ht="17.25" x14ac:dyDescent="0.2">
      <c r="B1422" s="325"/>
      <c r="C1422" s="112"/>
      <c r="D1422" s="112"/>
      <c r="E1422" s="107"/>
      <c r="F1422" s="108"/>
      <c r="G1422" s="57"/>
      <c r="H1422" s="65"/>
      <c r="I1422" s="69" t="str">
        <f t="shared" si="222"/>
        <v/>
      </c>
      <c r="J1422" s="64" t="str">
        <f t="shared" si="223"/>
        <v/>
      </c>
      <c r="K1422" s="64" t="str">
        <f t="shared" si="224"/>
        <v/>
      </c>
    </row>
    <row r="1423" spans="1:11" ht="17.25" x14ac:dyDescent="0.2">
      <c r="B1423" s="325"/>
      <c r="C1423" s="112"/>
      <c r="D1423" s="112"/>
      <c r="E1423" s="107"/>
      <c r="F1423" s="108"/>
      <c r="G1423" s="57"/>
      <c r="H1423" s="65"/>
      <c r="I1423" s="69" t="str">
        <f t="shared" si="222"/>
        <v/>
      </c>
      <c r="J1423" s="64" t="str">
        <f t="shared" si="223"/>
        <v/>
      </c>
      <c r="K1423" s="64" t="str">
        <f t="shared" si="224"/>
        <v/>
      </c>
    </row>
    <row r="1424" spans="1:11" ht="17.25" x14ac:dyDescent="0.2">
      <c r="B1424" s="325"/>
      <c r="C1424" s="112"/>
      <c r="D1424" s="112"/>
      <c r="E1424" s="107"/>
      <c r="F1424" s="108"/>
      <c r="G1424" s="57"/>
      <c r="H1424" s="65"/>
      <c r="I1424" s="69" t="str">
        <f t="shared" si="222"/>
        <v/>
      </c>
      <c r="J1424" s="64" t="str">
        <f t="shared" si="223"/>
        <v/>
      </c>
      <c r="K1424" s="64" t="str">
        <f t="shared" si="224"/>
        <v/>
      </c>
    </row>
    <row r="1425" spans="1:11" ht="17.25" x14ac:dyDescent="0.2">
      <c r="B1425" s="325"/>
      <c r="C1425" s="112"/>
      <c r="D1425" s="112"/>
      <c r="E1425" s="107"/>
      <c r="F1425" s="108"/>
      <c r="G1425" s="57"/>
      <c r="H1425" s="65"/>
      <c r="I1425" s="69" t="str">
        <f t="shared" si="222"/>
        <v/>
      </c>
      <c r="J1425" s="64" t="str">
        <f t="shared" si="223"/>
        <v/>
      </c>
      <c r="K1425" s="64" t="str">
        <f t="shared" si="224"/>
        <v/>
      </c>
    </row>
    <row r="1426" spans="1:11" ht="17.25" x14ac:dyDescent="0.2">
      <c r="B1426" s="325"/>
      <c r="C1426" s="112"/>
      <c r="D1426" s="112"/>
      <c r="E1426" s="107"/>
      <c r="F1426" s="108"/>
      <c r="G1426" s="57"/>
      <c r="H1426" s="65"/>
      <c r="I1426" s="69" t="str">
        <f t="shared" si="222"/>
        <v/>
      </c>
      <c r="J1426" s="64" t="str">
        <f t="shared" si="223"/>
        <v/>
      </c>
      <c r="K1426" s="64" t="str">
        <f t="shared" si="224"/>
        <v/>
      </c>
    </row>
    <row r="1427" spans="1:11" ht="18" customHeight="1" x14ac:dyDescent="0.2">
      <c r="B1427" s="561" t="s">
        <v>22</v>
      </c>
      <c r="C1427" s="561" t="s">
        <v>177</v>
      </c>
      <c r="D1427" s="561" t="s">
        <v>243</v>
      </c>
      <c r="E1427" s="561" t="s">
        <v>23</v>
      </c>
      <c r="F1427" s="566" t="s">
        <v>234</v>
      </c>
      <c r="G1427" s="567"/>
      <c r="H1427" s="567"/>
      <c r="I1427" s="567"/>
      <c r="J1427" s="567"/>
      <c r="K1427" s="568"/>
    </row>
    <row r="1428" spans="1:11" ht="21" x14ac:dyDescent="0.2">
      <c r="A1428" s="114" t="s">
        <v>1088</v>
      </c>
      <c r="B1428" s="434" t="s">
        <v>2626</v>
      </c>
      <c r="C1428" s="115" t="s">
        <v>498</v>
      </c>
      <c r="D1428" s="114" t="s">
        <v>639</v>
      </c>
      <c r="E1428" s="329" t="str">
        <f>IF($O$78="","",$O$78)</f>
        <v>Munic. de BDP - Área 1.1</v>
      </c>
      <c r="F1428" s="563">
        <f>IF(B1428="","",VLOOKUP(E1428,$O$2:$T$120,6,0))</f>
        <v>101728</v>
      </c>
      <c r="G1428" s="564"/>
      <c r="H1428" s="564"/>
      <c r="I1428" s="564"/>
      <c r="J1428" s="564"/>
      <c r="K1428" s="565"/>
    </row>
    <row r="1429" spans="1:11" ht="43.5" x14ac:dyDescent="0.2">
      <c r="A1429" s="166" t="s">
        <v>779</v>
      </c>
      <c r="B1429" s="116" t="s">
        <v>0</v>
      </c>
      <c r="C1429" s="116" t="s">
        <v>20</v>
      </c>
      <c r="D1429" s="116" t="s">
        <v>21</v>
      </c>
      <c r="E1429" s="116" t="s">
        <v>1</v>
      </c>
      <c r="F1429" s="117" t="s">
        <v>3</v>
      </c>
      <c r="G1429" s="116" t="s">
        <v>216</v>
      </c>
      <c r="H1429" s="180" t="s">
        <v>242</v>
      </c>
      <c r="I1429" s="116" t="s">
        <v>245</v>
      </c>
      <c r="J1429" s="116" t="s">
        <v>217</v>
      </c>
      <c r="K1429" s="116" t="s">
        <v>218</v>
      </c>
    </row>
    <row r="1430" spans="1:11" ht="17.25" x14ac:dyDescent="0.35">
      <c r="B1430" s="412" t="s">
        <v>1826</v>
      </c>
      <c r="C1430" s="152" t="s">
        <v>1827</v>
      </c>
      <c r="D1430" s="152" t="s">
        <v>1828</v>
      </c>
      <c r="E1430" s="107" t="s">
        <v>57</v>
      </c>
      <c r="F1430" s="108">
        <v>23</v>
      </c>
      <c r="G1430" s="57">
        <v>13</v>
      </c>
      <c r="H1430" s="65">
        <v>2</v>
      </c>
      <c r="I1430" s="69">
        <f>IF(G1430="","",SUM(G1430:H1430))</f>
        <v>15</v>
      </c>
      <c r="J1430" s="64">
        <f>IF(G1430="","",ROUNDUP(G1430*0.65,0))</f>
        <v>9</v>
      </c>
      <c r="K1430" s="64">
        <f>IF(G1430="","",ROUNDUP(G1430*0.55,0))</f>
        <v>8</v>
      </c>
    </row>
    <row r="1431" spans="1:11" ht="17.25" x14ac:dyDescent="0.35">
      <c r="B1431" s="412" t="s">
        <v>1829</v>
      </c>
      <c r="C1431" s="152" t="s">
        <v>1827</v>
      </c>
      <c r="D1431" s="152" t="s">
        <v>1830</v>
      </c>
      <c r="E1431" s="107" t="s">
        <v>56</v>
      </c>
      <c r="F1431" s="333">
        <v>17.5</v>
      </c>
      <c r="G1431" s="57">
        <v>15</v>
      </c>
      <c r="H1431" s="65">
        <v>2</v>
      </c>
      <c r="I1431" s="69">
        <f t="shared" ref="I1431:I1440" si="225">IF(G1431="","",SUM(G1431:H1431))</f>
        <v>17</v>
      </c>
      <c r="J1431" s="64">
        <f t="shared" ref="J1431:J1445" si="226">IF(G1431="","",ROUNDUP(G1431*0.65,0))</f>
        <v>10</v>
      </c>
      <c r="K1431" s="64">
        <f t="shared" ref="K1431:K1445" si="227">IF(G1431="","",ROUNDUP(G1431*0.55,0))</f>
        <v>9</v>
      </c>
    </row>
    <row r="1432" spans="1:11" ht="17.25" x14ac:dyDescent="0.35">
      <c r="B1432" s="412" t="s">
        <v>1831</v>
      </c>
      <c r="C1432" s="152" t="s">
        <v>1827</v>
      </c>
      <c r="D1432" s="152" t="s">
        <v>1832</v>
      </c>
      <c r="E1432" s="107" t="s">
        <v>56</v>
      </c>
      <c r="F1432" s="333">
        <v>17.5</v>
      </c>
      <c r="G1432" s="57">
        <v>15</v>
      </c>
      <c r="H1432" s="65">
        <v>3</v>
      </c>
      <c r="I1432" s="69">
        <f t="shared" si="225"/>
        <v>18</v>
      </c>
      <c r="J1432" s="64">
        <f t="shared" si="226"/>
        <v>10</v>
      </c>
      <c r="K1432" s="64">
        <f t="shared" si="227"/>
        <v>9</v>
      </c>
    </row>
    <row r="1433" spans="1:11" ht="17.25" x14ac:dyDescent="0.35">
      <c r="B1433" s="412" t="s">
        <v>1833</v>
      </c>
      <c r="C1433" s="152" t="s">
        <v>1834</v>
      </c>
      <c r="D1433" s="152" t="s">
        <v>1835</v>
      </c>
      <c r="E1433" s="107" t="s">
        <v>265</v>
      </c>
      <c r="F1433" s="108">
        <v>12.5</v>
      </c>
      <c r="G1433" s="57">
        <v>13</v>
      </c>
      <c r="H1433" s="65">
        <v>2</v>
      </c>
      <c r="I1433" s="69">
        <f t="shared" si="225"/>
        <v>15</v>
      </c>
      <c r="J1433" s="64">
        <f t="shared" si="226"/>
        <v>9</v>
      </c>
      <c r="K1433" s="64">
        <f t="shared" si="227"/>
        <v>8</v>
      </c>
    </row>
    <row r="1434" spans="1:11" ht="17.25" x14ac:dyDescent="0.35">
      <c r="B1434" s="412" t="s">
        <v>1836</v>
      </c>
      <c r="C1434" s="152" t="s">
        <v>1834</v>
      </c>
      <c r="D1434" s="152" t="s">
        <v>1837</v>
      </c>
      <c r="E1434" s="107" t="s">
        <v>55</v>
      </c>
      <c r="F1434" s="333">
        <v>14</v>
      </c>
      <c r="G1434" s="57">
        <v>13</v>
      </c>
      <c r="H1434" s="65">
        <v>2</v>
      </c>
      <c r="I1434" s="69">
        <f t="shared" si="225"/>
        <v>15</v>
      </c>
      <c r="J1434" s="64">
        <f t="shared" si="226"/>
        <v>9</v>
      </c>
      <c r="K1434" s="64">
        <f t="shared" si="227"/>
        <v>8</v>
      </c>
    </row>
    <row r="1435" spans="1:11" ht="17.25" x14ac:dyDescent="0.35">
      <c r="B1435" s="412" t="s">
        <v>1838</v>
      </c>
      <c r="C1435" s="152" t="s">
        <v>1839</v>
      </c>
      <c r="D1435" s="152" t="s">
        <v>1837</v>
      </c>
      <c r="E1435" s="107" t="s">
        <v>55</v>
      </c>
      <c r="F1435" s="333">
        <v>14</v>
      </c>
      <c r="G1435" s="57">
        <v>13</v>
      </c>
      <c r="H1435" s="65">
        <v>2</v>
      </c>
      <c r="I1435" s="69">
        <f t="shared" si="225"/>
        <v>15</v>
      </c>
      <c r="J1435" s="64">
        <f t="shared" si="226"/>
        <v>9</v>
      </c>
      <c r="K1435" s="64">
        <f t="shared" si="227"/>
        <v>8</v>
      </c>
    </row>
    <row r="1436" spans="1:11" ht="17.25" x14ac:dyDescent="0.35">
      <c r="B1436" s="412" t="s">
        <v>1840</v>
      </c>
      <c r="C1436" s="152" t="s">
        <v>1839</v>
      </c>
      <c r="D1436" s="152" t="s">
        <v>1841</v>
      </c>
      <c r="E1436" s="107" t="s">
        <v>55</v>
      </c>
      <c r="F1436" s="333">
        <v>14</v>
      </c>
      <c r="G1436" s="57">
        <v>13</v>
      </c>
      <c r="H1436" s="65">
        <v>2</v>
      </c>
      <c r="I1436" s="69">
        <f t="shared" si="225"/>
        <v>15</v>
      </c>
      <c r="J1436" s="64">
        <f t="shared" si="226"/>
        <v>9</v>
      </c>
      <c r="K1436" s="64">
        <f t="shared" si="227"/>
        <v>8</v>
      </c>
    </row>
    <row r="1437" spans="1:11" ht="17.25" x14ac:dyDescent="0.35">
      <c r="B1437" s="412" t="s">
        <v>1842</v>
      </c>
      <c r="C1437" s="152" t="s">
        <v>1310</v>
      </c>
      <c r="D1437" s="152" t="s">
        <v>1837</v>
      </c>
      <c r="E1437" s="107" t="s">
        <v>265</v>
      </c>
      <c r="F1437" s="108">
        <v>12.5</v>
      </c>
      <c r="G1437" s="57">
        <v>22</v>
      </c>
      <c r="H1437" s="65">
        <v>3</v>
      </c>
      <c r="I1437" s="69">
        <f t="shared" si="225"/>
        <v>25</v>
      </c>
      <c r="J1437" s="64">
        <f t="shared" si="226"/>
        <v>15</v>
      </c>
      <c r="K1437" s="64">
        <f t="shared" si="227"/>
        <v>13</v>
      </c>
    </row>
    <row r="1438" spans="1:11" ht="17.25" x14ac:dyDescent="0.35">
      <c r="B1438" s="332"/>
      <c r="C1438" s="152"/>
      <c r="D1438" s="152"/>
      <c r="E1438" s="107"/>
      <c r="F1438" s="108"/>
      <c r="G1438" s="57"/>
      <c r="H1438" s="65"/>
      <c r="I1438" s="69" t="str">
        <f t="shared" si="225"/>
        <v/>
      </c>
      <c r="J1438" s="64" t="str">
        <f t="shared" si="226"/>
        <v/>
      </c>
      <c r="K1438" s="64" t="str">
        <f t="shared" si="227"/>
        <v/>
      </c>
    </row>
    <row r="1439" spans="1:11" ht="17.25" x14ac:dyDescent="0.35">
      <c r="B1439" s="332"/>
      <c r="C1439" s="152"/>
      <c r="D1439" s="152"/>
      <c r="E1439" s="107"/>
      <c r="F1439" s="108"/>
      <c r="G1439" s="57"/>
      <c r="H1439" s="65"/>
      <c r="I1439" s="69" t="str">
        <f t="shared" si="225"/>
        <v/>
      </c>
      <c r="J1439" s="64" t="str">
        <f t="shared" si="226"/>
        <v/>
      </c>
      <c r="K1439" s="64" t="str">
        <f t="shared" si="227"/>
        <v/>
      </c>
    </row>
    <row r="1440" spans="1:11" ht="17.25" x14ac:dyDescent="0.35">
      <c r="B1440" s="332"/>
      <c r="C1440" s="152"/>
      <c r="D1440" s="152"/>
      <c r="E1440" s="107"/>
      <c r="F1440" s="108"/>
      <c r="G1440" s="57"/>
      <c r="H1440" s="65"/>
      <c r="I1440" s="69" t="str">
        <f t="shared" si="225"/>
        <v/>
      </c>
      <c r="J1440" s="64" t="str">
        <f t="shared" si="226"/>
        <v/>
      </c>
      <c r="K1440" s="64" t="str">
        <f t="shared" si="227"/>
        <v/>
      </c>
    </row>
    <row r="1441" spans="1:11" ht="17.25" x14ac:dyDescent="0.35">
      <c r="B1441" s="332"/>
      <c r="C1441" s="152"/>
      <c r="D1441" s="152"/>
      <c r="E1441" s="107"/>
      <c r="F1441" s="108"/>
      <c r="G1441" s="57"/>
      <c r="H1441" s="65"/>
      <c r="I1441" s="69"/>
      <c r="J1441" s="64" t="str">
        <f t="shared" si="226"/>
        <v/>
      </c>
      <c r="K1441" s="64" t="str">
        <f t="shared" si="227"/>
        <v/>
      </c>
    </row>
    <row r="1442" spans="1:11" ht="17.25" x14ac:dyDescent="0.2">
      <c r="B1442" s="332"/>
      <c r="C1442" s="112"/>
      <c r="D1442" s="112"/>
      <c r="E1442" s="107"/>
      <c r="F1442" s="108"/>
      <c r="G1442" s="57"/>
      <c r="H1442" s="65"/>
      <c r="I1442" s="69"/>
      <c r="J1442" s="64" t="str">
        <f t="shared" si="226"/>
        <v/>
      </c>
      <c r="K1442" s="64" t="str">
        <f t="shared" si="227"/>
        <v/>
      </c>
    </row>
    <row r="1443" spans="1:11" ht="17.25" x14ac:dyDescent="0.2">
      <c r="B1443" s="332"/>
      <c r="C1443" s="112"/>
      <c r="D1443" s="112"/>
      <c r="E1443" s="107"/>
      <c r="F1443" s="108"/>
      <c r="G1443" s="57"/>
      <c r="H1443" s="65"/>
      <c r="I1443" s="69"/>
      <c r="J1443" s="64" t="str">
        <f t="shared" si="226"/>
        <v/>
      </c>
      <c r="K1443" s="64" t="str">
        <f t="shared" si="227"/>
        <v/>
      </c>
    </row>
    <row r="1444" spans="1:11" ht="17.25" x14ac:dyDescent="0.2">
      <c r="B1444" s="332"/>
      <c r="C1444" s="112"/>
      <c r="D1444" s="112"/>
      <c r="E1444" s="107"/>
      <c r="F1444" s="108"/>
      <c r="G1444" s="57"/>
      <c r="H1444" s="65"/>
      <c r="I1444" s="69"/>
      <c r="J1444" s="64" t="str">
        <f t="shared" si="226"/>
        <v/>
      </c>
      <c r="K1444" s="64" t="str">
        <f t="shared" si="227"/>
        <v/>
      </c>
    </row>
    <row r="1445" spans="1:11" ht="17.25" x14ac:dyDescent="0.2">
      <c r="B1445" s="332"/>
      <c r="C1445" s="112"/>
      <c r="D1445" s="112"/>
      <c r="E1445" s="107"/>
      <c r="F1445" s="108"/>
      <c r="G1445" s="57"/>
      <c r="H1445" s="65"/>
      <c r="I1445" s="69"/>
      <c r="J1445" s="64" t="str">
        <f t="shared" si="226"/>
        <v/>
      </c>
      <c r="K1445" s="64" t="str">
        <f t="shared" si="227"/>
        <v/>
      </c>
    </row>
    <row r="1446" spans="1:11" ht="18" customHeight="1" x14ac:dyDescent="0.2">
      <c r="B1446" s="561" t="s">
        <v>22</v>
      </c>
      <c r="C1446" s="561" t="s">
        <v>177</v>
      </c>
      <c r="D1446" s="561" t="s">
        <v>243</v>
      </c>
      <c r="E1446" s="561" t="s">
        <v>23</v>
      </c>
      <c r="F1446" s="562" t="s">
        <v>234</v>
      </c>
      <c r="G1446" s="562"/>
      <c r="H1446" s="562"/>
      <c r="I1446" s="562"/>
      <c r="J1446" s="562"/>
      <c r="K1446" s="562"/>
    </row>
    <row r="1447" spans="1:11" ht="21" x14ac:dyDescent="0.2">
      <c r="A1447" s="114" t="s">
        <v>1089</v>
      </c>
      <c r="B1447" s="438" t="s">
        <v>2676</v>
      </c>
      <c r="C1447" s="115" t="s">
        <v>861</v>
      </c>
      <c r="D1447" s="114" t="s">
        <v>862</v>
      </c>
      <c r="E1447" s="329" t="str">
        <f>IF($O$79="","",$O$79)</f>
        <v>Munic. de BDP - Área 1.2</v>
      </c>
      <c r="F1447" s="563">
        <f>IF(B1447="","",VLOOKUP(E1447,$O$2:$T$120,6,0))</f>
        <v>72099</v>
      </c>
      <c r="G1447" s="564"/>
      <c r="H1447" s="564"/>
      <c r="I1447" s="564"/>
      <c r="J1447" s="564"/>
      <c r="K1447" s="565"/>
    </row>
    <row r="1448" spans="1:11" ht="43.5" x14ac:dyDescent="0.2">
      <c r="A1448" s="166" t="s">
        <v>779</v>
      </c>
      <c r="B1448" s="116" t="s">
        <v>0</v>
      </c>
      <c r="C1448" s="116" t="s">
        <v>20</v>
      </c>
      <c r="D1448" s="116" t="s">
        <v>21</v>
      </c>
      <c r="E1448" s="116" t="s">
        <v>1</v>
      </c>
      <c r="F1448" s="117" t="s">
        <v>3</v>
      </c>
      <c r="G1448" s="116" t="s">
        <v>216</v>
      </c>
      <c r="H1448" s="180" t="s">
        <v>242</v>
      </c>
      <c r="I1448" s="116" t="s">
        <v>245</v>
      </c>
      <c r="J1448" s="116" t="s">
        <v>217</v>
      </c>
      <c r="K1448" s="116" t="s">
        <v>218</v>
      </c>
    </row>
    <row r="1449" spans="1:11" ht="17.25" x14ac:dyDescent="0.35">
      <c r="B1449" s="412" t="s">
        <v>1843</v>
      </c>
      <c r="C1449" s="152" t="s">
        <v>1827</v>
      </c>
      <c r="D1449" s="152" t="s">
        <v>1844</v>
      </c>
      <c r="E1449" s="107" t="s">
        <v>57</v>
      </c>
      <c r="F1449" s="108">
        <v>23</v>
      </c>
      <c r="G1449" s="57">
        <v>13</v>
      </c>
      <c r="H1449" s="65">
        <v>2</v>
      </c>
      <c r="I1449" s="69">
        <f>IF(G1449="","",SUM(G1449:H1449))</f>
        <v>15</v>
      </c>
      <c r="J1449" s="64">
        <f>IF(G1449="","",ROUNDUP(G1449*0.65,0))</f>
        <v>9</v>
      </c>
      <c r="K1449" s="64">
        <f>IF(G1449="","",ROUNDUP(G1449*0.55,0))</f>
        <v>8</v>
      </c>
    </row>
    <row r="1450" spans="1:11" ht="17.25" x14ac:dyDescent="0.35">
      <c r="B1450" s="412" t="s">
        <v>1845</v>
      </c>
      <c r="C1450" s="152" t="s">
        <v>1827</v>
      </c>
      <c r="D1450" s="152" t="s">
        <v>1846</v>
      </c>
      <c r="E1450" s="107" t="s">
        <v>56</v>
      </c>
      <c r="F1450" s="333">
        <v>17.5</v>
      </c>
      <c r="G1450" s="57">
        <v>15</v>
      </c>
      <c r="H1450" s="65">
        <v>2</v>
      </c>
      <c r="I1450" s="69">
        <f t="shared" ref="I1450:I1455" si="228">IF(G1450="","",SUM(G1450:H1450))</f>
        <v>17</v>
      </c>
      <c r="J1450" s="64">
        <f t="shared" ref="J1450:J1464" si="229">IF(G1450="","",ROUNDUP(G1450*0.65,0))</f>
        <v>10</v>
      </c>
      <c r="K1450" s="64">
        <f t="shared" ref="K1450:K1464" si="230">IF(G1450="","",ROUNDUP(G1450*0.55,0))</f>
        <v>9</v>
      </c>
    </row>
    <row r="1451" spans="1:11" ht="17.25" x14ac:dyDescent="0.35">
      <c r="B1451" s="412" t="s">
        <v>1847</v>
      </c>
      <c r="C1451" s="152" t="s">
        <v>1827</v>
      </c>
      <c r="D1451" s="152" t="s">
        <v>1835</v>
      </c>
      <c r="E1451" s="107" t="s">
        <v>56</v>
      </c>
      <c r="F1451" s="333">
        <v>17.5</v>
      </c>
      <c r="G1451" s="57">
        <v>13</v>
      </c>
      <c r="H1451" s="65">
        <v>2</v>
      </c>
      <c r="I1451" s="69">
        <f t="shared" si="228"/>
        <v>15</v>
      </c>
      <c r="J1451" s="64">
        <f t="shared" si="229"/>
        <v>9</v>
      </c>
      <c r="K1451" s="64">
        <f t="shared" si="230"/>
        <v>8</v>
      </c>
    </row>
    <row r="1452" spans="1:11" ht="17.25" x14ac:dyDescent="0.35">
      <c r="B1452" s="412" t="s">
        <v>1848</v>
      </c>
      <c r="C1452" s="152" t="s">
        <v>1849</v>
      </c>
      <c r="D1452" s="152" t="s">
        <v>1846</v>
      </c>
      <c r="E1452" s="107" t="s">
        <v>56</v>
      </c>
      <c r="F1452" s="333">
        <v>17.5</v>
      </c>
      <c r="G1452" s="57">
        <v>13</v>
      </c>
      <c r="H1452" s="65">
        <v>3</v>
      </c>
      <c r="I1452" s="69">
        <f t="shared" si="228"/>
        <v>16</v>
      </c>
      <c r="J1452" s="64">
        <f t="shared" si="229"/>
        <v>9</v>
      </c>
      <c r="K1452" s="64">
        <f t="shared" si="230"/>
        <v>8</v>
      </c>
    </row>
    <row r="1453" spans="1:11" ht="17.25" x14ac:dyDescent="0.35">
      <c r="B1453" s="412" t="s">
        <v>1850</v>
      </c>
      <c r="C1453" s="152" t="s">
        <v>1849</v>
      </c>
      <c r="D1453" s="152" t="s">
        <v>1837</v>
      </c>
      <c r="E1453" s="107" t="s">
        <v>56</v>
      </c>
      <c r="F1453" s="333">
        <v>17.5</v>
      </c>
      <c r="G1453" s="57">
        <v>13</v>
      </c>
      <c r="H1453" s="65">
        <v>3</v>
      </c>
      <c r="I1453" s="69">
        <f t="shared" si="228"/>
        <v>16</v>
      </c>
      <c r="J1453" s="64">
        <f t="shared" si="229"/>
        <v>9</v>
      </c>
      <c r="K1453" s="64">
        <f t="shared" si="230"/>
        <v>8</v>
      </c>
    </row>
    <row r="1454" spans="1:11" ht="17.25" x14ac:dyDescent="0.35">
      <c r="B1454" s="412" t="s">
        <v>1851</v>
      </c>
      <c r="C1454" s="152" t="s">
        <v>1852</v>
      </c>
      <c r="D1454" s="152" t="s">
        <v>1846</v>
      </c>
      <c r="E1454" s="107" t="s">
        <v>56</v>
      </c>
      <c r="F1454" s="333">
        <v>17.5</v>
      </c>
      <c r="G1454" s="57">
        <v>13</v>
      </c>
      <c r="H1454" s="65">
        <v>3</v>
      </c>
      <c r="I1454" s="69">
        <f t="shared" si="228"/>
        <v>16</v>
      </c>
      <c r="J1454" s="64">
        <f t="shared" si="229"/>
        <v>9</v>
      </c>
      <c r="K1454" s="64">
        <f t="shared" si="230"/>
        <v>8</v>
      </c>
    </row>
    <row r="1455" spans="1:11" ht="17.25" x14ac:dyDescent="0.35">
      <c r="B1455" s="412" t="s">
        <v>1853</v>
      </c>
      <c r="C1455" s="152" t="s">
        <v>1837</v>
      </c>
      <c r="D1455" s="152" t="s">
        <v>1854</v>
      </c>
      <c r="E1455" s="107" t="s">
        <v>55</v>
      </c>
      <c r="F1455" s="333">
        <v>14</v>
      </c>
      <c r="G1455" s="57">
        <v>13</v>
      </c>
      <c r="H1455" s="65">
        <v>2</v>
      </c>
      <c r="I1455" s="69">
        <f t="shared" si="228"/>
        <v>15</v>
      </c>
      <c r="J1455" s="64">
        <f t="shared" si="229"/>
        <v>9</v>
      </c>
      <c r="K1455" s="64">
        <f t="shared" si="230"/>
        <v>8</v>
      </c>
    </row>
    <row r="1456" spans="1:11" ht="17.25" x14ac:dyDescent="0.35">
      <c r="B1456" s="336"/>
      <c r="C1456" s="152"/>
      <c r="D1456" s="152"/>
      <c r="E1456" s="107"/>
      <c r="F1456" s="108"/>
      <c r="G1456" s="57"/>
      <c r="H1456" s="65"/>
      <c r="I1456" s="69"/>
      <c r="J1456" s="64" t="str">
        <f t="shared" si="229"/>
        <v/>
      </c>
      <c r="K1456" s="64" t="str">
        <f t="shared" si="230"/>
        <v/>
      </c>
    </row>
    <row r="1457" spans="1:11" ht="17.25" x14ac:dyDescent="0.35">
      <c r="B1457" s="336"/>
      <c r="C1457" s="152"/>
      <c r="D1457" s="152"/>
      <c r="E1457" s="107"/>
      <c r="F1457" s="108"/>
      <c r="G1457" s="57"/>
      <c r="H1457" s="65"/>
      <c r="I1457" s="69"/>
      <c r="J1457" s="64" t="str">
        <f t="shared" si="229"/>
        <v/>
      </c>
      <c r="K1457" s="64" t="str">
        <f t="shared" si="230"/>
        <v/>
      </c>
    </row>
    <row r="1458" spans="1:11" ht="17.25" x14ac:dyDescent="0.2">
      <c r="B1458" s="336"/>
      <c r="C1458" s="99"/>
      <c r="D1458" s="99"/>
      <c r="E1458" s="107"/>
      <c r="F1458" s="108"/>
      <c r="G1458" s="57"/>
      <c r="H1458" s="65"/>
      <c r="I1458" s="69"/>
      <c r="J1458" s="64" t="str">
        <f t="shared" si="229"/>
        <v/>
      </c>
      <c r="K1458" s="64" t="str">
        <f t="shared" si="230"/>
        <v/>
      </c>
    </row>
    <row r="1459" spans="1:11" ht="17.25" x14ac:dyDescent="0.2">
      <c r="B1459" s="336"/>
      <c r="C1459" s="99"/>
      <c r="D1459" s="99"/>
      <c r="E1459" s="107"/>
      <c r="F1459" s="108"/>
      <c r="G1459" s="57"/>
      <c r="H1459" s="65"/>
      <c r="I1459" s="69"/>
      <c r="J1459" s="64" t="str">
        <f t="shared" si="229"/>
        <v/>
      </c>
      <c r="K1459" s="64" t="str">
        <f t="shared" si="230"/>
        <v/>
      </c>
    </row>
    <row r="1460" spans="1:11" ht="17.25" x14ac:dyDescent="0.2">
      <c r="B1460" s="336"/>
      <c r="C1460" s="99"/>
      <c r="D1460" s="99"/>
      <c r="E1460" s="107"/>
      <c r="F1460" s="108"/>
      <c r="G1460" s="57"/>
      <c r="H1460" s="65"/>
      <c r="I1460" s="69"/>
      <c r="J1460" s="64" t="str">
        <f t="shared" si="229"/>
        <v/>
      </c>
      <c r="K1460" s="64" t="str">
        <f t="shared" si="230"/>
        <v/>
      </c>
    </row>
    <row r="1461" spans="1:11" ht="17.25" x14ac:dyDescent="0.2">
      <c r="B1461" s="336"/>
      <c r="C1461" s="99"/>
      <c r="D1461" s="99"/>
      <c r="E1461" s="107"/>
      <c r="F1461" s="108"/>
      <c r="G1461" s="57"/>
      <c r="H1461" s="65"/>
      <c r="I1461" s="69"/>
      <c r="J1461" s="64" t="str">
        <f t="shared" si="229"/>
        <v/>
      </c>
      <c r="K1461" s="64" t="str">
        <f t="shared" si="230"/>
        <v/>
      </c>
    </row>
    <row r="1462" spans="1:11" ht="17.25" x14ac:dyDescent="0.2">
      <c r="B1462" s="336"/>
      <c r="C1462" s="99"/>
      <c r="D1462" s="99"/>
      <c r="E1462" s="107"/>
      <c r="F1462" s="108"/>
      <c r="G1462" s="57"/>
      <c r="H1462" s="65"/>
      <c r="I1462" s="69"/>
      <c r="J1462" s="64" t="str">
        <f t="shared" si="229"/>
        <v/>
      </c>
      <c r="K1462" s="64" t="str">
        <f t="shared" si="230"/>
        <v/>
      </c>
    </row>
    <row r="1463" spans="1:11" ht="17.25" x14ac:dyDescent="0.2">
      <c r="B1463" s="336"/>
      <c r="C1463" s="99"/>
      <c r="D1463" s="99"/>
      <c r="E1463" s="107"/>
      <c r="F1463" s="108"/>
      <c r="G1463" s="57"/>
      <c r="H1463" s="65"/>
      <c r="I1463" s="69"/>
      <c r="J1463" s="64" t="str">
        <f t="shared" si="229"/>
        <v/>
      </c>
      <c r="K1463" s="64" t="str">
        <f t="shared" si="230"/>
        <v/>
      </c>
    </row>
    <row r="1464" spans="1:11" ht="17.25" x14ac:dyDescent="0.2">
      <c r="B1464" s="336"/>
      <c r="C1464" s="99"/>
      <c r="D1464" s="99"/>
      <c r="E1464" s="107"/>
      <c r="F1464" s="108"/>
      <c r="G1464" s="57"/>
      <c r="H1464" s="65"/>
      <c r="I1464" s="69"/>
      <c r="J1464" s="64" t="str">
        <f t="shared" si="229"/>
        <v/>
      </c>
      <c r="K1464" s="64" t="str">
        <f t="shared" si="230"/>
        <v/>
      </c>
    </row>
    <row r="1465" spans="1:11" ht="18" customHeight="1" x14ac:dyDescent="0.2">
      <c r="B1465" s="561" t="s">
        <v>22</v>
      </c>
      <c r="C1465" s="561" t="s">
        <v>177</v>
      </c>
      <c r="D1465" s="561" t="s">
        <v>243</v>
      </c>
      <c r="E1465" s="561" t="s">
        <v>23</v>
      </c>
      <c r="F1465" s="562" t="s">
        <v>234</v>
      </c>
      <c r="G1465" s="562"/>
      <c r="H1465" s="562"/>
      <c r="I1465" s="562"/>
      <c r="J1465" s="562"/>
      <c r="K1465" s="562"/>
    </row>
    <row r="1466" spans="1:11" ht="21" x14ac:dyDescent="0.2">
      <c r="A1466" s="114" t="s">
        <v>1090</v>
      </c>
      <c r="B1466" s="436" t="s">
        <v>2687</v>
      </c>
      <c r="C1466" s="115" t="s">
        <v>2699</v>
      </c>
      <c r="D1466" s="114" t="s">
        <v>1209</v>
      </c>
      <c r="E1466" s="329" t="str">
        <f>IF($O$80="","",$O$80)</f>
        <v>Munic. de BDP - Área 1.3</v>
      </c>
      <c r="F1466" s="563">
        <f>IF(B1466="","",VLOOKUP(E1466,$O$2:$T$120,6,0))</f>
        <v>79851</v>
      </c>
      <c r="G1466" s="564"/>
      <c r="H1466" s="564"/>
      <c r="I1466" s="564"/>
      <c r="J1466" s="564"/>
      <c r="K1466" s="565"/>
    </row>
    <row r="1467" spans="1:11" ht="43.5" x14ac:dyDescent="0.2">
      <c r="A1467" s="166" t="s">
        <v>779</v>
      </c>
      <c r="B1467" s="116" t="s">
        <v>0</v>
      </c>
      <c r="C1467" s="116" t="s">
        <v>20</v>
      </c>
      <c r="D1467" s="116" t="s">
        <v>21</v>
      </c>
      <c r="E1467" s="116" t="s">
        <v>1</v>
      </c>
      <c r="F1467" s="117" t="s">
        <v>3</v>
      </c>
      <c r="G1467" s="116" t="s">
        <v>216</v>
      </c>
      <c r="H1467" s="180" t="s">
        <v>242</v>
      </c>
      <c r="I1467" s="116" t="s">
        <v>245</v>
      </c>
      <c r="J1467" s="116" t="s">
        <v>217</v>
      </c>
      <c r="K1467" s="116" t="s">
        <v>218</v>
      </c>
    </row>
    <row r="1468" spans="1:11" ht="17.25" x14ac:dyDescent="0.35">
      <c r="B1468" s="412" t="s">
        <v>1855</v>
      </c>
      <c r="C1468" s="152" t="s">
        <v>1827</v>
      </c>
      <c r="D1468" s="152" t="s">
        <v>1837</v>
      </c>
      <c r="E1468" s="107" t="s">
        <v>56</v>
      </c>
      <c r="F1468" s="333">
        <v>17.5</v>
      </c>
      <c r="G1468" s="57">
        <v>16</v>
      </c>
      <c r="H1468" s="65">
        <v>4</v>
      </c>
      <c r="I1468" s="69">
        <f>IF(G1468="","",SUM(G1468:H1468))</f>
        <v>20</v>
      </c>
      <c r="J1468" s="64">
        <f>IF(G1468="","",ROUNDUP(G1468*0.65,0))</f>
        <v>11</v>
      </c>
      <c r="K1468" s="64">
        <f>IF(G1468="","",ROUNDUP(G1468*0.55,0))</f>
        <v>9</v>
      </c>
    </row>
    <row r="1469" spans="1:11" ht="17.25" x14ac:dyDescent="0.35">
      <c r="B1469" s="412" t="s">
        <v>1856</v>
      </c>
      <c r="C1469" s="152" t="s">
        <v>1827</v>
      </c>
      <c r="D1469" s="152" t="s">
        <v>1857</v>
      </c>
      <c r="E1469" s="107" t="s">
        <v>55</v>
      </c>
      <c r="F1469" s="333">
        <v>14</v>
      </c>
      <c r="G1469" s="57">
        <v>13</v>
      </c>
      <c r="H1469" s="65">
        <v>2</v>
      </c>
      <c r="I1469" s="69">
        <f t="shared" ref="I1469:I1474" si="231">IF(G1469="","",SUM(G1469:H1469))</f>
        <v>15</v>
      </c>
      <c r="J1469" s="64">
        <f t="shared" ref="J1469:J1483" si="232">IF(G1469="","",ROUNDUP(G1469*0.65,0))</f>
        <v>9</v>
      </c>
      <c r="K1469" s="64">
        <f t="shared" ref="K1469:K1483" si="233">IF(G1469="","",ROUNDUP(G1469*0.55,0))</f>
        <v>8</v>
      </c>
    </row>
    <row r="1470" spans="1:11" ht="17.25" x14ac:dyDescent="0.35">
      <c r="B1470" s="412" t="s">
        <v>1858</v>
      </c>
      <c r="C1470" s="152" t="s">
        <v>1827</v>
      </c>
      <c r="D1470" s="152" t="s">
        <v>1859</v>
      </c>
      <c r="E1470" s="107" t="s">
        <v>265</v>
      </c>
      <c r="F1470" s="108">
        <v>12.5</v>
      </c>
      <c r="G1470" s="57">
        <v>13</v>
      </c>
      <c r="H1470" s="65">
        <v>2</v>
      </c>
      <c r="I1470" s="69">
        <f t="shared" si="231"/>
        <v>15</v>
      </c>
      <c r="J1470" s="64">
        <f t="shared" si="232"/>
        <v>9</v>
      </c>
      <c r="K1470" s="64">
        <f t="shared" si="233"/>
        <v>8</v>
      </c>
    </row>
    <row r="1471" spans="1:11" ht="17.25" x14ac:dyDescent="0.35">
      <c r="B1471" s="412" t="s">
        <v>1860</v>
      </c>
      <c r="C1471" s="152" t="s">
        <v>1861</v>
      </c>
      <c r="D1471" s="152" t="s">
        <v>1862</v>
      </c>
      <c r="E1471" s="107" t="s">
        <v>55</v>
      </c>
      <c r="F1471" s="333">
        <v>14</v>
      </c>
      <c r="G1471" s="57">
        <v>13</v>
      </c>
      <c r="H1471" s="65">
        <v>2</v>
      </c>
      <c r="I1471" s="69">
        <f t="shared" si="231"/>
        <v>15</v>
      </c>
      <c r="J1471" s="64">
        <f t="shared" si="232"/>
        <v>9</v>
      </c>
      <c r="K1471" s="64">
        <f t="shared" si="233"/>
        <v>8</v>
      </c>
    </row>
    <row r="1472" spans="1:11" ht="17.25" x14ac:dyDescent="0.35">
      <c r="B1472" s="412" t="s">
        <v>1863</v>
      </c>
      <c r="C1472" s="152" t="s">
        <v>1864</v>
      </c>
      <c r="D1472" s="152" t="s">
        <v>1846</v>
      </c>
      <c r="E1472" s="107" t="s">
        <v>265</v>
      </c>
      <c r="F1472" s="108">
        <v>12.5</v>
      </c>
      <c r="G1472" s="57">
        <v>22</v>
      </c>
      <c r="H1472" s="65">
        <v>3</v>
      </c>
      <c r="I1472" s="69">
        <f t="shared" si="231"/>
        <v>25</v>
      </c>
      <c r="J1472" s="64">
        <f t="shared" si="232"/>
        <v>15</v>
      </c>
      <c r="K1472" s="64">
        <f t="shared" si="233"/>
        <v>13</v>
      </c>
    </row>
    <row r="1473" spans="1:11" ht="17.25" x14ac:dyDescent="0.35">
      <c r="B1473" s="412" t="s">
        <v>1865</v>
      </c>
      <c r="C1473" s="152" t="s">
        <v>1854</v>
      </c>
      <c r="D1473" s="152" t="s">
        <v>1846</v>
      </c>
      <c r="E1473" s="107" t="s">
        <v>55</v>
      </c>
      <c r="F1473" s="333">
        <v>14</v>
      </c>
      <c r="G1473" s="57">
        <v>13</v>
      </c>
      <c r="H1473" s="65">
        <v>2</v>
      </c>
      <c r="I1473" s="69">
        <f t="shared" si="231"/>
        <v>15</v>
      </c>
      <c r="J1473" s="64">
        <f t="shared" si="232"/>
        <v>9</v>
      </c>
      <c r="K1473" s="64">
        <f t="shared" si="233"/>
        <v>8</v>
      </c>
    </row>
    <row r="1474" spans="1:11" ht="17.25" x14ac:dyDescent="0.35">
      <c r="B1474" s="412" t="s">
        <v>1866</v>
      </c>
      <c r="C1474" s="152" t="s">
        <v>1867</v>
      </c>
      <c r="D1474" s="152" t="s">
        <v>1862</v>
      </c>
      <c r="E1474" s="107" t="s">
        <v>55</v>
      </c>
      <c r="F1474" s="333">
        <v>14</v>
      </c>
      <c r="G1474" s="57">
        <v>13</v>
      </c>
      <c r="H1474" s="65">
        <v>2</v>
      </c>
      <c r="I1474" s="69">
        <f t="shared" si="231"/>
        <v>15</v>
      </c>
      <c r="J1474" s="64">
        <f t="shared" si="232"/>
        <v>9</v>
      </c>
      <c r="K1474" s="64">
        <f t="shared" si="233"/>
        <v>8</v>
      </c>
    </row>
    <row r="1475" spans="1:11" ht="17.25" x14ac:dyDescent="0.35">
      <c r="B1475" s="338"/>
      <c r="C1475" s="152"/>
      <c r="D1475" s="152"/>
      <c r="E1475" s="107"/>
      <c r="F1475" s="108"/>
      <c r="G1475" s="57"/>
      <c r="H1475" s="65"/>
      <c r="I1475" s="69"/>
      <c r="J1475" s="64" t="str">
        <f t="shared" si="232"/>
        <v/>
      </c>
      <c r="K1475" s="64" t="str">
        <f t="shared" si="233"/>
        <v/>
      </c>
    </row>
    <row r="1476" spans="1:11" ht="17.25" x14ac:dyDescent="0.35">
      <c r="B1476" s="338"/>
      <c r="C1476" s="152"/>
      <c r="D1476" s="152"/>
      <c r="E1476" s="107"/>
      <c r="F1476" s="108"/>
      <c r="G1476" s="57"/>
      <c r="H1476" s="65"/>
      <c r="I1476" s="69"/>
      <c r="J1476" s="64" t="str">
        <f t="shared" si="232"/>
        <v/>
      </c>
      <c r="K1476" s="64" t="str">
        <f t="shared" si="233"/>
        <v/>
      </c>
    </row>
    <row r="1477" spans="1:11" ht="17.25" x14ac:dyDescent="0.2">
      <c r="B1477" s="338"/>
      <c r="C1477" s="109"/>
      <c r="D1477" s="109"/>
      <c r="E1477" s="107"/>
      <c r="F1477" s="108"/>
      <c r="G1477" s="64"/>
      <c r="H1477" s="65"/>
      <c r="I1477" s="69"/>
      <c r="J1477" s="64" t="str">
        <f t="shared" si="232"/>
        <v/>
      </c>
      <c r="K1477" s="64" t="str">
        <f t="shared" si="233"/>
        <v/>
      </c>
    </row>
    <row r="1478" spans="1:11" ht="17.25" x14ac:dyDescent="0.2">
      <c r="B1478" s="338"/>
      <c r="C1478" s="109"/>
      <c r="D1478" s="109"/>
      <c r="E1478" s="107"/>
      <c r="F1478" s="108"/>
      <c r="G1478" s="64"/>
      <c r="H1478" s="65"/>
      <c r="I1478" s="69"/>
      <c r="J1478" s="64" t="str">
        <f t="shared" si="232"/>
        <v/>
      </c>
      <c r="K1478" s="64" t="str">
        <f t="shared" si="233"/>
        <v/>
      </c>
    </row>
    <row r="1479" spans="1:11" ht="17.25" x14ac:dyDescent="0.2">
      <c r="B1479" s="338"/>
      <c r="C1479" s="109"/>
      <c r="D1479" s="109"/>
      <c r="E1479" s="107"/>
      <c r="F1479" s="108"/>
      <c r="G1479" s="64"/>
      <c r="H1479" s="65"/>
      <c r="I1479" s="69"/>
      <c r="J1479" s="64" t="str">
        <f t="shared" si="232"/>
        <v/>
      </c>
      <c r="K1479" s="64" t="str">
        <f t="shared" si="233"/>
        <v/>
      </c>
    </row>
    <row r="1480" spans="1:11" ht="17.25" x14ac:dyDescent="0.2">
      <c r="B1480" s="338"/>
      <c r="C1480" s="109"/>
      <c r="D1480" s="109"/>
      <c r="E1480" s="107"/>
      <c r="F1480" s="108"/>
      <c r="G1480" s="64"/>
      <c r="H1480" s="65"/>
      <c r="I1480" s="69"/>
      <c r="J1480" s="64" t="str">
        <f t="shared" si="232"/>
        <v/>
      </c>
      <c r="K1480" s="64" t="str">
        <f t="shared" si="233"/>
        <v/>
      </c>
    </row>
    <row r="1481" spans="1:11" ht="17.25" x14ac:dyDescent="0.2">
      <c r="B1481" s="338"/>
      <c r="C1481" s="109"/>
      <c r="D1481" s="109"/>
      <c r="E1481" s="107"/>
      <c r="F1481" s="108"/>
      <c r="G1481" s="64"/>
      <c r="H1481" s="65"/>
      <c r="I1481" s="69"/>
      <c r="J1481" s="64" t="str">
        <f t="shared" si="232"/>
        <v/>
      </c>
      <c r="K1481" s="64" t="str">
        <f t="shared" si="233"/>
        <v/>
      </c>
    </row>
    <row r="1482" spans="1:11" ht="17.25" x14ac:dyDescent="0.2">
      <c r="B1482" s="338"/>
      <c r="C1482" s="109"/>
      <c r="D1482" s="109"/>
      <c r="E1482" s="107"/>
      <c r="F1482" s="108"/>
      <c r="G1482" s="64"/>
      <c r="H1482" s="65"/>
      <c r="I1482" s="69"/>
      <c r="J1482" s="64" t="str">
        <f t="shared" si="232"/>
        <v/>
      </c>
      <c r="K1482" s="64" t="str">
        <f t="shared" si="233"/>
        <v/>
      </c>
    </row>
    <row r="1483" spans="1:11" ht="17.25" x14ac:dyDescent="0.2">
      <c r="B1483" s="338"/>
      <c r="C1483" s="109"/>
      <c r="D1483" s="109"/>
      <c r="E1483" s="107"/>
      <c r="F1483" s="108"/>
      <c r="G1483" s="64"/>
      <c r="H1483" s="65"/>
      <c r="I1483" s="69"/>
      <c r="J1483" s="64" t="str">
        <f t="shared" si="232"/>
        <v/>
      </c>
      <c r="K1483" s="64" t="str">
        <f t="shared" si="233"/>
        <v/>
      </c>
    </row>
    <row r="1484" spans="1:11" ht="18" customHeight="1" x14ac:dyDescent="0.2">
      <c r="B1484" s="561" t="s">
        <v>22</v>
      </c>
      <c r="C1484" s="561" t="s">
        <v>177</v>
      </c>
      <c r="D1484" s="561" t="s">
        <v>243</v>
      </c>
      <c r="E1484" s="561" t="s">
        <v>23</v>
      </c>
      <c r="F1484" s="562" t="s">
        <v>234</v>
      </c>
      <c r="G1484" s="562"/>
      <c r="H1484" s="562"/>
      <c r="I1484" s="562"/>
      <c r="J1484" s="562"/>
      <c r="K1484" s="562"/>
    </row>
    <row r="1485" spans="1:11" ht="21" x14ac:dyDescent="0.2">
      <c r="A1485" s="114" t="s">
        <v>1091</v>
      </c>
      <c r="B1485" s="434" t="s">
        <v>2657</v>
      </c>
      <c r="C1485" s="115" t="s">
        <v>498</v>
      </c>
      <c r="D1485" s="114" t="s">
        <v>639</v>
      </c>
      <c r="E1485" s="329" t="str">
        <f>IF($O$81="","",$O$81)</f>
        <v>Munic. de BDP - Área 2.1</v>
      </c>
      <c r="F1485" s="563">
        <f>IF(B1485="","",VLOOKUP(E1485,$O$2:$T$120,6,0))</f>
        <v>112008</v>
      </c>
      <c r="G1485" s="564"/>
      <c r="H1485" s="564"/>
      <c r="I1485" s="564"/>
      <c r="J1485" s="564"/>
      <c r="K1485" s="565"/>
    </row>
    <row r="1486" spans="1:11" ht="43.5" x14ac:dyDescent="0.2">
      <c r="A1486" s="166" t="s">
        <v>779</v>
      </c>
      <c r="B1486" s="116" t="s">
        <v>0</v>
      </c>
      <c r="C1486" s="116" t="s">
        <v>20</v>
      </c>
      <c r="D1486" s="116" t="s">
        <v>21</v>
      </c>
      <c r="E1486" s="116" t="s">
        <v>1</v>
      </c>
      <c r="F1486" s="117" t="s">
        <v>3</v>
      </c>
      <c r="G1486" s="116" t="s">
        <v>216</v>
      </c>
      <c r="H1486" s="180" t="s">
        <v>242</v>
      </c>
      <c r="I1486" s="116" t="s">
        <v>245</v>
      </c>
      <c r="J1486" s="116" t="s">
        <v>217</v>
      </c>
      <c r="K1486" s="116" t="s">
        <v>218</v>
      </c>
    </row>
    <row r="1487" spans="1:11" ht="17.25" x14ac:dyDescent="0.35">
      <c r="B1487" s="413" t="s">
        <v>1868</v>
      </c>
      <c r="C1487" s="152" t="s">
        <v>1869</v>
      </c>
      <c r="D1487" s="152" t="s">
        <v>1844</v>
      </c>
      <c r="E1487" s="107" t="s">
        <v>57</v>
      </c>
      <c r="F1487" s="108">
        <v>15</v>
      </c>
      <c r="G1487" s="57">
        <v>13</v>
      </c>
      <c r="H1487" s="65">
        <v>2</v>
      </c>
      <c r="I1487" s="69">
        <f>IF(G1487="","",SUM(G1487:H1487))</f>
        <v>15</v>
      </c>
      <c r="J1487" s="64">
        <f>IF(G1487="","",ROUNDUP(G1487*0.65,0))</f>
        <v>9</v>
      </c>
      <c r="K1487" s="64">
        <f>IF(G1487="","",ROUNDUP(G1487*0.55,0))</f>
        <v>8</v>
      </c>
    </row>
    <row r="1488" spans="1:11" ht="17.25" x14ac:dyDescent="0.35">
      <c r="B1488" s="413" t="s">
        <v>1870</v>
      </c>
      <c r="C1488" s="152" t="s">
        <v>1344</v>
      </c>
      <c r="D1488" s="152" t="s">
        <v>1877</v>
      </c>
      <c r="E1488" s="107" t="s">
        <v>56</v>
      </c>
      <c r="F1488" s="108">
        <v>15</v>
      </c>
      <c r="G1488" s="57">
        <v>13</v>
      </c>
      <c r="H1488" s="65">
        <v>2</v>
      </c>
      <c r="I1488" s="69">
        <f t="shared" ref="I1488:I1497" si="234">IF(G1488="","",SUM(G1488:H1488))</f>
        <v>15</v>
      </c>
      <c r="J1488" s="64">
        <f t="shared" ref="J1488:J1502" si="235">IF(G1488="","",ROUNDUP(G1488*0.65,0))</f>
        <v>9</v>
      </c>
      <c r="K1488" s="64">
        <f t="shared" ref="K1488:K1502" si="236">IF(G1488="","",ROUNDUP(G1488*0.55,0))</f>
        <v>8</v>
      </c>
    </row>
    <row r="1489" spans="1:11" ht="17.25" x14ac:dyDescent="0.35">
      <c r="B1489" s="413" t="s">
        <v>1872</v>
      </c>
      <c r="C1489" s="152" t="s">
        <v>1881</v>
      </c>
      <c r="D1489" s="152" t="s">
        <v>1882</v>
      </c>
      <c r="E1489" s="107" t="s">
        <v>56</v>
      </c>
      <c r="F1489" s="108">
        <v>15</v>
      </c>
      <c r="G1489" s="57">
        <v>13</v>
      </c>
      <c r="H1489" s="65">
        <v>2</v>
      </c>
      <c r="I1489" s="69">
        <f t="shared" si="234"/>
        <v>15</v>
      </c>
      <c r="J1489" s="64">
        <f t="shared" si="235"/>
        <v>9</v>
      </c>
      <c r="K1489" s="64">
        <f t="shared" si="236"/>
        <v>8</v>
      </c>
    </row>
    <row r="1490" spans="1:11" ht="17.25" x14ac:dyDescent="0.35">
      <c r="B1490" s="413" t="s">
        <v>1874</v>
      </c>
      <c r="C1490" s="152" t="s">
        <v>1344</v>
      </c>
      <c r="D1490" s="152" t="s">
        <v>1879</v>
      </c>
      <c r="E1490" s="107" t="s">
        <v>55</v>
      </c>
      <c r="F1490" s="108">
        <v>15</v>
      </c>
      <c r="G1490" s="57">
        <v>13</v>
      </c>
      <c r="H1490" s="65">
        <v>2</v>
      </c>
      <c r="I1490" s="69">
        <f t="shared" si="234"/>
        <v>15</v>
      </c>
      <c r="J1490" s="64">
        <f t="shared" si="235"/>
        <v>9</v>
      </c>
      <c r="K1490" s="64">
        <f t="shared" si="236"/>
        <v>8</v>
      </c>
    </row>
    <row r="1491" spans="1:11" ht="17.25" x14ac:dyDescent="0.35">
      <c r="B1491" s="413" t="s">
        <v>1876</v>
      </c>
      <c r="C1491" s="152" t="s">
        <v>1881</v>
      </c>
      <c r="D1491" s="152" t="s">
        <v>1875</v>
      </c>
      <c r="E1491" s="107" t="s">
        <v>55</v>
      </c>
      <c r="F1491" s="333">
        <v>16</v>
      </c>
      <c r="G1491" s="57">
        <v>13</v>
      </c>
      <c r="H1491" s="65">
        <v>2</v>
      </c>
      <c r="I1491" s="69">
        <f t="shared" si="234"/>
        <v>15</v>
      </c>
      <c r="J1491" s="64">
        <f t="shared" si="235"/>
        <v>9</v>
      </c>
      <c r="K1491" s="64">
        <f t="shared" si="236"/>
        <v>8</v>
      </c>
    </row>
    <row r="1492" spans="1:11" ht="17.25" x14ac:dyDescent="0.35">
      <c r="B1492" s="413" t="s">
        <v>1878</v>
      </c>
      <c r="C1492" s="152" t="s">
        <v>1869</v>
      </c>
      <c r="D1492" s="152" t="s">
        <v>1871</v>
      </c>
      <c r="E1492" s="107" t="s">
        <v>265</v>
      </c>
      <c r="F1492" s="333">
        <v>15</v>
      </c>
      <c r="G1492" s="57">
        <v>22</v>
      </c>
      <c r="H1492" s="65">
        <v>3</v>
      </c>
      <c r="I1492" s="69">
        <f t="shared" si="234"/>
        <v>25</v>
      </c>
      <c r="J1492" s="64">
        <f t="shared" si="235"/>
        <v>15</v>
      </c>
      <c r="K1492" s="64">
        <f t="shared" si="236"/>
        <v>13</v>
      </c>
    </row>
    <row r="1493" spans="1:11" ht="17.25" x14ac:dyDescent="0.35">
      <c r="B1493" s="413" t="s">
        <v>1880</v>
      </c>
      <c r="C1493" s="152" t="s">
        <v>1869</v>
      </c>
      <c r="D1493" s="152" t="s">
        <v>1873</v>
      </c>
      <c r="E1493" s="107" t="s">
        <v>265</v>
      </c>
      <c r="F1493" s="333">
        <v>15</v>
      </c>
      <c r="G1493" s="57">
        <v>22</v>
      </c>
      <c r="H1493" s="65">
        <v>3</v>
      </c>
      <c r="I1493" s="69">
        <f t="shared" si="234"/>
        <v>25</v>
      </c>
      <c r="J1493" s="64">
        <f t="shared" si="235"/>
        <v>15</v>
      </c>
      <c r="K1493" s="64">
        <f t="shared" si="236"/>
        <v>13</v>
      </c>
    </row>
    <row r="1494" spans="1:11" ht="17.25" x14ac:dyDescent="0.35">
      <c r="B1494" s="413" t="s">
        <v>1883</v>
      </c>
      <c r="C1494" s="152" t="s">
        <v>1869</v>
      </c>
      <c r="D1494" s="152" t="s">
        <v>1875</v>
      </c>
      <c r="E1494" s="107" t="s">
        <v>265</v>
      </c>
      <c r="F1494" s="108">
        <v>15</v>
      </c>
      <c r="G1494" s="57">
        <v>13</v>
      </c>
      <c r="H1494" s="65">
        <v>2</v>
      </c>
      <c r="I1494" s="69">
        <f t="shared" si="234"/>
        <v>15</v>
      </c>
      <c r="J1494" s="64">
        <f t="shared" si="235"/>
        <v>9</v>
      </c>
      <c r="K1494" s="64">
        <f t="shared" si="236"/>
        <v>8</v>
      </c>
    </row>
    <row r="1495" spans="1:11" ht="17.25" x14ac:dyDescent="0.35">
      <c r="B1495" s="413" t="s">
        <v>1885</v>
      </c>
      <c r="C1495" s="152" t="s">
        <v>1881</v>
      </c>
      <c r="D1495" s="152" t="s">
        <v>1884</v>
      </c>
      <c r="E1495" s="107" t="s">
        <v>265</v>
      </c>
      <c r="F1495" s="333">
        <v>15</v>
      </c>
      <c r="G1495" s="57">
        <v>13</v>
      </c>
      <c r="H1495" s="65">
        <v>2</v>
      </c>
      <c r="I1495" s="69">
        <f t="shared" si="234"/>
        <v>15</v>
      </c>
      <c r="J1495" s="64">
        <f t="shared" si="235"/>
        <v>9</v>
      </c>
      <c r="K1495" s="64">
        <f t="shared" si="236"/>
        <v>8</v>
      </c>
    </row>
    <row r="1496" spans="1:11" ht="17.25" x14ac:dyDescent="0.35">
      <c r="B1496" s="339"/>
      <c r="C1496" s="152"/>
      <c r="D1496" s="152"/>
      <c r="E1496" s="107"/>
      <c r="F1496" s="108"/>
      <c r="G1496" s="57"/>
      <c r="H1496" s="65"/>
      <c r="I1496" s="69" t="str">
        <f t="shared" si="234"/>
        <v/>
      </c>
      <c r="J1496" s="64" t="str">
        <f t="shared" si="235"/>
        <v/>
      </c>
      <c r="K1496" s="64" t="str">
        <f t="shared" si="236"/>
        <v/>
      </c>
    </row>
    <row r="1497" spans="1:11" ht="17.25" x14ac:dyDescent="0.35">
      <c r="B1497" s="339"/>
      <c r="C1497" s="152"/>
      <c r="D1497" s="152"/>
      <c r="E1497" s="107"/>
      <c r="F1497" s="108"/>
      <c r="G1497" s="57"/>
      <c r="H1497" s="65"/>
      <c r="I1497" s="69" t="str">
        <f t="shared" si="234"/>
        <v/>
      </c>
      <c r="J1497" s="64" t="str">
        <f t="shared" si="235"/>
        <v/>
      </c>
      <c r="K1497" s="64" t="str">
        <f t="shared" si="236"/>
        <v/>
      </c>
    </row>
    <row r="1498" spans="1:11" ht="17.25" x14ac:dyDescent="0.2">
      <c r="B1498" s="339"/>
      <c r="C1498" s="101"/>
      <c r="D1498" s="101"/>
      <c r="E1498" s="107"/>
      <c r="F1498" s="108"/>
      <c r="G1498" s="64"/>
      <c r="H1498" s="65"/>
      <c r="I1498" s="69"/>
      <c r="J1498" s="64" t="str">
        <f t="shared" si="235"/>
        <v/>
      </c>
      <c r="K1498" s="64" t="str">
        <f t="shared" si="236"/>
        <v/>
      </c>
    </row>
    <row r="1499" spans="1:11" ht="17.25" x14ac:dyDescent="0.2">
      <c r="B1499" s="339"/>
      <c r="C1499" s="101"/>
      <c r="D1499" s="101"/>
      <c r="E1499" s="107"/>
      <c r="F1499" s="108"/>
      <c r="G1499" s="64"/>
      <c r="H1499" s="65"/>
      <c r="I1499" s="69"/>
      <c r="J1499" s="64" t="str">
        <f t="shared" si="235"/>
        <v/>
      </c>
      <c r="K1499" s="64" t="str">
        <f t="shared" si="236"/>
        <v/>
      </c>
    </row>
    <row r="1500" spans="1:11" ht="17.25" x14ac:dyDescent="0.2">
      <c r="B1500" s="339"/>
      <c r="C1500" s="101"/>
      <c r="D1500" s="101"/>
      <c r="E1500" s="107"/>
      <c r="F1500" s="108"/>
      <c r="G1500" s="64"/>
      <c r="H1500" s="65"/>
      <c r="I1500" s="69"/>
      <c r="J1500" s="64" t="str">
        <f t="shared" si="235"/>
        <v/>
      </c>
      <c r="K1500" s="64" t="str">
        <f t="shared" si="236"/>
        <v/>
      </c>
    </row>
    <row r="1501" spans="1:11" ht="17.25" x14ac:dyDescent="0.2">
      <c r="B1501" s="339"/>
      <c r="C1501" s="101"/>
      <c r="D1501" s="101"/>
      <c r="E1501" s="107"/>
      <c r="F1501" s="108"/>
      <c r="G1501" s="64"/>
      <c r="H1501" s="65"/>
      <c r="I1501" s="69"/>
      <c r="J1501" s="64" t="str">
        <f t="shared" si="235"/>
        <v/>
      </c>
      <c r="K1501" s="64" t="str">
        <f t="shared" si="236"/>
        <v/>
      </c>
    </row>
    <row r="1502" spans="1:11" ht="17.25" x14ac:dyDescent="0.2">
      <c r="B1502" s="339"/>
      <c r="C1502" s="101"/>
      <c r="D1502" s="101"/>
      <c r="E1502" s="107"/>
      <c r="F1502" s="108"/>
      <c r="G1502" s="64"/>
      <c r="H1502" s="65"/>
      <c r="I1502" s="69"/>
      <c r="J1502" s="64" t="str">
        <f t="shared" si="235"/>
        <v/>
      </c>
      <c r="K1502" s="64" t="str">
        <f t="shared" si="236"/>
        <v/>
      </c>
    </row>
    <row r="1503" spans="1:11" ht="18" customHeight="1" x14ac:dyDescent="0.2">
      <c r="B1503" s="561" t="s">
        <v>22</v>
      </c>
      <c r="C1503" s="561" t="s">
        <v>177</v>
      </c>
      <c r="D1503" s="561" t="s">
        <v>243</v>
      </c>
      <c r="E1503" s="561" t="s">
        <v>23</v>
      </c>
      <c r="F1503" s="562" t="s">
        <v>234</v>
      </c>
      <c r="G1503" s="562"/>
      <c r="H1503" s="562"/>
      <c r="I1503" s="562"/>
      <c r="J1503" s="562"/>
      <c r="K1503" s="562"/>
    </row>
    <row r="1504" spans="1:11" ht="21" x14ac:dyDescent="0.2">
      <c r="A1504" s="114" t="s">
        <v>1092</v>
      </c>
      <c r="B1504" s="438" t="s">
        <v>2677</v>
      </c>
      <c r="C1504" s="115" t="s">
        <v>861</v>
      </c>
      <c r="D1504" s="114" t="s">
        <v>862</v>
      </c>
      <c r="E1504" s="329" t="str">
        <f>IF($O$82="","",$O$82)</f>
        <v>Munic. de BDP - Área 2.2</v>
      </c>
      <c r="F1504" s="563">
        <f>IF(B1504="","",VLOOKUP(E1504,$O$2:$T$120,6,0))</f>
        <v>68998</v>
      </c>
      <c r="G1504" s="564"/>
      <c r="H1504" s="564"/>
      <c r="I1504" s="564"/>
      <c r="J1504" s="564"/>
      <c r="K1504" s="565"/>
    </row>
    <row r="1505" spans="1:11" ht="43.5" x14ac:dyDescent="0.2">
      <c r="A1505" s="166" t="s">
        <v>779</v>
      </c>
      <c r="B1505" s="116" t="s">
        <v>0</v>
      </c>
      <c r="C1505" s="116" t="s">
        <v>20</v>
      </c>
      <c r="D1505" s="116" t="s">
        <v>21</v>
      </c>
      <c r="E1505" s="116" t="s">
        <v>1</v>
      </c>
      <c r="F1505" s="117" t="s">
        <v>3</v>
      </c>
      <c r="G1505" s="116" t="s">
        <v>216</v>
      </c>
      <c r="H1505" s="180" t="s">
        <v>242</v>
      </c>
      <c r="I1505" s="116" t="s">
        <v>245</v>
      </c>
      <c r="J1505" s="116" t="s">
        <v>217</v>
      </c>
      <c r="K1505" s="116" t="s">
        <v>218</v>
      </c>
    </row>
    <row r="1506" spans="1:11" ht="17.25" x14ac:dyDescent="0.35">
      <c r="B1506" s="413" t="s">
        <v>1886</v>
      </c>
      <c r="C1506" s="152" t="s">
        <v>1869</v>
      </c>
      <c r="D1506" s="152" t="s">
        <v>1887</v>
      </c>
      <c r="E1506" s="107" t="s">
        <v>56</v>
      </c>
      <c r="F1506" s="333">
        <v>17.5</v>
      </c>
      <c r="G1506" s="57">
        <v>15</v>
      </c>
      <c r="H1506" s="65">
        <v>0</v>
      </c>
      <c r="I1506" s="69">
        <f>IF(G1506="","",SUM(G1506:H1506))</f>
        <v>15</v>
      </c>
      <c r="J1506" s="64">
        <f>IF(G1506="","",ROUNDUP(G1506*0.65,0))</f>
        <v>10</v>
      </c>
      <c r="K1506" s="64">
        <f>IF(G1506="","",ROUNDUP(G1506*0.55,0))</f>
        <v>9</v>
      </c>
    </row>
    <row r="1507" spans="1:11" ht="17.25" x14ac:dyDescent="0.35">
      <c r="B1507" s="413" t="s">
        <v>1888</v>
      </c>
      <c r="C1507" s="152" t="s">
        <v>1869</v>
      </c>
      <c r="D1507" s="152" t="s">
        <v>1889</v>
      </c>
      <c r="E1507" s="107" t="s">
        <v>56</v>
      </c>
      <c r="F1507" s="333">
        <v>17.5</v>
      </c>
      <c r="G1507" s="57">
        <v>13</v>
      </c>
      <c r="H1507" s="65">
        <v>2</v>
      </c>
      <c r="I1507" s="69">
        <f t="shared" ref="I1507:I1512" si="237">IF(G1507="","",SUM(G1507:H1507))</f>
        <v>15</v>
      </c>
      <c r="J1507" s="64">
        <f t="shared" ref="J1507:J1521" si="238">IF(G1507="","",ROUNDUP(G1507*0.65,0))</f>
        <v>9</v>
      </c>
      <c r="K1507" s="64">
        <f t="shared" ref="K1507:K1521" si="239">IF(G1507="","",ROUNDUP(G1507*0.55,0))</f>
        <v>8</v>
      </c>
    </row>
    <row r="1508" spans="1:11" ht="17.25" x14ac:dyDescent="0.35">
      <c r="B1508" s="413" t="s">
        <v>1890</v>
      </c>
      <c r="C1508" s="152" t="s">
        <v>1881</v>
      </c>
      <c r="D1508" s="152" t="s">
        <v>1891</v>
      </c>
      <c r="E1508" s="107" t="s">
        <v>56</v>
      </c>
      <c r="F1508" s="333">
        <v>17.5</v>
      </c>
      <c r="G1508" s="57">
        <v>13</v>
      </c>
      <c r="H1508" s="65">
        <v>2</v>
      </c>
      <c r="I1508" s="69">
        <f t="shared" si="237"/>
        <v>15</v>
      </c>
      <c r="J1508" s="64">
        <f t="shared" si="238"/>
        <v>9</v>
      </c>
      <c r="K1508" s="64">
        <f t="shared" si="239"/>
        <v>8</v>
      </c>
    </row>
    <row r="1509" spans="1:11" ht="17.25" x14ac:dyDescent="0.35">
      <c r="B1509" s="413" t="s">
        <v>1892</v>
      </c>
      <c r="C1509" s="152" t="s">
        <v>1869</v>
      </c>
      <c r="D1509" s="152" t="s">
        <v>1344</v>
      </c>
      <c r="E1509" s="107" t="s">
        <v>55</v>
      </c>
      <c r="F1509" s="333">
        <v>14</v>
      </c>
      <c r="G1509" s="57">
        <v>13</v>
      </c>
      <c r="H1509" s="65">
        <v>2</v>
      </c>
      <c r="I1509" s="69">
        <f t="shared" si="237"/>
        <v>15</v>
      </c>
      <c r="J1509" s="64">
        <f t="shared" si="238"/>
        <v>9</v>
      </c>
      <c r="K1509" s="64">
        <f t="shared" si="239"/>
        <v>8</v>
      </c>
    </row>
    <row r="1510" spans="1:11" ht="17.25" x14ac:dyDescent="0.35">
      <c r="B1510" s="413" t="s">
        <v>1893</v>
      </c>
      <c r="C1510" s="152" t="s">
        <v>1881</v>
      </c>
      <c r="D1510" s="152" t="s">
        <v>1839</v>
      </c>
      <c r="E1510" s="107" t="s">
        <v>55</v>
      </c>
      <c r="F1510" s="333">
        <v>14</v>
      </c>
      <c r="G1510" s="57">
        <v>11</v>
      </c>
      <c r="H1510" s="65">
        <v>1</v>
      </c>
      <c r="I1510" s="69">
        <f t="shared" si="237"/>
        <v>12</v>
      </c>
      <c r="J1510" s="64">
        <f t="shared" si="238"/>
        <v>8</v>
      </c>
      <c r="K1510" s="64">
        <f t="shared" si="239"/>
        <v>7</v>
      </c>
    </row>
    <row r="1511" spans="1:11" ht="17.25" x14ac:dyDescent="0.35">
      <c r="B1511" s="413" t="s">
        <v>1894</v>
      </c>
      <c r="C1511" s="152" t="s">
        <v>1895</v>
      </c>
      <c r="D1511" s="152" t="s">
        <v>1344</v>
      </c>
      <c r="E1511" s="107" t="s">
        <v>55</v>
      </c>
      <c r="F1511" s="333">
        <v>14</v>
      </c>
      <c r="G1511" s="57">
        <v>11</v>
      </c>
      <c r="H1511" s="65">
        <v>2</v>
      </c>
      <c r="I1511" s="69">
        <f t="shared" si="237"/>
        <v>13</v>
      </c>
      <c r="J1511" s="64">
        <f t="shared" si="238"/>
        <v>8</v>
      </c>
      <c r="K1511" s="64">
        <f t="shared" si="239"/>
        <v>7</v>
      </c>
    </row>
    <row r="1512" spans="1:11" ht="17.25" x14ac:dyDescent="0.35">
      <c r="B1512" s="413" t="s">
        <v>1896</v>
      </c>
      <c r="C1512" s="152" t="s">
        <v>1881</v>
      </c>
      <c r="D1512" s="152" t="s">
        <v>1897</v>
      </c>
      <c r="E1512" s="107" t="s">
        <v>265</v>
      </c>
      <c r="F1512" s="108">
        <v>12.5</v>
      </c>
      <c r="G1512" s="57">
        <v>13</v>
      </c>
      <c r="H1512" s="65">
        <v>2</v>
      </c>
      <c r="I1512" s="69">
        <f t="shared" si="237"/>
        <v>15</v>
      </c>
      <c r="J1512" s="64">
        <f t="shared" si="238"/>
        <v>9</v>
      </c>
      <c r="K1512" s="64">
        <f t="shared" si="239"/>
        <v>8</v>
      </c>
    </row>
    <row r="1513" spans="1:11" ht="17.25" x14ac:dyDescent="0.35">
      <c r="B1513" s="340"/>
      <c r="C1513" s="152"/>
      <c r="D1513" s="152"/>
      <c r="E1513" s="107"/>
      <c r="F1513" s="108"/>
      <c r="G1513" s="57"/>
      <c r="H1513" s="65"/>
      <c r="I1513" s="69"/>
      <c r="J1513" s="64" t="str">
        <f t="shared" si="238"/>
        <v/>
      </c>
      <c r="K1513" s="64" t="str">
        <f t="shared" si="239"/>
        <v/>
      </c>
    </row>
    <row r="1514" spans="1:11" ht="17.25" x14ac:dyDescent="0.35">
      <c r="B1514" s="340"/>
      <c r="C1514" s="152"/>
      <c r="D1514" s="152"/>
      <c r="E1514" s="107"/>
      <c r="F1514" s="108"/>
      <c r="G1514" s="57"/>
      <c r="H1514" s="65"/>
      <c r="I1514" s="69"/>
      <c r="J1514" s="64" t="str">
        <f t="shared" si="238"/>
        <v/>
      </c>
      <c r="K1514" s="64" t="str">
        <f t="shared" si="239"/>
        <v/>
      </c>
    </row>
    <row r="1515" spans="1:11" ht="17.25" x14ac:dyDescent="0.35">
      <c r="B1515" s="340"/>
      <c r="C1515" s="152"/>
      <c r="D1515" s="152"/>
      <c r="E1515" s="107"/>
      <c r="F1515" s="108"/>
      <c r="G1515" s="57"/>
      <c r="H1515" s="65"/>
      <c r="I1515" s="69"/>
      <c r="J1515" s="64" t="str">
        <f t="shared" si="238"/>
        <v/>
      </c>
      <c r="K1515" s="64" t="str">
        <f t="shared" si="239"/>
        <v/>
      </c>
    </row>
    <row r="1516" spans="1:11" ht="17.25" x14ac:dyDescent="0.35">
      <c r="B1516" s="340"/>
      <c r="C1516" s="152"/>
      <c r="D1516" s="152"/>
      <c r="E1516" s="107"/>
      <c r="F1516" s="108"/>
      <c r="G1516" s="57"/>
      <c r="H1516" s="65"/>
      <c r="I1516" s="69"/>
      <c r="J1516" s="64" t="str">
        <f t="shared" si="238"/>
        <v/>
      </c>
      <c r="K1516" s="64" t="str">
        <f t="shared" si="239"/>
        <v/>
      </c>
    </row>
    <row r="1517" spans="1:11" ht="17.25" x14ac:dyDescent="0.2">
      <c r="B1517" s="340"/>
      <c r="C1517" s="100"/>
      <c r="D1517" s="100"/>
      <c r="E1517" s="107"/>
      <c r="F1517" s="108"/>
      <c r="G1517" s="57"/>
      <c r="H1517" s="65"/>
      <c r="I1517" s="69"/>
      <c r="J1517" s="64" t="str">
        <f t="shared" si="238"/>
        <v/>
      </c>
      <c r="K1517" s="64" t="str">
        <f t="shared" si="239"/>
        <v/>
      </c>
    </row>
    <row r="1518" spans="1:11" ht="17.25" x14ac:dyDescent="0.2">
      <c r="B1518" s="340"/>
      <c r="C1518" s="100"/>
      <c r="D1518" s="100"/>
      <c r="E1518" s="107"/>
      <c r="F1518" s="108"/>
      <c r="G1518" s="57"/>
      <c r="H1518" s="65"/>
      <c r="I1518" s="69"/>
      <c r="J1518" s="64" t="str">
        <f t="shared" si="238"/>
        <v/>
      </c>
      <c r="K1518" s="64" t="str">
        <f t="shared" si="239"/>
        <v/>
      </c>
    </row>
    <row r="1519" spans="1:11" ht="17.25" x14ac:dyDescent="0.2">
      <c r="B1519" s="340"/>
      <c r="C1519" s="100"/>
      <c r="D1519" s="100"/>
      <c r="E1519" s="107"/>
      <c r="F1519" s="108"/>
      <c r="G1519" s="57"/>
      <c r="H1519" s="65"/>
      <c r="I1519" s="69"/>
      <c r="J1519" s="64" t="str">
        <f t="shared" si="238"/>
        <v/>
      </c>
      <c r="K1519" s="64" t="str">
        <f t="shared" si="239"/>
        <v/>
      </c>
    </row>
    <row r="1520" spans="1:11" ht="17.25" x14ac:dyDescent="0.2">
      <c r="B1520" s="340"/>
      <c r="C1520" s="100"/>
      <c r="D1520" s="100"/>
      <c r="E1520" s="107"/>
      <c r="F1520" s="108"/>
      <c r="G1520" s="57"/>
      <c r="H1520" s="65"/>
      <c r="I1520" s="69"/>
      <c r="J1520" s="64" t="str">
        <f t="shared" si="238"/>
        <v/>
      </c>
      <c r="K1520" s="64" t="str">
        <f t="shared" si="239"/>
        <v/>
      </c>
    </row>
    <row r="1521" spans="1:11" ht="17.25" x14ac:dyDescent="0.2">
      <c r="B1521" s="340"/>
      <c r="C1521" s="100"/>
      <c r="D1521" s="100"/>
      <c r="E1521" s="107"/>
      <c r="F1521" s="108"/>
      <c r="G1521" s="57"/>
      <c r="H1521" s="65"/>
      <c r="I1521" s="69"/>
      <c r="J1521" s="64" t="str">
        <f t="shared" si="238"/>
        <v/>
      </c>
      <c r="K1521" s="64" t="str">
        <f t="shared" si="239"/>
        <v/>
      </c>
    </row>
    <row r="1522" spans="1:11" ht="18" customHeight="1" x14ac:dyDescent="0.2">
      <c r="B1522" s="561" t="s">
        <v>22</v>
      </c>
      <c r="C1522" s="561" t="s">
        <v>177</v>
      </c>
      <c r="D1522" s="561" t="s">
        <v>243</v>
      </c>
      <c r="E1522" s="561" t="s">
        <v>23</v>
      </c>
      <c r="F1522" s="562" t="s">
        <v>234</v>
      </c>
      <c r="G1522" s="562"/>
      <c r="H1522" s="562"/>
      <c r="I1522" s="562"/>
      <c r="J1522" s="562"/>
      <c r="K1522" s="562"/>
    </row>
    <row r="1523" spans="1:11" ht="21" x14ac:dyDescent="0.2">
      <c r="A1523" s="114" t="s">
        <v>1093</v>
      </c>
      <c r="B1523" s="587" t="s">
        <v>2650</v>
      </c>
      <c r="C1523" s="115" t="s">
        <v>1129</v>
      </c>
      <c r="D1523" s="114" t="s">
        <v>1282</v>
      </c>
      <c r="E1523" s="329" t="str">
        <f>IF($O$83="","",$O$83)</f>
        <v>Munic. de BDP - Área 2.3</v>
      </c>
      <c r="F1523" s="563">
        <f>IF(B1523="","",VLOOKUP(E1523,$O$2:$T$120,6,0))</f>
        <v>50391</v>
      </c>
      <c r="G1523" s="564"/>
      <c r="H1523" s="564"/>
      <c r="I1523" s="564"/>
      <c r="J1523" s="564"/>
      <c r="K1523" s="565"/>
    </row>
    <row r="1524" spans="1:11" ht="43.5" x14ac:dyDescent="0.2">
      <c r="A1524" s="166" t="s">
        <v>779</v>
      </c>
      <c r="B1524" s="116" t="s">
        <v>0</v>
      </c>
      <c r="C1524" s="116" t="s">
        <v>20</v>
      </c>
      <c r="D1524" s="116" t="s">
        <v>21</v>
      </c>
      <c r="E1524" s="116" t="s">
        <v>1</v>
      </c>
      <c r="F1524" s="117" t="s">
        <v>3</v>
      </c>
      <c r="G1524" s="116" t="s">
        <v>216</v>
      </c>
      <c r="H1524" s="180" t="s">
        <v>242</v>
      </c>
      <c r="I1524" s="116" t="s">
        <v>245</v>
      </c>
      <c r="J1524" s="116" t="s">
        <v>217</v>
      </c>
      <c r="K1524" s="116" t="s">
        <v>218</v>
      </c>
    </row>
    <row r="1525" spans="1:11" ht="17.25" x14ac:dyDescent="0.35">
      <c r="B1525" s="413" t="s">
        <v>1898</v>
      </c>
      <c r="C1525" s="152" t="s">
        <v>1869</v>
      </c>
      <c r="D1525" s="152" t="s">
        <v>1899</v>
      </c>
      <c r="E1525" s="107" t="s">
        <v>55</v>
      </c>
      <c r="F1525" s="333">
        <v>14</v>
      </c>
      <c r="G1525" s="57">
        <v>13</v>
      </c>
      <c r="H1525" s="65">
        <v>2</v>
      </c>
      <c r="I1525" s="69">
        <f>IF(G1525="","",SUM(G1525:H1525))</f>
        <v>15</v>
      </c>
      <c r="J1525" s="64">
        <f>IF(G1525="","",ROUNDUP(G1525*0.65,0))</f>
        <v>9</v>
      </c>
      <c r="K1525" s="64">
        <f>IF(G1525="","",ROUNDUP(G1525*0.55,0))</f>
        <v>8</v>
      </c>
    </row>
    <row r="1526" spans="1:11" ht="17.25" x14ac:dyDescent="0.35">
      <c r="B1526" s="413" t="s">
        <v>1900</v>
      </c>
      <c r="C1526" s="152" t="s">
        <v>1869</v>
      </c>
      <c r="D1526" s="152" t="s">
        <v>1901</v>
      </c>
      <c r="E1526" s="107" t="s">
        <v>265</v>
      </c>
      <c r="F1526" s="108">
        <v>12.5</v>
      </c>
      <c r="G1526" s="57">
        <v>13</v>
      </c>
      <c r="H1526" s="65">
        <v>2</v>
      </c>
      <c r="I1526" s="69">
        <f t="shared" ref="I1526:I1531" si="240">IF(G1526="","",SUM(G1526:H1526))</f>
        <v>15</v>
      </c>
      <c r="J1526" s="64">
        <f t="shared" ref="J1526:J1540" si="241">IF(G1526="","",ROUNDUP(G1526*0.65,0))</f>
        <v>9</v>
      </c>
      <c r="K1526" s="64">
        <f t="shared" ref="K1526:K1540" si="242">IF(G1526="","",ROUNDUP(G1526*0.55,0))</f>
        <v>8</v>
      </c>
    </row>
    <row r="1527" spans="1:11" ht="17.25" x14ac:dyDescent="0.35">
      <c r="B1527" s="413" t="s">
        <v>1902</v>
      </c>
      <c r="C1527" s="152" t="s">
        <v>1869</v>
      </c>
      <c r="D1527" s="152" t="s">
        <v>1903</v>
      </c>
      <c r="E1527" s="107" t="s">
        <v>265</v>
      </c>
      <c r="F1527" s="108">
        <v>12.5</v>
      </c>
      <c r="G1527" s="57">
        <v>13</v>
      </c>
      <c r="H1527" s="65">
        <v>2</v>
      </c>
      <c r="I1527" s="69">
        <f t="shared" si="240"/>
        <v>15</v>
      </c>
      <c r="J1527" s="64">
        <f t="shared" si="241"/>
        <v>9</v>
      </c>
      <c r="K1527" s="64">
        <f t="shared" si="242"/>
        <v>8</v>
      </c>
    </row>
    <row r="1528" spans="1:11" ht="17.25" x14ac:dyDescent="0.35">
      <c r="B1528" s="413" t="s">
        <v>1904</v>
      </c>
      <c r="C1528" s="152" t="s">
        <v>1905</v>
      </c>
      <c r="D1528" s="152" t="s">
        <v>1889</v>
      </c>
      <c r="E1528" s="107" t="s">
        <v>265</v>
      </c>
      <c r="F1528" s="108">
        <v>12.5</v>
      </c>
      <c r="G1528" s="57">
        <v>13</v>
      </c>
      <c r="H1528" s="65">
        <v>2</v>
      </c>
      <c r="I1528" s="69">
        <f t="shared" si="240"/>
        <v>15</v>
      </c>
      <c r="J1528" s="64">
        <f t="shared" si="241"/>
        <v>9</v>
      </c>
      <c r="K1528" s="64">
        <f t="shared" si="242"/>
        <v>8</v>
      </c>
    </row>
    <row r="1529" spans="1:11" ht="17.25" x14ac:dyDescent="0.35">
      <c r="B1529" s="413" t="s">
        <v>1906</v>
      </c>
      <c r="C1529" s="152" t="s">
        <v>1871</v>
      </c>
      <c r="D1529" s="152" t="s">
        <v>1344</v>
      </c>
      <c r="E1529" s="107" t="s">
        <v>265</v>
      </c>
      <c r="F1529" s="108">
        <v>12.5</v>
      </c>
      <c r="G1529" s="57">
        <v>13</v>
      </c>
      <c r="H1529" s="65">
        <v>2</v>
      </c>
      <c r="I1529" s="69">
        <f t="shared" si="240"/>
        <v>15</v>
      </c>
      <c r="J1529" s="64">
        <f t="shared" si="241"/>
        <v>9</v>
      </c>
      <c r="K1529" s="64">
        <f t="shared" si="242"/>
        <v>8</v>
      </c>
    </row>
    <row r="1530" spans="1:11" ht="17.25" x14ac:dyDescent="0.35">
      <c r="B1530" s="341"/>
      <c r="C1530" s="152"/>
      <c r="D1530" s="152"/>
      <c r="E1530" s="107"/>
      <c r="F1530" s="108"/>
      <c r="G1530" s="57"/>
      <c r="H1530" s="65"/>
      <c r="I1530" s="69" t="str">
        <f t="shared" si="240"/>
        <v/>
      </c>
      <c r="J1530" s="64" t="str">
        <f t="shared" si="241"/>
        <v/>
      </c>
      <c r="K1530" s="64" t="str">
        <f t="shared" si="242"/>
        <v/>
      </c>
    </row>
    <row r="1531" spans="1:11" ht="17.25" x14ac:dyDescent="0.35">
      <c r="B1531" s="341"/>
      <c r="C1531" s="152"/>
      <c r="D1531" s="152"/>
      <c r="E1531" s="107"/>
      <c r="F1531" s="108"/>
      <c r="G1531" s="57"/>
      <c r="H1531" s="65"/>
      <c r="I1531" s="69" t="str">
        <f t="shared" si="240"/>
        <v/>
      </c>
      <c r="J1531" s="64" t="str">
        <f t="shared" si="241"/>
        <v/>
      </c>
      <c r="K1531" s="64" t="str">
        <f t="shared" si="242"/>
        <v/>
      </c>
    </row>
    <row r="1532" spans="1:11" ht="17.25" x14ac:dyDescent="0.35">
      <c r="B1532" s="341"/>
      <c r="C1532" s="152"/>
      <c r="D1532" s="152"/>
      <c r="E1532" s="107"/>
      <c r="F1532" s="108"/>
      <c r="G1532" s="57"/>
      <c r="H1532" s="65"/>
      <c r="I1532" s="69"/>
      <c r="J1532" s="64" t="str">
        <f t="shared" si="241"/>
        <v/>
      </c>
      <c r="K1532" s="64" t="str">
        <f t="shared" si="242"/>
        <v/>
      </c>
    </row>
    <row r="1533" spans="1:11" ht="17.25" x14ac:dyDescent="0.2">
      <c r="B1533" s="341"/>
      <c r="C1533" s="101"/>
      <c r="D1533" s="101"/>
      <c r="E1533" s="107"/>
      <c r="F1533" s="108"/>
      <c r="G1533" s="64"/>
      <c r="H1533" s="65"/>
      <c r="I1533" s="69"/>
      <c r="J1533" s="64" t="str">
        <f t="shared" si="241"/>
        <v/>
      </c>
      <c r="K1533" s="64" t="str">
        <f t="shared" si="242"/>
        <v/>
      </c>
    </row>
    <row r="1534" spans="1:11" ht="17.25" x14ac:dyDescent="0.2">
      <c r="B1534" s="341"/>
      <c r="C1534" s="101"/>
      <c r="D1534" s="101"/>
      <c r="E1534" s="107"/>
      <c r="F1534" s="108"/>
      <c r="G1534" s="64"/>
      <c r="H1534" s="65"/>
      <c r="I1534" s="69"/>
      <c r="J1534" s="64" t="str">
        <f t="shared" si="241"/>
        <v/>
      </c>
      <c r="K1534" s="64" t="str">
        <f t="shared" si="242"/>
        <v/>
      </c>
    </row>
    <row r="1535" spans="1:11" ht="17.25" x14ac:dyDescent="0.2">
      <c r="B1535" s="341"/>
      <c r="C1535" s="101"/>
      <c r="D1535" s="101"/>
      <c r="E1535" s="107"/>
      <c r="F1535" s="108"/>
      <c r="G1535" s="64"/>
      <c r="H1535" s="65"/>
      <c r="I1535" s="69"/>
      <c r="J1535" s="64" t="str">
        <f t="shared" si="241"/>
        <v/>
      </c>
      <c r="K1535" s="64" t="str">
        <f t="shared" si="242"/>
        <v/>
      </c>
    </row>
    <row r="1536" spans="1:11" ht="17.25" x14ac:dyDescent="0.2">
      <c r="B1536" s="341"/>
      <c r="C1536" s="101"/>
      <c r="D1536" s="101"/>
      <c r="E1536" s="107"/>
      <c r="F1536" s="108"/>
      <c r="G1536" s="64"/>
      <c r="H1536" s="65"/>
      <c r="I1536" s="69"/>
      <c r="J1536" s="64" t="str">
        <f t="shared" si="241"/>
        <v/>
      </c>
      <c r="K1536" s="64" t="str">
        <f t="shared" si="242"/>
        <v/>
      </c>
    </row>
    <row r="1537" spans="1:11" ht="17.25" x14ac:dyDescent="0.2">
      <c r="B1537" s="341"/>
      <c r="C1537" s="101"/>
      <c r="D1537" s="101"/>
      <c r="E1537" s="107"/>
      <c r="F1537" s="108"/>
      <c r="G1537" s="64"/>
      <c r="H1537" s="65"/>
      <c r="I1537" s="69"/>
      <c r="J1537" s="64" t="str">
        <f t="shared" si="241"/>
        <v/>
      </c>
      <c r="K1537" s="64" t="str">
        <f t="shared" si="242"/>
        <v/>
      </c>
    </row>
    <row r="1538" spans="1:11" ht="17.25" x14ac:dyDescent="0.2">
      <c r="B1538" s="341"/>
      <c r="C1538" s="101"/>
      <c r="D1538" s="101"/>
      <c r="E1538" s="107"/>
      <c r="F1538" s="108"/>
      <c r="G1538" s="64"/>
      <c r="H1538" s="65"/>
      <c r="I1538" s="69"/>
      <c r="J1538" s="64" t="str">
        <f t="shared" si="241"/>
        <v/>
      </c>
      <c r="K1538" s="64" t="str">
        <f t="shared" si="242"/>
        <v/>
      </c>
    </row>
    <row r="1539" spans="1:11" ht="17.25" x14ac:dyDescent="0.2">
      <c r="B1539" s="341"/>
      <c r="C1539" s="101"/>
      <c r="D1539" s="101"/>
      <c r="E1539" s="107"/>
      <c r="F1539" s="108"/>
      <c r="G1539" s="64"/>
      <c r="H1539" s="65"/>
      <c r="I1539" s="69"/>
      <c r="J1539" s="64" t="str">
        <f t="shared" si="241"/>
        <v/>
      </c>
      <c r="K1539" s="64" t="str">
        <f t="shared" si="242"/>
        <v/>
      </c>
    </row>
    <row r="1540" spans="1:11" ht="17.25" x14ac:dyDescent="0.2">
      <c r="B1540" s="341"/>
      <c r="C1540" s="101"/>
      <c r="D1540" s="101"/>
      <c r="E1540" s="107"/>
      <c r="F1540" s="108"/>
      <c r="G1540" s="64"/>
      <c r="H1540" s="65"/>
      <c r="I1540" s="69"/>
      <c r="J1540" s="64" t="str">
        <f t="shared" si="241"/>
        <v/>
      </c>
      <c r="K1540" s="64" t="str">
        <f t="shared" si="242"/>
        <v/>
      </c>
    </row>
    <row r="1541" spans="1:11" ht="18" customHeight="1" x14ac:dyDescent="0.2">
      <c r="B1541" s="561" t="s">
        <v>22</v>
      </c>
      <c r="C1541" s="561" t="s">
        <v>177</v>
      </c>
      <c r="D1541" s="561" t="s">
        <v>243</v>
      </c>
      <c r="E1541" s="561" t="s">
        <v>23</v>
      </c>
      <c r="F1541" s="562" t="s">
        <v>234</v>
      </c>
      <c r="G1541" s="562"/>
      <c r="H1541" s="562"/>
      <c r="I1541" s="562"/>
      <c r="J1541" s="562"/>
      <c r="K1541" s="562"/>
    </row>
    <row r="1542" spans="1:11" ht="21" x14ac:dyDescent="0.2">
      <c r="A1542" s="114" t="s">
        <v>1094</v>
      </c>
      <c r="B1542" s="434" t="s">
        <v>2715</v>
      </c>
      <c r="C1542" s="115" t="s">
        <v>498</v>
      </c>
      <c r="D1542" s="114" t="s">
        <v>639</v>
      </c>
      <c r="E1542" s="329" t="str">
        <f>IF($O$84="","",$O$84)</f>
        <v>Munic. de BDP - Área 3.1</v>
      </c>
      <c r="F1542" s="563">
        <f>IF(B1542="","",VLOOKUP(E1542,$O$2:$T$120,6,0))</f>
        <v>98829</v>
      </c>
      <c r="G1542" s="564"/>
      <c r="H1542" s="564"/>
      <c r="I1542" s="564"/>
      <c r="J1542" s="564"/>
      <c r="K1542" s="565"/>
    </row>
    <row r="1543" spans="1:11" ht="43.5" x14ac:dyDescent="0.2">
      <c r="A1543" s="166" t="s">
        <v>779</v>
      </c>
      <c r="B1543" s="116" t="s">
        <v>0</v>
      </c>
      <c r="C1543" s="116" t="s">
        <v>20</v>
      </c>
      <c r="D1543" s="116" t="s">
        <v>21</v>
      </c>
      <c r="E1543" s="116" t="s">
        <v>1</v>
      </c>
      <c r="F1543" s="117" t="s">
        <v>3</v>
      </c>
      <c r="G1543" s="116" t="s">
        <v>216</v>
      </c>
      <c r="H1543" s="180" t="s">
        <v>242</v>
      </c>
      <c r="I1543" s="116" t="s">
        <v>245</v>
      </c>
      <c r="J1543" s="116" t="s">
        <v>217</v>
      </c>
      <c r="K1543" s="116" t="s">
        <v>218</v>
      </c>
    </row>
    <row r="1544" spans="1:11" ht="17.25" x14ac:dyDescent="0.35">
      <c r="B1544" s="414" t="s">
        <v>1907</v>
      </c>
      <c r="C1544" s="152" t="s">
        <v>1844</v>
      </c>
      <c r="D1544" s="152" t="s">
        <v>1828</v>
      </c>
      <c r="E1544" s="107" t="s">
        <v>56</v>
      </c>
      <c r="F1544" s="333">
        <v>17.5</v>
      </c>
      <c r="G1544" s="57">
        <v>16</v>
      </c>
      <c r="H1544" s="65">
        <v>4</v>
      </c>
      <c r="I1544" s="69">
        <f>IF(G1544="","",SUM(G1544:H1544))</f>
        <v>20</v>
      </c>
      <c r="J1544" s="64">
        <f>IF(G1544="","",ROUNDUP(G1544*0.65,0))</f>
        <v>11</v>
      </c>
      <c r="K1544" s="64">
        <f>IF(G1544="","",ROUNDUP(G1544*0.55,0))</f>
        <v>9</v>
      </c>
    </row>
    <row r="1545" spans="1:11" ht="17.25" x14ac:dyDescent="0.35">
      <c r="B1545" s="414" t="s">
        <v>1908</v>
      </c>
      <c r="C1545" s="152" t="s">
        <v>1844</v>
      </c>
      <c r="D1545" s="152" t="s">
        <v>1909</v>
      </c>
      <c r="E1545" s="107" t="s">
        <v>55</v>
      </c>
      <c r="F1545" s="333">
        <v>14</v>
      </c>
      <c r="G1545" s="57">
        <v>13</v>
      </c>
      <c r="H1545" s="65">
        <v>2</v>
      </c>
      <c r="I1545" s="69">
        <f t="shared" ref="I1545:I1557" si="243">IF(G1545="","",SUM(G1545:H1545))</f>
        <v>15</v>
      </c>
      <c r="J1545" s="64">
        <f t="shared" ref="J1545:J1559" si="244">IF(G1545="","",ROUNDUP(G1545*0.65,0))</f>
        <v>9</v>
      </c>
      <c r="K1545" s="64">
        <f t="shared" ref="K1545:K1559" si="245">IF(G1545="","",ROUNDUP(G1545*0.55,0))</f>
        <v>8</v>
      </c>
    </row>
    <row r="1546" spans="1:11" ht="17.25" x14ac:dyDescent="0.35">
      <c r="B1546" s="414" t="s">
        <v>1910</v>
      </c>
      <c r="C1546" s="152" t="s">
        <v>1844</v>
      </c>
      <c r="D1546" s="152" t="s">
        <v>1881</v>
      </c>
      <c r="E1546" s="107" t="s">
        <v>55</v>
      </c>
      <c r="F1546" s="333">
        <v>14</v>
      </c>
      <c r="G1546" s="57">
        <v>13</v>
      </c>
      <c r="H1546" s="65">
        <v>1</v>
      </c>
      <c r="I1546" s="69">
        <f t="shared" si="243"/>
        <v>14</v>
      </c>
      <c r="J1546" s="64">
        <f t="shared" si="244"/>
        <v>9</v>
      </c>
      <c r="K1546" s="64">
        <f t="shared" si="245"/>
        <v>8</v>
      </c>
    </row>
    <row r="1547" spans="1:11" ht="17.25" x14ac:dyDescent="0.35">
      <c r="B1547" s="414" t="s">
        <v>1911</v>
      </c>
      <c r="C1547" s="152" t="s">
        <v>1909</v>
      </c>
      <c r="D1547" s="152" t="s">
        <v>1828</v>
      </c>
      <c r="E1547" s="107" t="s">
        <v>55</v>
      </c>
      <c r="F1547" s="333">
        <v>14</v>
      </c>
      <c r="G1547" s="57">
        <v>11</v>
      </c>
      <c r="H1547" s="65">
        <v>1</v>
      </c>
      <c r="I1547" s="69">
        <f t="shared" si="243"/>
        <v>12</v>
      </c>
      <c r="J1547" s="64">
        <f t="shared" si="244"/>
        <v>8</v>
      </c>
      <c r="K1547" s="64">
        <f t="shared" si="245"/>
        <v>7</v>
      </c>
    </row>
    <row r="1548" spans="1:11" ht="17.25" x14ac:dyDescent="0.35">
      <c r="B1548" s="414" t="s">
        <v>1912</v>
      </c>
      <c r="C1548" s="152" t="s">
        <v>1915</v>
      </c>
      <c r="D1548" s="152" t="s">
        <v>1916</v>
      </c>
      <c r="E1548" s="107" t="s">
        <v>55</v>
      </c>
      <c r="F1548" s="333">
        <v>14</v>
      </c>
      <c r="G1548" s="57">
        <v>11</v>
      </c>
      <c r="H1548" s="65">
        <v>1</v>
      </c>
      <c r="I1548" s="69">
        <f>IF(G1548="","",SUM(G1548:H1548))</f>
        <v>12</v>
      </c>
      <c r="J1548" s="64">
        <f>IF(G1548="","",ROUNDUP(G1548*0.65,0))</f>
        <v>8</v>
      </c>
      <c r="K1548" s="64">
        <f>IF(G1548="","",ROUNDUP(G1548*0.55,0))</f>
        <v>7</v>
      </c>
    </row>
    <row r="1549" spans="1:11" ht="17.25" x14ac:dyDescent="0.35">
      <c r="B1549" s="414" t="s">
        <v>1913</v>
      </c>
      <c r="C1549" s="152" t="s">
        <v>1919</v>
      </c>
      <c r="D1549" s="152" t="s">
        <v>1344</v>
      </c>
      <c r="E1549" s="107" t="s">
        <v>55</v>
      </c>
      <c r="F1549" s="333">
        <v>14</v>
      </c>
      <c r="G1549" s="57">
        <v>11</v>
      </c>
      <c r="H1549" s="65">
        <v>1</v>
      </c>
      <c r="I1549" s="69">
        <f>IF(G1549="","",SUM(G1549:H1549))</f>
        <v>12</v>
      </c>
      <c r="J1549" s="64">
        <f>IF(G1549="","",ROUNDUP(G1549*0.65,0))</f>
        <v>8</v>
      </c>
      <c r="K1549" s="64">
        <f>IF(G1549="","",ROUNDUP(G1549*0.55,0))</f>
        <v>7</v>
      </c>
    </row>
    <row r="1550" spans="1:11" ht="17.25" x14ac:dyDescent="0.35">
      <c r="B1550" s="414" t="s">
        <v>1914</v>
      </c>
      <c r="C1550" s="152" t="s">
        <v>1844</v>
      </c>
      <c r="D1550" s="152" t="s">
        <v>1889</v>
      </c>
      <c r="E1550" s="107" t="s">
        <v>265</v>
      </c>
      <c r="F1550" s="108">
        <v>12.5</v>
      </c>
      <c r="G1550" s="57">
        <v>17</v>
      </c>
      <c r="H1550" s="65">
        <v>3</v>
      </c>
      <c r="I1550" s="69">
        <f>IF(G1550="","",SUM(G1550:H1550))</f>
        <v>20</v>
      </c>
      <c r="J1550" s="64">
        <f>IF(G1550="","",ROUNDUP(G1550*0.65,0))</f>
        <v>12</v>
      </c>
      <c r="K1550" s="64">
        <f>IF(G1550="","",ROUNDUP(G1550*0.55,0))</f>
        <v>10</v>
      </c>
    </row>
    <row r="1551" spans="1:11" ht="17.25" x14ac:dyDescent="0.35">
      <c r="B1551" s="414" t="s">
        <v>1917</v>
      </c>
      <c r="C1551" s="152" t="s">
        <v>1909</v>
      </c>
      <c r="D1551" s="152" t="s">
        <v>1846</v>
      </c>
      <c r="E1551" s="107" t="s">
        <v>265</v>
      </c>
      <c r="F1551" s="108">
        <v>12.5</v>
      </c>
      <c r="G1551" s="57">
        <v>13</v>
      </c>
      <c r="H1551" s="65">
        <v>2</v>
      </c>
      <c r="I1551" s="69">
        <f t="shared" si="243"/>
        <v>15</v>
      </c>
      <c r="J1551" s="64">
        <f t="shared" si="244"/>
        <v>9</v>
      </c>
      <c r="K1551" s="64">
        <f t="shared" si="245"/>
        <v>8</v>
      </c>
    </row>
    <row r="1552" spans="1:11" ht="17.25" x14ac:dyDescent="0.35">
      <c r="B1552" s="414" t="s">
        <v>1920</v>
      </c>
      <c r="C1552" s="152" t="s">
        <v>1918</v>
      </c>
      <c r="D1552" s="152" t="s">
        <v>1919</v>
      </c>
      <c r="E1552" s="107" t="s">
        <v>265</v>
      </c>
      <c r="F1552" s="108">
        <v>12.5</v>
      </c>
      <c r="G1552" s="57">
        <v>13</v>
      </c>
      <c r="H1552" s="65">
        <v>2</v>
      </c>
      <c r="I1552" s="69">
        <f t="shared" si="243"/>
        <v>15</v>
      </c>
      <c r="J1552" s="64">
        <f t="shared" si="244"/>
        <v>9</v>
      </c>
      <c r="K1552" s="64">
        <f t="shared" si="245"/>
        <v>8</v>
      </c>
    </row>
    <row r="1553" spans="1:11" ht="17.25" x14ac:dyDescent="0.35">
      <c r="B1553" s="343"/>
      <c r="C1553" s="152"/>
      <c r="D1553" s="152"/>
      <c r="E1553" s="107"/>
      <c r="F1553" s="108"/>
      <c r="G1553" s="57"/>
      <c r="H1553" s="65"/>
      <c r="I1553" s="69" t="str">
        <f t="shared" si="243"/>
        <v/>
      </c>
      <c r="J1553" s="64" t="str">
        <f t="shared" si="244"/>
        <v/>
      </c>
      <c r="K1553" s="64" t="str">
        <f t="shared" si="245"/>
        <v/>
      </c>
    </row>
    <row r="1554" spans="1:11" ht="17.25" x14ac:dyDescent="0.2">
      <c r="B1554" s="343"/>
      <c r="C1554" s="102"/>
      <c r="D1554" s="102"/>
      <c r="E1554" s="107"/>
      <c r="F1554" s="108"/>
      <c r="G1554" s="57"/>
      <c r="H1554" s="65"/>
      <c r="I1554" s="69" t="str">
        <f t="shared" si="243"/>
        <v/>
      </c>
      <c r="J1554" s="64" t="str">
        <f t="shared" si="244"/>
        <v/>
      </c>
      <c r="K1554" s="64" t="str">
        <f t="shared" si="245"/>
        <v/>
      </c>
    </row>
    <row r="1555" spans="1:11" ht="17.25" x14ac:dyDescent="0.2">
      <c r="B1555" s="343"/>
      <c r="C1555" s="102"/>
      <c r="D1555" s="102"/>
      <c r="E1555" s="107"/>
      <c r="F1555" s="108"/>
      <c r="G1555" s="57"/>
      <c r="H1555" s="65"/>
      <c r="I1555" s="69" t="str">
        <f t="shared" si="243"/>
        <v/>
      </c>
      <c r="J1555" s="64" t="str">
        <f t="shared" si="244"/>
        <v/>
      </c>
      <c r="K1555" s="64" t="str">
        <f t="shared" si="245"/>
        <v/>
      </c>
    </row>
    <row r="1556" spans="1:11" ht="17.25" x14ac:dyDescent="0.2">
      <c r="B1556" s="343"/>
      <c r="C1556" s="102"/>
      <c r="D1556" s="102"/>
      <c r="E1556" s="107"/>
      <c r="F1556" s="108"/>
      <c r="G1556" s="57"/>
      <c r="H1556" s="65"/>
      <c r="I1556" s="69" t="str">
        <f t="shared" si="243"/>
        <v/>
      </c>
      <c r="J1556" s="64" t="str">
        <f t="shared" si="244"/>
        <v/>
      </c>
      <c r="K1556" s="64" t="str">
        <f t="shared" si="245"/>
        <v/>
      </c>
    </row>
    <row r="1557" spans="1:11" ht="17.25" x14ac:dyDescent="0.2">
      <c r="B1557" s="343"/>
      <c r="C1557" s="102"/>
      <c r="D1557" s="102"/>
      <c r="E1557" s="107"/>
      <c r="F1557" s="108"/>
      <c r="G1557" s="57"/>
      <c r="H1557" s="65"/>
      <c r="I1557" s="69" t="str">
        <f t="shared" si="243"/>
        <v/>
      </c>
      <c r="J1557" s="64" t="str">
        <f t="shared" si="244"/>
        <v/>
      </c>
      <c r="K1557" s="64" t="str">
        <f t="shared" si="245"/>
        <v/>
      </c>
    </row>
    <row r="1558" spans="1:11" ht="17.25" x14ac:dyDescent="0.2">
      <c r="B1558" s="343"/>
      <c r="C1558" s="102"/>
      <c r="D1558" s="102"/>
      <c r="E1558" s="107"/>
      <c r="F1558" s="108"/>
      <c r="G1558" s="57"/>
      <c r="H1558" s="65"/>
      <c r="I1558" s="69"/>
      <c r="J1558" s="64" t="str">
        <f t="shared" si="244"/>
        <v/>
      </c>
      <c r="K1558" s="64" t="str">
        <f t="shared" si="245"/>
        <v/>
      </c>
    </row>
    <row r="1559" spans="1:11" ht="17.25" x14ac:dyDescent="0.2">
      <c r="B1559" s="343"/>
      <c r="C1559" s="102"/>
      <c r="D1559" s="102"/>
      <c r="E1559" s="107"/>
      <c r="F1559" s="108"/>
      <c r="G1559" s="57"/>
      <c r="H1559" s="65"/>
      <c r="I1559" s="69"/>
      <c r="J1559" s="64" t="str">
        <f t="shared" si="244"/>
        <v/>
      </c>
      <c r="K1559" s="64" t="str">
        <f t="shared" si="245"/>
        <v/>
      </c>
    </row>
    <row r="1560" spans="1:11" ht="18" customHeight="1" x14ac:dyDescent="0.2">
      <c r="B1560" s="561" t="s">
        <v>22</v>
      </c>
      <c r="C1560" s="561" t="s">
        <v>177</v>
      </c>
      <c r="D1560" s="561" t="s">
        <v>243</v>
      </c>
      <c r="E1560" s="561" t="s">
        <v>23</v>
      </c>
      <c r="F1560" s="562" t="s">
        <v>234</v>
      </c>
      <c r="G1560" s="562"/>
      <c r="H1560" s="562"/>
      <c r="I1560" s="562"/>
      <c r="J1560" s="562"/>
      <c r="K1560" s="562"/>
    </row>
    <row r="1561" spans="1:11" ht="21" x14ac:dyDescent="0.2">
      <c r="A1561" s="114" t="s">
        <v>1095</v>
      </c>
      <c r="B1561" s="436" t="s">
        <v>2688</v>
      </c>
      <c r="C1561" s="115" t="s">
        <v>2699</v>
      </c>
      <c r="D1561" s="114" t="s">
        <v>1209</v>
      </c>
      <c r="E1561" s="329" t="str">
        <f>IF($O$85="","",$O$85)</f>
        <v>Munic. de BDP - Área 3.2</v>
      </c>
      <c r="F1561" s="563">
        <f>IF(B1561="","",VLOOKUP(E1561,$O$2:$T$120,6,0))</f>
        <v>69773</v>
      </c>
      <c r="G1561" s="564"/>
      <c r="H1561" s="564"/>
      <c r="I1561" s="564"/>
      <c r="J1561" s="564"/>
      <c r="K1561" s="565"/>
    </row>
    <row r="1562" spans="1:11" ht="43.5" x14ac:dyDescent="0.2">
      <c r="A1562" s="166" t="s">
        <v>779</v>
      </c>
      <c r="B1562" s="116" t="s">
        <v>0</v>
      </c>
      <c r="C1562" s="116" t="s">
        <v>20</v>
      </c>
      <c r="D1562" s="116" t="s">
        <v>21</v>
      </c>
      <c r="E1562" s="116" t="s">
        <v>1</v>
      </c>
      <c r="F1562" s="117" t="s">
        <v>3</v>
      </c>
      <c r="G1562" s="116" t="s">
        <v>216</v>
      </c>
      <c r="H1562" s="180" t="s">
        <v>242</v>
      </c>
      <c r="I1562" s="116" t="s">
        <v>245</v>
      </c>
      <c r="J1562" s="116" t="s">
        <v>217</v>
      </c>
      <c r="K1562" s="116" t="s">
        <v>218</v>
      </c>
    </row>
    <row r="1563" spans="1:11" ht="17.25" x14ac:dyDescent="0.35">
      <c r="B1563" s="414" t="s">
        <v>1921</v>
      </c>
      <c r="C1563" s="152" t="s">
        <v>1844</v>
      </c>
      <c r="D1563" s="152" t="s">
        <v>1344</v>
      </c>
      <c r="E1563" s="107" t="s">
        <v>56</v>
      </c>
      <c r="F1563" s="333">
        <v>17.5</v>
      </c>
      <c r="G1563" s="57">
        <v>16</v>
      </c>
      <c r="H1563" s="65">
        <v>4</v>
      </c>
      <c r="I1563" s="69">
        <f>IF(G1563="","",SUM(G1563:H1563))</f>
        <v>20</v>
      </c>
      <c r="J1563" s="64">
        <f>IF(G1563="","",ROUNDUP(G1563*0.65,0))</f>
        <v>11</v>
      </c>
      <c r="K1563" s="64">
        <f>IF(G1563="","",ROUNDUP(G1563*0.55,0))</f>
        <v>9</v>
      </c>
    </row>
    <row r="1564" spans="1:11" ht="17.25" x14ac:dyDescent="0.35">
      <c r="B1564" s="414" t="s">
        <v>1922</v>
      </c>
      <c r="C1564" s="152" t="s">
        <v>1844</v>
      </c>
      <c r="D1564" s="152" t="s">
        <v>1830</v>
      </c>
      <c r="E1564" s="107" t="s">
        <v>57</v>
      </c>
      <c r="F1564" s="108">
        <v>23</v>
      </c>
      <c r="G1564" s="57">
        <v>13</v>
      </c>
      <c r="H1564" s="65">
        <v>2</v>
      </c>
      <c r="I1564" s="69">
        <f t="shared" ref="I1564:I1570" si="246">IF(G1564="","",SUM(G1564:H1564))</f>
        <v>15</v>
      </c>
      <c r="J1564" s="64">
        <f t="shared" ref="J1564:J1578" si="247">IF(G1564="","",ROUNDUP(G1564*0.65,0))</f>
        <v>9</v>
      </c>
      <c r="K1564" s="64">
        <f t="shared" ref="K1564:K1578" si="248">IF(G1564="","",ROUNDUP(G1564*0.55,0))</f>
        <v>8</v>
      </c>
    </row>
    <row r="1565" spans="1:11" ht="17.25" x14ac:dyDescent="0.35">
      <c r="B1565" s="414" t="s">
        <v>1923</v>
      </c>
      <c r="C1565" s="152" t="s">
        <v>1844</v>
      </c>
      <c r="D1565" s="152" t="s">
        <v>1924</v>
      </c>
      <c r="E1565" s="107" t="s">
        <v>55</v>
      </c>
      <c r="F1565" s="333">
        <v>14</v>
      </c>
      <c r="G1565" s="57">
        <v>13</v>
      </c>
      <c r="H1565" s="65">
        <v>4</v>
      </c>
      <c r="I1565" s="69">
        <f t="shared" si="246"/>
        <v>17</v>
      </c>
      <c r="J1565" s="64">
        <f t="shared" si="247"/>
        <v>9</v>
      </c>
      <c r="K1565" s="64">
        <f t="shared" si="248"/>
        <v>8</v>
      </c>
    </row>
    <row r="1566" spans="1:11" ht="17.25" x14ac:dyDescent="0.35">
      <c r="B1566" s="414" t="s">
        <v>1925</v>
      </c>
      <c r="C1566" s="152" t="s">
        <v>1926</v>
      </c>
      <c r="D1566" s="152" t="s">
        <v>1927</v>
      </c>
      <c r="E1566" s="107" t="s">
        <v>55</v>
      </c>
      <c r="F1566" s="333">
        <v>14</v>
      </c>
      <c r="G1566" s="57">
        <v>11</v>
      </c>
      <c r="H1566" s="65">
        <v>3</v>
      </c>
      <c r="I1566" s="69">
        <f t="shared" si="246"/>
        <v>14</v>
      </c>
      <c r="J1566" s="64">
        <f t="shared" si="247"/>
        <v>8</v>
      </c>
      <c r="K1566" s="64">
        <f t="shared" si="248"/>
        <v>7</v>
      </c>
    </row>
    <row r="1567" spans="1:11" ht="17.25" x14ac:dyDescent="0.35">
      <c r="B1567" s="414" t="s">
        <v>1928</v>
      </c>
      <c r="C1567" s="152" t="s">
        <v>1926</v>
      </c>
      <c r="D1567" s="152" t="s">
        <v>1929</v>
      </c>
      <c r="E1567" s="107" t="s">
        <v>55</v>
      </c>
      <c r="F1567" s="333">
        <v>14</v>
      </c>
      <c r="G1567" s="57">
        <v>11</v>
      </c>
      <c r="H1567" s="65">
        <v>3</v>
      </c>
      <c r="I1567" s="69">
        <f t="shared" si="246"/>
        <v>14</v>
      </c>
      <c r="J1567" s="64">
        <f t="shared" si="247"/>
        <v>8</v>
      </c>
      <c r="K1567" s="64">
        <f t="shared" si="248"/>
        <v>7</v>
      </c>
    </row>
    <row r="1568" spans="1:11" ht="17.25" x14ac:dyDescent="0.35">
      <c r="B1568" s="414" t="s">
        <v>1930</v>
      </c>
      <c r="C1568" s="152" t="s">
        <v>1931</v>
      </c>
      <c r="D1568" s="152" t="s">
        <v>1932</v>
      </c>
      <c r="E1568" s="107" t="s">
        <v>265</v>
      </c>
      <c r="F1568" s="108">
        <v>12.5</v>
      </c>
      <c r="G1568" s="57">
        <v>13</v>
      </c>
      <c r="H1568" s="65">
        <v>2</v>
      </c>
      <c r="I1568" s="69">
        <f t="shared" si="246"/>
        <v>15</v>
      </c>
      <c r="J1568" s="64">
        <f t="shared" si="247"/>
        <v>9</v>
      </c>
      <c r="K1568" s="64">
        <f t="shared" si="248"/>
        <v>8</v>
      </c>
    </row>
    <row r="1569" spans="1:11" ht="17.25" x14ac:dyDescent="0.35">
      <c r="B1569" s="414" t="s">
        <v>1933</v>
      </c>
      <c r="C1569" s="152" t="s">
        <v>1934</v>
      </c>
      <c r="D1569" s="152" t="s">
        <v>1935</v>
      </c>
      <c r="E1569" s="107" t="s">
        <v>265</v>
      </c>
      <c r="F1569" s="108">
        <v>12.5</v>
      </c>
      <c r="G1569" s="57">
        <v>13</v>
      </c>
      <c r="H1569" s="65">
        <v>2</v>
      </c>
      <c r="I1569" s="69">
        <f t="shared" si="246"/>
        <v>15</v>
      </c>
      <c r="J1569" s="64">
        <f t="shared" si="247"/>
        <v>9</v>
      </c>
      <c r="K1569" s="64">
        <f t="shared" si="248"/>
        <v>8</v>
      </c>
    </row>
    <row r="1570" spans="1:11" ht="17.25" x14ac:dyDescent="0.35">
      <c r="B1570" s="336"/>
      <c r="C1570" s="152"/>
      <c r="D1570" s="152"/>
      <c r="E1570" s="107"/>
      <c r="F1570" s="108"/>
      <c r="G1570" s="57"/>
      <c r="H1570" s="65"/>
      <c r="I1570" s="69" t="str">
        <f t="shared" si="246"/>
        <v/>
      </c>
      <c r="J1570" s="64" t="str">
        <f t="shared" si="247"/>
        <v/>
      </c>
      <c r="K1570" s="64" t="str">
        <f t="shared" si="248"/>
        <v/>
      </c>
    </row>
    <row r="1571" spans="1:11" ht="17.25" x14ac:dyDescent="0.2">
      <c r="B1571" s="336"/>
      <c r="C1571" s="103"/>
      <c r="D1571" s="103"/>
      <c r="E1571" s="107"/>
      <c r="F1571" s="108"/>
      <c r="G1571" s="64"/>
      <c r="H1571" s="65"/>
      <c r="I1571" s="69"/>
      <c r="J1571" s="64" t="str">
        <f t="shared" si="247"/>
        <v/>
      </c>
      <c r="K1571" s="64" t="str">
        <f t="shared" si="248"/>
        <v/>
      </c>
    </row>
    <row r="1572" spans="1:11" ht="17.25" x14ac:dyDescent="0.2">
      <c r="B1572" s="336"/>
      <c r="C1572" s="103"/>
      <c r="D1572" s="103"/>
      <c r="E1572" s="107"/>
      <c r="F1572" s="108"/>
      <c r="G1572" s="64"/>
      <c r="H1572" s="65"/>
      <c r="I1572" s="69"/>
      <c r="J1572" s="64" t="str">
        <f t="shared" si="247"/>
        <v/>
      </c>
      <c r="K1572" s="64" t="str">
        <f t="shared" si="248"/>
        <v/>
      </c>
    </row>
    <row r="1573" spans="1:11" ht="17.25" x14ac:dyDescent="0.2">
      <c r="B1573" s="336"/>
      <c r="C1573" s="103"/>
      <c r="D1573" s="103"/>
      <c r="E1573" s="107"/>
      <c r="F1573" s="108"/>
      <c r="G1573" s="64"/>
      <c r="H1573" s="65"/>
      <c r="I1573" s="69"/>
      <c r="J1573" s="64" t="str">
        <f t="shared" si="247"/>
        <v/>
      </c>
      <c r="K1573" s="64" t="str">
        <f t="shared" si="248"/>
        <v/>
      </c>
    </row>
    <row r="1574" spans="1:11" ht="17.25" x14ac:dyDescent="0.2">
      <c r="B1574" s="336"/>
      <c r="C1574" s="103"/>
      <c r="D1574" s="103"/>
      <c r="E1574" s="107"/>
      <c r="F1574" s="108"/>
      <c r="G1574" s="64"/>
      <c r="H1574" s="65"/>
      <c r="I1574" s="69"/>
      <c r="J1574" s="64" t="str">
        <f t="shared" si="247"/>
        <v/>
      </c>
      <c r="K1574" s="64" t="str">
        <f t="shared" si="248"/>
        <v/>
      </c>
    </row>
    <row r="1575" spans="1:11" ht="17.25" x14ac:dyDescent="0.2">
      <c r="B1575" s="336"/>
      <c r="C1575" s="103"/>
      <c r="D1575" s="103"/>
      <c r="E1575" s="107"/>
      <c r="F1575" s="108"/>
      <c r="G1575" s="64"/>
      <c r="H1575" s="65"/>
      <c r="I1575" s="69"/>
      <c r="J1575" s="64" t="str">
        <f t="shared" si="247"/>
        <v/>
      </c>
      <c r="K1575" s="64" t="str">
        <f t="shared" si="248"/>
        <v/>
      </c>
    </row>
    <row r="1576" spans="1:11" ht="17.25" x14ac:dyDescent="0.2">
      <c r="B1576" s="336"/>
      <c r="C1576" s="103"/>
      <c r="D1576" s="103"/>
      <c r="E1576" s="107"/>
      <c r="F1576" s="108"/>
      <c r="G1576" s="64"/>
      <c r="H1576" s="65"/>
      <c r="I1576" s="69"/>
      <c r="J1576" s="64" t="str">
        <f t="shared" si="247"/>
        <v/>
      </c>
      <c r="K1576" s="64" t="str">
        <f t="shared" si="248"/>
        <v/>
      </c>
    </row>
    <row r="1577" spans="1:11" ht="17.25" x14ac:dyDescent="0.2">
      <c r="B1577" s="336"/>
      <c r="C1577" s="103"/>
      <c r="D1577" s="103"/>
      <c r="E1577" s="107"/>
      <c r="F1577" s="108"/>
      <c r="G1577" s="64"/>
      <c r="H1577" s="65"/>
      <c r="I1577" s="69"/>
      <c r="J1577" s="64" t="str">
        <f t="shared" si="247"/>
        <v/>
      </c>
      <c r="K1577" s="64" t="str">
        <f t="shared" si="248"/>
        <v/>
      </c>
    </row>
    <row r="1578" spans="1:11" ht="17.25" x14ac:dyDescent="0.2">
      <c r="B1578" s="336"/>
      <c r="C1578" s="103"/>
      <c r="D1578" s="103"/>
      <c r="E1578" s="107"/>
      <c r="F1578" s="108"/>
      <c r="G1578" s="64"/>
      <c r="H1578" s="65"/>
      <c r="I1578" s="69"/>
      <c r="J1578" s="64" t="str">
        <f t="shared" si="247"/>
        <v/>
      </c>
      <c r="K1578" s="64" t="str">
        <f t="shared" si="248"/>
        <v/>
      </c>
    </row>
    <row r="1579" spans="1:11" ht="18" customHeight="1" x14ac:dyDescent="0.2">
      <c r="B1579" s="561" t="s">
        <v>22</v>
      </c>
      <c r="C1579" s="561" t="s">
        <v>177</v>
      </c>
      <c r="D1579" s="561" t="s">
        <v>243</v>
      </c>
      <c r="E1579" s="561" t="s">
        <v>23</v>
      </c>
      <c r="F1579" s="562" t="s">
        <v>234</v>
      </c>
      <c r="G1579" s="562"/>
      <c r="H1579" s="562"/>
      <c r="I1579" s="562"/>
      <c r="J1579" s="562"/>
      <c r="K1579" s="562"/>
    </row>
    <row r="1580" spans="1:11" ht="21" x14ac:dyDescent="0.2">
      <c r="A1580" s="114" t="s">
        <v>1096</v>
      </c>
      <c r="B1580" s="434" t="s">
        <v>2658</v>
      </c>
      <c r="C1580" s="115" t="s">
        <v>498</v>
      </c>
      <c r="D1580" s="114" t="s">
        <v>639</v>
      </c>
      <c r="E1580" s="329" t="str">
        <f>IF($O$86="","",$O$86)</f>
        <v>Munic. de BDP - Área 4.1</v>
      </c>
      <c r="F1580" s="563">
        <f>IF(B1580="","",VLOOKUP(E1580,$O$2:$T$120,6,0))</f>
        <v>106953</v>
      </c>
      <c r="G1580" s="564"/>
      <c r="H1580" s="564"/>
      <c r="I1580" s="564"/>
      <c r="J1580" s="564"/>
      <c r="K1580" s="565"/>
    </row>
    <row r="1581" spans="1:11" ht="43.5" x14ac:dyDescent="0.2">
      <c r="A1581" s="166" t="s">
        <v>779</v>
      </c>
      <c r="B1581" s="116" t="s">
        <v>0</v>
      </c>
      <c r="C1581" s="116" t="s">
        <v>20</v>
      </c>
      <c r="D1581" s="116" t="s">
        <v>21</v>
      </c>
      <c r="E1581" s="116" t="s">
        <v>1</v>
      </c>
      <c r="F1581" s="117" t="s">
        <v>3</v>
      </c>
      <c r="G1581" s="116" t="s">
        <v>216</v>
      </c>
      <c r="H1581" s="180" t="s">
        <v>242</v>
      </c>
      <c r="I1581" s="116" t="s">
        <v>245</v>
      </c>
      <c r="J1581" s="116" t="s">
        <v>217</v>
      </c>
      <c r="K1581" s="116" t="s">
        <v>218</v>
      </c>
    </row>
    <row r="1582" spans="1:11" ht="17.25" x14ac:dyDescent="0.35">
      <c r="B1582" s="415" t="s">
        <v>1936</v>
      </c>
      <c r="C1582" s="152" t="s">
        <v>1937</v>
      </c>
      <c r="D1582" s="152" t="s">
        <v>1938</v>
      </c>
      <c r="E1582" s="107" t="s">
        <v>57</v>
      </c>
      <c r="F1582" s="108">
        <v>17</v>
      </c>
      <c r="G1582" s="57">
        <v>13</v>
      </c>
      <c r="H1582" s="65">
        <v>2</v>
      </c>
      <c r="I1582" s="69">
        <f>IF(G1582="","",SUM(G1582:H1582))</f>
        <v>15</v>
      </c>
      <c r="J1582" s="64">
        <f>IF(G1582="","",ROUNDUP(G1582*0.65,0))</f>
        <v>9</v>
      </c>
      <c r="K1582" s="64">
        <f>IF(G1582="","",ROUNDUP(G1582*0.55,0))</f>
        <v>8</v>
      </c>
    </row>
    <row r="1583" spans="1:11" ht="17.25" x14ac:dyDescent="0.35">
      <c r="B1583" s="415" t="s">
        <v>1939</v>
      </c>
      <c r="C1583" s="152" t="s">
        <v>1937</v>
      </c>
      <c r="D1583" s="152" t="s">
        <v>1909</v>
      </c>
      <c r="E1583" s="107" t="s">
        <v>56</v>
      </c>
      <c r="F1583" s="333">
        <v>18</v>
      </c>
      <c r="G1583" s="57">
        <v>13</v>
      </c>
      <c r="H1583" s="65">
        <v>2</v>
      </c>
      <c r="I1583" s="69">
        <f t="shared" ref="I1583:I1597" si="249">IF(G1583="","",SUM(G1583:H1583))</f>
        <v>15</v>
      </c>
      <c r="J1583" s="64">
        <f t="shared" ref="J1583:J1597" si="250">IF(G1583="","",ROUNDUP(G1583*0.65,0))</f>
        <v>9</v>
      </c>
      <c r="K1583" s="64">
        <f t="shared" ref="K1583:K1597" si="251">IF(G1583="","",ROUNDUP(G1583*0.55,0))</f>
        <v>8</v>
      </c>
    </row>
    <row r="1584" spans="1:11" ht="17.25" x14ac:dyDescent="0.35">
      <c r="B1584" s="415" t="s">
        <v>1940</v>
      </c>
      <c r="C1584" s="152" t="s">
        <v>1937</v>
      </c>
      <c r="D1584" s="152" t="s">
        <v>1934</v>
      </c>
      <c r="E1584" s="107" t="s">
        <v>55</v>
      </c>
      <c r="F1584" s="333">
        <v>11</v>
      </c>
      <c r="G1584" s="57">
        <v>11</v>
      </c>
      <c r="H1584" s="65">
        <v>3</v>
      </c>
      <c r="I1584" s="69">
        <f t="shared" si="249"/>
        <v>14</v>
      </c>
      <c r="J1584" s="64">
        <f t="shared" si="250"/>
        <v>8</v>
      </c>
      <c r="K1584" s="64">
        <f t="shared" si="251"/>
        <v>7</v>
      </c>
    </row>
    <row r="1585" spans="1:11" ht="17.25" x14ac:dyDescent="0.35">
      <c r="B1585" s="415" t="s">
        <v>1941</v>
      </c>
      <c r="C1585" s="152" t="s">
        <v>1942</v>
      </c>
      <c r="D1585" s="152" t="s">
        <v>1943</v>
      </c>
      <c r="E1585" s="107" t="s">
        <v>55</v>
      </c>
      <c r="F1585" s="333">
        <v>14</v>
      </c>
      <c r="G1585" s="57">
        <v>13</v>
      </c>
      <c r="H1585" s="65">
        <v>3</v>
      </c>
      <c r="I1585" s="69">
        <f t="shared" si="249"/>
        <v>16</v>
      </c>
      <c r="J1585" s="64">
        <f t="shared" si="250"/>
        <v>9</v>
      </c>
      <c r="K1585" s="64">
        <f t="shared" si="251"/>
        <v>8</v>
      </c>
    </row>
    <row r="1586" spans="1:11" ht="17.25" x14ac:dyDescent="0.35">
      <c r="B1586" s="415" t="s">
        <v>1944</v>
      </c>
      <c r="C1586" s="152" t="s">
        <v>1937</v>
      </c>
      <c r="D1586" s="152" t="s">
        <v>1945</v>
      </c>
      <c r="E1586" s="107" t="s">
        <v>265</v>
      </c>
      <c r="F1586" s="108">
        <v>15</v>
      </c>
      <c r="G1586" s="57">
        <v>11</v>
      </c>
      <c r="H1586" s="65">
        <v>2</v>
      </c>
      <c r="I1586" s="69">
        <f t="shared" si="249"/>
        <v>13</v>
      </c>
      <c r="J1586" s="64">
        <f t="shared" si="250"/>
        <v>8</v>
      </c>
      <c r="K1586" s="64">
        <f t="shared" si="251"/>
        <v>7</v>
      </c>
    </row>
    <row r="1587" spans="1:11" ht="17.25" x14ac:dyDescent="0.35">
      <c r="B1587" s="415" t="s">
        <v>1946</v>
      </c>
      <c r="C1587" s="152" t="s">
        <v>1937</v>
      </c>
      <c r="D1587" s="152" t="s">
        <v>1947</v>
      </c>
      <c r="E1587" s="107" t="s">
        <v>265</v>
      </c>
      <c r="F1587" s="108">
        <v>16</v>
      </c>
      <c r="G1587" s="57">
        <v>11</v>
      </c>
      <c r="H1587" s="65">
        <v>2</v>
      </c>
      <c r="I1587" s="69">
        <f t="shared" si="249"/>
        <v>13</v>
      </c>
      <c r="J1587" s="64">
        <f t="shared" si="250"/>
        <v>8</v>
      </c>
      <c r="K1587" s="64">
        <f t="shared" si="251"/>
        <v>7</v>
      </c>
    </row>
    <row r="1588" spans="1:11" ht="17.25" x14ac:dyDescent="0.35">
      <c r="B1588" s="415" t="s">
        <v>1948</v>
      </c>
      <c r="C1588" s="152" t="s">
        <v>1942</v>
      </c>
      <c r="D1588" s="152" t="s">
        <v>1945</v>
      </c>
      <c r="E1588" s="107" t="s">
        <v>265</v>
      </c>
      <c r="F1588" s="108">
        <v>15</v>
      </c>
      <c r="G1588" s="57">
        <v>17</v>
      </c>
      <c r="H1588" s="65">
        <v>3</v>
      </c>
      <c r="I1588" s="69">
        <f t="shared" si="249"/>
        <v>20</v>
      </c>
      <c r="J1588" s="64">
        <f t="shared" si="250"/>
        <v>12</v>
      </c>
      <c r="K1588" s="64">
        <f t="shared" si="251"/>
        <v>10</v>
      </c>
    </row>
    <row r="1589" spans="1:11" ht="17.25" x14ac:dyDescent="0.35">
      <c r="B1589" s="415" t="s">
        <v>1949</v>
      </c>
      <c r="C1589" s="152" t="s">
        <v>1942</v>
      </c>
      <c r="D1589" s="152" t="s">
        <v>1938</v>
      </c>
      <c r="E1589" s="107" t="s">
        <v>265</v>
      </c>
      <c r="F1589" s="108">
        <v>17</v>
      </c>
      <c r="G1589" s="57">
        <v>17</v>
      </c>
      <c r="H1589" s="65">
        <v>2</v>
      </c>
      <c r="I1589" s="69">
        <f t="shared" si="249"/>
        <v>19</v>
      </c>
      <c r="J1589" s="64">
        <f t="shared" si="250"/>
        <v>12</v>
      </c>
      <c r="K1589" s="64">
        <f t="shared" si="251"/>
        <v>10</v>
      </c>
    </row>
    <row r="1590" spans="1:11" ht="17.25" x14ac:dyDescent="0.35">
      <c r="B1590" s="415" t="s">
        <v>1950</v>
      </c>
      <c r="C1590" s="152" t="s">
        <v>1942</v>
      </c>
      <c r="D1590" s="152" t="s">
        <v>1951</v>
      </c>
      <c r="E1590" s="107" t="s">
        <v>265</v>
      </c>
      <c r="F1590" s="108">
        <v>18</v>
      </c>
      <c r="G1590" s="57">
        <v>13</v>
      </c>
      <c r="H1590" s="65">
        <v>2</v>
      </c>
      <c r="I1590" s="69">
        <f t="shared" si="249"/>
        <v>15</v>
      </c>
      <c r="J1590" s="64">
        <f t="shared" si="250"/>
        <v>9</v>
      </c>
      <c r="K1590" s="64">
        <f t="shared" si="251"/>
        <v>8</v>
      </c>
    </row>
    <row r="1591" spans="1:11" ht="17.25" x14ac:dyDescent="0.35">
      <c r="B1591" s="344"/>
      <c r="C1591" s="152"/>
      <c r="D1591" s="152"/>
      <c r="E1591" s="107"/>
      <c r="F1591" s="108"/>
      <c r="G1591" s="57"/>
      <c r="H1591" s="65"/>
      <c r="I1591" s="69" t="str">
        <f t="shared" si="249"/>
        <v/>
      </c>
      <c r="J1591" s="64" t="str">
        <f t="shared" si="250"/>
        <v/>
      </c>
      <c r="K1591" s="64" t="str">
        <f t="shared" si="251"/>
        <v/>
      </c>
    </row>
    <row r="1592" spans="1:11" ht="17.25" x14ac:dyDescent="0.35">
      <c r="B1592" s="344"/>
      <c r="C1592" s="152"/>
      <c r="D1592" s="152"/>
      <c r="E1592" s="107"/>
      <c r="F1592" s="108"/>
      <c r="G1592" s="57"/>
      <c r="H1592" s="65"/>
      <c r="I1592" s="69" t="str">
        <f t="shared" si="249"/>
        <v/>
      </c>
      <c r="J1592" s="64" t="str">
        <f t="shared" si="250"/>
        <v/>
      </c>
      <c r="K1592" s="64" t="str">
        <f t="shared" si="251"/>
        <v/>
      </c>
    </row>
    <row r="1593" spans="1:11" ht="17.25" x14ac:dyDescent="0.2">
      <c r="B1593" s="344"/>
      <c r="C1593" s="97"/>
      <c r="D1593" s="97"/>
      <c r="E1593" s="107"/>
      <c r="F1593" s="108"/>
      <c r="G1593" s="57"/>
      <c r="H1593" s="65"/>
      <c r="I1593" s="69" t="str">
        <f t="shared" si="249"/>
        <v/>
      </c>
      <c r="J1593" s="64" t="str">
        <f t="shared" si="250"/>
        <v/>
      </c>
      <c r="K1593" s="64" t="str">
        <f t="shared" si="251"/>
        <v/>
      </c>
    </row>
    <row r="1594" spans="1:11" ht="17.25" x14ac:dyDescent="0.2">
      <c r="B1594" s="344"/>
      <c r="C1594" s="97"/>
      <c r="D1594" s="97"/>
      <c r="E1594" s="107"/>
      <c r="F1594" s="108"/>
      <c r="G1594" s="57"/>
      <c r="H1594" s="65"/>
      <c r="I1594" s="69" t="str">
        <f t="shared" si="249"/>
        <v/>
      </c>
      <c r="J1594" s="64" t="str">
        <f t="shared" si="250"/>
        <v/>
      </c>
      <c r="K1594" s="64" t="str">
        <f t="shared" si="251"/>
        <v/>
      </c>
    </row>
    <row r="1595" spans="1:11" ht="17.25" x14ac:dyDescent="0.2">
      <c r="B1595" s="344"/>
      <c r="C1595" s="97"/>
      <c r="D1595" s="97"/>
      <c r="E1595" s="107"/>
      <c r="F1595" s="108"/>
      <c r="G1595" s="57"/>
      <c r="H1595" s="65"/>
      <c r="I1595" s="69" t="str">
        <f t="shared" si="249"/>
        <v/>
      </c>
      <c r="J1595" s="64" t="str">
        <f t="shared" si="250"/>
        <v/>
      </c>
      <c r="K1595" s="64" t="str">
        <f t="shared" si="251"/>
        <v/>
      </c>
    </row>
    <row r="1596" spans="1:11" ht="17.25" x14ac:dyDescent="0.2">
      <c r="B1596" s="344"/>
      <c r="C1596" s="97"/>
      <c r="D1596" s="97"/>
      <c r="E1596" s="107"/>
      <c r="F1596" s="108"/>
      <c r="G1596" s="57"/>
      <c r="H1596" s="65"/>
      <c r="I1596" s="69" t="str">
        <f t="shared" si="249"/>
        <v/>
      </c>
      <c r="J1596" s="64" t="str">
        <f t="shared" si="250"/>
        <v/>
      </c>
      <c r="K1596" s="64" t="str">
        <f t="shared" si="251"/>
        <v/>
      </c>
    </row>
    <row r="1597" spans="1:11" ht="17.25" x14ac:dyDescent="0.2">
      <c r="B1597" s="344"/>
      <c r="C1597" s="97"/>
      <c r="D1597" s="97"/>
      <c r="E1597" s="107"/>
      <c r="F1597" s="108"/>
      <c r="G1597" s="57"/>
      <c r="H1597" s="65"/>
      <c r="I1597" s="69" t="str">
        <f t="shared" si="249"/>
        <v/>
      </c>
      <c r="J1597" s="64" t="str">
        <f t="shared" si="250"/>
        <v/>
      </c>
      <c r="K1597" s="64" t="str">
        <f t="shared" si="251"/>
        <v/>
      </c>
    </row>
    <row r="1598" spans="1:11" ht="18" customHeight="1" x14ac:dyDescent="0.2">
      <c r="B1598" s="561" t="s">
        <v>22</v>
      </c>
      <c r="C1598" s="561" t="s">
        <v>177</v>
      </c>
      <c r="D1598" s="561" t="s">
        <v>243</v>
      </c>
      <c r="E1598" s="561" t="s">
        <v>23</v>
      </c>
      <c r="F1598" s="562" t="s">
        <v>234</v>
      </c>
      <c r="G1598" s="562"/>
      <c r="H1598" s="562"/>
      <c r="I1598" s="562"/>
      <c r="J1598" s="562"/>
      <c r="K1598" s="562"/>
    </row>
    <row r="1599" spans="1:11" ht="21" x14ac:dyDescent="0.2">
      <c r="A1599" s="114" t="s">
        <v>1097</v>
      </c>
      <c r="B1599" s="434" t="s">
        <v>2627</v>
      </c>
      <c r="C1599" s="115" t="s">
        <v>498</v>
      </c>
      <c r="D1599" s="114" t="s">
        <v>639</v>
      </c>
      <c r="E1599" s="329" t="str">
        <f>IF($O$87="","",$O$87)</f>
        <v>Munic. de BDP - Área 4.2</v>
      </c>
      <c r="F1599" s="563">
        <f>IF(B1599="","",VLOOKUP(E1599,$O$2:$T$120,6,0))</f>
        <v>90705</v>
      </c>
      <c r="G1599" s="564"/>
      <c r="H1599" s="564"/>
      <c r="I1599" s="564"/>
      <c r="J1599" s="564"/>
      <c r="K1599" s="565"/>
    </row>
    <row r="1600" spans="1:11" ht="43.5" x14ac:dyDescent="0.2">
      <c r="A1600" s="166" t="s">
        <v>779</v>
      </c>
      <c r="B1600" s="116" t="s">
        <v>0</v>
      </c>
      <c r="C1600" s="116" t="s">
        <v>20</v>
      </c>
      <c r="D1600" s="116" t="s">
        <v>21</v>
      </c>
      <c r="E1600" s="116" t="s">
        <v>1</v>
      </c>
      <c r="F1600" s="117" t="s">
        <v>3</v>
      </c>
      <c r="G1600" s="116" t="s">
        <v>216</v>
      </c>
      <c r="H1600" s="180" t="s">
        <v>242</v>
      </c>
      <c r="I1600" s="116" t="s">
        <v>245</v>
      </c>
      <c r="J1600" s="116" t="s">
        <v>217</v>
      </c>
      <c r="K1600" s="116" t="s">
        <v>218</v>
      </c>
    </row>
    <row r="1601" spans="2:11" ht="17.25" x14ac:dyDescent="0.35">
      <c r="B1601" s="415" t="s">
        <v>1952</v>
      </c>
      <c r="C1601" s="152" t="s">
        <v>1937</v>
      </c>
      <c r="D1601" s="152" t="s">
        <v>1882</v>
      </c>
      <c r="E1601" s="107" t="s">
        <v>56</v>
      </c>
      <c r="F1601" s="333">
        <v>17.5</v>
      </c>
      <c r="G1601" s="57">
        <v>13</v>
      </c>
      <c r="H1601" s="65">
        <v>3</v>
      </c>
      <c r="I1601" s="69">
        <f t="shared" ref="I1601:I1609" si="252">IF(G1601="","",SUM(G1601:H1601))</f>
        <v>16</v>
      </c>
      <c r="J1601" s="64">
        <f t="shared" ref="J1601:J1609" si="253">IF(G1601="","",ROUNDUP(G1601*0.65,0))</f>
        <v>9</v>
      </c>
      <c r="K1601" s="64">
        <f t="shared" ref="K1601:K1609" si="254">IF(G1601="","",ROUNDUP(G1601*0.55,0))</f>
        <v>8</v>
      </c>
    </row>
    <row r="1602" spans="2:11" ht="17.25" x14ac:dyDescent="0.35">
      <c r="B1602" s="415" t="s">
        <v>1955</v>
      </c>
      <c r="C1602" s="152" t="s">
        <v>1937</v>
      </c>
      <c r="D1602" s="152" t="s">
        <v>1957</v>
      </c>
      <c r="E1602" s="107" t="s">
        <v>56</v>
      </c>
      <c r="F1602" s="333">
        <v>17.5</v>
      </c>
      <c r="G1602" s="57">
        <v>15</v>
      </c>
      <c r="H1602" s="65">
        <v>4</v>
      </c>
      <c r="I1602" s="69">
        <f t="shared" si="252"/>
        <v>19</v>
      </c>
      <c r="J1602" s="64">
        <f t="shared" si="253"/>
        <v>10</v>
      </c>
      <c r="K1602" s="64">
        <f t="shared" si="254"/>
        <v>9</v>
      </c>
    </row>
    <row r="1603" spans="2:11" ht="17.25" x14ac:dyDescent="0.35">
      <c r="B1603" s="415" t="s">
        <v>1956</v>
      </c>
      <c r="C1603" s="152" t="s">
        <v>1937</v>
      </c>
      <c r="D1603" s="152" t="s">
        <v>1281</v>
      </c>
      <c r="E1603" s="107" t="s">
        <v>55</v>
      </c>
      <c r="F1603" s="333">
        <v>14</v>
      </c>
      <c r="G1603" s="57">
        <v>13</v>
      </c>
      <c r="H1603" s="65">
        <v>2</v>
      </c>
      <c r="I1603" s="69">
        <f t="shared" si="252"/>
        <v>15</v>
      </c>
      <c r="J1603" s="64">
        <f t="shared" si="253"/>
        <v>9</v>
      </c>
      <c r="K1603" s="64">
        <f t="shared" si="254"/>
        <v>8</v>
      </c>
    </row>
    <row r="1604" spans="2:11" ht="17.25" x14ac:dyDescent="0.35">
      <c r="B1604" s="415" t="s">
        <v>1958</v>
      </c>
      <c r="C1604" s="152" t="s">
        <v>1942</v>
      </c>
      <c r="D1604" s="152" t="s">
        <v>1961</v>
      </c>
      <c r="E1604" s="107" t="s">
        <v>55</v>
      </c>
      <c r="F1604" s="333">
        <v>14</v>
      </c>
      <c r="G1604" s="57">
        <v>11</v>
      </c>
      <c r="H1604" s="65">
        <v>3</v>
      </c>
      <c r="I1604" s="69">
        <f t="shared" si="252"/>
        <v>14</v>
      </c>
      <c r="J1604" s="64">
        <f t="shared" si="253"/>
        <v>8</v>
      </c>
      <c r="K1604" s="64">
        <f t="shared" si="254"/>
        <v>7</v>
      </c>
    </row>
    <row r="1605" spans="2:11" ht="17.25" x14ac:dyDescent="0.35">
      <c r="B1605" s="415" t="s">
        <v>1959</v>
      </c>
      <c r="C1605" s="152" t="s">
        <v>1942</v>
      </c>
      <c r="D1605" s="152" t="s">
        <v>1963</v>
      </c>
      <c r="E1605" s="107" t="s">
        <v>55</v>
      </c>
      <c r="F1605" s="333">
        <v>14</v>
      </c>
      <c r="G1605" s="57">
        <v>13</v>
      </c>
      <c r="H1605" s="65">
        <v>3</v>
      </c>
      <c r="I1605" s="69">
        <f t="shared" si="252"/>
        <v>16</v>
      </c>
      <c r="J1605" s="64">
        <f t="shared" si="253"/>
        <v>9</v>
      </c>
      <c r="K1605" s="64">
        <f t="shared" si="254"/>
        <v>8</v>
      </c>
    </row>
    <row r="1606" spans="2:11" ht="17.25" x14ac:dyDescent="0.35">
      <c r="B1606" s="415" t="s">
        <v>1960</v>
      </c>
      <c r="C1606" s="152" t="s">
        <v>1953</v>
      </c>
      <c r="D1606" s="152" t="s">
        <v>1954</v>
      </c>
      <c r="E1606" s="107" t="s">
        <v>265</v>
      </c>
      <c r="F1606" s="108">
        <v>12.5</v>
      </c>
      <c r="G1606" s="57">
        <v>13</v>
      </c>
      <c r="H1606" s="65">
        <v>2</v>
      </c>
      <c r="I1606" s="69">
        <f t="shared" si="252"/>
        <v>15</v>
      </c>
      <c r="J1606" s="64">
        <f t="shared" si="253"/>
        <v>9</v>
      </c>
      <c r="K1606" s="64">
        <f t="shared" si="254"/>
        <v>8</v>
      </c>
    </row>
    <row r="1607" spans="2:11" ht="17.25" x14ac:dyDescent="0.35">
      <c r="B1607" s="415" t="s">
        <v>1962</v>
      </c>
      <c r="C1607" s="152" t="s">
        <v>1937</v>
      </c>
      <c r="D1607" s="152" t="s">
        <v>1926</v>
      </c>
      <c r="E1607" s="107" t="s">
        <v>265</v>
      </c>
      <c r="F1607" s="108">
        <v>12.5</v>
      </c>
      <c r="G1607" s="57">
        <v>13</v>
      </c>
      <c r="H1607" s="65">
        <v>2</v>
      </c>
      <c r="I1607" s="69">
        <f t="shared" si="252"/>
        <v>15</v>
      </c>
      <c r="J1607" s="64">
        <f t="shared" si="253"/>
        <v>9</v>
      </c>
      <c r="K1607" s="64">
        <f t="shared" si="254"/>
        <v>8</v>
      </c>
    </row>
    <row r="1608" spans="2:11" ht="17.25" x14ac:dyDescent="0.35">
      <c r="B1608" s="415" t="s">
        <v>1964</v>
      </c>
      <c r="C1608" s="152" t="s">
        <v>1942</v>
      </c>
      <c r="D1608" s="152" t="s">
        <v>1965</v>
      </c>
      <c r="E1608" s="107" t="s">
        <v>265</v>
      </c>
      <c r="F1608" s="108">
        <v>12.5</v>
      </c>
      <c r="G1608" s="57">
        <v>13</v>
      </c>
      <c r="H1608" s="65">
        <v>2</v>
      </c>
      <c r="I1608" s="69">
        <f t="shared" si="252"/>
        <v>15</v>
      </c>
      <c r="J1608" s="64">
        <f t="shared" si="253"/>
        <v>9</v>
      </c>
      <c r="K1608" s="64">
        <f t="shared" si="254"/>
        <v>8</v>
      </c>
    </row>
    <row r="1609" spans="2:11" ht="17.25" x14ac:dyDescent="0.35">
      <c r="B1609" s="415" t="s">
        <v>1966</v>
      </c>
      <c r="C1609" s="152" t="s">
        <v>1967</v>
      </c>
      <c r="D1609" s="152" t="s">
        <v>1968</v>
      </c>
      <c r="E1609" s="107" t="s">
        <v>265</v>
      </c>
      <c r="F1609" s="108">
        <v>12.5</v>
      </c>
      <c r="G1609" s="57">
        <v>13</v>
      </c>
      <c r="H1609" s="65">
        <v>2</v>
      </c>
      <c r="I1609" s="69">
        <f t="shared" si="252"/>
        <v>15</v>
      </c>
      <c r="J1609" s="64">
        <f t="shared" si="253"/>
        <v>9</v>
      </c>
      <c r="K1609" s="64">
        <f t="shared" si="254"/>
        <v>8</v>
      </c>
    </row>
    <row r="1610" spans="2:11" ht="17.25" x14ac:dyDescent="0.35">
      <c r="B1610" s="345"/>
      <c r="C1610" s="152"/>
      <c r="D1610" s="152"/>
      <c r="E1610" s="107"/>
      <c r="F1610" s="108"/>
      <c r="G1610" s="57"/>
      <c r="H1610" s="65"/>
      <c r="I1610" s="69" t="str">
        <f t="shared" ref="I1610:I1616" si="255">IF(G1610="","",SUM(G1610:H1610))</f>
        <v/>
      </c>
      <c r="J1610" s="64" t="str">
        <f t="shared" ref="J1610:J1616" si="256">IF(G1610="","",ROUNDUP(G1610*0.65,0))</f>
        <v/>
      </c>
      <c r="K1610" s="64" t="str">
        <f t="shared" ref="K1610:K1616" si="257">IF(G1610="","",ROUNDUP(G1610*0.55,0))</f>
        <v/>
      </c>
    </row>
    <row r="1611" spans="2:11" ht="17.25" x14ac:dyDescent="0.35">
      <c r="B1611" s="345"/>
      <c r="C1611" s="152"/>
      <c r="D1611" s="152"/>
      <c r="E1611" s="107"/>
      <c r="F1611" s="108"/>
      <c r="G1611" s="57"/>
      <c r="H1611" s="65"/>
      <c r="I1611" s="69" t="str">
        <f t="shared" si="255"/>
        <v/>
      </c>
      <c r="J1611" s="64" t="str">
        <f t="shared" si="256"/>
        <v/>
      </c>
      <c r="K1611" s="64" t="str">
        <f t="shared" si="257"/>
        <v/>
      </c>
    </row>
    <row r="1612" spans="2:11" ht="17.25" x14ac:dyDescent="0.2">
      <c r="B1612" s="345"/>
      <c r="C1612" s="97"/>
      <c r="D1612" s="181"/>
      <c r="E1612" s="182"/>
      <c r="F1612" s="108"/>
      <c r="G1612" s="57"/>
      <c r="H1612" s="65"/>
      <c r="I1612" s="69" t="str">
        <f t="shared" si="255"/>
        <v/>
      </c>
      <c r="J1612" s="64" t="str">
        <f t="shared" si="256"/>
        <v/>
      </c>
      <c r="K1612" s="64" t="str">
        <f t="shared" si="257"/>
        <v/>
      </c>
    </row>
    <row r="1613" spans="2:11" ht="17.25" x14ac:dyDescent="0.2">
      <c r="B1613" s="345"/>
      <c r="C1613" s="97"/>
      <c r="D1613" s="181"/>
      <c r="E1613" s="182"/>
      <c r="F1613" s="108"/>
      <c r="G1613" s="57"/>
      <c r="H1613" s="65"/>
      <c r="I1613" s="69" t="str">
        <f t="shared" si="255"/>
        <v/>
      </c>
      <c r="J1613" s="64" t="str">
        <f t="shared" si="256"/>
        <v/>
      </c>
      <c r="K1613" s="64" t="str">
        <f t="shared" si="257"/>
        <v/>
      </c>
    </row>
    <row r="1614" spans="2:11" ht="17.25" x14ac:dyDescent="0.2">
      <c r="B1614" s="345"/>
      <c r="C1614" s="97"/>
      <c r="D1614" s="181"/>
      <c r="E1614" s="182"/>
      <c r="F1614" s="108"/>
      <c r="G1614" s="57"/>
      <c r="H1614" s="65"/>
      <c r="I1614" s="69" t="str">
        <f t="shared" si="255"/>
        <v/>
      </c>
      <c r="J1614" s="64" t="str">
        <f t="shared" si="256"/>
        <v/>
      </c>
      <c r="K1614" s="64" t="str">
        <f t="shared" si="257"/>
        <v/>
      </c>
    </row>
    <row r="1615" spans="2:11" ht="17.25" x14ac:dyDescent="0.2">
      <c r="B1615" s="345"/>
      <c r="C1615" s="97"/>
      <c r="D1615" s="181"/>
      <c r="E1615" s="182"/>
      <c r="F1615" s="108"/>
      <c r="G1615" s="57"/>
      <c r="H1615" s="65"/>
      <c r="I1615" s="69" t="str">
        <f t="shared" si="255"/>
        <v/>
      </c>
      <c r="J1615" s="64" t="str">
        <f t="shared" si="256"/>
        <v/>
      </c>
      <c r="K1615" s="64" t="str">
        <f t="shared" si="257"/>
        <v/>
      </c>
    </row>
    <row r="1616" spans="2:11" ht="17.25" x14ac:dyDescent="0.2">
      <c r="B1616" s="345"/>
      <c r="C1616" s="112"/>
      <c r="D1616" s="112"/>
      <c r="E1616" s="107"/>
      <c r="F1616" s="108"/>
      <c r="G1616" s="57"/>
      <c r="H1616" s="65"/>
      <c r="I1616" s="69" t="str">
        <f t="shared" si="255"/>
        <v/>
      </c>
      <c r="J1616" s="64" t="str">
        <f t="shared" si="256"/>
        <v/>
      </c>
      <c r="K1616" s="64" t="str">
        <f t="shared" si="257"/>
        <v/>
      </c>
    </row>
    <row r="1617" spans="1:11" ht="18" customHeight="1" x14ac:dyDescent="0.2">
      <c r="B1617" s="561" t="s">
        <v>22</v>
      </c>
      <c r="C1617" s="561" t="s">
        <v>177</v>
      </c>
      <c r="D1617" s="561" t="s">
        <v>243</v>
      </c>
      <c r="E1617" s="561" t="s">
        <v>23</v>
      </c>
      <c r="F1617" s="562" t="s">
        <v>234</v>
      </c>
      <c r="G1617" s="562"/>
      <c r="H1617" s="562"/>
      <c r="I1617" s="562"/>
      <c r="J1617" s="562"/>
      <c r="K1617" s="562"/>
    </row>
    <row r="1618" spans="1:11" ht="21" x14ac:dyDescent="0.2">
      <c r="A1618" s="114" t="s">
        <v>1098</v>
      </c>
      <c r="B1618" s="436" t="s">
        <v>2689</v>
      </c>
      <c r="C1618" s="115" t="s">
        <v>2699</v>
      </c>
      <c r="D1618" s="114" t="s">
        <v>1209</v>
      </c>
      <c r="E1618" s="329" t="str">
        <f>IF($O$88="","",$O$88)</f>
        <v>Munic. de BDP - Área 4.3</v>
      </c>
      <c r="F1618" s="563">
        <f>IF(B1618="","",VLOOKUP(E1618,$O$2:$T$120,6,0))</f>
        <v>64346</v>
      </c>
      <c r="G1618" s="564"/>
      <c r="H1618" s="564"/>
      <c r="I1618" s="564"/>
      <c r="J1618" s="564"/>
      <c r="K1618" s="565"/>
    </row>
    <row r="1619" spans="1:11" ht="43.5" x14ac:dyDescent="0.2">
      <c r="A1619" s="166" t="s">
        <v>779</v>
      </c>
      <c r="B1619" s="116" t="s">
        <v>0</v>
      </c>
      <c r="C1619" s="116" t="s">
        <v>20</v>
      </c>
      <c r="D1619" s="116" t="s">
        <v>21</v>
      </c>
      <c r="E1619" s="116" t="s">
        <v>1</v>
      </c>
      <c r="F1619" s="117" t="s">
        <v>3</v>
      </c>
      <c r="G1619" s="116" t="s">
        <v>216</v>
      </c>
      <c r="H1619" s="180" t="s">
        <v>242</v>
      </c>
      <c r="I1619" s="116" t="s">
        <v>245</v>
      </c>
      <c r="J1619" s="116" t="s">
        <v>217</v>
      </c>
      <c r="K1619" s="116" t="s">
        <v>218</v>
      </c>
    </row>
    <row r="1620" spans="1:11" ht="17.25" x14ac:dyDescent="0.35">
      <c r="B1620" s="415" t="s">
        <v>1969</v>
      </c>
      <c r="C1620" s="152" t="s">
        <v>1937</v>
      </c>
      <c r="D1620" s="152" t="s">
        <v>1970</v>
      </c>
      <c r="E1620" s="107" t="s">
        <v>56</v>
      </c>
      <c r="F1620" s="333">
        <v>17.5</v>
      </c>
      <c r="G1620" s="57">
        <v>16</v>
      </c>
      <c r="H1620" s="65">
        <v>4</v>
      </c>
      <c r="I1620" s="69">
        <f t="shared" ref="I1620:I1627" si="258">IF(G1620="","",SUM(G1620:H1620))</f>
        <v>20</v>
      </c>
      <c r="J1620" s="64">
        <f>IF(G1620="","",ROUNDUP(G1620*0.65,0))</f>
        <v>11</v>
      </c>
      <c r="K1620" s="64">
        <f>IF(G1620="","",ROUNDUP(G1620*0.55,0))</f>
        <v>9</v>
      </c>
    </row>
    <row r="1621" spans="1:11" ht="17.25" x14ac:dyDescent="0.35">
      <c r="B1621" s="415" t="s">
        <v>1971</v>
      </c>
      <c r="C1621" s="152" t="s">
        <v>1942</v>
      </c>
      <c r="D1621" s="152" t="s">
        <v>1972</v>
      </c>
      <c r="E1621" s="107" t="s">
        <v>55</v>
      </c>
      <c r="F1621" s="333">
        <v>14</v>
      </c>
      <c r="G1621" s="57">
        <v>11</v>
      </c>
      <c r="H1621" s="65">
        <v>4</v>
      </c>
      <c r="I1621" s="69">
        <f t="shared" ref="I1621:I1623" si="259">IF(G1621="","",SUM(G1621:H1621))</f>
        <v>15</v>
      </c>
      <c r="J1621" s="64">
        <f t="shared" ref="J1621:J1635" si="260">IF(G1621="","",ROUNDUP(G1621*0.65,0))</f>
        <v>8</v>
      </c>
      <c r="K1621" s="64">
        <f t="shared" ref="K1621:K1635" si="261">IF(G1621="","",ROUNDUP(G1621*0.55,0))</f>
        <v>7</v>
      </c>
    </row>
    <row r="1622" spans="1:11" ht="17.25" x14ac:dyDescent="0.35">
      <c r="B1622" s="415" t="s">
        <v>1973</v>
      </c>
      <c r="C1622" s="152" t="s">
        <v>1937</v>
      </c>
      <c r="D1622" s="152" t="s">
        <v>1974</v>
      </c>
      <c r="E1622" s="107" t="s">
        <v>265</v>
      </c>
      <c r="F1622" s="108">
        <v>12.5</v>
      </c>
      <c r="G1622" s="57">
        <v>13</v>
      </c>
      <c r="H1622" s="65">
        <v>2</v>
      </c>
      <c r="I1622" s="69">
        <f t="shared" si="259"/>
        <v>15</v>
      </c>
      <c r="J1622" s="64">
        <f t="shared" si="260"/>
        <v>9</v>
      </c>
      <c r="K1622" s="64">
        <f t="shared" si="261"/>
        <v>8</v>
      </c>
    </row>
    <row r="1623" spans="1:11" ht="17.25" x14ac:dyDescent="0.35">
      <c r="B1623" s="415" t="s">
        <v>1975</v>
      </c>
      <c r="C1623" s="152" t="s">
        <v>1937</v>
      </c>
      <c r="D1623" s="152" t="s">
        <v>1931</v>
      </c>
      <c r="E1623" s="107" t="s">
        <v>265</v>
      </c>
      <c r="F1623" s="108">
        <v>12.5</v>
      </c>
      <c r="G1623" s="57">
        <v>13</v>
      </c>
      <c r="H1623" s="65">
        <v>2</v>
      </c>
      <c r="I1623" s="69">
        <f t="shared" si="259"/>
        <v>15</v>
      </c>
      <c r="J1623" s="64">
        <f t="shared" si="260"/>
        <v>9</v>
      </c>
      <c r="K1623" s="64">
        <f t="shared" si="261"/>
        <v>8</v>
      </c>
    </row>
    <row r="1624" spans="1:11" ht="17.25" x14ac:dyDescent="0.35">
      <c r="B1624" s="415" t="s">
        <v>1976</v>
      </c>
      <c r="C1624" s="152" t="s">
        <v>1977</v>
      </c>
      <c r="D1624" s="152" t="s">
        <v>1978</v>
      </c>
      <c r="E1624" s="107" t="s">
        <v>265</v>
      </c>
      <c r="F1624" s="108">
        <v>12.5</v>
      </c>
      <c r="G1624" s="57">
        <v>13</v>
      </c>
      <c r="H1624" s="65">
        <v>2</v>
      </c>
      <c r="I1624" s="69">
        <f t="shared" si="258"/>
        <v>15</v>
      </c>
      <c r="J1624" s="64">
        <f t="shared" si="260"/>
        <v>9</v>
      </c>
      <c r="K1624" s="64">
        <f t="shared" si="261"/>
        <v>8</v>
      </c>
    </row>
    <row r="1625" spans="1:11" ht="17.25" x14ac:dyDescent="0.35">
      <c r="B1625" s="415" t="s">
        <v>1979</v>
      </c>
      <c r="C1625" s="152" t="s">
        <v>1980</v>
      </c>
      <c r="D1625" s="152" t="s">
        <v>1981</v>
      </c>
      <c r="E1625" s="107" t="s">
        <v>265</v>
      </c>
      <c r="F1625" s="108">
        <v>12.5</v>
      </c>
      <c r="G1625" s="57">
        <v>17</v>
      </c>
      <c r="H1625" s="65">
        <v>3</v>
      </c>
      <c r="I1625" s="69">
        <f t="shared" si="258"/>
        <v>20</v>
      </c>
      <c r="J1625" s="64">
        <f t="shared" si="260"/>
        <v>12</v>
      </c>
      <c r="K1625" s="64">
        <f t="shared" si="261"/>
        <v>10</v>
      </c>
    </row>
    <row r="1626" spans="1:11" ht="17.25" x14ac:dyDescent="0.35">
      <c r="B1626" s="325"/>
      <c r="C1626" s="152"/>
      <c r="D1626" s="152"/>
      <c r="E1626" s="107"/>
      <c r="F1626" s="108"/>
      <c r="G1626" s="57"/>
      <c r="H1626" s="65"/>
      <c r="I1626" s="69" t="str">
        <f t="shared" si="258"/>
        <v/>
      </c>
      <c r="J1626" s="64" t="str">
        <f t="shared" si="260"/>
        <v/>
      </c>
      <c r="K1626" s="64" t="str">
        <f t="shared" si="261"/>
        <v/>
      </c>
    </row>
    <row r="1627" spans="1:11" ht="17.25" x14ac:dyDescent="0.35">
      <c r="B1627" s="325"/>
      <c r="C1627" s="152"/>
      <c r="D1627" s="152"/>
      <c r="E1627" s="107"/>
      <c r="F1627" s="108"/>
      <c r="G1627" s="57"/>
      <c r="H1627" s="65"/>
      <c r="I1627" s="69" t="str">
        <f t="shared" si="258"/>
        <v/>
      </c>
      <c r="J1627" s="64" t="str">
        <f t="shared" si="260"/>
        <v/>
      </c>
      <c r="K1627" s="64" t="str">
        <f t="shared" si="261"/>
        <v/>
      </c>
    </row>
    <row r="1628" spans="1:11" ht="17.25" x14ac:dyDescent="0.35">
      <c r="B1628" s="325"/>
      <c r="C1628" s="152"/>
      <c r="D1628" s="152"/>
      <c r="E1628" s="107"/>
      <c r="F1628" s="108"/>
      <c r="G1628" s="57"/>
      <c r="H1628" s="65"/>
      <c r="I1628" s="69" t="str">
        <f t="shared" ref="I1628:I1632" si="262">IF(G1628="","",SUM(G1628:H1628))</f>
        <v/>
      </c>
      <c r="J1628" s="64" t="str">
        <f t="shared" si="260"/>
        <v/>
      </c>
      <c r="K1628" s="64" t="str">
        <f t="shared" si="261"/>
        <v/>
      </c>
    </row>
    <row r="1629" spans="1:11" ht="17.25" x14ac:dyDescent="0.35">
      <c r="B1629" s="325"/>
      <c r="C1629" s="152"/>
      <c r="D1629" s="152"/>
      <c r="E1629" s="107"/>
      <c r="F1629" s="108"/>
      <c r="G1629" s="57"/>
      <c r="H1629" s="65"/>
      <c r="I1629" s="69" t="str">
        <f t="shared" si="262"/>
        <v/>
      </c>
      <c r="J1629" s="64" t="str">
        <f t="shared" si="260"/>
        <v/>
      </c>
      <c r="K1629" s="64" t="str">
        <f t="shared" si="261"/>
        <v/>
      </c>
    </row>
    <row r="1630" spans="1:11" ht="17.25" x14ac:dyDescent="0.35">
      <c r="B1630" s="325"/>
      <c r="C1630" s="152"/>
      <c r="D1630" s="152"/>
      <c r="E1630" s="107"/>
      <c r="F1630" s="108"/>
      <c r="G1630" s="57"/>
      <c r="H1630" s="65"/>
      <c r="I1630" s="69" t="str">
        <f t="shared" si="262"/>
        <v/>
      </c>
      <c r="J1630" s="64" t="str">
        <f t="shared" si="260"/>
        <v/>
      </c>
      <c r="K1630" s="64" t="str">
        <f t="shared" si="261"/>
        <v/>
      </c>
    </row>
    <row r="1631" spans="1:11" ht="17.25" x14ac:dyDescent="0.35">
      <c r="B1631" s="325"/>
      <c r="C1631" s="152"/>
      <c r="D1631" s="152"/>
      <c r="E1631" s="107"/>
      <c r="F1631" s="108"/>
      <c r="G1631" s="57"/>
      <c r="H1631" s="65"/>
      <c r="I1631" s="69" t="str">
        <f t="shared" si="262"/>
        <v/>
      </c>
      <c r="J1631" s="64" t="str">
        <f t="shared" si="260"/>
        <v/>
      </c>
      <c r="K1631" s="64" t="str">
        <f t="shared" si="261"/>
        <v/>
      </c>
    </row>
    <row r="1632" spans="1:11" ht="17.25" x14ac:dyDescent="0.35">
      <c r="B1632" s="325"/>
      <c r="C1632" s="152"/>
      <c r="D1632" s="152"/>
      <c r="E1632" s="107"/>
      <c r="F1632" s="108"/>
      <c r="G1632" s="57"/>
      <c r="H1632" s="65"/>
      <c r="I1632" s="69" t="str">
        <f t="shared" si="262"/>
        <v/>
      </c>
      <c r="J1632" s="64" t="str">
        <f t="shared" si="260"/>
        <v/>
      </c>
      <c r="K1632" s="64" t="str">
        <f t="shared" si="261"/>
        <v/>
      </c>
    </row>
    <row r="1633" spans="1:11" ht="17.25" x14ac:dyDescent="0.2">
      <c r="B1633" s="325"/>
      <c r="C1633" s="97"/>
      <c r="D1633" s="97"/>
      <c r="E1633" s="123"/>
      <c r="F1633" s="108"/>
      <c r="G1633" s="64"/>
      <c r="H1633" s="65"/>
      <c r="I1633" s="69"/>
      <c r="J1633" s="64" t="str">
        <f t="shared" si="260"/>
        <v/>
      </c>
      <c r="K1633" s="64" t="str">
        <f t="shared" si="261"/>
        <v/>
      </c>
    </row>
    <row r="1634" spans="1:11" ht="17.25" x14ac:dyDescent="0.2">
      <c r="B1634" s="325"/>
      <c r="C1634" s="97"/>
      <c r="D1634" s="97"/>
      <c r="E1634" s="123"/>
      <c r="F1634" s="108"/>
      <c r="G1634" s="64"/>
      <c r="H1634" s="65"/>
      <c r="I1634" s="69"/>
      <c r="J1634" s="64" t="str">
        <f t="shared" si="260"/>
        <v/>
      </c>
      <c r="K1634" s="64" t="str">
        <f t="shared" si="261"/>
        <v/>
      </c>
    </row>
    <row r="1635" spans="1:11" ht="17.25" x14ac:dyDescent="0.2">
      <c r="B1635" s="325"/>
      <c r="C1635" s="97"/>
      <c r="D1635" s="97"/>
      <c r="E1635" s="123"/>
      <c r="F1635" s="108"/>
      <c r="G1635" s="64"/>
      <c r="H1635" s="65"/>
      <c r="I1635" s="69"/>
      <c r="J1635" s="64" t="str">
        <f t="shared" si="260"/>
        <v/>
      </c>
      <c r="K1635" s="64" t="str">
        <f t="shared" si="261"/>
        <v/>
      </c>
    </row>
    <row r="1636" spans="1:11" ht="18" customHeight="1" x14ac:dyDescent="0.2">
      <c r="B1636" s="561" t="s">
        <v>22</v>
      </c>
      <c r="C1636" s="561" t="s">
        <v>177</v>
      </c>
      <c r="D1636" s="561" t="s">
        <v>243</v>
      </c>
      <c r="E1636" s="561" t="s">
        <v>23</v>
      </c>
      <c r="F1636" s="562" t="s">
        <v>234</v>
      </c>
      <c r="G1636" s="562"/>
      <c r="H1636" s="562"/>
      <c r="I1636" s="562"/>
      <c r="J1636" s="562"/>
      <c r="K1636" s="562"/>
    </row>
    <row r="1637" spans="1:11" ht="21" x14ac:dyDescent="0.2">
      <c r="A1637" s="114" t="s">
        <v>1099</v>
      </c>
      <c r="B1637" s="434" t="s">
        <v>2720</v>
      </c>
      <c r="C1637" s="115" t="s">
        <v>498</v>
      </c>
      <c r="D1637" s="114" t="s">
        <v>639</v>
      </c>
      <c r="E1637" s="329" t="str">
        <f>IF($O$89="","",$O$89)</f>
        <v>Munic. de BDP - Área 5.1</v>
      </c>
      <c r="F1637" s="563">
        <f>IF(B1637="","",VLOOKUP(E1637,$O$2:$T$120,6,0))</f>
        <v>120228</v>
      </c>
      <c r="G1637" s="564"/>
      <c r="H1637" s="564"/>
      <c r="I1637" s="564"/>
      <c r="J1637" s="564"/>
      <c r="K1637" s="565"/>
    </row>
    <row r="1638" spans="1:11" ht="43.5" x14ac:dyDescent="0.2">
      <c r="A1638" s="166" t="s">
        <v>779</v>
      </c>
      <c r="B1638" s="116" t="s">
        <v>0</v>
      </c>
      <c r="C1638" s="116" t="s">
        <v>20</v>
      </c>
      <c r="D1638" s="116" t="s">
        <v>21</v>
      </c>
      <c r="E1638" s="116" t="s">
        <v>1</v>
      </c>
      <c r="F1638" s="117" t="s">
        <v>3</v>
      </c>
      <c r="G1638" s="116" t="s">
        <v>216</v>
      </c>
      <c r="H1638" s="180" t="s">
        <v>242</v>
      </c>
      <c r="I1638" s="116" t="s">
        <v>245</v>
      </c>
      <c r="J1638" s="116" t="s">
        <v>217</v>
      </c>
      <c r="K1638" s="116" t="s">
        <v>218</v>
      </c>
    </row>
    <row r="1639" spans="1:11" ht="17.25" x14ac:dyDescent="0.35">
      <c r="B1639" s="416" t="s">
        <v>1982</v>
      </c>
      <c r="C1639" s="152" t="s">
        <v>1938</v>
      </c>
      <c r="D1639" s="152" t="s">
        <v>1983</v>
      </c>
      <c r="E1639" s="107" t="s">
        <v>57</v>
      </c>
      <c r="F1639" s="108">
        <v>23</v>
      </c>
      <c r="G1639" s="57">
        <v>13</v>
      </c>
      <c r="H1639" s="65">
        <v>2</v>
      </c>
      <c r="I1639" s="69">
        <f t="shared" ref="I1639:I1654" si="263">IF(G1639="","",SUM(G1639:H1639))</f>
        <v>15</v>
      </c>
      <c r="J1639" s="64">
        <f>IF(G1639="","",ROUNDUP(G1639*0.65,0))</f>
        <v>9</v>
      </c>
      <c r="K1639" s="64">
        <f>IF(G1639="","",ROUNDUP(G1639*0.55,0))</f>
        <v>8</v>
      </c>
    </row>
    <row r="1640" spans="1:11" ht="17.25" x14ac:dyDescent="0.35">
      <c r="B1640" s="416" t="s">
        <v>1984</v>
      </c>
      <c r="C1640" s="152" t="s">
        <v>1938</v>
      </c>
      <c r="D1640" s="152" t="s">
        <v>1985</v>
      </c>
      <c r="E1640" s="107" t="s">
        <v>57</v>
      </c>
      <c r="F1640" s="108">
        <v>23</v>
      </c>
      <c r="G1640" s="57">
        <v>13</v>
      </c>
      <c r="H1640" s="65">
        <v>2</v>
      </c>
      <c r="I1640" s="69">
        <f t="shared" si="263"/>
        <v>15</v>
      </c>
      <c r="J1640" s="64">
        <f t="shared" ref="J1640:J1654" si="264">IF(G1640="","",ROUNDUP(G1640*0.65,0))</f>
        <v>9</v>
      </c>
      <c r="K1640" s="64">
        <f t="shared" ref="K1640:K1654" si="265">IF(G1640="","",ROUNDUP(G1640*0.55,0))</f>
        <v>8</v>
      </c>
    </row>
    <row r="1641" spans="1:11" ht="17.25" x14ac:dyDescent="0.35">
      <c r="B1641" s="416" t="s">
        <v>1986</v>
      </c>
      <c r="C1641" s="152" t="s">
        <v>1938</v>
      </c>
      <c r="D1641" s="152" t="s">
        <v>1987</v>
      </c>
      <c r="E1641" s="107" t="s">
        <v>56</v>
      </c>
      <c r="F1641" s="333">
        <v>17.5</v>
      </c>
      <c r="G1641" s="57">
        <v>13</v>
      </c>
      <c r="H1641" s="65">
        <v>1</v>
      </c>
      <c r="I1641" s="69">
        <f t="shared" si="263"/>
        <v>14</v>
      </c>
      <c r="J1641" s="64">
        <f t="shared" si="264"/>
        <v>9</v>
      </c>
      <c r="K1641" s="64">
        <f t="shared" si="265"/>
        <v>8</v>
      </c>
    </row>
    <row r="1642" spans="1:11" ht="17.25" x14ac:dyDescent="0.35">
      <c r="B1642" s="416" t="s">
        <v>1988</v>
      </c>
      <c r="C1642" s="152" t="s">
        <v>1989</v>
      </c>
      <c r="D1642" s="152" t="s">
        <v>1990</v>
      </c>
      <c r="E1642" s="107" t="s">
        <v>56</v>
      </c>
      <c r="F1642" s="333">
        <v>17.5</v>
      </c>
      <c r="G1642" s="57">
        <v>15</v>
      </c>
      <c r="H1642" s="65">
        <v>1</v>
      </c>
      <c r="I1642" s="69">
        <f t="shared" si="263"/>
        <v>16</v>
      </c>
      <c r="J1642" s="64">
        <f t="shared" si="264"/>
        <v>10</v>
      </c>
      <c r="K1642" s="64">
        <f t="shared" si="265"/>
        <v>9</v>
      </c>
    </row>
    <row r="1643" spans="1:11" ht="17.25" x14ac:dyDescent="0.35">
      <c r="B1643" s="416" t="s">
        <v>1991</v>
      </c>
      <c r="C1643" s="152" t="s">
        <v>1989</v>
      </c>
      <c r="D1643" s="152" t="s">
        <v>1992</v>
      </c>
      <c r="E1643" s="107" t="s">
        <v>55</v>
      </c>
      <c r="F1643" s="333">
        <v>14</v>
      </c>
      <c r="G1643" s="57">
        <v>13</v>
      </c>
      <c r="H1643" s="65">
        <v>2</v>
      </c>
      <c r="I1643" s="69">
        <f t="shared" si="263"/>
        <v>15</v>
      </c>
      <c r="J1643" s="64">
        <f t="shared" si="264"/>
        <v>9</v>
      </c>
      <c r="K1643" s="64">
        <f t="shared" si="265"/>
        <v>8</v>
      </c>
    </row>
    <row r="1644" spans="1:11" ht="17.25" x14ac:dyDescent="0.35">
      <c r="B1644" s="416" t="s">
        <v>1993</v>
      </c>
      <c r="C1644" s="152" t="s">
        <v>1989</v>
      </c>
      <c r="D1644" s="152" t="s">
        <v>1994</v>
      </c>
      <c r="E1644" s="107" t="s">
        <v>55</v>
      </c>
      <c r="F1644" s="333">
        <v>14</v>
      </c>
      <c r="G1644" s="57">
        <v>13</v>
      </c>
      <c r="H1644" s="65">
        <v>2</v>
      </c>
      <c r="I1644" s="69">
        <f t="shared" si="263"/>
        <v>15</v>
      </c>
      <c r="J1644" s="64">
        <f t="shared" si="264"/>
        <v>9</v>
      </c>
      <c r="K1644" s="64">
        <f t="shared" si="265"/>
        <v>8</v>
      </c>
    </row>
    <row r="1645" spans="1:11" ht="17.25" x14ac:dyDescent="0.35">
      <c r="B1645" s="416" t="s">
        <v>1995</v>
      </c>
      <c r="C1645" s="152" t="s">
        <v>1996</v>
      </c>
      <c r="D1645" s="152" t="s">
        <v>1997</v>
      </c>
      <c r="E1645" s="107" t="s">
        <v>55</v>
      </c>
      <c r="F1645" s="333">
        <v>14</v>
      </c>
      <c r="G1645" s="57">
        <v>13</v>
      </c>
      <c r="H1645" s="65">
        <v>2</v>
      </c>
      <c r="I1645" s="69">
        <f t="shared" si="263"/>
        <v>15</v>
      </c>
      <c r="J1645" s="64">
        <f t="shared" si="264"/>
        <v>9</v>
      </c>
      <c r="K1645" s="64">
        <f t="shared" si="265"/>
        <v>8</v>
      </c>
    </row>
    <row r="1646" spans="1:11" ht="17.25" x14ac:dyDescent="0.35">
      <c r="B1646" s="416" t="s">
        <v>1998</v>
      </c>
      <c r="C1646" s="152" t="s">
        <v>1938</v>
      </c>
      <c r="D1646" s="152" t="s">
        <v>1999</v>
      </c>
      <c r="E1646" s="107" t="s">
        <v>265</v>
      </c>
      <c r="F1646" s="108">
        <v>12.5</v>
      </c>
      <c r="G1646" s="57">
        <v>13</v>
      </c>
      <c r="H1646" s="65">
        <v>2</v>
      </c>
      <c r="I1646" s="69">
        <f t="shared" si="263"/>
        <v>15</v>
      </c>
      <c r="J1646" s="64">
        <f t="shared" si="264"/>
        <v>9</v>
      </c>
      <c r="K1646" s="64">
        <f t="shared" si="265"/>
        <v>8</v>
      </c>
    </row>
    <row r="1647" spans="1:11" ht="17.25" x14ac:dyDescent="0.35">
      <c r="B1647" s="416" t="s">
        <v>2000</v>
      </c>
      <c r="C1647" s="152" t="s">
        <v>1938</v>
      </c>
      <c r="D1647" s="152" t="s">
        <v>2001</v>
      </c>
      <c r="E1647" s="107" t="s">
        <v>265</v>
      </c>
      <c r="F1647" s="108">
        <v>12.5</v>
      </c>
      <c r="G1647" s="57">
        <v>13</v>
      </c>
      <c r="H1647" s="65">
        <v>2</v>
      </c>
      <c r="I1647" s="69">
        <f t="shared" si="263"/>
        <v>15</v>
      </c>
      <c r="J1647" s="64">
        <f t="shared" si="264"/>
        <v>9</v>
      </c>
      <c r="K1647" s="64">
        <f t="shared" si="265"/>
        <v>8</v>
      </c>
    </row>
    <row r="1648" spans="1:11" ht="17.25" x14ac:dyDescent="0.35">
      <c r="B1648" s="325"/>
      <c r="C1648" s="152"/>
      <c r="D1648" s="152"/>
      <c r="E1648" s="107"/>
      <c r="F1648" s="108"/>
      <c r="G1648" s="57"/>
      <c r="H1648" s="65"/>
      <c r="I1648" s="69" t="str">
        <f t="shared" si="263"/>
        <v/>
      </c>
      <c r="J1648" s="64" t="str">
        <f t="shared" si="264"/>
        <v/>
      </c>
      <c r="K1648" s="64" t="str">
        <f t="shared" si="265"/>
        <v/>
      </c>
    </row>
    <row r="1649" spans="1:11" ht="17.25" x14ac:dyDescent="0.2">
      <c r="B1649" s="325"/>
      <c r="C1649" s="112"/>
      <c r="D1649" s="112"/>
      <c r="E1649" s="107"/>
      <c r="F1649" s="108"/>
      <c r="G1649" s="57"/>
      <c r="H1649" s="65"/>
      <c r="I1649" s="69" t="str">
        <f t="shared" si="263"/>
        <v/>
      </c>
      <c r="J1649" s="64" t="str">
        <f t="shared" si="264"/>
        <v/>
      </c>
      <c r="K1649" s="64" t="str">
        <f t="shared" si="265"/>
        <v/>
      </c>
    </row>
    <row r="1650" spans="1:11" ht="17.25" x14ac:dyDescent="0.2">
      <c r="B1650" s="325"/>
      <c r="C1650" s="112"/>
      <c r="D1650" s="112"/>
      <c r="E1650" s="107"/>
      <c r="F1650" s="108"/>
      <c r="G1650" s="57"/>
      <c r="H1650" s="65"/>
      <c r="I1650" s="69" t="str">
        <f t="shared" si="263"/>
        <v/>
      </c>
      <c r="J1650" s="64" t="str">
        <f t="shared" si="264"/>
        <v/>
      </c>
      <c r="K1650" s="64" t="str">
        <f t="shared" si="265"/>
        <v/>
      </c>
    </row>
    <row r="1651" spans="1:11" ht="17.25" x14ac:dyDescent="0.2">
      <c r="B1651" s="325"/>
      <c r="C1651" s="112"/>
      <c r="D1651" s="112"/>
      <c r="E1651" s="107"/>
      <c r="F1651" s="108"/>
      <c r="G1651" s="57"/>
      <c r="H1651" s="65"/>
      <c r="I1651" s="69" t="str">
        <f t="shared" si="263"/>
        <v/>
      </c>
      <c r="J1651" s="64" t="str">
        <f t="shared" si="264"/>
        <v/>
      </c>
      <c r="K1651" s="64" t="str">
        <f t="shared" si="265"/>
        <v/>
      </c>
    </row>
    <row r="1652" spans="1:11" ht="17.25" x14ac:dyDescent="0.2">
      <c r="B1652" s="325"/>
      <c r="C1652" s="112"/>
      <c r="D1652" s="112"/>
      <c r="E1652" s="107"/>
      <c r="F1652" s="108"/>
      <c r="G1652" s="57"/>
      <c r="H1652" s="65"/>
      <c r="I1652" s="69" t="str">
        <f t="shared" si="263"/>
        <v/>
      </c>
      <c r="J1652" s="64" t="str">
        <f t="shared" si="264"/>
        <v/>
      </c>
      <c r="K1652" s="64" t="str">
        <f t="shared" si="265"/>
        <v/>
      </c>
    </row>
    <row r="1653" spans="1:11" ht="17.25" x14ac:dyDescent="0.2">
      <c r="B1653" s="325"/>
      <c r="C1653" s="112"/>
      <c r="D1653" s="112"/>
      <c r="E1653" s="107"/>
      <c r="F1653" s="108"/>
      <c r="G1653" s="57"/>
      <c r="H1653" s="65"/>
      <c r="I1653" s="69" t="str">
        <f t="shared" si="263"/>
        <v/>
      </c>
      <c r="J1653" s="64" t="str">
        <f t="shared" si="264"/>
        <v/>
      </c>
      <c r="K1653" s="64" t="str">
        <f t="shared" si="265"/>
        <v/>
      </c>
    </row>
    <row r="1654" spans="1:11" ht="17.25" x14ac:dyDescent="0.2">
      <c r="B1654" s="325"/>
      <c r="C1654" s="112"/>
      <c r="D1654" s="112"/>
      <c r="E1654" s="107"/>
      <c r="F1654" s="108"/>
      <c r="G1654" s="57"/>
      <c r="H1654" s="65"/>
      <c r="I1654" s="69" t="str">
        <f t="shared" si="263"/>
        <v/>
      </c>
      <c r="J1654" s="64" t="str">
        <f t="shared" si="264"/>
        <v/>
      </c>
      <c r="K1654" s="64" t="str">
        <f t="shared" si="265"/>
        <v/>
      </c>
    </row>
    <row r="1655" spans="1:11" ht="18" customHeight="1" x14ac:dyDescent="0.2">
      <c r="B1655" s="561" t="s">
        <v>22</v>
      </c>
      <c r="C1655" s="561" t="s">
        <v>177</v>
      </c>
      <c r="D1655" s="561" t="s">
        <v>243</v>
      </c>
      <c r="E1655" s="561" t="s">
        <v>23</v>
      </c>
      <c r="F1655" s="562" t="s">
        <v>234</v>
      </c>
      <c r="G1655" s="562"/>
      <c r="H1655" s="562"/>
      <c r="I1655" s="562"/>
      <c r="J1655" s="562"/>
      <c r="K1655" s="562"/>
    </row>
    <row r="1656" spans="1:11" ht="21" x14ac:dyDescent="0.2">
      <c r="A1656" s="114" t="s">
        <v>1100</v>
      </c>
      <c r="B1656" s="438" t="s">
        <v>2678</v>
      </c>
      <c r="C1656" s="115" t="s">
        <v>861</v>
      </c>
      <c r="D1656" s="114" t="s">
        <v>862</v>
      </c>
      <c r="E1656" s="329" t="str">
        <f>IF($O$90="","",$O$90)</f>
        <v>Munic. de BDP - Área 5.2</v>
      </c>
      <c r="F1656" s="563">
        <f>IF(B1656="","",VLOOKUP(E1656,$O$2:$T$120,6,0))</f>
        <v>86829</v>
      </c>
      <c r="G1656" s="564"/>
      <c r="H1656" s="564"/>
      <c r="I1656" s="564"/>
      <c r="J1656" s="564"/>
      <c r="K1656" s="565"/>
    </row>
    <row r="1657" spans="1:11" ht="43.5" x14ac:dyDescent="0.2">
      <c r="A1657" s="166" t="s">
        <v>779</v>
      </c>
      <c r="B1657" s="116" t="s">
        <v>0</v>
      </c>
      <c r="C1657" s="116" t="s">
        <v>20</v>
      </c>
      <c r="D1657" s="116" t="s">
        <v>21</v>
      </c>
      <c r="E1657" s="116" t="s">
        <v>1</v>
      </c>
      <c r="F1657" s="117" t="s">
        <v>3</v>
      </c>
      <c r="G1657" s="116" t="s">
        <v>216</v>
      </c>
      <c r="H1657" s="180" t="s">
        <v>242</v>
      </c>
      <c r="I1657" s="116" t="s">
        <v>245</v>
      </c>
      <c r="J1657" s="116" t="s">
        <v>217</v>
      </c>
      <c r="K1657" s="116" t="s">
        <v>218</v>
      </c>
    </row>
    <row r="1658" spans="1:11" ht="17.25" x14ac:dyDescent="0.35">
      <c r="B1658" s="416" t="s">
        <v>2002</v>
      </c>
      <c r="C1658" s="152" t="s">
        <v>1938</v>
      </c>
      <c r="D1658" s="152" t="s">
        <v>2003</v>
      </c>
      <c r="E1658" s="107" t="s">
        <v>57</v>
      </c>
      <c r="F1658" s="108">
        <v>23</v>
      </c>
      <c r="G1658" s="57">
        <v>13</v>
      </c>
      <c r="H1658" s="65">
        <v>2</v>
      </c>
      <c r="I1658" s="69">
        <f t="shared" ref="I1658:I1673" si="266">IF(G1658="","",SUM(G1658:H1658))</f>
        <v>15</v>
      </c>
      <c r="J1658" s="64">
        <f>IF(G1658="","",ROUNDUP(G1658*0.65,0))</f>
        <v>9</v>
      </c>
      <c r="K1658" s="64">
        <f>IF(G1658="","",ROUNDUP(G1658*0.55,0))</f>
        <v>8</v>
      </c>
    </row>
    <row r="1659" spans="1:11" ht="17.25" x14ac:dyDescent="0.35">
      <c r="B1659" s="416" t="s">
        <v>2004</v>
      </c>
      <c r="C1659" s="152" t="s">
        <v>1989</v>
      </c>
      <c r="D1659" s="152" t="s">
        <v>2005</v>
      </c>
      <c r="E1659" s="107" t="s">
        <v>56</v>
      </c>
      <c r="F1659" s="333">
        <v>17.5</v>
      </c>
      <c r="G1659" s="57">
        <v>15</v>
      </c>
      <c r="H1659" s="65">
        <v>3</v>
      </c>
      <c r="I1659" s="69">
        <f t="shared" si="266"/>
        <v>18</v>
      </c>
      <c r="J1659" s="64">
        <f t="shared" ref="J1659:J1673" si="267">IF(G1659="","",ROUNDUP(G1659*0.65,0))</f>
        <v>10</v>
      </c>
      <c r="K1659" s="64">
        <f t="shared" ref="K1659:K1673" si="268">IF(G1659="","",ROUNDUP(G1659*0.55,0))</f>
        <v>9</v>
      </c>
    </row>
    <row r="1660" spans="1:11" ht="17.25" x14ac:dyDescent="0.35">
      <c r="B1660" s="416" t="s">
        <v>2006</v>
      </c>
      <c r="C1660" s="152" t="s">
        <v>2007</v>
      </c>
      <c r="D1660" s="152" t="s">
        <v>1987</v>
      </c>
      <c r="E1660" s="107" t="s">
        <v>56</v>
      </c>
      <c r="F1660" s="333">
        <v>17.5</v>
      </c>
      <c r="G1660" s="57">
        <v>13</v>
      </c>
      <c r="H1660" s="65">
        <v>4</v>
      </c>
      <c r="I1660" s="69">
        <f t="shared" si="266"/>
        <v>17</v>
      </c>
      <c r="J1660" s="64">
        <f t="shared" si="267"/>
        <v>9</v>
      </c>
      <c r="K1660" s="64">
        <f t="shared" si="268"/>
        <v>8</v>
      </c>
    </row>
    <row r="1661" spans="1:11" ht="17.25" x14ac:dyDescent="0.35">
      <c r="B1661" s="416" t="s">
        <v>2008</v>
      </c>
      <c r="C1661" s="152" t="s">
        <v>1938</v>
      </c>
      <c r="D1661" s="152" t="s">
        <v>2009</v>
      </c>
      <c r="E1661" s="107" t="s">
        <v>55</v>
      </c>
      <c r="F1661" s="333">
        <v>14</v>
      </c>
      <c r="G1661" s="57">
        <v>13</v>
      </c>
      <c r="H1661" s="65">
        <v>1</v>
      </c>
      <c r="I1661" s="69">
        <f t="shared" si="266"/>
        <v>14</v>
      </c>
      <c r="J1661" s="64">
        <f t="shared" si="267"/>
        <v>9</v>
      </c>
      <c r="K1661" s="64">
        <f t="shared" si="268"/>
        <v>8</v>
      </c>
    </row>
    <row r="1662" spans="1:11" ht="17.25" x14ac:dyDescent="0.35">
      <c r="B1662" s="416" t="s">
        <v>2010</v>
      </c>
      <c r="C1662" s="152" t="s">
        <v>1938</v>
      </c>
      <c r="D1662" s="152" t="s">
        <v>2011</v>
      </c>
      <c r="E1662" s="107" t="s">
        <v>55</v>
      </c>
      <c r="F1662" s="333">
        <v>14</v>
      </c>
      <c r="G1662" s="57">
        <v>13</v>
      </c>
      <c r="H1662" s="65">
        <v>1</v>
      </c>
      <c r="I1662" s="69">
        <f t="shared" si="266"/>
        <v>14</v>
      </c>
      <c r="J1662" s="64">
        <f t="shared" si="267"/>
        <v>9</v>
      </c>
      <c r="K1662" s="64">
        <f t="shared" si="268"/>
        <v>8</v>
      </c>
    </row>
    <row r="1663" spans="1:11" ht="17.25" x14ac:dyDescent="0.35">
      <c r="B1663" s="416" t="s">
        <v>2012</v>
      </c>
      <c r="C1663" s="152" t="s">
        <v>1989</v>
      </c>
      <c r="D1663" s="152" t="s">
        <v>2013</v>
      </c>
      <c r="E1663" s="107" t="s">
        <v>55</v>
      </c>
      <c r="F1663" s="333">
        <v>14</v>
      </c>
      <c r="G1663" s="57">
        <v>11</v>
      </c>
      <c r="H1663" s="65">
        <v>1</v>
      </c>
      <c r="I1663" s="69">
        <f t="shared" si="266"/>
        <v>12</v>
      </c>
      <c r="J1663" s="64">
        <f t="shared" si="267"/>
        <v>8</v>
      </c>
      <c r="K1663" s="64">
        <f t="shared" si="268"/>
        <v>7</v>
      </c>
    </row>
    <row r="1664" spans="1:11" ht="17.25" x14ac:dyDescent="0.35">
      <c r="B1664" s="416" t="s">
        <v>2014</v>
      </c>
      <c r="C1664" s="152" t="s">
        <v>1938</v>
      </c>
      <c r="D1664" s="152" t="s">
        <v>2015</v>
      </c>
      <c r="E1664" s="107" t="s">
        <v>265</v>
      </c>
      <c r="F1664" s="108">
        <v>12.5</v>
      </c>
      <c r="G1664" s="57">
        <v>17</v>
      </c>
      <c r="H1664" s="65">
        <v>3</v>
      </c>
      <c r="I1664" s="69">
        <f t="shared" si="266"/>
        <v>20</v>
      </c>
      <c r="J1664" s="64">
        <f t="shared" si="267"/>
        <v>12</v>
      </c>
      <c r="K1664" s="64">
        <f t="shared" si="268"/>
        <v>10</v>
      </c>
    </row>
    <row r="1665" spans="1:11" ht="17.25" x14ac:dyDescent="0.35">
      <c r="B1665" s="416" t="s">
        <v>2016</v>
      </c>
      <c r="C1665" s="152" t="s">
        <v>1996</v>
      </c>
      <c r="D1665" s="152" t="s">
        <v>2017</v>
      </c>
      <c r="E1665" s="107" t="s">
        <v>265</v>
      </c>
      <c r="F1665" s="108">
        <v>12.5</v>
      </c>
      <c r="G1665" s="57">
        <v>17</v>
      </c>
      <c r="H1665" s="65">
        <v>3</v>
      </c>
      <c r="I1665" s="69">
        <f t="shared" si="266"/>
        <v>20</v>
      </c>
      <c r="J1665" s="64">
        <f t="shared" si="267"/>
        <v>12</v>
      </c>
      <c r="K1665" s="64">
        <f t="shared" si="268"/>
        <v>10</v>
      </c>
    </row>
    <row r="1666" spans="1:11" ht="17.25" x14ac:dyDescent="0.35">
      <c r="B1666" s="325"/>
      <c r="C1666" s="152"/>
      <c r="D1666" s="152"/>
      <c r="E1666" s="107"/>
      <c r="F1666" s="108"/>
      <c r="G1666" s="57"/>
      <c r="H1666" s="65"/>
      <c r="I1666" s="69" t="str">
        <f t="shared" si="266"/>
        <v/>
      </c>
      <c r="J1666" s="64" t="str">
        <f t="shared" si="267"/>
        <v/>
      </c>
      <c r="K1666" s="64" t="str">
        <f t="shared" si="268"/>
        <v/>
      </c>
    </row>
    <row r="1667" spans="1:11" ht="17.25" x14ac:dyDescent="0.35">
      <c r="B1667" s="325"/>
      <c r="C1667" s="152"/>
      <c r="D1667" s="152"/>
      <c r="E1667" s="107"/>
      <c r="F1667" s="108"/>
      <c r="G1667" s="57"/>
      <c r="H1667" s="65"/>
      <c r="I1667" s="69" t="str">
        <f t="shared" si="266"/>
        <v/>
      </c>
      <c r="J1667" s="64" t="str">
        <f t="shared" si="267"/>
        <v/>
      </c>
      <c r="K1667" s="64" t="str">
        <f t="shared" si="268"/>
        <v/>
      </c>
    </row>
    <row r="1668" spans="1:11" ht="17.25" x14ac:dyDescent="0.35">
      <c r="B1668" s="325"/>
      <c r="C1668" s="152"/>
      <c r="D1668" s="152"/>
      <c r="E1668" s="107"/>
      <c r="F1668" s="108"/>
      <c r="G1668" s="57"/>
      <c r="H1668" s="65"/>
      <c r="I1668" s="69" t="str">
        <f t="shared" si="266"/>
        <v/>
      </c>
      <c r="J1668" s="64" t="str">
        <f t="shared" si="267"/>
        <v/>
      </c>
      <c r="K1668" s="64" t="str">
        <f t="shared" si="268"/>
        <v/>
      </c>
    </row>
    <row r="1669" spans="1:11" ht="17.25" x14ac:dyDescent="0.2">
      <c r="B1669" s="325"/>
      <c r="C1669" s="112"/>
      <c r="D1669" s="112"/>
      <c r="E1669" s="107"/>
      <c r="F1669" s="108"/>
      <c r="G1669" s="57"/>
      <c r="H1669" s="65"/>
      <c r="I1669" s="69" t="str">
        <f t="shared" si="266"/>
        <v/>
      </c>
      <c r="J1669" s="64" t="str">
        <f t="shared" si="267"/>
        <v/>
      </c>
      <c r="K1669" s="64" t="str">
        <f t="shared" si="268"/>
        <v/>
      </c>
    </row>
    <row r="1670" spans="1:11" ht="17.25" x14ac:dyDescent="0.2">
      <c r="B1670" s="325"/>
      <c r="C1670" s="112"/>
      <c r="D1670" s="112"/>
      <c r="E1670" s="107"/>
      <c r="F1670" s="108"/>
      <c r="G1670" s="57"/>
      <c r="H1670" s="65"/>
      <c r="I1670" s="69" t="str">
        <f t="shared" si="266"/>
        <v/>
      </c>
      <c r="J1670" s="64" t="str">
        <f t="shared" si="267"/>
        <v/>
      </c>
      <c r="K1670" s="64" t="str">
        <f t="shared" si="268"/>
        <v/>
      </c>
    </row>
    <row r="1671" spans="1:11" ht="17.25" x14ac:dyDescent="0.2">
      <c r="B1671" s="325"/>
      <c r="C1671" s="112"/>
      <c r="D1671" s="112"/>
      <c r="E1671" s="107"/>
      <c r="F1671" s="108"/>
      <c r="G1671" s="57"/>
      <c r="H1671" s="65"/>
      <c r="I1671" s="69" t="str">
        <f t="shared" si="266"/>
        <v/>
      </c>
      <c r="J1671" s="64" t="str">
        <f t="shared" si="267"/>
        <v/>
      </c>
      <c r="K1671" s="64" t="str">
        <f t="shared" si="268"/>
        <v/>
      </c>
    </row>
    <row r="1672" spans="1:11" ht="17.25" x14ac:dyDescent="0.2">
      <c r="B1672" s="325"/>
      <c r="C1672" s="112"/>
      <c r="D1672" s="112"/>
      <c r="E1672" s="107"/>
      <c r="F1672" s="108"/>
      <c r="G1672" s="57"/>
      <c r="H1672" s="65"/>
      <c r="I1672" s="69" t="str">
        <f t="shared" si="266"/>
        <v/>
      </c>
      <c r="J1672" s="64" t="str">
        <f t="shared" si="267"/>
        <v/>
      </c>
      <c r="K1672" s="64" t="str">
        <f t="shared" si="268"/>
        <v/>
      </c>
    </row>
    <row r="1673" spans="1:11" ht="17.25" x14ac:dyDescent="0.2">
      <c r="B1673" s="325"/>
      <c r="C1673" s="112"/>
      <c r="D1673" s="112"/>
      <c r="E1673" s="107"/>
      <c r="F1673" s="108"/>
      <c r="G1673" s="57"/>
      <c r="H1673" s="65"/>
      <c r="I1673" s="69" t="str">
        <f t="shared" si="266"/>
        <v/>
      </c>
      <c r="J1673" s="64" t="str">
        <f t="shared" si="267"/>
        <v/>
      </c>
      <c r="K1673" s="64" t="str">
        <f t="shared" si="268"/>
        <v/>
      </c>
    </row>
    <row r="1674" spans="1:11" ht="18" customHeight="1" x14ac:dyDescent="0.2">
      <c r="B1674" s="561" t="s">
        <v>22</v>
      </c>
      <c r="C1674" s="561" t="s">
        <v>177</v>
      </c>
      <c r="D1674" s="561" t="s">
        <v>243</v>
      </c>
      <c r="E1674" s="561" t="s">
        <v>23</v>
      </c>
      <c r="F1674" s="562" t="s">
        <v>234</v>
      </c>
      <c r="G1674" s="562"/>
      <c r="H1674" s="562"/>
      <c r="I1674" s="562"/>
      <c r="J1674" s="562"/>
      <c r="K1674" s="562"/>
    </row>
    <row r="1675" spans="1:11" ht="21" x14ac:dyDescent="0.2">
      <c r="A1675" s="114" t="s">
        <v>1101</v>
      </c>
      <c r="B1675" s="436" t="s">
        <v>2690</v>
      </c>
      <c r="C1675" s="115" t="s">
        <v>2699</v>
      </c>
      <c r="D1675" s="114" t="s">
        <v>1209</v>
      </c>
      <c r="E1675" s="329" t="str">
        <f>IF($O$91="","",$O$91)</f>
        <v>Munic. de BDP - Área 5.3</v>
      </c>
      <c r="F1675" s="563">
        <f>IF(B1675="","",VLOOKUP(E1675,$O$2:$T$120,6,0))</f>
        <v>76750</v>
      </c>
      <c r="G1675" s="564"/>
      <c r="H1675" s="564"/>
      <c r="I1675" s="564"/>
      <c r="J1675" s="564"/>
      <c r="K1675" s="565"/>
    </row>
    <row r="1676" spans="1:11" ht="43.5" x14ac:dyDescent="0.2">
      <c r="A1676" s="166" t="s">
        <v>779</v>
      </c>
      <c r="B1676" s="116" t="s">
        <v>0</v>
      </c>
      <c r="C1676" s="116" t="s">
        <v>20</v>
      </c>
      <c r="D1676" s="116" t="s">
        <v>21</v>
      </c>
      <c r="E1676" s="116" t="s">
        <v>1</v>
      </c>
      <c r="F1676" s="117" t="s">
        <v>3</v>
      </c>
      <c r="G1676" s="116" t="s">
        <v>216</v>
      </c>
      <c r="H1676" s="180" t="s">
        <v>242</v>
      </c>
      <c r="I1676" s="116" t="s">
        <v>245</v>
      </c>
      <c r="J1676" s="116" t="s">
        <v>217</v>
      </c>
      <c r="K1676" s="116" t="s">
        <v>218</v>
      </c>
    </row>
    <row r="1677" spans="1:11" ht="17.25" x14ac:dyDescent="0.35">
      <c r="B1677" s="416" t="s">
        <v>2018</v>
      </c>
      <c r="C1677" s="152" t="s">
        <v>1989</v>
      </c>
      <c r="D1677" s="152" t="s">
        <v>2019</v>
      </c>
      <c r="E1677" s="107" t="s">
        <v>56</v>
      </c>
      <c r="F1677" s="333">
        <v>17.5</v>
      </c>
      <c r="G1677" s="57">
        <v>13</v>
      </c>
      <c r="H1677" s="65">
        <v>2</v>
      </c>
      <c r="I1677" s="69">
        <f t="shared" ref="I1677:I1692" si="269">IF(G1677="","",SUM(G1677:H1677))</f>
        <v>15</v>
      </c>
      <c r="J1677" s="64">
        <f>IF(G1677="","",ROUNDUP(G1677*0.65,0))</f>
        <v>9</v>
      </c>
      <c r="K1677" s="64">
        <f>IF(G1677="","",ROUNDUP(G1677*0.55,0))</f>
        <v>8</v>
      </c>
    </row>
    <row r="1678" spans="1:11" ht="17.25" x14ac:dyDescent="0.35">
      <c r="B1678" s="416" t="s">
        <v>2020</v>
      </c>
      <c r="C1678" s="152" t="s">
        <v>1989</v>
      </c>
      <c r="D1678" s="152" t="s">
        <v>2021</v>
      </c>
      <c r="E1678" s="107" t="s">
        <v>55</v>
      </c>
      <c r="F1678" s="333">
        <v>14</v>
      </c>
      <c r="G1678" s="57">
        <v>13</v>
      </c>
      <c r="H1678" s="65">
        <v>2</v>
      </c>
      <c r="I1678" s="69">
        <f t="shared" si="269"/>
        <v>15</v>
      </c>
      <c r="J1678" s="64">
        <f t="shared" ref="J1678:J1692" si="270">IF(G1678="","",ROUNDUP(G1678*0.65,0))</f>
        <v>9</v>
      </c>
      <c r="K1678" s="64">
        <f t="shared" ref="K1678:K1692" si="271">IF(G1678="","",ROUNDUP(G1678*0.55,0))</f>
        <v>8</v>
      </c>
    </row>
    <row r="1679" spans="1:11" ht="17.25" x14ac:dyDescent="0.35">
      <c r="B1679" s="416" t="s">
        <v>2022</v>
      </c>
      <c r="C1679" s="152" t="s">
        <v>1989</v>
      </c>
      <c r="D1679" s="152" t="s">
        <v>2023</v>
      </c>
      <c r="E1679" s="107" t="s">
        <v>265</v>
      </c>
      <c r="F1679" s="108">
        <v>12.5</v>
      </c>
      <c r="G1679" s="57">
        <v>13</v>
      </c>
      <c r="H1679" s="65">
        <v>1</v>
      </c>
      <c r="I1679" s="69">
        <f t="shared" si="269"/>
        <v>14</v>
      </c>
      <c r="J1679" s="64">
        <f t="shared" si="270"/>
        <v>9</v>
      </c>
      <c r="K1679" s="64">
        <f t="shared" si="271"/>
        <v>8</v>
      </c>
    </row>
    <row r="1680" spans="1:11" ht="17.25" x14ac:dyDescent="0.35">
      <c r="B1680" s="416" t="s">
        <v>2024</v>
      </c>
      <c r="C1680" s="152" t="s">
        <v>1989</v>
      </c>
      <c r="D1680" s="152" t="s">
        <v>2025</v>
      </c>
      <c r="E1680" s="107" t="s">
        <v>265</v>
      </c>
      <c r="F1680" s="108">
        <v>12.5</v>
      </c>
      <c r="G1680" s="57">
        <v>17</v>
      </c>
      <c r="H1680" s="65">
        <v>2</v>
      </c>
      <c r="I1680" s="69">
        <f t="shared" si="269"/>
        <v>19</v>
      </c>
      <c r="J1680" s="64">
        <f t="shared" si="270"/>
        <v>12</v>
      </c>
      <c r="K1680" s="64">
        <f t="shared" si="271"/>
        <v>10</v>
      </c>
    </row>
    <row r="1681" spans="1:11" ht="17.25" x14ac:dyDescent="0.35">
      <c r="B1681" s="416" t="s">
        <v>2026</v>
      </c>
      <c r="C1681" s="152" t="s">
        <v>1938</v>
      </c>
      <c r="D1681" s="152" t="s">
        <v>2027</v>
      </c>
      <c r="E1681" s="107" t="s">
        <v>265</v>
      </c>
      <c r="F1681" s="108">
        <v>12.5</v>
      </c>
      <c r="G1681" s="57">
        <v>17</v>
      </c>
      <c r="H1681" s="65">
        <v>2</v>
      </c>
      <c r="I1681" s="69">
        <f t="shared" si="269"/>
        <v>19</v>
      </c>
      <c r="J1681" s="64">
        <f t="shared" si="270"/>
        <v>12</v>
      </c>
      <c r="K1681" s="64">
        <f t="shared" si="271"/>
        <v>10</v>
      </c>
    </row>
    <row r="1682" spans="1:11" ht="17.25" x14ac:dyDescent="0.35">
      <c r="B1682" s="416" t="s">
        <v>2028</v>
      </c>
      <c r="C1682" s="152" t="s">
        <v>1989</v>
      </c>
      <c r="D1682" s="152" t="s">
        <v>2029</v>
      </c>
      <c r="E1682" s="107" t="s">
        <v>265</v>
      </c>
      <c r="F1682" s="108">
        <v>12.5</v>
      </c>
      <c r="G1682" s="57">
        <v>13</v>
      </c>
      <c r="H1682" s="65">
        <v>1</v>
      </c>
      <c r="I1682" s="69">
        <f t="shared" si="269"/>
        <v>14</v>
      </c>
      <c r="J1682" s="64">
        <f t="shared" si="270"/>
        <v>9</v>
      </c>
      <c r="K1682" s="64">
        <f t="shared" si="271"/>
        <v>8</v>
      </c>
    </row>
    <row r="1683" spans="1:11" ht="17.25" x14ac:dyDescent="0.35">
      <c r="B1683" s="416" t="s">
        <v>2030</v>
      </c>
      <c r="C1683" s="152" t="s">
        <v>2031</v>
      </c>
      <c r="D1683" s="152" t="s">
        <v>2032</v>
      </c>
      <c r="E1683" s="107" t="s">
        <v>265</v>
      </c>
      <c r="F1683" s="108">
        <v>12.5</v>
      </c>
      <c r="G1683" s="57">
        <v>13</v>
      </c>
      <c r="H1683" s="65">
        <v>1</v>
      </c>
      <c r="I1683" s="69">
        <f t="shared" si="269"/>
        <v>14</v>
      </c>
      <c r="J1683" s="64">
        <f t="shared" si="270"/>
        <v>9</v>
      </c>
      <c r="K1683" s="64">
        <f t="shared" si="271"/>
        <v>8</v>
      </c>
    </row>
    <row r="1684" spans="1:11" ht="17.25" x14ac:dyDescent="0.35">
      <c r="B1684" s="328"/>
      <c r="C1684" s="152"/>
      <c r="D1684" s="152"/>
      <c r="E1684" s="107"/>
      <c r="F1684" s="108"/>
      <c r="G1684" s="57"/>
      <c r="H1684" s="65"/>
      <c r="I1684" s="69" t="str">
        <f t="shared" si="269"/>
        <v/>
      </c>
      <c r="J1684" s="64" t="str">
        <f t="shared" si="270"/>
        <v/>
      </c>
      <c r="K1684" s="64" t="str">
        <f t="shared" si="271"/>
        <v/>
      </c>
    </row>
    <row r="1685" spans="1:11" ht="17.25" x14ac:dyDescent="0.35">
      <c r="B1685" s="328"/>
      <c r="C1685" s="152"/>
      <c r="D1685" s="152"/>
      <c r="E1685" s="107"/>
      <c r="F1685" s="108"/>
      <c r="G1685" s="57"/>
      <c r="H1685" s="65"/>
      <c r="I1685" s="69" t="str">
        <f t="shared" si="269"/>
        <v/>
      </c>
      <c r="J1685" s="64" t="str">
        <f t="shared" si="270"/>
        <v/>
      </c>
      <c r="K1685" s="64" t="str">
        <f t="shared" si="271"/>
        <v/>
      </c>
    </row>
    <row r="1686" spans="1:11" ht="17.25" x14ac:dyDescent="0.35">
      <c r="B1686" s="328"/>
      <c r="C1686" s="152"/>
      <c r="D1686" s="152"/>
      <c r="E1686" s="107"/>
      <c r="F1686" s="108"/>
      <c r="G1686" s="57"/>
      <c r="H1686" s="65"/>
      <c r="I1686" s="69" t="str">
        <f t="shared" si="269"/>
        <v/>
      </c>
      <c r="J1686" s="64" t="str">
        <f t="shared" si="270"/>
        <v/>
      </c>
      <c r="K1686" s="64" t="str">
        <f t="shared" si="271"/>
        <v/>
      </c>
    </row>
    <row r="1687" spans="1:11" ht="17.25" x14ac:dyDescent="0.35">
      <c r="B1687" s="328"/>
      <c r="C1687" s="112"/>
      <c r="D1687" s="112"/>
      <c r="E1687" s="107"/>
      <c r="F1687" s="108"/>
      <c r="G1687" s="57"/>
      <c r="H1687" s="65"/>
      <c r="I1687" s="69" t="str">
        <f t="shared" si="269"/>
        <v/>
      </c>
      <c r="J1687" s="64" t="str">
        <f t="shared" si="270"/>
        <v/>
      </c>
      <c r="K1687" s="64" t="str">
        <f t="shared" si="271"/>
        <v/>
      </c>
    </row>
    <row r="1688" spans="1:11" ht="17.25" x14ac:dyDescent="0.35">
      <c r="B1688" s="328"/>
      <c r="C1688" s="112"/>
      <c r="D1688" s="112"/>
      <c r="E1688" s="107"/>
      <c r="F1688" s="108"/>
      <c r="G1688" s="57"/>
      <c r="H1688" s="65"/>
      <c r="I1688" s="69" t="str">
        <f t="shared" si="269"/>
        <v/>
      </c>
      <c r="J1688" s="64" t="str">
        <f t="shared" si="270"/>
        <v/>
      </c>
      <c r="K1688" s="64" t="str">
        <f t="shared" si="271"/>
        <v/>
      </c>
    </row>
    <row r="1689" spans="1:11" ht="17.25" x14ac:dyDescent="0.35">
      <c r="B1689" s="328"/>
      <c r="C1689" s="112"/>
      <c r="D1689" s="112"/>
      <c r="E1689" s="107"/>
      <c r="F1689" s="108"/>
      <c r="G1689" s="57"/>
      <c r="H1689" s="65"/>
      <c r="I1689" s="69" t="str">
        <f t="shared" si="269"/>
        <v/>
      </c>
      <c r="J1689" s="64" t="str">
        <f t="shared" si="270"/>
        <v/>
      </c>
      <c r="K1689" s="64" t="str">
        <f t="shared" si="271"/>
        <v/>
      </c>
    </row>
    <row r="1690" spans="1:11" ht="17.25" x14ac:dyDescent="0.35">
      <c r="B1690" s="328"/>
      <c r="C1690" s="112"/>
      <c r="D1690" s="112"/>
      <c r="E1690" s="107"/>
      <c r="F1690" s="108"/>
      <c r="G1690" s="57"/>
      <c r="H1690" s="65"/>
      <c r="I1690" s="69" t="str">
        <f t="shared" si="269"/>
        <v/>
      </c>
      <c r="J1690" s="64" t="str">
        <f t="shared" si="270"/>
        <v/>
      </c>
      <c r="K1690" s="64" t="str">
        <f t="shared" si="271"/>
        <v/>
      </c>
    </row>
    <row r="1691" spans="1:11" ht="17.25" x14ac:dyDescent="0.35">
      <c r="B1691" s="328"/>
      <c r="C1691" s="112"/>
      <c r="D1691" s="112"/>
      <c r="E1691" s="107"/>
      <c r="F1691" s="108"/>
      <c r="G1691" s="57"/>
      <c r="H1691" s="65"/>
      <c r="I1691" s="69" t="str">
        <f t="shared" si="269"/>
        <v/>
      </c>
      <c r="J1691" s="64" t="str">
        <f t="shared" si="270"/>
        <v/>
      </c>
      <c r="K1691" s="64" t="str">
        <f t="shared" si="271"/>
        <v/>
      </c>
    </row>
    <row r="1692" spans="1:11" ht="17.25" x14ac:dyDescent="0.35">
      <c r="B1692" s="328"/>
      <c r="C1692" s="112"/>
      <c r="D1692" s="112"/>
      <c r="E1692" s="107"/>
      <c r="F1692" s="108"/>
      <c r="G1692" s="57"/>
      <c r="H1692" s="65"/>
      <c r="I1692" s="69" t="str">
        <f t="shared" si="269"/>
        <v/>
      </c>
      <c r="J1692" s="64" t="str">
        <f t="shared" si="270"/>
        <v/>
      </c>
      <c r="K1692" s="64" t="str">
        <f t="shared" si="271"/>
        <v/>
      </c>
    </row>
    <row r="1693" spans="1:11" ht="18" customHeight="1" x14ac:dyDescent="0.2">
      <c r="B1693" s="561" t="s">
        <v>22</v>
      </c>
      <c r="C1693" s="561" t="s">
        <v>177</v>
      </c>
      <c r="D1693" s="561" t="s">
        <v>243</v>
      </c>
      <c r="E1693" s="561" t="s">
        <v>23</v>
      </c>
      <c r="F1693" s="562" t="s">
        <v>234</v>
      </c>
      <c r="G1693" s="562"/>
      <c r="H1693" s="562"/>
      <c r="I1693" s="562"/>
      <c r="J1693" s="562"/>
      <c r="K1693" s="562"/>
    </row>
    <row r="1694" spans="1:11" ht="21" x14ac:dyDescent="0.2">
      <c r="A1694" s="114" t="s">
        <v>1102</v>
      </c>
      <c r="B1694" s="434" t="s">
        <v>2721</v>
      </c>
      <c r="C1694" s="115" t="s">
        <v>498</v>
      </c>
      <c r="D1694" s="114" t="s">
        <v>639</v>
      </c>
      <c r="E1694" s="329" t="str">
        <f>IF($O$92="","",$O$92)</f>
        <v>Munic. de BDP - Área 6.1</v>
      </c>
      <c r="F1694" s="563">
        <f>IF(B1694="","",VLOOKUP(E1694,$O$2:$T$120,6,0))</f>
        <v>89155</v>
      </c>
      <c r="G1694" s="564"/>
      <c r="H1694" s="564"/>
      <c r="I1694" s="564"/>
      <c r="J1694" s="564"/>
      <c r="K1694" s="565"/>
    </row>
    <row r="1695" spans="1:11" ht="43.5" x14ac:dyDescent="0.2">
      <c r="A1695" s="166" t="s">
        <v>779</v>
      </c>
      <c r="B1695" s="116" t="s">
        <v>0</v>
      </c>
      <c r="C1695" s="116" t="s">
        <v>20</v>
      </c>
      <c r="D1695" s="116" t="s">
        <v>21</v>
      </c>
      <c r="E1695" s="116" t="s">
        <v>1</v>
      </c>
      <c r="F1695" s="117" t="s">
        <v>3</v>
      </c>
      <c r="G1695" s="116" t="s">
        <v>216</v>
      </c>
      <c r="H1695" s="180" t="s">
        <v>242</v>
      </c>
      <c r="I1695" s="116" t="s">
        <v>245</v>
      </c>
      <c r="J1695" s="116" t="s">
        <v>217</v>
      </c>
      <c r="K1695" s="116" t="s">
        <v>218</v>
      </c>
    </row>
    <row r="1696" spans="1:11" ht="17.25" x14ac:dyDescent="0.35">
      <c r="B1696" s="417" t="s">
        <v>2033</v>
      </c>
      <c r="C1696" s="152" t="s">
        <v>2034</v>
      </c>
      <c r="D1696" s="152" t="s">
        <v>1891</v>
      </c>
      <c r="E1696" s="107" t="s">
        <v>57</v>
      </c>
      <c r="F1696" s="108">
        <v>23</v>
      </c>
      <c r="G1696" s="57">
        <v>13</v>
      </c>
      <c r="H1696" s="65">
        <v>2</v>
      </c>
      <c r="I1696" s="69">
        <f t="shared" ref="I1696:I1711" si="272">IF(G1696="","",SUM(G1696:H1696))</f>
        <v>15</v>
      </c>
      <c r="J1696" s="64">
        <f>IF(G1696="","",ROUNDUP(G1696*0.65,0))</f>
        <v>9</v>
      </c>
      <c r="K1696" s="64">
        <f>IF(G1696="","",ROUNDUP(G1696*0.55,0))</f>
        <v>8</v>
      </c>
    </row>
    <row r="1697" spans="2:11" ht="17.25" x14ac:dyDescent="0.35">
      <c r="B1697" s="417" t="s">
        <v>2035</v>
      </c>
      <c r="C1697" s="152" t="s">
        <v>2034</v>
      </c>
      <c r="D1697" s="152" t="s">
        <v>1942</v>
      </c>
      <c r="E1697" s="107" t="s">
        <v>57</v>
      </c>
      <c r="F1697" s="108">
        <v>23</v>
      </c>
      <c r="G1697" s="57">
        <v>13</v>
      </c>
      <c r="H1697" s="65">
        <v>2</v>
      </c>
      <c r="I1697" s="69">
        <f t="shared" si="272"/>
        <v>15</v>
      </c>
      <c r="J1697" s="64">
        <f t="shared" ref="J1697:J1711" si="273">IF(G1697="","",ROUNDUP(G1697*0.65,0))</f>
        <v>9</v>
      </c>
      <c r="K1697" s="64">
        <f t="shared" ref="K1697:K1711" si="274">IF(G1697="","",ROUNDUP(G1697*0.55,0))</f>
        <v>8</v>
      </c>
    </row>
    <row r="1698" spans="2:11" ht="17.25" x14ac:dyDescent="0.35">
      <c r="B1698" s="417" t="s">
        <v>2036</v>
      </c>
      <c r="C1698" s="152" t="s">
        <v>2034</v>
      </c>
      <c r="D1698" s="152" t="s">
        <v>1837</v>
      </c>
      <c r="E1698" s="107" t="s">
        <v>56</v>
      </c>
      <c r="F1698" s="333">
        <v>17.5</v>
      </c>
      <c r="G1698" s="57">
        <v>15</v>
      </c>
      <c r="H1698" s="65">
        <v>5</v>
      </c>
      <c r="I1698" s="69">
        <f t="shared" si="272"/>
        <v>20</v>
      </c>
      <c r="J1698" s="64">
        <f t="shared" si="273"/>
        <v>10</v>
      </c>
      <c r="K1698" s="64">
        <f t="shared" si="274"/>
        <v>9</v>
      </c>
    </row>
    <row r="1699" spans="2:11" ht="17.25" x14ac:dyDescent="0.35">
      <c r="B1699" s="417" t="s">
        <v>2037</v>
      </c>
      <c r="C1699" s="152" t="s">
        <v>2034</v>
      </c>
      <c r="D1699" s="152" t="s">
        <v>2038</v>
      </c>
      <c r="E1699" s="107" t="s">
        <v>55</v>
      </c>
      <c r="F1699" s="333">
        <v>14</v>
      </c>
      <c r="G1699" s="57">
        <v>13</v>
      </c>
      <c r="H1699" s="65">
        <v>3</v>
      </c>
      <c r="I1699" s="69">
        <f t="shared" si="272"/>
        <v>16</v>
      </c>
      <c r="J1699" s="64">
        <f t="shared" si="273"/>
        <v>9</v>
      </c>
      <c r="K1699" s="64">
        <f t="shared" si="274"/>
        <v>8</v>
      </c>
    </row>
    <row r="1700" spans="2:11" ht="17.25" x14ac:dyDescent="0.35">
      <c r="B1700" s="417" t="s">
        <v>2039</v>
      </c>
      <c r="C1700" s="152" t="s">
        <v>2040</v>
      </c>
      <c r="D1700" s="152" t="s">
        <v>2041</v>
      </c>
      <c r="E1700" s="107" t="s">
        <v>55</v>
      </c>
      <c r="F1700" s="333">
        <v>14</v>
      </c>
      <c r="G1700" s="57">
        <v>13</v>
      </c>
      <c r="H1700" s="65">
        <v>3</v>
      </c>
      <c r="I1700" s="69">
        <f t="shared" si="272"/>
        <v>16</v>
      </c>
      <c r="J1700" s="64">
        <f t="shared" si="273"/>
        <v>9</v>
      </c>
      <c r="K1700" s="64">
        <f t="shared" si="274"/>
        <v>8</v>
      </c>
    </row>
    <row r="1701" spans="2:11" ht="17.25" x14ac:dyDescent="0.35">
      <c r="B1701" s="417" t="s">
        <v>2042</v>
      </c>
      <c r="C1701" s="152" t="s">
        <v>2043</v>
      </c>
      <c r="D1701" s="152" t="s">
        <v>2044</v>
      </c>
      <c r="E1701" s="107" t="s">
        <v>55</v>
      </c>
      <c r="F1701" s="333">
        <v>14</v>
      </c>
      <c r="G1701" s="57">
        <v>13</v>
      </c>
      <c r="H1701" s="65">
        <v>2</v>
      </c>
      <c r="I1701" s="69">
        <f t="shared" si="272"/>
        <v>15</v>
      </c>
      <c r="J1701" s="64">
        <f t="shared" si="273"/>
        <v>9</v>
      </c>
      <c r="K1701" s="64">
        <f t="shared" si="274"/>
        <v>8</v>
      </c>
    </row>
    <row r="1702" spans="2:11" ht="17.25" x14ac:dyDescent="0.35">
      <c r="B1702" s="417" t="s">
        <v>2045</v>
      </c>
      <c r="C1702" s="152" t="s">
        <v>2046</v>
      </c>
      <c r="D1702" s="152" t="s">
        <v>2047</v>
      </c>
      <c r="E1702" s="107" t="s">
        <v>55</v>
      </c>
      <c r="F1702" s="333">
        <v>14</v>
      </c>
      <c r="G1702" s="57">
        <v>11</v>
      </c>
      <c r="H1702" s="65">
        <v>2</v>
      </c>
      <c r="I1702" s="69">
        <f t="shared" si="272"/>
        <v>13</v>
      </c>
      <c r="J1702" s="64">
        <f t="shared" si="273"/>
        <v>8</v>
      </c>
      <c r="K1702" s="64">
        <f t="shared" si="274"/>
        <v>7</v>
      </c>
    </row>
    <row r="1703" spans="2:11" ht="17.25" x14ac:dyDescent="0.35">
      <c r="B1703" s="417" t="s">
        <v>2048</v>
      </c>
      <c r="C1703" s="152" t="s">
        <v>2049</v>
      </c>
      <c r="D1703" s="152" t="s">
        <v>2050</v>
      </c>
      <c r="E1703" s="107" t="s">
        <v>265</v>
      </c>
      <c r="F1703" s="108">
        <v>12.5</v>
      </c>
      <c r="G1703" s="57">
        <v>13</v>
      </c>
      <c r="H1703" s="65">
        <v>3</v>
      </c>
      <c r="I1703" s="69">
        <f t="shared" si="272"/>
        <v>16</v>
      </c>
      <c r="J1703" s="64">
        <f t="shared" si="273"/>
        <v>9</v>
      </c>
      <c r="K1703" s="64">
        <f t="shared" si="274"/>
        <v>8</v>
      </c>
    </row>
    <row r="1704" spans="2:11" ht="17.25" x14ac:dyDescent="0.35">
      <c r="B1704" s="417" t="s">
        <v>2051</v>
      </c>
      <c r="C1704" s="152" t="s">
        <v>2052</v>
      </c>
      <c r="D1704" s="152" t="s">
        <v>1837</v>
      </c>
      <c r="E1704" s="107" t="s">
        <v>265</v>
      </c>
      <c r="F1704" s="108">
        <v>12.5</v>
      </c>
      <c r="G1704" s="57">
        <v>11</v>
      </c>
      <c r="H1704" s="65">
        <v>3</v>
      </c>
      <c r="I1704" s="69">
        <f t="shared" si="272"/>
        <v>14</v>
      </c>
      <c r="J1704" s="64">
        <f t="shared" si="273"/>
        <v>8</v>
      </c>
      <c r="K1704" s="64">
        <f t="shared" si="274"/>
        <v>7</v>
      </c>
    </row>
    <row r="1705" spans="2:11" ht="17.25" x14ac:dyDescent="0.35">
      <c r="B1705" s="328"/>
      <c r="C1705" s="152"/>
      <c r="D1705" s="152"/>
      <c r="E1705" s="107"/>
      <c r="F1705" s="108"/>
      <c r="G1705" s="57"/>
      <c r="H1705" s="65"/>
      <c r="I1705" s="69" t="str">
        <f t="shared" si="272"/>
        <v/>
      </c>
      <c r="J1705" s="64" t="str">
        <f t="shared" si="273"/>
        <v/>
      </c>
      <c r="K1705" s="64" t="str">
        <f t="shared" si="274"/>
        <v/>
      </c>
    </row>
    <row r="1706" spans="2:11" ht="17.25" x14ac:dyDescent="0.35">
      <c r="B1706" s="328"/>
      <c r="C1706" s="152"/>
      <c r="D1706" s="152"/>
      <c r="E1706" s="107"/>
      <c r="F1706" s="108"/>
      <c r="G1706" s="57"/>
      <c r="H1706" s="65"/>
      <c r="I1706" s="69" t="str">
        <f t="shared" si="272"/>
        <v/>
      </c>
      <c r="J1706" s="64" t="str">
        <f t="shared" si="273"/>
        <v/>
      </c>
      <c r="K1706" s="64" t="str">
        <f t="shared" si="274"/>
        <v/>
      </c>
    </row>
    <row r="1707" spans="2:11" ht="17.25" x14ac:dyDescent="0.35">
      <c r="B1707" s="328"/>
      <c r="C1707" s="112"/>
      <c r="D1707" s="112"/>
      <c r="E1707" s="107"/>
      <c r="F1707" s="108"/>
      <c r="G1707" s="57"/>
      <c r="H1707" s="65"/>
      <c r="I1707" s="69" t="str">
        <f t="shared" si="272"/>
        <v/>
      </c>
      <c r="J1707" s="64" t="str">
        <f t="shared" si="273"/>
        <v/>
      </c>
      <c r="K1707" s="64" t="str">
        <f t="shared" si="274"/>
        <v/>
      </c>
    </row>
    <row r="1708" spans="2:11" ht="17.25" x14ac:dyDescent="0.35">
      <c r="B1708" s="328"/>
      <c r="C1708" s="112"/>
      <c r="D1708" s="112"/>
      <c r="E1708" s="107"/>
      <c r="F1708" s="108"/>
      <c r="G1708" s="57"/>
      <c r="H1708" s="65"/>
      <c r="I1708" s="69" t="str">
        <f t="shared" si="272"/>
        <v/>
      </c>
      <c r="J1708" s="64" t="str">
        <f t="shared" si="273"/>
        <v/>
      </c>
      <c r="K1708" s="64" t="str">
        <f t="shared" si="274"/>
        <v/>
      </c>
    </row>
    <row r="1709" spans="2:11" ht="17.25" x14ac:dyDescent="0.35">
      <c r="B1709" s="328"/>
      <c r="C1709" s="112"/>
      <c r="D1709" s="112"/>
      <c r="E1709" s="107"/>
      <c r="F1709" s="108"/>
      <c r="G1709" s="57"/>
      <c r="H1709" s="65"/>
      <c r="I1709" s="69" t="str">
        <f t="shared" si="272"/>
        <v/>
      </c>
      <c r="J1709" s="64" t="str">
        <f t="shared" si="273"/>
        <v/>
      </c>
      <c r="K1709" s="64" t="str">
        <f t="shared" si="274"/>
        <v/>
      </c>
    </row>
    <row r="1710" spans="2:11" ht="17.25" x14ac:dyDescent="0.35">
      <c r="B1710" s="328"/>
      <c r="C1710" s="112"/>
      <c r="D1710" s="112"/>
      <c r="E1710" s="107"/>
      <c r="F1710" s="108"/>
      <c r="G1710" s="57"/>
      <c r="H1710" s="65"/>
      <c r="I1710" s="69" t="str">
        <f t="shared" si="272"/>
        <v/>
      </c>
      <c r="J1710" s="64" t="str">
        <f t="shared" si="273"/>
        <v/>
      </c>
      <c r="K1710" s="64" t="str">
        <f t="shared" si="274"/>
        <v/>
      </c>
    </row>
    <row r="1711" spans="2:11" ht="17.25" x14ac:dyDescent="0.35">
      <c r="B1711" s="328"/>
      <c r="C1711" s="112"/>
      <c r="D1711" s="112"/>
      <c r="E1711" s="107"/>
      <c r="F1711" s="108"/>
      <c r="G1711" s="57"/>
      <c r="H1711" s="65"/>
      <c r="I1711" s="69" t="str">
        <f t="shared" si="272"/>
        <v/>
      </c>
      <c r="J1711" s="64" t="str">
        <f t="shared" si="273"/>
        <v/>
      </c>
      <c r="K1711" s="64" t="str">
        <f t="shared" si="274"/>
        <v/>
      </c>
    </row>
    <row r="1712" spans="2:11" ht="18" customHeight="1" x14ac:dyDescent="0.2">
      <c r="B1712" s="561" t="s">
        <v>22</v>
      </c>
      <c r="C1712" s="561" t="s">
        <v>177</v>
      </c>
      <c r="D1712" s="561" t="s">
        <v>243</v>
      </c>
      <c r="E1712" s="561" t="s">
        <v>23</v>
      </c>
      <c r="F1712" s="562" t="s">
        <v>234</v>
      </c>
      <c r="G1712" s="562"/>
      <c r="H1712" s="562"/>
      <c r="I1712" s="562"/>
      <c r="J1712" s="562"/>
      <c r="K1712" s="562"/>
    </row>
    <row r="1713" spans="1:11" ht="21" x14ac:dyDescent="0.2">
      <c r="A1713" s="114" t="s">
        <v>1103</v>
      </c>
      <c r="B1713" s="436" t="s">
        <v>2691</v>
      </c>
      <c r="C1713" s="115" t="s">
        <v>2699</v>
      </c>
      <c r="D1713" s="114" t="s">
        <v>1209</v>
      </c>
      <c r="E1713" s="329" t="str">
        <f>IF($O$93="","",$O$93)</f>
        <v>Munic. de BDP - Área 6.2</v>
      </c>
      <c r="F1713" s="563">
        <f>IF(B1713="","",VLOOKUP(E1713,$O$2:$T$120,6,0))</f>
        <v>86829</v>
      </c>
      <c r="G1713" s="564"/>
      <c r="H1713" s="564"/>
      <c r="I1713" s="564"/>
      <c r="J1713" s="564"/>
      <c r="K1713" s="565"/>
    </row>
    <row r="1714" spans="1:11" ht="43.5" x14ac:dyDescent="0.2">
      <c r="A1714" s="166" t="s">
        <v>779</v>
      </c>
      <c r="B1714" s="116" t="s">
        <v>0</v>
      </c>
      <c r="C1714" s="116" t="s">
        <v>20</v>
      </c>
      <c r="D1714" s="116" t="s">
        <v>21</v>
      </c>
      <c r="E1714" s="116" t="s">
        <v>1</v>
      </c>
      <c r="F1714" s="117" t="s">
        <v>3</v>
      </c>
      <c r="G1714" s="116" t="s">
        <v>216</v>
      </c>
      <c r="H1714" s="180" t="s">
        <v>242</v>
      </c>
      <c r="I1714" s="116" t="s">
        <v>245</v>
      </c>
      <c r="J1714" s="116" t="s">
        <v>217</v>
      </c>
      <c r="K1714" s="116" t="s">
        <v>218</v>
      </c>
    </row>
    <row r="1715" spans="1:11" ht="17.25" x14ac:dyDescent="0.35">
      <c r="B1715" s="417" t="s">
        <v>2053</v>
      </c>
      <c r="C1715" s="152" t="s">
        <v>2034</v>
      </c>
      <c r="D1715" s="152" t="s">
        <v>1938</v>
      </c>
      <c r="E1715" s="107" t="s">
        <v>57</v>
      </c>
      <c r="F1715" s="108">
        <v>23</v>
      </c>
      <c r="G1715" s="57">
        <v>13</v>
      </c>
      <c r="H1715" s="65">
        <v>2</v>
      </c>
      <c r="I1715" s="69">
        <f t="shared" ref="I1715:I1730" si="275">IF(G1715="","",SUM(G1715:H1715))</f>
        <v>15</v>
      </c>
      <c r="J1715" s="64">
        <f>IF(G1715="","",ROUNDUP(G1715*0.65,0))</f>
        <v>9</v>
      </c>
      <c r="K1715" s="64">
        <f>IF(G1715="","",ROUNDUP(G1715*0.55,0))</f>
        <v>8</v>
      </c>
    </row>
    <row r="1716" spans="1:11" ht="17.25" x14ac:dyDescent="0.35">
      <c r="B1716" s="417" t="s">
        <v>2054</v>
      </c>
      <c r="C1716" s="152" t="s">
        <v>2034</v>
      </c>
      <c r="D1716" s="152" t="s">
        <v>2055</v>
      </c>
      <c r="E1716" s="107" t="s">
        <v>56</v>
      </c>
      <c r="F1716" s="333">
        <v>17.5</v>
      </c>
      <c r="G1716" s="57">
        <v>13</v>
      </c>
      <c r="H1716" s="65">
        <v>2</v>
      </c>
      <c r="I1716" s="69">
        <f t="shared" si="275"/>
        <v>15</v>
      </c>
      <c r="J1716" s="64">
        <f t="shared" ref="J1716:J1730" si="276">IF(G1716="","",ROUNDUP(G1716*0.65,0))</f>
        <v>9</v>
      </c>
      <c r="K1716" s="64">
        <f t="shared" ref="K1716:K1730" si="277">IF(G1716="","",ROUNDUP(G1716*0.55,0))</f>
        <v>8</v>
      </c>
    </row>
    <row r="1717" spans="1:11" ht="17.25" x14ac:dyDescent="0.35">
      <c r="B1717" s="417" t="s">
        <v>2056</v>
      </c>
      <c r="C1717" s="152" t="s">
        <v>2034</v>
      </c>
      <c r="D1717" s="152" t="s">
        <v>2057</v>
      </c>
      <c r="E1717" s="107" t="s">
        <v>56</v>
      </c>
      <c r="F1717" s="333">
        <v>17.5</v>
      </c>
      <c r="G1717" s="57">
        <v>13</v>
      </c>
      <c r="H1717" s="65">
        <v>2</v>
      </c>
      <c r="I1717" s="69">
        <f t="shared" si="275"/>
        <v>15</v>
      </c>
      <c r="J1717" s="64">
        <f t="shared" si="276"/>
        <v>9</v>
      </c>
      <c r="K1717" s="64">
        <f t="shared" si="277"/>
        <v>8</v>
      </c>
    </row>
    <row r="1718" spans="1:11" ht="17.25" x14ac:dyDescent="0.35">
      <c r="B1718" s="417" t="s">
        <v>2058</v>
      </c>
      <c r="C1718" s="152" t="s">
        <v>2034</v>
      </c>
      <c r="D1718" s="152" t="s">
        <v>1996</v>
      </c>
      <c r="E1718" s="107" t="s">
        <v>55</v>
      </c>
      <c r="F1718" s="333">
        <v>14</v>
      </c>
      <c r="G1718" s="57">
        <v>11</v>
      </c>
      <c r="H1718" s="65">
        <v>1</v>
      </c>
      <c r="I1718" s="69">
        <f t="shared" si="275"/>
        <v>12</v>
      </c>
      <c r="J1718" s="64">
        <f t="shared" si="276"/>
        <v>8</v>
      </c>
      <c r="K1718" s="64">
        <f t="shared" si="277"/>
        <v>7</v>
      </c>
    </row>
    <row r="1719" spans="1:11" ht="17.25" x14ac:dyDescent="0.35">
      <c r="B1719" s="417" t="s">
        <v>2059</v>
      </c>
      <c r="C1719" s="152" t="s">
        <v>2060</v>
      </c>
      <c r="D1719" s="152" t="s">
        <v>1938</v>
      </c>
      <c r="E1719" s="107" t="s">
        <v>55</v>
      </c>
      <c r="F1719" s="333">
        <v>14</v>
      </c>
      <c r="G1719" s="57">
        <v>11</v>
      </c>
      <c r="H1719" s="65">
        <v>2</v>
      </c>
      <c r="I1719" s="69">
        <f t="shared" si="275"/>
        <v>13</v>
      </c>
      <c r="J1719" s="64">
        <f t="shared" si="276"/>
        <v>8</v>
      </c>
      <c r="K1719" s="64">
        <f t="shared" si="277"/>
        <v>7</v>
      </c>
    </row>
    <row r="1720" spans="1:11" ht="17.25" x14ac:dyDescent="0.35">
      <c r="B1720" s="417" t="s">
        <v>2061</v>
      </c>
      <c r="C1720" s="152" t="s">
        <v>2062</v>
      </c>
      <c r="D1720" s="152" t="s">
        <v>2063</v>
      </c>
      <c r="E1720" s="107" t="s">
        <v>265</v>
      </c>
      <c r="F1720" s="108">
        <v>12.5</v>
      </c>
      <c r="G1720" s="57">
        <v>17</v>
      </c>
      <c r="H1720" s="65">
        <v>3</v>
      </c>
      <c r="I1720" s="69">
        <f t="shared" si="275"/>
        <v>20</v>
      </c>
      <c r="J1720" s="64">
        <f t="shared" si="276"/>
        <v>12</v>
      </c>
      <c r="K1720" s="64">
        <f t="shared" si="277"/>
        <v>10</v>
      </c>
    </row>
    <row r="1721" spans="1:11" ht="17.25" x14ac:dyDescent="0.35">
      <c r="B1721" s="417" t="s">
        <v>2064</v>
      </c>
      <c r="C1721" s="152" t="s">
        <v>2065</v>
      </c>
      <c r="D1721" s="152" t="s">
        <v>2066</v>
      </c>
      <c r="E1721" s="107" t="s">
        <v>265</v>
      </c>
      <c r="F1721" s="108">
        <v>12.5</v>
      </c>
      <c r="G1721" s="57">
        <v>17</v>
      </c>
      <c r="H1721" s="65">
        <v>3</v>
      </c>
      <c r="I1721" s="69">
        <f t="shared" si="275"/>
        <v>20</v>
      </c>
      <c r="J1721" s="64">
        <f t="shared" si="276"/>
        <v>12</v>
      </c>
      <c r="K1721" s="64">
        <f t="shared" si="277"/>
        <v>10</v>
      </c>
    </row>
    <row r="1722" spans="1:11" ht="17.25" x14ac:dyDescent="0.35">
      <c r="B1722" s="417" t="s">
        <v>2067</v>
      </c>
      <c r="C1722" s="152" t="s">
        <v>2068</v>
      </c>
      <c r="D1722" s="152" t="s">
        <v>2069</v>
      </c>
      <c r="E1722" s="107" t="s">
        <v>265</v>
      </c>
      <c r="F1722" s="108">
        <v>12.5</v>
      </c>
      <c r="G1722" s="57">
        <v>17</v>
      </c>
      <c r="H1722" s="65">
        <v>3</v>
      </c>
      <c r="I1722" s="69">
        <f t="shared" si="275"/>
        <v>20</v>
      </c>
      <c r="J1722" s="64">
        <f t="shared" si="276"/>
        <v>12</v>
      </c>
      <c r="K1722" s="64">
        <f t="shared" si="277"/>
        <v>10</v>
      </c>
    </row>
    <row r="1723" spans="1:11" ht="17.25" x14ac:dyDescent="0.35">
      <c r="B1723" s="328"/>
      <c r="C1723" s="152"/>
      <c r="D1723" s="152"/>
      <c r="E1723" s="107"/>
      <c r="F1723" s="108"/>
      <c r="G1723" s="57"/>
      <c r="H1723" s="65"/>
      <c r="I1723" s="69" t="str">
        <f t="shared" si="275"/>
        <v/>
      </c>
      <c r="J1723" s="64" t="str">
        <f t="shared" si="276"/>
        <v/>
      </c>
      <c r="K1723" s="64" t="str">
        <f t="shared" si="277"/>
        <v/>
      </c>
    </row>
    <row r="1724" spans="1:11" ht="17.25" x14ac:dyDescent="0.35">
      <c r="B1724" s="328"/>
      <c r="C1724" s="112"/>
      <c r="D1724" s="112"/>
      <c r="E1724" s="107"/>
      <c r="F1724" s="108"/>
      <c r="G1724" s="57"/>
      <c r="H1724" s="65"/>
      <c r="I1724" s="69" t="str">
        <f t="shared" si="275"/>
        <v/>
      </c>
      <c r="J1724" s="64" t="str">
        <f t="shared" si="276"/>
        <v/>
      </c>
      <c r="K1724" s="64" t="str">
        <f t="shared" si="277"/>
        <v/>
      </c>
    </row>
    <row r="1725" spans="1:11" ht="17.25" x14ac:dyDescent="0.35">
      <c r="B1725" s="328"/>
      <c r="C1725" s="112"/>
      <c r="D1725" s="112"/>
      <c r="E1725" s="107"/>
      <c r="F1725" s="108"/>
      <c r="G1725" s="57"/>
      <c r="H1725" s="65"/>
      <c r="I1725" s="69" t="str">
        <f t="shared" si="275"/>
        <v/>
      </c>
      <c r="J1725" s="64" t="str">
        <f t="shared" si="276"/>
        <v/>
      </c>
      <c r="K1725" s="64" t="str">
        <f t="shared" si="277"/>
        <v/>
      </c>
    </row>
    <row r="1726" spans="1:11" ht="17.25" x14ac:dyDescent="0.35">
      <c r="B1726" s="328"/>
      <c r="C1726" s="112"/>
      <c r="D1726" s="112"/>
      <c r="E1726" s="107"/>
      <c r="F1726" s="108"/>
      <c r="G1726" s="57"/>
      <c r="H1726" s="65"/>
      <c r="I1726" s="69" t="str">
        <f t="shared" si="275"/>
        <v/>
      </c>
      <c r="J1726" s="64" t="str">
        <f t="shared" si="276"/>
        <v/>
      </c>
      <c r="K1726" s="64" t="str">
        <f t="shared" si="277"/>
        <v/>
      </c>
    </row>
    <row r="1727" spans="1:11" ht="17.25" x14ac:dyDescent="0.35">
      <c r="B1727" s="328"/>
      <c r="C1727" s="112"/>
      <c r="D1727" s="112"/>
      <c r="E1727" s="107"/>
      <c r="F1727" s="108"/>
      <c r="G1727" s="57"/>
      <c r="H1727" s="65"/>
      <c r="I1727" s="69" t="str">
        <f t="shared" si="275"/>
        <v/>
      </c>
      <c r="J1727" s="64" t="str">
        <f t="shared" si="276"/>
        <v/>
      </c>
      <c r="K1727" s="64" t="str">
        <f t="shared" si="277"/>
        <v/>
      </c>
    </row>
    <row r="1728" spans="1:11" ht="17.25" x14ac:dyDescent="0.35">
      <c r="B1728" s="328"/>
      <c r="C1728" s="112"/>
      <c r="D1728" s="112"/>
      <c r="E1728" s="107"/>
      <c r="F1728" s="108"/>
      <c r="G1728" s="57"/>
      <c r="H1728" s="65"/>
      <c r="I1728" s="69" t="str">
        <f t="shared" si="275"/>
        <v/>
      </c>
      <c r="J1728" s="64" t="str">
        <f t="shared" si="276"/>
        <v/>
      </c>
      <c r="K1728" s="64" t="str">
        <f t="shared" si="277"/>
        <v/>
      </c>
    </row>
    <row r="1729" spans="1:11" ht="17.25" x14ac:dyDescent="0.35">
      <c r="B1729" s="328"/>
      <c r="C1729" s="112"/>
      <c r="D1729" s="112"/>
      <c r="E1729" s="107"/>
      <c r="F1729" s="108"/>
      <c r="G1729" s="57"/>
      <c r="H1729" s="65"/>
      <c r="I1729" s="69" t="str">
        <f t="shared" si="275"/>
        <v/>
      </c>
      <c r="J1729" s="64" t="str">
        <f t="shared" si="276"/>
        <v/>
      </c>
      <c r="K1729" s="64" t="str">
        <f t="shared" si="277"/>
        <v/>
      </c>
    </row>
    <row r="1730" spans="1:11" ht="17.25" x14ac:dyDescent="0.35">
      <c r="B1730" s="328"/>
      <c r="C1730" s="112"/>
      <c r="D1730" s="112"/>
      <c r="E1730" s="107"/>
      <c r="F1730" s="108"/>
      <c r="G1730" s="57"/>
      <c r="H1730" s="65"/>
      <c r="I1730" s="69" t="str">
        <f t="shared" si="275"/>
        <v/>
      </c>
      <c r="J1730" s="64" t="str">
        <f t="shared" si="276"/>
        <v/>
      </c>
      <c r="K1730" s="64" t="str">
        <f t="shared" si="277"/>
        <v/>
      </c>
    </row>
    <row r="1731" spans="1:11" ht="18" customHeight="1" x14ac:dyDescent="0.2">
      <c r="B1731" s="561" t="s">
        <v>22</v>
      </c>
      <c r="C1731" s="561" t="s">
        <v>177</v>
      </c>
      <c r="D1731" s="561" t="s">
        <v>243</v>
      </c>
      <c r="E1731" s="561" t="s">
        <v>23</v>
      </c>
      <c r="F1731" s="562" t="s">
        <v>234</v>
      </c>
      <c r="G1731" s="562"/>
      <c r="H1731" s="562"/>
      <c r="I1731" s="562"/>
      <c r="J1731" s="562"/>
      <c r="K1731" s="562"/>
    </row>
    <row r="1732" spans="1:11" ht="21" x14ac:dyDescent="0.2">
      <c r="A1732" s="114" t="s">
        <v>1104</v>
      </c>
      <c r="B1732" s="434" t="s">
        <v>2718</v>
      </c>
      <c r="C1732" s="115" t="s">
        <v>498</v>
      </c>
      <c r="D1732" s="114" t="s">
        <v>639</v>
      </c>
      <c r="E1732" s="329" t="str">
        <f>IF($O$94="","",$O$94)</f>
        <v>Munic. de BDP - Área 6.3</v>
      </c>
      <c r="F1732" s="563">
        <f>IF(B1732="","",VLOOKUP(E1732,$O$2:$T$120,6,0))</f>
        <v>92256</v>
      </c>
      <c r="G1732" s="564"/>
      <c r="H1732" s="564"/>
      <c r="I1732" s="564"/>
      <c r="J1732" s="564"/>
      <c r="K1732" s="565"/>
    </row>
    <row r="1733" spans="1:11" ht="43.5" x14ac:dyDescent="0.2">
      <c r="A1733" s="166" t="s">
        <v>779</v>
      </c>
      <c r="B1733" s="116" t="s">
        <v>0</v>
      </c>
      <c r="C1733" s="116" t="s">
        <v>20</v>
      </c>
      <c r="D1733" s="116" t="s">
        <v>21</v>
      </c>
      <c r="E1733" s="116" t="s">
        <v>1</v>
      </c>
      <c r="F1733" s="117" t="s">
        <v>3</v>
      </c>
      <c r="G1733" s="116" t="s">
        <v>216</v>
      </c>
      <c r="H1733" s="180" t="s">
        <v>242</v>
      </c>
      <c r="I1733" s="116" t="s">
        <v>245</v>
      </c>
      <c r="J1733" s="116" t="s">
        <v>217</v>
      </c>
      <c r="K1733" s="116" t="s">
        <v>218</v>
      </c>
    </row>
    <row r="1734" spans="1:11" ht="17.25" x14ac:dyDescent="0.35">
      <c r="B1734" s="417" t="s">
        <v>2070</v>
      </c>
      <c r="C1734" s="152" t="s">
        <v>2034</v>
      </c>
      <c r="D1734" s="152" t="s">
        <v>2071</v>
      </c>
      <c r="E1734" s="107" t="s">
        <v>56</v>
      </c>
      <c r="F1734" s="333">
        <v>17.5</v>
      </c>
      <c r="G1734" s="57">
        <v>16</v>
      </c>
      <c r="H1734" s="65">
        <v>4</v>
      </c>
      <c r="I1734" s="69">
        <f t="shared" ref="I1734:I1749" si="278">IF(G1734="","",SUM(G1734:H1734))</f>
        <v>20</v>
      </c>
      <c r="J1734" s="64">
        <f>IF(G1734="","",ROUNDUP(G1734*0.65,0))</f>
        <v>11</v>
      </c>
      <c r="K1734" s="64">
        <f>IF(G1734="","",ROUNDUP(G1734*0.55,0))</f>
        <v>9</v>
      </c>
    </row>
    <row r="1735" spans="1:11" ht="17.25" x14ac:dyDescent="0.35">
      <c r="B1735" s="417" t="s">
        <v>2072</v>
      </c>
      <c r="C1735" s="152" t="s">
        <v>2034</v>
      </c>
      <c r="D1735" s="152" t="s">
        <v>2073</v>
      </c>
      <c r="E1735" s="107" t="s">
        <v>55</v>
      </c>
      <c r="F1735" s="333">
        <v>14</v>
      </c>
      <c r="G1735" s="57">
        <v>13</v>
      </c>
      <c r="H1735" s="65">
        <v>2</v>
      </c>
      <c r="I1735" s="69">
        <f t="shared" si="278"/>
        <v>15</v>
      </c>
      <c r="J1735" s="64">
        <f t="shared" ref="J1735:J1749" si="279">IF(G1735="","",ROUNDUP(G1735*0.65,0))</f>
        <v>9</v>
      </c>
      <c r="K1735" s="64">
        <f t="shared" ref="K1735:K1749" si="280">IF(G1735="","",ROUNDUP(G1735*0.55,0))</f>
        <v>8</v>
      </c>
    </row>
    <row r="1736" spans="1:11" ht="17.25" x14ac:dyDescent="0.35">
      <c r="B1736" s="417" t="s">
        <v>2074</v>
      </c>
      <c r="C1736" s="152" t="s">
        <v>2034</v>
      </c>
      <c r="D1736" s="152" t="s">
        <v>2075</v>
      </c>
      <c r="E1736" s="107" t="s">
        <v>265</v>
      </c>
      <c r="F1736" s="108">
        <v>12.5</v>
      </c>
      <c r="G1736" s="57">
        <v>13</v>
      </c>
      <c r="H1736" s="65">
        <v>2</v>
      </c>
      <c r="I1736" s="69">
        <f t="shared" si="278"/>
        <v>15</v>
      </c>
      <c r="J1736" s="64">
        <f t="shared" si="279"/>
        <v>9</v>
      </c>
      <c r="K1736" s="64">
        <f t="shared" si="280"/>
        <v>8</v>
      </c>
    </row>
    <row r="1737" spans="1:11" ht="17.25" x14ac:dyDescent="0.35">
      <c r="B1737" s="417" t="s">
        <v>2076</v>
      </c>
      <c r="C1737" s="152" t="s">
        <v>2077</v>
      </c>
      <c r="D1737" s="152" t="s">
        <v>2078</v>
      </c>
      <c r="E1737" s="107" t="s">
        <v>265</v>
      </c>
      <c r="F1737" s="108">
        <v>12.5</v>
      </c>
      <c r="G1737" s="57">
        <v>13</v>
      </c>
      <c r="H1737" s="65">
        <v>2</v>
      </c>
      <c r="I1737" s="69">
        <f t="shared" si="278"/>
        <v>15</v>
      </c>
      <c r="J1737" s="64">
        <f t="shared" si="279"/>
        <v>9</v>
      </c>
      <c r="K1737" s="64">
        <f t="shared" si="280"/>
        <v>8</v>
      </c>
    </row>
    <row r="1738" spans="1:11" ht="17.25" x14ac:dyDescent="0.35">
      <c r="B1738" s="417" t="s">
        <v>2079</v>
      </c>
      <c r="C1738" s="152" t="s">
        <v>2080</v>
      </c>
      <c r="D1738" s="152" t="s">
        <v>2081</v>
      </c>
      <c r="E1738" s="107" t="s">
        <v>265</v>
      </c>
      <c r="F1738" s="108">
        <v>12.5</v>
      </c>
      <c r="G1738" s="57">
        <v>17</v>
      </c>
      <c r="H1738" s="65">
        <v>3</v>
      </c>
      <c r="I1738" s="69">
        <f t="shared" si="278"/>
        <v>20</v>
      </c>
      <c r="J1738" s="64">
        <f t="shared" si="279"/>
        <v>12</v>
      </c>
      <c r="K1738" s="64">
        <f t="shared" si="280"/>
        <v>10</v>
      </c>
    </row>
    <row r="1739" spans="1:11" ht="17.25" x14ac:dyDescent="0.35">
      <c r="B1739" s="417" t="s">
        <v>2082</v>
      </c>
      <c r="C1739" s="152" t="s">
        <v>2083</v>
      </c>
      <c r="D1739" s="152" t="s">
        <v>2084</v>
      </c>
      <c r="E1739" s="107" t="s">
        <v>265</v>
      </c>
      <c r="F1739" s="108">
        <v>12.5</v>
      </c>
      <c r="G1739" s="57">
        <v>17</v>
      </c>
      <c r="H1739" s="65">
        <v>3</v>
      </c>
      <c r="I1739" s="69">
        <f t="shared" si="278"/>
        <v>20</v>
      </c>
      <c r="J1739" s="64">
        <f t="shared" si="279"/>
        <v>12</v>
      </c>
      <c r="K1739" s="64">
        <f t="shared" si="280"/>
        <v>10</v>
      </c>
    </row>
    <row r="1740" spans="1:11" ht="17.25" x14ac:dyDescent="0.35">
      <c r="B1740" s="417" t="s">
        <v>2085</v>
      </c>
      <c r="C1740" s="152" t="s">
        <v>2086</v>
      </c>
      <c r="D1740" s="152" t="s">
        <v>2087</v>
      </c>
      <c r="E1740" s="107" t="s">
        <v>265</v>
      </c>
      <c r="F1740" s="108">
        <v>12.5</v>
      </c>
      <c r="G1740" s="57">
        <v>17</v>
      </c>
      <c r="H1740" s="65">
        <v>3</v>
      </c>
      <c r="I1740" s="69">
        <f t="shared" si="278"/>
        <v>20</v>
      </c>
      <c r="J1740" s="64">
        <f t="shared" si="279"/>
        <v>12</v>
      </c>
      <c r="K1740" s="64">
        <f t="shared" si="280"/>
        <v>10</v>
      </c>
    </row>
    <row r="1741" spans="1:11" ht="17.25" x14ac:dyDescent="0.35">
      <c r="B1741" s="417" t="s">
        <v>2088</v>
      </c>
      <c r="C1741" s="152" t="s">
        <v>2089</v>
      </c>
      <c r="D1741" s="152" t="s">
        <v>2090</v>
      </c>
      <c r="E1741" s="107" t="s">
        <v>265</v>
      </c>
      <c r="F1741" s="108">
        <v>12.5</v>
      </c>
      <c r="G1741" s="57">
        <v>13</v>
      </c>
      <c r="H1741" s="65">
        <v>2</v>
      </c>
      <c r="I1741" s="69">
        <f t="shared" si="278"/>
        <v>15</v>
      </c>
      <c r="J1741" s="64">
        <f t="shared" si="279"/>
        <v>9</v>
      </c>
      <c r="K1741" s="64">
        <f t="shared" si="280"/>
        <v>8</v>
      </c>
    </row>
    <row r="1742" spans="1:11" ht="17.25" x14ac:dyDescent="0.35">
      <c r="B1742" s="328"/>
      <c r="C1742" s="152"/>
      <c r="D1742" s="152"/>
      <c r="E1742" s="107"/>
      <c r="F1742" s="108"/>
      <c r="G1742" s="57"/>
      <c r="H1742" s="65"/>
      <c r="I1742" s="69" t="str">
        <f t="shared" si="278"/>
        <v/>
      </c>
      <c r="J1742" s="64" t="str">
        <f t="shared" si="279"/>
        <v/>
      </c>
      <c r="K1742" s="64" t="str">
        <f t="shared" si="280"/>
        <v/>
      </c>
    </row>
    <row r="1743" spans="1:11" ht="17.25" x14ac:dyDescent="0.35">
      <c r="B1743" s="328"/>
      <c r="C1743" s="112"/>
      <c r="D1743" s="112"/>
      <c r="E1743" s="107"/>
      <c r="F1743" s="108"/>
      <c r="G1743" s="57"/>
      <c r="H1743" s="65"/>
      <c r="I1743" s="69" t="str">
        <f t="shared" si="278"/>
        <v/>
      </c>
      <c r="J1743" s="64" t="str">
        <f t="shared" si="279"/>
        <v/>
      </c>
      <c r="K1743" s="64" t="str">
        <f t="shared" si="280"/>
        <v/>
      </c>
    </row>
    <row r="1744" spans="1:11" ht="17.25" x14ac:dyDescent="0.35">
      <c r="B1744" s="328"/>
      <c r="C1744" s="112"/>
      <c r="D1744" s="112"/>
      <c r="E1744" s="107"/>
      <c r="F1744" s="108"/>
      <c r="G1744" s="57"/>
      <c r="H1744" s="65"/>
      <c r="I1744" s="69" t="str">
        <f t="shared" si="278"/>
        <v/>
      </c>
      <c r="J1744" s="64" t="str">
        <f t="shared" si="279"/>
        <v/>
      </c>
      <c r="K1744" s="64" t="str">
        <f t="shared" si="280"/>
        <v/>
      </c>
    </row>
    <row r="1745" spans="1:11" ht="17.25" x14ac:dyDescent="0.35">
      <c r="B1745" s="328"/>
      <c r="C1745" s="112"/>
      <c r="D1745" s="112"/>
      <c r="E1745" s="107"/>
      <c r="F1745" s="108"/>
      <c r="G1745" s="57"/>
      <c r="H1745" s="65"/>
      <c r="I1745" s="69" t="str">
        <f t="shared" si="278"/>
        <v/>
      </c>
      <c r="J1745" s="64" t="str">
        <f t="shared" si="279"/>
        <v/>
      </c>
      <c r="K1745" s="64" t="str">
        <f t="shared" si="280"/>
        <v/>
      </c>
    </row>
    <row r="1746" spans="1:11" ht="17.25" x14ac:dyDescent="0.35">
      <c r="B1746" s="328"/>
      <c r="C1746" s="112"/>
      <c r="D1746" s="112"/>
      <c r="E1746" s="107"/>
      <c r="F1746" s="108"/>
      <c r="G1746" s="57"/>
      <c r="H1746" s="65"/>
      <c r="I1746" s="69" t="str">
        <f t="shared" si="278"/>
        <v/>
      </c>
      <c r="J1746" s="64" t="str">
        <f t="shared" si="279"/>
        <v/>
      </c>
      <c r="K1746" s="64" t="str">
        <f t="shared" si="280"/>
        <v/>
      </c>
    </row>
    <row r="1747" spans="1:11" ht="17.25" x14ac:dyDescent="0.35">
      <c r="B1747" s="328"/>
      <c r="C1747" s="112"/>
      <c r="D1747" s="112"/>
      <c r="E1747" s="107"/>
      <c r="F1747" s="108"/>
      <c r="G1747" s="57"/>
      <c r="H1747" s="65"/>
      <c r="I1747" s="69" t="str">
        <f t="shared" si="278"/>
        <v/>
      </c>
      <c r="J1747" s="64" t="str">
        <f t="shared" si="279"/>
        <v/>
      </c>
      <c r="K1747" s="64" t="str">
        <f t="shared" si="280"/>
        <v/>
      </c>
    </row>
    <row r="1748" spans="1:11" ht="17.25" x14ac:dyDescent="0.35">
      <c r="B1748" s="328"/>
      <c r="C1748" s="112"/>
      <c r="D1748" s="112"/>
      <c r="E1748" s="107"/>
      <c r="F1748" s="108"/>
      <c r="G1748" s="57"/>
      <c r="H1748" s="65"/>
      <c r="I1748" s="69" t="str">
        <f t="shared" si="278"/>
        <v/>
      </c>
      <c r="J1748" s="64" t="str">
        <f t="shared" si="279"/>
        <v/>
      </c>
      <c r="K1748" s="64" t="str">
        <f t="shared" si="280"/>
        <v/>
      </c>
    </row>
    <row r="1749" spans="1:11" ht="17.25" x14ac:dyDescent="0.35">
      <c r="B1749" s="328"/>
      <c r="C1749" s="112"/>
      <c r="D1749" s="112"/>
      <c r="E1749" s="107"/>
      <c r="F1749" s="108"/>
      <c r="G1749" s="57"/>
      <c r="H1749" s="65"/>
      <c r="I1749" s="69" t="str">
        <f t="shared" si="278"/>
        <v/>
      </c>
      <c r="J1749" s="64" t="str">
        <f t="shared" si="279"/>
        <v/>
      </c>
      <c r="K1749" s="64" t="str">
        <f t="shared" si="280"/>
        <v/>
      </c>
    </row>
    <row r="1750" spans="1:11" ht="18" customHeight="1" x14ac:dyDescent="0.2">
      <c r="B1750" s="561" t="s">
        <v>22</v>
      </c>
      <c r="C1750" s="561" t="s">
        <v>177</v>
      </c>
      <c r="D1750" s="561" t="s">
        <v>243</v>
      </c>
      <c r="E1750" s="561" t="s">
        <v>23</v>
      </c>
      <c r="F1750" s="562" t="s">
        <v>234</v>
      </c>
      <c r="G1750" s="562"/>
      <c r="H1750" s="562"/>
      <c r="I1750" s="562"/>
      <c r="J1750" s="562"/>
      <c r="K1750" s="562"/>
    </row>
    <row r="1751" spans="1:11" ht="21" x14ac:dyDescent="0.2">
      <c r="A1751" s="114" t="s">
        <v>1105</v>
      </c>
      <c r="B1751" s="432" t="s">
        <v>2647</v>
      </c>
      <c r="C1751" s="115" t="s">
        <v>2516</v>
      </c>
      <c r="D1751" s="114" t="s">
        <v>574</v>
      </c>
      <c r="E1751" s="329" t="str">
        <f>IF($O$95="","",$O$95)</f>
        <v>Munic. de BDP - Área 7.1</v>
      </c>
      <c r="F1751" s="563">
        <f>IF(B1751="","",VLOOKUP(E1751,$O$2:$T$120,6,0))</f>
        <v>62021</v>
      </c>
      <c r="G1751" s="564"/>
      <c r="H1751" s="564"/>
      <c r="I1751" s="564"/>
      <c r="J1751" s="564"/>
      <c r="K1751" s="565"/>
    </row>
    <row r="1752" spans="1:11" ht="43.5" x14ac:dyDescent="0.2">
      <c r="A1752" s="166" t="s">
        <v>779</v>
      </c>
      <c r="B1752" s="116" t="s">
        <v>0</v>
      </c>
      <c r="C1752" s="116" t="s">
        <v>20</v>
      </c>
      <c r="D1752" s="116" t="s">
        <v>21</v>
      </c>
      <c r="E1752" s="116" t="s">
        <v>1</v>
      </c>
      <c r="F1752" s="117" t="s">
        <v>3</v>
      </c>
      <c r="G1752" s="116" t="s">
        <v>216</v>
      </c>
      <c r="H1752" s="180" t="s">
        <v>242</v>
      </c>
      <c r="I1752" s="116" t="s">
        <v>245</v>
      </c>
      <c r="J1752" s="116" t="s">
        <v>217</v>
      </c>
      <c r="K1752" s="116" t="s">
        <v>218</v>
      </c>
    </row>
    <row r="1753" spans="1:11" ht="17.25" x14ac:dyDescent="0.35">
      <c r="B1753" s="418" t="s">
        <v>2091</v>
      </c>
      <c r="C1753" s="152" t="s">
        <v>1830</v>
      </c>
      <c r="D1753" s="152" t="s">
        <v>2092</v>
      </c>
      <c r="E1753" s="107" t="s">
        <v>55</v>
      </c>
      <c r="F1753" s="333">
        <v>14</v>
      </c>
      <c r="G1753" s="57">
        <v>14</v>
      </c>
      <c r="H1753" s="65">
        <v>1</v>
      </c>
      <c r="I1753" s="69">
        <f t="shared" ref="I1753:I1768" si="281">IF(G1753="","",SUM(G1753:H1753))</f>
        <v>15</v>
      </c>
      <c r="J1753" s="64">
        <f>IF(G1753="","",ROUNDUP(G1753*0.65,0))</f>
        <v>10</v>
      </c>
      <c r="K1753" s="64">
        <f>IF(G1753="","",ROUNDUP(G1753*0.55,0))</f>
        <v>8</v>
      </c>
    </row>
    <row r="1754" spans="1:11" ht="17.25" x14ac:dyDescent="0.35">
      <c r="B1754" s="418" t="s">
        <v>2093</v>
      </c>
      <c r="C1754" s="152" t="s">
        <v>1830</v>
      </c>
      <c r="D1754" s="152" t="s">
        <v>2094</v>
      </c>
      <c r="E1754" s="107" t="s">
        <v>55</v>
      </c>
      <c r="F1754" s="333">
        <v>14</v>
      </c>
      <c r="G1754" s="57">
        <v>14</v>
      </c>
      <c r="H1754" s="65">
        <v>1</v>
      </c>
      <c r="I1754" s="69">
        <f t="shared" si="281"/>
        <v>15</v>
      </c>
      <c r="J1754" s="64">
        <f t="shared" ref="J1754:J1768" si="282">IF(G1754="","",ROUNDUP(G1754*0.65,0))</f>
        <v>10</v>
      </c>
      <c r="K1754" s="64">
        <f t="shared" ref="K1754:K1768" si="283">IF(G1754="","",ROUNDUP(G1754*0.55,0))</f>
        <v>8</v>
      </c>
    </row>
    <row r="1755" spans="1:11" ht="17.25" x14ac:dyDescent="0.35">
      <c r="B1755" s="418" t="s">
        <v>2095</v>
      </c>
      <c r="C1755" s="152" t="s">
        <v>1828</v>
      </c>
      <c r="D1755" s="152" t="s">
        <v>2096</v>
      </c>
      <c r="E1755" s="107" t="s">
        <v>265</v>
      </c>
      <c r="F1755" s="108">
        <v>12.5</v>
      </c>
      <c r="G1755" s="57">
        <v>17</v>
      </c>
      <c r="H1755" s="65">
        <v>2</v>
      </c>
      <c r="I1755" s="69">
        <f t="shared" si="281"/>
        <v>19</v>
      </c>
      <c r="J1755" s="64">
        <f t="shared" si="282"/>
        <v>12</v>
      </c>
      <c r="K1755" s="64">
        <f t="shared" si="283"/>
        <v>10</v>
      </c>
    </row>
    <row r="1756" spans="1:11" ht="17.25" x14ac:dyDescent="0.35">
      <c r="B1756" s="418" t="s">
        <v>2097</v>
      </c>
      <c r="C1756" s="152" t="s">
        <v>1828</v>
      </c>
      <c r="D1756" s="152" t="s">
        <v>2098</v>
      </c>
      <c r="E1756" s="107" t="s">
        <v>265</v>
      </c>
      <c r="F1756" s="108">
        <v>12.5</v>
      </c>
      <c r="G1756" s="57">
        <v>17</v>
      </c>
      <c r="H1756" s="65">
        <v>3</v>
      </c>
      <c r="I1756" s="69">
        <f t="shared" si="281"/>
        <v>20</v>
      </c>
      <c r="J1756" s="64">
        <f t="shared" si="282"/>
        <v>12</v>
      </c>
      <c r="K1756" s="64">
        <f t="shared" si="283"/>
        <v>10</v>
      </c>
    </row>
    <row r="1757" spans="1:11" ht="17.25" x14ac:dyDescent="0.35">
      <c r="B1757" s="418" t="s">
        <v>2099</v>
      </c>
      <c r="C1757" s="152" t="s">
        <v>1828</v>
      </c>
      <c r="D1757" s="152" t="s">
        <v>2092</v>
      </c>
      <c r="E1757" s="107" t="s">
        <v>265</v>
      </c>
      <c r="F1757" s="108">
        <v>12.5</v>
      </c>
      <c r="G1757" s="57">
        <v>18</v>
      </c>
      <c r="H1757" s="65">
        <v>3</v>
      </c>
      <c r="I1757" s="69">
        <f t="shared" si="281"/>
        <v>21</v>
      </c>
      <c r="J1757" s="64">
        <f t="shared" si="282"/>
        <v>12</v>
      </c>
      <c r="K1757" s="64">
        <f t="shared" si="283"/>
        <v>10</v>
      </c>
    </row>
    <row r="1758" spans="1:11" ht="17.25" x14ac:dyDescent="0.35">
      <c r="B1758" s="328"/>
      <c r="C1758" s="152"/>
      <c r="D1758" s="152"/>
      <c r="E1758" s="107"/>
      <c r="F1758" s="108"/>
      <c r="G1758" s="57"/>
      <c r="H1758" s="65"/>
      <c r="I1758" s="69" t="str">
        <f t="shared" si="281"/>
        <v/>
      </c>
      <c r="J1758" s="64" t="str">
        <f t="shared" si="282"/>
        <v/>
      </c>
      <c r="K1758" s="64" t="str">
        <f t="shared" si="283"/>
        <v/>
      </c>
    </row>
    <row r="1759" spans="1:11" ht="17.25" x14ac:dyDescent="0.35">
      <c r="B1759" s="328"/>
      <c r="C1759" s="152"/>
      <c r="D1759" s="152"/>
      <c r="E1759" s="107"/>
      <c r="F1759" s="108"/>
      <c r="G1759" s="57"/>
      <c r="H1759" s="65"/>
      <c r="I1759" s="69" t="str">
        <f t="shared" si="281"/>
        <v/>
      </c>
      <c r="J1759" s="64" t="str">
        <f t="shared" si="282"/>
        <v/>
      </c>
      <c r="K1759" s="64" t="str">
        <f t="shared" si="283"/>
        <v/>
      </c>
    </row>
    <row r="1760" spans="1:11" ht="17.25" x14ac:dyDescent="0.35">
      <c r="B1760" s="328"/>
      <c r="C1760" s="152"/>
      <c r="D1760" s="152"/>
      <c r="E1760" s="107"/>
      <c r="F1760" s="108"/>
      <c r="G1760" s="57"/>
      <c r="H1760" s="65"/>
      <c r="I1760" s="69" t="str">
        <f t="shared" si="281"/>
        <v/>
      </c>
      <c r="J1760" s="64" t="str">
        <f t="shared" si="282"/>
        <v/>
      </c>
      <c r="K1760" s="64" t="str">
        <f t="shared" si="283"/>
        <v/>
      </c>
    </row>
    <row r="1761" spans="1:11" ht="17.25" x14ac:dyDescent="0.35">
      <c r="B1761" s="328"/>
      <c r="C1761" s="112"/>
      <c r="D1761" s="113"/>
      <c r="E1761" s="107"/>
      <c r="F1761" s="108"/>
      <c r="G1761" s="57"/>
      <c r="H1761" s="65"/>
      <c r="I1761" s="69" t="str">
        <f t="shared" si="281"/>
        <v/>
      </c>
      <c r="J1761" s="64" t="str">
        <f t="shared" si="282"/>
        <v/>
      </c>
      <c r="K1761" s="64" t="str">
        <f t="shared" si="283"/>
        <v/>
      </c>
    </row>
    <row r="1762" spans="1:11" ht="17.25" x14ac:dyDescent="0.35">
      <c r="B1762" s="328"/>
      <c r="C1762" s="112"/>
      <c r="D1762" s="112"/>
      <c r="E1762" s="107"/>
      <c r="F1762" s="108"/>
      <c r="G1762" s="57"/>
      <c r="H1762" s="65"/>
      <c r="I1762" s="69" t="str">
        <f t="shared" si="281"/>
        <v/>
      </c>
      <c r="J1762" s="64" t="str">
        <f t="shared" si="282"/>
        <v/>
      </c>
      <c r="K1762" s="64" t="str">
        <f t="shared" si="283"/>
        <v/>
      </c>
    </row>
    <row r="1763" spans="1:11" ht="17.25" x14ac:dyDescent="0.35">
      <c r="B1763" s="328"/>
      <c r="C1763" s="112"/>
      <c r="D1763" s="112"/>
      <c r="E1763" s="107"/>
      <c r="F1763" s="108"/>
      <c r="G1763" s="57"/>
      <c r="H1763" s="65"/>
      <c r="I1763" s="69" t="str">
        <f t="shared" si="281"/>
        <v/>
      </c>
      <c r="J1763" s="64" t="str">
        <f t="shared" si="282"/>
        <v/>
      </c>
      <c r="K1763" s="64" t="str">
        <f t="shared" si="283"/>
        <v/>
      </c>
    </row>
    <row r="1764" spans="1:11" ht="17.25" x14ac:dyDescent="0.35">
      <c r="B1764" s="328"/>
      <c r="C1764" s="112"/>
      <c r="D1764" s="112"/>
      <c r="E1764" s="107"/>
      <c r="F1764" s="108"/>
      <c r="G1764" s="57"/>
      <c r="H1764" s="65"/>
      <c r="I1764" s="69" t="str">
        <f t="shared" si="281"/>
        <v/>
      </c>
      <c r="J1764" s="64" t="str">
        <f t="shared" si="282"/>
        <v/>
      </c>
      <c r="K1764" s="64" t="str">
        <f t="shared" si="283"/>
        <v/>
      </c>
    </row>
    <row r="1765" spans="1:11" ht="17.25" x14ac:dyDescent="0.35">
      <c r="B1765" s="328"/>
      <c r="C1765" s="112"/>
      <c r="D1765" s="112"/>
      <c r="E1765" s="107"/>
      <c r="F1765" s="108"/>
      <c r="G1765" s="57"/>
      <c r="H1765" s="65"/>
      <c r="I1765" s="69" t="str">
        <f t="shared" si="281"/>
        <v/>
      </c>
      <c r="J1765" s="64" t="str">
        <f t="shared" si="282"/>
        <v/>
      </c>
      <c r="K1765" s="64" t="str">
        <f t="shared" si="283"/>
        <v/>
      </c>
    </row>
    <row r="1766" spans="1:11" ht="17.25" x14ac:dyDescent="0.35">
      <c r="B1766" s="328"/>
      <c r="C1766" s="112"/>
      <c r="D1766" s="112"/>
      <c r="E1766" s="107"/>
      <c r="F1766" s="108"/>
      <c r="G1766" s="57"/>
      <c r="H1766" s="65"/>
      <c r="I1766" s="69" t="str">
        <f t="shared" si="281"/>
        <v/>
      </c>
      <c r="J1766" s="64" t="str">
        <f t="shared" si="282"/>
        <v/>
      </c>
      <c r="K1766" s="64" t="str">
        <f t="shared" si="283"/>
        <v/>
      </c>
    </row>
    <row r="1767" spans="1:11" ht="17.25" x14ac:dyDescent="0.35">
      <c r="B1767" s="328"/>
      <c r="C1767" s="112"/>
      <c r="D1767" s="112"/>
      <c r="E1767" s="107"/>
      <c r="F1767" s="108"/>
      <c r="G1767" s="57"/>
      <c r="H1767" s="65"/>
      <c r="I1767" s="69" t="str">
        <f t="shared" si="281"/>
        <v/>
      </c>
      <c r="J1767" s="64" t="str">
        <f t="shared" si="282"/>
        <v/>
      </c>
      <c r="K1767" s="64" t="str">
        <f t="shared" si="283"/>
        <v/>
      </c>
    </row>
    <row r="1768" spans="1:11" ht="17.25" x14ac:dyDescent="0.35">
      <c r="B1768" s="328"/>
      <c r="C1768" s="112"/>
      <c r="D1768" s="112"/>
      <c r="E1768" s="107"/>
      <c r="F1768" s="108"/>
      <c r="G1768" s="57"/>
      <c r="H1768" s="65"/>
      <c r="I1768" s="69" t="str">
        <f t="shared" si="281"/>
        <v/>
      </c>
      <c r="J1768" s="64" t="str">
        <f t="shared" si="282"/>
        <v/>
      </c>
      <c r="K1768" s="64" t="str">
        <f t="shared" si="283"/>
        <v/>
      </c>
    </row>
    <row r="1769" spans="1:11" ht="18" customHeight="1" x14ac:dyDescent="0.2">
      <c r="B1769" s="561" t="s">
        <v>22</v>
      </c>
      <c r="C1769" s="561" t="s">
        <v>177</v>
      </c>
      <c r="D1769" s="561" t="s">
        <v>243</v>
      </c>
      <c r="E1769" s="561" t="s">
        <v>23</v>
      </c>
      <c r="F1769" s="562" t="s">
        <v>234</v>
      </c>
      <c r="G1769" s="562"/>
      <c r="H1769" s="562"/>
      <c r="I1769" s="562"/>
      <c r="J1769" s="562"/>
      <c r="K1769" s="562"/>
    </row>
    <row r="1770" spans="1:11" ht="21" x14ac:dyDescent="0.2">
      <c r="A1770" s="114" t="s">
        <v>1106</v>
      </c>
      <c r="B1770" s="432" t="s">
        <v>2648</v>
      </c>
      <c r="C1770" s="115" t="s">
        <v>2516</v>
      </c>
      <c r="D1770" s="114" t="s">
        <v>574</v>
      </c>
      <c r="E1770" s="329" t="str">
        <f>IF($O$96="","",$O$96)</f>
        <v>Munic. de BDP - Área 7.2</v>
      </c>
      <c r="F1770" s="563">
        <f>IF(B1770="","",VLOOKUP(E1770,$O$2:$T$120,6,0))</f>
        <v>72099</v>
      </c>
      <c r="G1770" s="564"/>
      <c r="H1770" s="564"/>
      <c r="I1770" s="564"/>
      <c r="J1770" s="564"/>
      <c r="K1770" s="565"/>
    </row>
    <row r="1771" spans="1:11" ht="43.5" x14ac:dyDescent="0.2">
      <c r="A1771" s="166" t="s">
        <v>779</v>
      </c>
      <c r="B1771" s="116" t="s">
        <v>0</v>
      </c>
      <c r="C1771" s="116" t="s">
        <v>20</v>
      </c>
      <c r="D1771" s="116" t="s">
        <v>21</v>
      </c>
      <c r="E1771" s="116" t="s">
        <v>1</v>
      </c>
      <c r="F1771" s="117" t="s">
        <v>3</v>
      </c>
      <c r="G1771" s="116" t="s">
        <v>216</v>
      </c>
      <c r="H1771" s="180" t="s">
        <v>242</v>
      </c>
      <c r="I1771" s="116" t="s">
        <v>245</v>
      </c>
      <c r="J1771" s="116" t="s">
        <v>217</v>
      </c>
      <c r="K1771" s="116" t="s">
        <v>218</v>
      </c>
    </row>
    <row r="1772" spans="1:11" ht="17.25" x14ac:dyDescent="0.35">
      <c r="B1772" s="418" t="s">
        <v>2100</v>
      </c>
      <c r="C1772" s="152" t="s">
        <v>1938</v>
      </c>
      <c r="D1772" s="152" t="s">
        <v>2092</v>
      </c>
      <c r="E1772" s="107" t="s">
        <v>55</v>
      </c>
      <c r="F1772" s="333">
        <v>14</v>
      </c>
      <c r="G1772" s="57">
        <v>14</v>
      </c>
      <c r="H1772" s="65">
        <v>2</v>
      </c>
      <c r="I1772" s="69">
        <f t="shared" ref="I1772:I1787" si="284">IF(G1772="","",SUM(G1772:H1772))</f>
        <v>16</v>
      </c>
      <c r="J1772" s="64">
        <f>IF(G1772="","",ROUNDUP(G1772*0.65,0))</f>
        <v>10</v>
      </c>
      <c r="K1772" s="64">
        <f>IF(G1772="","",ROUNDUP(G1772*0.55,0))</f>
        <v>8</v>
      </c>
    </row>
    <row r="1773" spans="1:11" ht="17.25" x14ac:dyDescent="0.35">
      <c r="B1773" s="418" t="s">
        <v>2101</v>
      </c>
      <c r="C1773" s="152" t="s">
        <v>1938</v>
      </c>
      <c r="D1773" s="152" t="s">
        <v>2102</v>
      </c>
      <c r="E1773" s="107" t="s">
        <v>55</v>
      </c>
      <c r="F1773" s="333">
        <v>14</v>
      </c>
      <c r="G1773" s="57">
        <v>14</v>
      </c>
      <c r="H1773" s="65">
        <v>2</v>
      </c>
      <c r="I1773" s="69">
        <f t="shared" si="284"/>
        <v>16</v>
      </c>
      <c r="J1773" s="64">
        <f t="shared" ref="J1773:J1787" si="285">IF(G1773="","",ROUNDUP(G1773*0.65,0))</f>
        <v>10</v>
      </c>
      <c r="K1773" s="64">
        <f t="shared" ref="K1773:K1787" si="286">IF(G1773="","",ROUNDUP(G1773*0.55,0))</f>
        <v>8</v>
      </c>
    </row>
    <row r="1774" spans="1:11" ht="17.25" x14ac:dyDescent="0.35">
      <c r="B1774" s="418" t="s">
        <v>2103</v>
      </c>
      <c r="C1774" s="152" t="s">
        <v>1938</v>
      </c>
      <c r="D1774" s="152" t="s">
        <v>2104</v>
      </c>
      <c r="E1774" s="107" t="s">
        <v>55</v>
      </c>
      <c r="F1774" s="333">
        <v>14</v>
      </c>
      <c r="G1774" s="57">
        <v>17</v>
      </c>
      <c r="H1774" s="65">
        <v>2</v>
      </c>
      <c r="I1774" s="69">
        <f t="shared" si="284"/>
        <v>19</v>
      </c>
      <c r="J1774" s="64">
        <f t="shared" si="285"/>
        <v>12</v>
      </c>
      <c r="K1774" s="64">
        <f t="shared" si="286"/>
        <v>10</v>
      </c>
    </row>
    <row r="1775" spans="1:11" ht="17.25" x14ac:dyDescent="0.35">
      <c r="B1775" s="418" t="s">
        <v>2105</v>
      </c>
      <c r="C1775" s="152" t="s">
        <v>1938</v>
      </c>
      <c r="D1775" s="152" t="s">
        <v>2106</v>
      </c>
      <c r="E1775" s="107" t="s">
        <v>265</v>
      </c>
      <c r="F1775" s="108">
        <v>12.5</v>
      </c>
      <c r="G1775" s="57">
        <v>17</v>
      </c>
      <c r="H1775" s="65">
        <v>2</v>
      </c>
      <c r="I1775" s="69">
        <f t="shared" si="284"/>
        <v>19</v>
      </c>
      <c r="J1775" s="64">
        <f t="shared" si="285"/>
        <v>12</v>
      </c>
      <c r="K1775" s="64">
        <f t="shared" si="286"/>
        <v>10</v>
      </c>
    </row>
    <row r="1776" spans="1:11" ht="17.25" x14ac:dyDescent="0.35">
      <c r="B1776" s="418" t="s">
        <v>2107</v>
      </c>
      <c r="C1776" s="152" t="s">
        <v>1938</v>
      </c>
      <c r="D1776" s="152" t="s">
        <v>2108</v>
      </c>
      <c r="E1776" s="107" t="s">
        <v>265</v>
      </c>
      <c r="F1776" s="108">
        <v>12.5</v>
      </c>
      <c r="G1776" s="57">
        <v>17</v>
      </c>
      <c r="H1776" s="65">
        <v>2</v>
      </c>
      <c r="I1776" s="69">
        <f t="shared" si="284"/>
        <v>19</v>
      </c>
      <c r="J1776" s="64">
        <f t="shared" si="285"/>
        <v>12</v>
      </c>
      <c r="K1776" s="64">
        <f t="shared" si="286"/>
        <v>10</v>
      </c>
    </row>
    <row r="1777" spans="1:11" ht="17.25" x14ac:dyDescent="0.35">
      <c r="B1777" s="418" t="s">
        <v>2109</v>
      </c>
      <c r="C1777" s="152" t="s">
        <v>1938</v>
      </c>
      <c r="D1777" s="152" t="s">
        <v>2110</v>
      </c>
      <c r="E1777" s="107" t="s">
        <v>265</v>
      </c>
      <c r="F1777" s="108">
        <v>12.5</v>
      </c>
      <c r="G1777" s="57">
        <v>14</v>
      </c>
      <c r="H1777" s="65">
        <v>2</v>
      </c>
      <c r="I1777" s="69">
        <f t="shared" si="284"/>
        <v>16</v>
      </c>
      <c r="J1777" s="64">
        <f t="shared" si="285"/>
        <v>10</v>
      </c>
      <c r="K1777" s="64">
        <f t="shared" si="286"/>
        <v>8</v>
      </c>
    </row>
    <row r="1778" spans="1:11" ht="17.25" x14ac:dyDescent="0.35">
      <c r="B1778" s="328"/>
      <c r="C1778" s="152"/>
      <c r="D1778" s="152"/>
      <c r="E1778" s="107"/>
      <c r="F1778" s="108"/>
      <c r="G1778" s="57"/>
      <c r="H1778" s="65"/>
      <c r="I1778" s="69" t="str">
        <f t="shared" si="284"/>
        <v/>
      </c>
      <c r="J1778" s="64" t="str">
        <f t="shared" si="285"/>
        <v/>
      </c>
      <c r="K1778" s="64" t="str">
        <f t="shared" si="286"/>
        <v/>
      </c>
    </row>
    <row r="1779" spans="1:11" ht="17.25" x14ac:dyDescent="0.35">
      <c r="B1779" s="328"/>
      <c r="C1779" s="152"/>
      <c r="D1779" s="152"/>
      <c r="E1779" s="107"/>
      <c r="F1779" s="108"/>
      <c r="G1779" s="57"/>
      <c r="H1779" s="65"/>
      <c r="I1779" s="69" t="str">
        <f t="shared" si="284"/>
        <v/>
      </c>
      <c r="J1779" s="64" t="str">
        <f t="shared" si="285"/>
        <v/>
      </c>
      <c r="K1779" s="64" t="str">
        <f t="shared" si="286"/>
        <v/>
      </c>
    </row>
    <row r="1780" spans="1:11" ht="17.25" x14ac:dyDescent="0.35">
      <c r="B1780" s="328"/>
      <c r="C1780" s="112"/>
      <c r="D1780" s="113"/>
      <c r="E1780" s="107"/>
      <c r="F1780" s="108"/>
      <c r="G1780" s="57"/>
      <c r="H1780" s="65"/>
      <c r="I1780" s="69" t="str">
        <f t="shared" si="284"/>
        <v/>
      </c>
      <c r="J1780" s="64" t="str">
        <f t="shared" si="285"/>
        <v/>
      </c>
      <c r="K1780" s="64" t="str">
        <f t="shared" si="286"/>
        <v/>
      </c>
    </row>
    <row r="1781" spans="1:11" ht="17.25" x14ac:dyDescent="0.35">
      <c r="B1781" s="328"/>
      <c r="C1781" s="112"/>
      <c r="D1781" s="112"/>
      <c r="E1781" s="107"/>
      <c r="F1781" s="108"/>
      <c r="G1781" s="57"/>
      <c r="H1781" s="65"/>
      <c r="I1781" s="69" t="str">
        <f t="shared" si="284"/>
        <v/>
      </c>
      <c r="J1781" s="64" t="str">
        <f t="shared" si="285"/>
        <v/>
      </c>
      <c r="K1781" s="64" t="str">
        <f t="shared" si="286"/>
        <v/>
      </c>
    </row>
    <row r="1782" spans="1:11" ht="17.25" x14ac:dyDescent="0.35">
      <c r="B1782" s="328"/>
      <c r="C1782" s="112"/>
      <c r="D1782" s="112"/>
      <c r="E1782" s="107"/>
      <c r="F1782" s="108"/>
      <c r="G1782" s="57"/>
      <c r="H1782" s="65"/>
      <c r="I1782" s="69" t="str">
        <f t="shared" si="284"/>
        <v/>
      </c>
      <c r="J1782" s="64" t="str">
        <f t="shared" si="285"/>
        <v/>
      </c>
      <c r="K1782" s="64" t="str">
        <f t="shared" si="286"/>
        <v/>
      </c>
    </row>
    <row r="1783" spans="1:11" ht="17.25" x14ac:dyDescent="0.35">
      <c r="B1783" s="328"/>
      <c r="C1783" s="112"/>
      <c r="D1783" s="112"/>
      <c r="E1783" s="107"/>
      <c r="F1783" s="108"/>
      <c r="G1783" s="57"/>
      <c r="H1783" s="65"/>
      <c r="I1783" s="69" t="str">
        <f t="shared" si="284"/>
        <v/>
      </c>
      <c r="J1783" s="64" t="str">
        <f t="shared" si="285"/>
        <v/>
      </c>
      <c r="K1783" s="64" t="str">
        <f t="shared" si="286"/>
        <v/>
      </c>
    </row>
    <row r="1784" spans="1:11" ht="17.25" x14ac:dyDescent="0.35">
      <c r="B1784" s="328"/>
      <c r="C1784" s="112"/>
      <c r="D1784" s="112"/>
      <c r="E1784" s="107"/>
      <c r="F1784" s="108"/>
      <c r="G1784" s="57"/>
      <c r="H1784" s="65"/>
      <c r="I1784" s="69" t="str">
        <f t="shared" si="284"/>
        <v/>
      </c>
      <c r="J1784" s="64" t="str">
        <f t="shared" si="285"/>
        <v/>
      </c>
      <c r="K1784" s="64" t="str">
        <f t="shared" si="286"/>
        <v/>
      </c>
    </row>
    <row r="1785" spans="1:11" ht="17.25" x14ac:dyDescent="0.35">
      <c r="B1785" s="328"/>
      <c r="C1785" s="112"/>
      <c r="D1785" s="112"/>
      <c r="E1785" s="107"/>
      <c r="F1785" s="108"/>
      <c r="G1785" s="57"/>
      <c r="H1785" s="65"/>
      <c r="I1785" s="69" t="str">
        <f t="shared" si="284"/>
        <v/>
      </c>
      <c r="J1785" s="64" t="str">
        <f t="shared" si="285"/>
        <v/>
      </c>
      <c r="K1785" s="64" t="str">
        <f t="shared" si="286"/>
        <v/>
      </c>
    </row>
    <row r="1786" spans="1:11" ht="17.25" x14ac:dyDescent="0.35">
      <c r="B1786" s="328"/>
      <c r="C1786" s="112"/>
      <c r="D1786" s="112"/>
      <c r="E1786" s="107"/>
      <c r="F1786" s="108"/>
      <c r="G1786" s="57"/>
      <c r="H1786" s="65"/>
      <c r="I1786" s="69" t="str">
        <f t="shared" si="284"/>
        <v/>
      </c>
      <c r="J1786" s="64" t="str">
        <f t="shared" si="285"/>
        <v/>
      </c>
      <c r="K1786" s="64" t="str">
        <f t="shared" si="286"/>
        <v/>
      </c>
    </row>
    <row r="1787" spans="1:11" ht="17.25" x14ac:dyDescent="0.35">
      <c r="B1787" s="328"/>
      <c r="C1787" s="112"/>
      <c r="D1787" s="112"/>
      <c r="E1787" s="107"/>
      <c r="F1787" s="108"/>
      <c r="G1787" s="57"/>
      <c r="H1787" s="65"/>
      <c r="I1787" s="69" t="str">
        <f t="shared" si="284"/>
        <v/>
      </c>
      <c r="J1787" s="64" t="str">
        <f t="shared" si="285"/>
        <v/>
      </c>
      <c r="K1787" s="64" t="str">
        <f t="shared" si="286"/>
        <v/>
      </c>
    </row>
    <row r="1788" spans="1:11" ht="18" customHeight="1" x14ac:dyDescent="0.2">
      <c r="B1788" s="561" t="s">
        <v>22</v>
      </c>
      <c r="C1788" s="561" t="s">
        <v>177</v>
      </c>
      <c r="D1788" s="561" t="s">
        <v>243</v>
      </c>
      <c r="E1788" s="561" t="s">
        <v>23</v>
      </c>
      <c r="F1788" s="566" t="s">
        <v>234</v>
      </c>
      <c r="G1788" s="567"/>
      <c r="H1788" s="567"/>
      <c r="I1788" s="567"/>
      <c r="J1788" s="567"/>
      <c r="K1788" s="568"/>
    </row>
    <row r="1789" spans="1:11" ht="21" x14ac:dyDescent="0.2">
      <c r="A1789" s="114" t="s">
        <v>1107</v>
      </c>
      <c r="B1789" s="434" t="s">
        <v>2628</v>
      </c>
      <c r="C1789" s="115" t="s">
        <v>498</v>
      </c>
      <c r="D1789" s="114" t="s">
        <v>499</v>
      </c>
      <c r="E1789" s="329" t="str">
        <f>IF($O$97="","",$O$97)</f>
        <v>Metropolitana de Tupinambá - Área 1</v>
      </c>
      <c r="F1789" s="563">
        <f>IF(B1789="","",VLOOKUP(E1789,$O$2:$T$120,6,0))</f>
        <v>92256</v>
      </c>
      <c r="G1789" s="564"/>
      <c r="H1789" s="564"/>
      <c r="I1789" s="564"/>
      <c r="J1789" s="564"/>
      <c r="K1789" s="565"/>
    </row>
    <row r="1790" spans="1:11" ht="43.5" x14ac:dyDescent="0.2">
      <c r="B1790" s="116" t="s">
        <v>0</v>
      </c>
      <c r="C1790" s="116" t="s">
        <v>20</v>
      </c>
      <c r="D1790" s="116" t="s">
        <v>21</v>
      </c>
      <c r="E1790" s="116" t="s">
        <v>1</v>
      </c>
      <c r="F1790" s="117" t="s">
        <v>3</v>
      </c>
      <c r="G1790" s="116" t="s">
        <v>216</v>
      </c>
      <c r="H1790" s="180" t="s">
        <v>242</v>
      </c>
      <c r="I1790" s="116" t="s">
        <v>245</v>
      </c>
      <c r="J1790" s="116" t="s">
        <v>217</v>
      </c>
      <c r="K1790" s="116" t="s">
        <v>218</v>
      </c>
    </row>
    <row r="1791" spans="1:11" ht="17.25" x14ac:dyDescent="0.2">
      <c r="B1791" s="419" t="s">
        <v>2130</v>
      </c>
      <c r="C1791" s="112" t="s">
        <v>2131</v>
      </c>
      <c r="D1791" s="112" t="s">
        <v>2132</v>
      </c>
      <c r="E1791" s="107" t="s">
        <v>57</v>
      </c>
      <c r="F1791" s="108">
        <v>23</v>
      </c>
      <c r="G1791" s="57">
        <v>14</v>
      </c>
      <c r="H1791" s="65">
        <v>3</v>
      </c>
      <c r="I1791" s="69">
        <f>IF(G1791="","",SUM(G1791:H1791))</f>
        <v>17</v>
      </c>
      <c r="J1791" s="64">
        <f>IF(G1791="","",ROUNDUP(G1791*0.65,0))</f>
        <v>10</v>
      </c>
      <c r="K1791" s="64">
        <f>IF(G1791="","",ROUNDUP(G1791*0.55,0))</f>
        <v>8</v>
      </c>
    </row>
    <row r="1792" spans="1:11" ht="17.25" x14ac:dyDescent="0.2">
      <c r="B1792" s="419" t="s">
        <v>2133</v>
      </c>
      <c r="C1792" s="112" t="s">
        <v>2131</v>
      </c>
      <c r="D1792" s="112" t="s">
        <v>2134</v>
      </c>
      <c r="E1792" s="107" t="s">
        <v>56</v>
      </c>
      <c r="F1792" s="333">
        <v>17.5</v>
      </c>
      <c r="G1792" s="57">
        <v>16</v>
      </c>
      <c r="H1792" s="65">
        <v>2</v>
      </c>
      <c r="I1792" s="69">
        <f t="shared" ref="I1792:I1801" si="287">IF(G1792="","",SUM(G1792:H1792))</f>
        <v>18</v>
      </c>
      <c r="J1792" s="64">
        <f t="shared" ref="J1792:J1806" si="288">IF(G1792="","",ROUNDUP(G1792*0.65,0))</f>
        <v>11</v>
      </c>
      <c r="K1792" s="64">
        <f t="shared" ref="K1792:K1806" si="289">IF(G1792="","",ROUNDUP(G1792*0.55,0))</f>
        <v>9</v>
      </c>
    </row>
    <row r="1793" spans="1:11" ht="17.25" x14ac:dyDescent="0.2">
      <c r="B1793" s="419" t="s">
        <v>2135</v>
      </c>
      <c r="C1793" s="112" t="s">
        <v>2131</v>
      </c>
      <c r="D1793" s="112" t="s">
        <v>2136</v>
      </c>
      <c r="E1793" s="107" t="s">
        <v>1019</v>
      </c>
      <c r="F1793" s="108">
        <v>16.5</v>
      </c>
      <c r="G1793" s="57">
        <v>13</v>
      </c>
      <c r="H1793" s="65">
        <v>2</v>
      </c>
      <c r="I1793" s="69">
        <f t="shared" si="287"/>
        <v>15</v>
      </c>
      <c r="J1793" s="64">
        <f t="shared" si="288"/>
        <v>9</v>
      </c>
      <c r="K1793" s="64">
        <f t="shared" si="289"/>
        <v>8</v>
      </c>
    </row>
    <row r="1794" spans="1:11" ht="17.25" x14ac:dyDescent="0.2">
      <c r="B1794" s="419" t="s">
        <v>2137</v>
      </c>
      <c r="C1794" s="112" t="s">
        <v>2131</v>
      </c>
      <c r="D1794" s="112" t="s">
        <v>2138</v>
      </c>
      <c r="E1794" s="107" t="s">
        <v>55</v>
      </c>
      <c r="F1794" s="333">
        <v>14</v>
      </c>
      <c r="G1794" s="57">
        <v>12</v>
      </c>
      <c r="H1794" s="65">
        <v>2</v>
      </c>
      <c r="I1794" s="69">
        <f t="shared" si="287"/>
        <v>14</v>
      </c>
      <c r="J1794" s="64">
        <f t="shared" si="288"/>
        <v>8</v>
      </c>
      <c r="K1794" s="64">
        <f t="shared" si="289"/>
        <v>7</v>
      </c>
    </row>
    <row r="1795" spans="1:11" ht="17.25" x14ac:dyDescent="0.2">
      <c r="B1795" s="419" t="s">
        <v>2139</v>
      </c>
      <c r="C1795" s="112" t="s">
        <v>2131</v>
      </c>
      <c r="D1795" s="112" t="s">
        <v>2140</v>
      </c>
      <c r="E1795" s="107" t="s">
        <v>55</v>
      </c>
      <c r="F1795" s="333">
        <v>14</v>
      </c>
      <c r="G1795" s="57">
        <v>10</v>
      </c>
      <c r="H1795" s="65">
        <v>1</v>
      </c>
      <c r="I1795" s="69">
        <f t="shared" si="287"/>
        <v>11</v>
      </c>
      <c r="J1795" s="64">
        <f t="shared" si="288"/>
        <v>7</v>
      </c>
      <c r="K1795" s="64">
        <f t="shared" si="289"/>
        <v>6</v>
      </c>
    </row>
    <row r="1796" spans="1:11" ht="17.25" x14ac:dyDescent="0.2">
      <c r="B1796" s="419" t="s">
        <v>2141</v>
      </c>
      <c r="C1796" s="112" t="s">
        <v>2142</v>
      </c>
      <c r="D1796" s="112" t="s">
        <v>2132</v>
      </c>
      <c r="E1796" s="107" t="s">
        <v>265</v>
      </c>
      <c r="F1796" s="108">
        <v>12.5</v>
      </c>
      <c r="G1796" s="57">
        <v>10</v>
      </c>
      <c r="H1796" s="65">
        <v>3</v>
      </c>
      <c r="I1796" s="69">
        <f t="shared" si="287"/>
        <v>13</v>
      </c>
      <c r="J1796" s="64">
        <f t="shared" si="288"/>
        <v>7</v>
      </c>
      <c r="K1796" s="64">
        <f t="shared" si="289"/>
        <v>6</v>
      </c>
    </row>
    <row r="1797" spans="1:11" ht="17.25" x14ac:dyDescent="0.2">
      <c r="B1797" s="419" t="s">
        <v>2143</v>
      </c>
      <c r="C1797" s="112" t="s">
        <v>2144</v>
      </c>
      <c r="D1797" s="112" t="s">
        <v>2132</v>
      </c>
      <c r="E1797" s="107" t="s">
        <v>265</v>
      </c>
      <c r="F1797" s="108">
        <v>12.5</v>
      </c>
      <c r="G1797" s="57">
        <v>8</v>
      </c>
      <c r="H1797" s="65">
        <v>3</v>
      </c>
      <c r="I1797" s="69">
        <f t="shared" si="287"/>
        <v>11</v>
      </c>
      <c r="J1797" s="64">
        <f t="shared" si="288"/>
        <v>6</v>
      </c>
      <c r="K1797" s="64">
        <f t="shared" si="289"/>
        <v>5</v>
      </c>
    </row>
    <row r="1798" spans="1:11" ht="17.25" x14ac:dyDescent="0.2">
      <c r="B1798" s="419" t="s">
        <v>2145</v>
      </c>
      <c r="C1798" s="112" t="s">
        <v>2144</v>
      </c>
      <c r="D1798" s="112" t="s">
        <v>2134</v>
      </c>
      <c r="E1798" s="107" t="s">
        <v>265</v>
      </c>
      <c r="F1798" s="108">
        <v>12.5</v>
      </c>
      <c r="G1798" s="57">
        <v>8</v>
      </c>
      <c r="H1798" s="65">
        <v>3</v>
      </c>
      <c r="I1798" s="69">
        <f t="shared" si="287"/>
        <v>11</v>
      </c>
      <c r="J1798" s="64">
        <f t="shared" si="288"/>
        <v>6</v>
      </c>
      <c r="K1798" s="64">
        <f t="shared" si="289"/>
        <v>5</v>
      </c>
    </row>
    <row r="1799" spans="1:11" ht="17.25" x14ac:dyDescent="0.2">
      <c r="B1799" s="419" t="s">
        <v>2146</v>
      </c>
      <c r="C1799" s="112" t="s">
        <v>2147</v>
      </c>
      <c r="D1799" s="112" t="s">
        <v>2148</v>
      </c>
      <c r="E1799" s="107" t="s">
        <v>179</v>
      </c>
      <c r="F1799" s="108">
        <v>9.5</v>
      </c>
      <c r="G1799" s="57">
        <v>14</v>
      </c>
      <c r="H1799" s="65">
        <v>1</v>
      </c>
      <c r="I1799" s="69">
        <f t="shared" si="287"/>
        <v>15</v>
      </c>
      <c r="J1799" s="64">
        <f t="shared" si="288"/>
        <v>10</v>
      </c>
      <c r="K1799" s="64">
        <f t="shared" si="289"/>
        <v>8</v>
      </c>
    </row>
    <row r="1800" spans="1:11" ht="17.25" x14ac:dyDescent="0.2">
      <c r="B1800" s="419" t="s">
        <v>2149</v>
      </c>
      <c r="C1800" s="112" t="s">
        <v>2150</v>
      </c>
      <c r="D1800" s="112" t="s">
        <v>2132</v>
      </c>
      <c r="E1800" s="107" t="s">
        <v>179</v>
      </c>
      <c r="F1800" s="108">
        <v>9.5</v>
      </c>
      <c r="G1800" s="57">
        <v>14</v>
      </c>
      <c r="H1800" s="65">
        <v>1</v>
      </c>
      <c r="I1800" s="69">
        <f t="shared" si="287"/>
        <v>15</v>
      </c>
      <c r="J1800" s="64">
        <f t="shared" si="288"/>
        <v>10</v>
      </c>
      <c r="K1800" s="64">
        <f t="shared" si="289"/>
        <v>8</v>
      </c>
    </row>
    <row r="1801" spans="1:11" ht="17.25" x14ac:dyDescent="0.2">
      <c r="B1801" s="332"/>
      <c r="C1801" s="112"/>
      <c r="D1801" s="112"/>
      <c r="E1801" s="107"/>
      <c r="F1801" s="108"/>
      <c r="G1801" s="57"/>
      <c r="H1801" s="65"/>
      <c r="I1801" s="69" t="str">
        <f t="shared" si="287"/>
        <v/>
      </c>
      <c r="J1801" s="64" t="str">
        <f t="shared" si="288"/>
        <v/>
      </c>
      <c r="K1801" s="64" t="str">
        <f t="shared" si="289"/>
        <v/>
      </c>
    </row>
    <row r="1802" spans="1:11" ht="17.25" x14ac:dyDescent="0.2">
      <c r="B1802" s="332"/>
      <c r="C1802" s="112"/>
      <c r="D1802" s="112"/>
      <c r="E1802" s="107"/>
      <c r="F1802" s="108"/>
      <c r="G1802" s="57"/>
      <c r="H1802" s="65"/>
      <c r="I1802" s="69"/>
      <c r="J1802" s="64" t="str">
        <f t="shared" si="288"/>
        <v/>
      </c>
      <c r="K1802" s="64" t="str">
        <f t="shared" si="289"/>
        <v/>
      </c>
    </row>
    <row r="1803" spans="1:11" ht="17.25" x14ac:dyDescent="0.2">
      <c r="B1803" s="332"/>
      <c r="C1803" s="112"/>
      <c r="D1803" s="112"/>
      <c r="E1803" s="107"/>
      <c r="F1803" s="108"/>
      <c r="G1803" s="57"/>
      <c r="H1803" s="65"/>
      <c r="I1803" s="69"/>
      <c r="J1803" s="64" t="str">
        <f t="shared" si="288"/>
        <v/>
      </c>
      <c r="K1803" s="64" t="str">
        <f t="shared" si="289"/>
        <v/>
      </c>
    </row>
    <row r="1804" spans="1:11" ht="17.25" x14ac:dyDescent="0.2">
      <c r="B1804" s="332"/>
      <c r="C1804" s="112"/>
      <c r="D1804" s="112"/>
      <c r="E1804" s="107"/>
      <c r="F1804" s="108"/>
      <c r="G1804" s="57"/>
      <c r="H1804" s="65"/>
      <c r="I1804" s="69"/>
      <c r="J1804" s="64" t="str">
        <f t="shared" si="288"/>
        <v/>
      </c>
      <c r="K1804" s="64" t="str">
        <f t="shared" si="289"/>
        <v/>
      </c>
    </row>
    <row r="1805" spans="1:11" ht="17.25" x14ac:dyDescent="0.2">
      <c r="B1805" s="332"/>
      <c r="C1805" s="112"/>
      <c r="D1805" s="112"/>
      <c r="E1805" s="107"/>
      <c r="F1805" s="108"/>
      <c r="G1805" s="57"/>
      <c r="H1805" s="65"/>
      <c r="I1805" s="69"/>
      <c r="J1805" s="64" t="str">
        <f t="shared" si="288"/>
        <v/>
      </c>
      <c r="K1805" s="64" t="str">
        <f t="shared" si="289"/>
        <v/>
      </c>
    </row>
    <row r="1806" spans="1:11" ht="17.25" x14ac:dyDescent="0.2">
      <c r="B1806" s="332"/>
      <c r="C1806" s="112"/>
      <c r="D1806" s="112"/>
      <c r="E1806" s="107"/>
      <c r="F1806" s="108"/>
      <c r="G1806" s="57"/>
      <c r="H1806" s="65"/>
      <c r="I1806" s="69"/>
      <c r="J1806" s="64" t="str">
        <f t="shared" si="288"/>
        <v/>
      </c>
      <c r="K1806" s="64" t="str">
        <f t="shared" si="289"/>
        <v/>
      </c>
    </row>
    <row r="1807" spans="1:11" ht="18" customHeight="1" x14ac:dyDescent="0.2">
      <c r="B1807" s="561" t="s">
        <v>22</v>
      </c>
      <c r="C1807" s="561" t="s">
        <v>177</v>
      </c>
      <c r="D1807" s="561" t="s">
        <v>243</v>
      </c>
      <c r="E1807" s="561" t="s">
        <v>23</v>
      </c>
      <c r="F1807" s="562" t="s">
        <v>234</v>
      </c>
      <c r="G1807" s="562"/>
      <c r="H1807" s="562"/>
      <c r="I1807" s="562"/>
      <c r="J1807" s="562"/>
      <c r="K1807" s="562"/>
    </row>
    <row r="1808" spans="1:11" ht="21" x14ac:dyDescent="0.2">
      <c r="A1808" s="114" t="s">
        <v>1108</v>
      </c>
      <c r="B1808" s="434" t="s">
        <v>2629</v>
      </c>
      <c r="C1808" s="115" t="s">
        <v>498</v>
      </c>
      <c r="D1808" s="114" t="s">
        <v>499</v>
      </c>
      <c r="E1808" s="329" t="str">
        <f>IF($O$98="","",$O$98)</f>
        <v>Metropolitana de Tupinambá - Área 2</v>
      </c>
      <c r="F1808" s="563">
        <f>IF(B1808="","",VLOOKUP(E1808,$O$2:$T$120,6,0))</f>
        <v>63571</v>
      </c>
      <c r="G1808" s="564"/>
      <c r="H1808" s="564"/>
      <c r="I1808" s="564"/>
      <c r="J1808" s="564"/>
      <c r="K1808" s="565"/>
    </row>
    <row r="1809" spans="2:11" ht="43.5" x14ac:dyDescent="0.2">
      <c r="B1809" s="116" t="s">
        <v>0</v>
      </c>
      <c r="C1809" s="116" t="s">
        <v>20</v>
      </c>
      <c r="D1809" s="116" t="s">
        <v>21</v>
      </c>
      <c r="E1809" s="116" t="s">
        <v>1</v>
      </c>
      <c r="F1809" s="117" t="s">
        <v>3</v>
      </c>
      <c r="G1809" s="116" t="s">
        <v>216</v>
      </c>
      <c r="H1809" s="180" t="s">
        <v>242</v>
      </c>
      <c r="I1809" s="116" t="s">
        <v>245</v>
      </c>
      <c r="J1809" s="116" t="s">
        <v>217</v>
      </c>
      <c r="K1809" s="116" t="s">
        <v>218</v>
      </c>
    </row>
    <row r="1810" spans="2:11" ht="17.25" x14ac:dyDescent="0.2">
      <c r="B1810" s="419" t="s">
        <v>2151</v>
      </c>
      <c r="C1810" s="99" t="s">
        <v>2152</v>
      </c>
      <c r="D1810" s="99" t="s">
        <v>2136</v>
      </c>
      <c r="E1810" s="107" t="s">
        <v>1019</v>
      </c>
      <c r="F1810" s="108">
        <v>16.5</v>
      </c>
      <c r="G1810" s="57">
        <v>12</v>
      </c>
      <c r="H1810" s="65">
        <v>3</v>
      </c>
      <c r="I1810" s="69">
        <f>IF(G1810="","",SUM(G1810:H1810))</f>
        <v>15</v>
      </c>
      <c r="J1810" s="64">
        <f>IF(G1810="","",ROUNDUP(G1810*0.65,0))</f>
        <v>8</v>
      </c>
      <c r="K1810" s="64">
        <f>IF(G1810="","",ROUNDUP(G1810*0.55,0))</f>
        <v>7</v>
      </c>
    </row>
    <row r="1811" spans="2:11" ht="17.25" x14ac:dyDescent="0.2">
      <c r="B1811" s="419" t="s">
        <v>2153</v>
      </c>
      <c r="C1811" s="99" t="s">
        <v>2152</v>
      </c>
      <c r="D1811" s="99" t="s">
        <v>2154</v>
      </c>
      <c r="E1811" s="107" t="s">
        <v>55</v>
      </c>
      <c r="F1811" s="333">
        <v>14</v>
      </c>
      <c r="G1811" s="57">
        <v>12</v>
      </c>
      <c r="H1811" s="65">
        <v>2</v>
      </c>
      <c r="I1811" s="69">
        <f t="shared" ref="I1811:I1816" si="290">IF(G1811="","",SUM(G1811:H1811))</f>
        <v>14</v>
      </c>
      <c r="J1811" s="64">
        <f t="shared" ref="J1811:J1825" si="291">IF(G1811="","",ROUNDUP(G1811*0.65,0))</f>
        <v>8</v>
      </c>
      <c r="K1811" s="64">
        <f t="shared" ref="K1811:K1825" si="292">IF(G1811="","",ROUNDUP(G1811*0.55,0))</f>
        <v>7</v>
      </c>
    </row>
    <row r="1812" spans="2:11" ht="17.25" x14ac:dyDescent="0.2">
      <c r="B1812" s="419" t="s">
        <v>2155</v>
      </c>
      <c r="C1812" s="99" t="s">
        <v>2152</v>
      </c>
      <c r="D1812" s="99" t="s">
        <v>2156</v>
      </c>
      <c r="E1812" s="107" t="s">
        <v>55</v>
      </c>
      <c r="F1812" s="333">
        <v>14</v>
      </c>
      <c r="G1812" s="57">
        <v>10</v>
      </c>
      <c r="H1812" s="65">
        <v>1</v>
      </c>
      <c r="I1812" s="69">
        <f t="shared" si="290"/>
        <v>11</v>
      </c>
      <c r="J1812" s="64">
        <f t="shared" si="291"/>
        <v>7</v>
      </c>
      <c r="K1812" s="64">
        <f t="shared" si="292"/>
        <v>6</v>
      </c>
    </row>
    <row r="1813" spans="2:11" ht="17.25" x14ac:dyDescent="0.2">
      <c r="B1813" s="419" t="s">
        <v>2157</v>
      </c>
      <c r="C1813" s="99" t="s">
        <v>2152</v>
      </c>
      <c r="D1813" s="99" t="s">
        <v>2158</v>
      </c>
      <c r="E1813" s="107" t="s">
        <v>265</v>
      </c>
      <c r="F1813" s="108">
        <v>12.5</v>
      </c>
      <c r="G1813" s="57">
        <v>10</v>
      </c>
      <c r="H1813" s="65">
        <v>2</v>
      </c>
      <c r="I1813" s="69">
        <f t="shared" si="290"/>
        <v>12</v>
      </c>
      <c r="J1813" s="64">
        <f t="shared" si="291"/>
        <v>7</v>
      </c>
      <c r="K1813" s="64">
        <f t="shared" si="292"/>
        <v>6</v>
      </c>
    </row>
    <row r="1814" spans="2:11" ht="17.25" x14ac:dyDescent="0.2">
      <c r="B1814" s="419" t="s">
        <v>2159</v>
      </c>
      <c r="C1814" s="99" t="s">
        <v>2160</v>
      </c>
      <c r="D1814" s="99" t="s">
        <v>2136</v>
      </c>
      <c r="E1814" s="107" t="s">
        <v>265</v>
      </c>
      <c r="F1814" s="108">
        <v>12.5</v>
      </c>
      <c r="G1814" s="57">
        <v>10</v>
      </c>
      <c r="H1814" s="65">
        <v>2</v>
      </c>
      <c r="I1814" s="69">
        <f t="shared" si="290"/>
        <v>12</v>
      </c>
      <c r="J1814" s="64">
        <f t="shared" si="291"/>
        <v>7</v>
      </c>
      <c r="K1814" s="64">
        <f t="shared" si="292"/>
        <v>6</v>
      </c>
    </row>
    <row r="1815" spans="2:11" ht="17.25" x14ac:dyDescent="0.2">
      <c r="B1815" s="419" t="s">
        <v>2161</v>
      </c>
      <c r="C1815" s="99" t="s">
        <v>2162</v>
      </c>
      <c r="D1815" s="99" t="s">
        <v>2136</v>
      </c>
      <c r="E1815" s="107" t="s">
        <v>265</v>
      </c>
      <c r="F1815" s="108">
        <v>12.5</v>
      </c>
      <c r="G1815" s="57">
        <v>10</v>
      </c>
      <c r="H1815" s="65">
        <v>1</v>
      </c>
      <c r="I1815" s="69">
        <f t="shared" si="290"/>
        <v>11</v>
      </c>
      <c r="J1815" s="64">
        <f t="shared" si="291"/>
        <v>7</v>
      </c>
      <c r="K1815" s="64">
        <f t="shared" si="292"/>
        <v>6</v>
      </c>
    </row>
    <row r="1816" spans="2:11" ht="17.25" x14ac:dyDescent="0.2">
      <c r="B1816" s="419" t="s">
        <v>2163</v>
      </c>
      <c r="C1816" s="99" t="s">
        <v>2164</v>
      </c>
      <c r="D1816" s="99" t="s">
        <v>2136</v>
      </c>
      <c r="E1816" s="107" t="s">
        <v>179</v>
      </c>
      <c r="F1816" s="108">
        <v>9.5</v>
      </c>
      <c r="G1816" s="57">
        <v>10</v>
      </c>
      <c r="H1816" s="65">
        <v>1</v>
      </c>
      <c r="I1816" s="69">
        <f t="shared" si="290"/>
        <v>11</v>
      </c>
      <c r="J1816" s="64">
        <f t="shared" si="291"/>
        <v>7</v>
      </c>
      <c r="K1816" s="64">
        <f t="shared" si="292"/>
        <v>6</v>
      </c>
    </row>
    <row r="1817" spans="2:11" ht="17.25" x14ac:dyDescent="0.2">
      <c r="B1817" s="419" t="s">
        <v>2165</v>
      </c>
      <c r="C1817" s="99" t="s">
        <v>2166</v>
      </c>
      <c r="D1817" s="99" t="s">
        <v>2136</v>
      </c>
      <c r="E1817" s="107" t="s">
        <v>179</v>
      </c>
      <c r="F1817" s="108">
        <v>9.5</v>
      </c>
      <c r="G1817" s="57">
        <v>8</v>
      </c>
      <c r="H1817" s="65">
        <v>1</v>
      </c>
      <c r="I1817" s="69"/>
      <c r="J1817" s="64">
        <f t="shared" si="291"/>
        <v>6</v>
      </c>
      <c r="K1817" s="64">
        <f t="shared" si="292"/>
        <v>5</v>
      </c>
    </row>
    <row r="1818" spans="2:11" ht="17.25" x14ac:dyDescent="0.2">
      <c r="B1818" s="336"/>
      <c r="C1818" s="99"/>
      <c r="D1818" s="99"/>
      <c r="E1818" s="107"/>
      <c r="F1818" s="108"/>
      <c r="G1818" s="57"/>
      <c r="H1818" s="65"/>
      <c r="I1818" s="69"/>
      <c r="J1818" s="64" t="str">
        <f t="shared" si="291"/>
        <v/>
      </c>
      <c r="K1818" s="64" t="str">
        <f t="shared" si="292"/>
        <v/>
      </c>
    </row>
    <row r="1819" spans="2:11" ht="17.25" x14ac:dyDescent="0.2">
      <c r="B1819" s="336"/>
      <c r="C1819" s="99"/>
      <c r="D1819" s="99"/>
      <c r="E1819" s="107"/>
      <c r="F1819" s="108"/>
      <c r="G1819" s="57"/>
      <c r="H1819" s="65"/>
      <c r="I1819" s="69"/>
      <c r="J1819" s="64" t="str">
        <f t="shared" si="291"/>
        <v/>
      </c>
      <c r="K1819" s="64" t="str">
        <f t="shared" si="292"/>
        <v/>
      </c>
    </row>
    <row r="1820" spans="2:11" ht="17.25" x14ac:dyDescent="0.2">
      <c r="B1820" s="336"/>
      <c r="C1820" s="99"/>
      <c r="D1820" s="99"/>
      <c r="E1820" s="107"/>
      <c r="F1820" s="108"/>
      <c r="G1820" s="57"/>
      <c r="H1820" s="65"/>
      <c r="I1820" s="69"/>
      <c r="J1820" s="64" t="str">
        <f t="shared" si="291"/>
        <v/>
      </c>
      <c r="K1820" s="64" t="str">
        <f t="shared" si="292"/>
        <v/>
      </c>
    </row>
    <row r="1821" spans="2:11" ht="17.25" x14ac:dyDescent="0.2">
      <c r="B1821" s="336"/>
      <c r="C1821" s="99"/>
      <c r="D1821" s="99"/>
      <c r="E1821" s="107"/>
      <c r="F1821" s="108"/>
      <c r="G1821" s="57"/>
      <c r="H1821" s="65"/>
      <c r="I1821" s="69"/>
      <c r="J1821" s="64" t="str">
        <f t="shared" si="291"/>
        <v/>
      </c>
      <c r="K1821" s="64" t="str">
        <f t="shared" si="292"/>
        <v/>
      </c>
    </row>
    <row r="1822" spans="2:11" ht="17.25" x14ac:dyDescent="0.2">
      <c r="B1822" s="336"/>
      <c r="C1822" s="99"/>
      <c r="D1822" s="99"/>
      <c r="E1822" s="107"/>
      <c r="F1822" s="108"/>
      <c r="G1822" s="57"/>
      <c r="H1822" s="65"/>
      <c r="I1822" s="69"/>
      <c r="J1822" s="64" t="str">
        <f t="shared" si="291"/>
        <v/>
      </c>
      <c r="K1822" s="64" t="str">
        <f t="shared" si="292"/>
        <v/>
      </c>
    </row>
    <row r="1823" spans="2:11" ht="17.25" x14ac:dyDescent="0.2">
      <c r="B1823" s="336"/>
      <c r="C1823" s="99"/>
      <c r="D1823" s="99"/>
      <c r="E1823" s="107"/>
      <c r="F1823" s="108"/>
      <c r="G1823" s="57"/>
      <c r="H1823" s="65"/>
      <c r="I1823" s="69"/>
      <c r="J1823" s="64" t="str">
        <f t="shared" si="291"/>
        <v/>
      </c>
      <c r="K1823" s="64" t="str">
        <f t="shared" si="292"/>
        <v/>
      </c>
    </row>
    <row r="1824" spans="2:11" ht="17.25" x14ac:dyDescent="0.2">
      <c r="B1824" s="336"/>
      <c r="C1824" s="99"/>
      <c r="D1824" s="99"/>
      <c r="E1824" s="107"/>
      <c r="F1824" s="108"/>
      <c r="G1824" s="57"/>
      <c r="H1824" s="65"/>
      <c r="I1824" s="69"/>
      <c r="J1824" s="64" t="str">
        <f t="shared" si="291"/>
        <v/>
      </c>
      <c r="K1824" s="64" t="str">
        <f t="shared" si="292"/>
        <v/>
      </c>
    </row>
    <row r="1825" spans="1:11" ht="17.25" x14ac:dyDescent="0.2">
      <c r="B1825" s="336"/>
      <c r="C1825" s="99"/>
      <c r="D1825" s="99"/>
      <c r="E1825" s="107"/>
      <c r="F1825" s="108"/>
      <c r="G1825" s="57"/>
      <c r="H1825" s="65"/>
      <c r="I1825" s="69"/>
      <c r="J1825" s="64" t="str">
        <f t="shared" si="291"/>
        <v/>
      </c>
      <c r="K1825" s="64" t="str">
        <f t="shared" si="292"/>
        <v/>
      </c>
    </row>
    <row r="1826" spans="1:11" ht="18" customHeight="1" x14ac:dyDescent="0.2">
      <c r="B1826" s="561" t="s">
        <v>22</v>
      </c>
      <c r="C1826" s="561" t="s">
        <v>177</v>
      </c>
      <c r="D1826" s="561" t="s">
        <v>243</v>
      </c>
      <c r="E1826" s="561" t="s">
        <v>23</v>
      </c>
      <c r="F1826" s="562" t="s">
        <v>234</v>
      </c>
      <c r="G1826" s="562"/>
      <c r="H1826" s="562"/>
      <c r="I1826" s="562"/>
      <c r="J1826" s="562"/>
      <c r="K1826" s="562"/>
    </row>
    <row r="1827" spans="1:11" ht="21" x14ac:dyDescent="0.2">
      <c r="A1827" s="114" t="s">
        <v>1109</v>
      </c>
      <c r="B1827" s="435" t="s">
        <v>1140</v>
      </c>
      <c r="C1827" s="115" t="s">
        <v>1131</v>
      </c>
      <c r="D1827" s="114" t="s">
        <v>2167</v>
      </c>
      <c r="E1827" s="329" t="str">
        <f>IF($O$99="","",$O$99)</f>
        <v>Metropolitana de Pinheirais - Área 1</v>
      </c>
      <c r="F1827" s="563">
        <f>IF(B1827="","",VLOOKUP(E1827,$O$2:$T$120,6,0))</f>
        <v>63571</v>
      </c>
      <c r="G1827" s="564"/>
      <c r="H1827" s="564"/>
      <c r="I1827" s="564"/>
      <c r="J1827" s="564"/>
      <c r="K1827" s="565"/>
    </row>
    <row r="1828" spans="1:11" ht="43.5" x14ac:dyDescent="0.2">
      <c r="B1828" s="116" t="s">
        <v>0</v>
      </c>
      <c r="C1828" s="116" t="s">
        <v>20</v>
      </c>
      <c r="D1828" s="116" t="s">
        <v>21</v>
      </c>
      <c r="E1828" s="116" t="s">
        <v>1</v>
      </c>
      <c r="F1828" s="117" t="s">
        <v>3</v>
      </c>
      <c r="G1828" s="116" t="s">
        <v>216</v>
      </c>
      <c r="H1828" s="180" t="s">
        <v>242</v>
      </c>
      <c r="I1828" s="116" t="s">
        <v>245</v>
      </c>
      <c r="J1828" s="116" t="s">
        <v>217</v>
      </c>
      <c r="K1828" s="116" t="s">
        <v>218</v>
      </c>
    </row>
    <row r="1829" spans="1:11" ht="17.25" x14ac:dyDescent="0.2">
      <c r="B1829" s="420" t="s">
        <v>2168</v>
      </c>
      <c r="C1829" s="109" t="s">
        <v>2134</v>
      </c>
      <c r="D1829" s="109" t="s">
        <v>2169</v>
      </c>
      <c r="E1829" s="107" t="s">
        <v>1019</v>
      </c>
      <c r="F1829" s="108">
        <v>16.5</v>
      </c>
      <c r="G1829" s="64">
        <v>13</v>
      </c>
      <c r="H1829" s="65">
        <v>2</v>
      </c>
      <c r="I1829" s="69">
        <f>IF(G1829="","",SUM(G1829:H1829))</f>
        <v>15</v>
      </c>
      <c r="J1829" s="64">
        <f>IF(G1829="","",ROUNDUP(G1829*0.65,0))</f>
        <v>9</v>
      </c>
      <c r="K1829" s="64">
        <f>IF(G1829="","",ROUNDUP(G1829*0.55,0))</f>
        <v>8</v>
      </c>
    </row>
    <row r="1830" spans="1:11" ht="17.25" x14ac:dyDescent="0.2">
      <c r="B1830" s="420" t="s">
        <v>2170</v>
      </c>
      <c r="C1830" s="109" t="s">
        <v>2134</v>
      </c>
      <c r="D1830" s="109" t="s">
        <v>2171</v>
      </c>
      <c r="E1830" s="107" t="s">
        <v>56</v>
      </c>
      <c r="F1830" s="333">
        <v>17.5</v>
      </c>
      <c r="G1830" s="64">
        <v>13</v>
      </c>
      <c r="H1830" s="65">
        <v>2</v>
      </c>
      <c r="I1830" s="69">
        <f t="shared" ref="I1830:I1835" si="293">IF(G1830="","",SUM(G1830:H1830))</f>
        <v>15</v>
      </c>
      <c r="J1830" s="64">
        <f t="shared" ref="J1830:J1844" si="294">IF(G1830="","",ROUNDUP(G1830*0.65,0))</f>
        <v>9</v>
      </c>
      <c r="K1830" s="64">
        <f t="shared" ref="K1830:K1844" si="295">IF(G1830="","",ROUNDUP(G1830*0.55,0))</f>
        <v>8</v>
      </c>
    </row>
    <row r="1831" spans="1:11" ht="17.25" x14ac:dyDescent="0.2">
      <c r="B1831" s="420" t="s">
        <v>2172</v>
      </c>
      <c r="C1831" s="109" t="s">
        <v>2134</v>
      </c>
      <c r="D1831" s="109" t="s">
        <v>2173</v>
      </c>
      <c r="E1831" s="107" t="s">
        <v>56</v>
      </c>
      <c r="F1831" s="333">
        <v>17.5</v>
      </c>
      <c r="G1831" s="64">
        <v>13</v>
      </c>
      <c r="H1831" s="65">
        <v>2</v>
      </c>
      <c r="I1831" s="69">
        <f t="shared" si="293"/>
        <v>15</v>
      </c>
      <c r="J1831" s="64">
        <f t="shared" si="294"/>
        <v>9</v>
      </c>
      <c r="K1831" s="64">
        <f t="shared" si="295"/>
        <v>8</v>
      </c>
    </row>
    <row r="1832" spans="1:11" ht="17.25" x14ac:dyDescent="0.2">
      <c r="B1832" s="420" t="s">
        <v>2174</v>
      </c>
      <c r="C1832" s="109" t="s">
        <v>2134</v>
      </c>
      <c r="D1832" s="109" t="s">
        <v>2175</v>
      </c>
      <c r="E1832" s="107" t="s">
        <v>55</v>
      </c>
      <c r="F1832" s="333">
        <v>14</v>
      </c>
      <c r="G1832" s="64">
        <v>13</v>
      </c>
      <c r="H1832" s="65">
        <v>2</v>
      </c>
      <c r="I1832" s="69">
        <f t="shared" si="293"/>
        <v>15</v>
      </c>
      <c r="J1832" s="64">
        <f t="shared" si="294"/>
        <v>9</v>
      </c>
      <c r="K1832" s="64">
        <f t="shared" si="295"/>
        <v>8</v>
      </c>
    </row>
    <row r="1833" spans="1:11" ht="17.25" x14ac:dyDescent="0.2">
      <c r="B1833" s="420" t="s">
        <v>2176</v>
      </c>
      <c r="C1833" s="109" t="s">
        <v>2177</v>
      </c>
      <c r="D1833" s="109" t="s">
        <v>2169</v>
      </c>
      <c r="E1833" s="107" t="s">
        <v>265</v>
      </c>
      <c r="F1833" s="108">
        <v>12.5</v>
      </c>
      <c r="G1833" s="64">
        <v>10</v>
      </c>
      <c r="H1833" s="65">
        <v>2</v>
      </c>
      <c r="I1833" s="69">
        <f t="shared" si="293"/>
        <v>12</v>
      </c>
      <c r="J1833" s="64">
        <f t="shared" si="294"/>
        <v>7</v>
      </c>
      <c r="K1833" s="64">
        <f t="shared" si="295"/>
        <v>6</v>
      </c>
    </row>
    <row r="1834" spans="1:11" ht="17.25" x14ac:dyDescent="0.2">
      <c r="B1834" s="420" t="s">
        <v>2178</v>
      </c>
      <c r="C1834" s="109" t="s">
        <v>2179</v>
      </c>
      <c r="D1834" s="109" t="s">
        <v>2180</v>
      </c>
      <c r="E1834" s="107" t="s">
        <v>265</v>
      </c>
      <c r="F1834" s="108">
        <v>12.5</v>
      </c>
      <c r="G1834" s="64">
        <v>10</v>
      </c>
      <c r="H1834" s="65">
        <v>2</v>
      </c>
      <c r="I1834" s="69">
        <f t="shared" si="293"/>
        <v>12</v>
      </c>
      <c r="J1834" s="64">
        <f t="shared" si="294"/>
        <v>7</v>
      </c>
      <c r="K1834" s="64">
        <f t="shared" si="295"/>
        <v>6</v>
      </c>
    </row>
    <row r="1835" spans="1:11" ht="17.25" x14ac:dyDescent="0.2">
      <c r="B1835" s="420" t="s">
        <v>2181</v>
      </c>
      <c r="C1835" s="109" t="s">
        <v>2182</v>
      </c>
      <c r="D1835" s="109" t="s">
        <v>2180</v>
      </c>
      <c r="E1835" s="107" t="s">
        <v>265</v>
      </c>
      <c r="F1835" s="108">
        <v>12.5</v>
      </c>
      <c r="G1835" s="64">
        <v>10</v>
      </c>
      <c r="H1835" s="65">
        <v>1</v>
      </c>
      <c r="I1835" s="69">
        <f t="shared" si="293"/>
        <v>11</v>
      </c>
      <c r="J1835" s="64">
        <f t="shared" si="294"/>
        <v>7</v>
      </c>
      <c r="K1835" s="64">
        <f t="shared" si="295"/>
        <v>6</v>
      </c>
    </row>
    <row r="1836" spans="1:11" ht="17.25" x14ac:dyDescent="0.2">
      <c r="B1836" s="338"/>
      <c r="C1836" s="109"/>
      <c r="D1836" s="109"/>
      <c r="E1836" s="107"/>
      <c r="F1836" s="108"/>
      <c r="G1836" s="64"/>
      <c r="H1836" s="65"/>
      <c r="I1836" s="69"/>
      <c r="J1836" s="64" t="str">
        <f t="shared" si="294"/>
        <v/>
      </c>
      <c r="K1836" s="64" t="str">
        <f t="shared" si="295"/>
        <v/>
      </c>
    </row>
    <row r="1837" spans="1:11" ht="17.25" x14ac:dyDescent="0.2">
      <c r="B1837" s="338"/>
      <c r="C1837" s="109"/>
      <c r="D1837" s="109"/>
      <c r="E1837" s="107"/>
      <c r="F1837" s="108"/>
      <c r="G1837" s="64"/>
      <c r="H1837" s="65"/>
      <c r="I1837" s="69"/>
      <c r="J1837" s="64" t="str">
        <f t="shared" si="294"/>
        <v/>
      </c>
      <c r="K1837" s="64" t="str">
        <f t="shared" si="295"/>
        <v/>
      </c>
    </row>
    <row r="1838" spans="1:11" ht="17.25" x14ac:dyDescent="0.2">
      <c r="B1838" s="338"/>
      <c r="C1838" s="109"/>
      <c r="D1838" s="109"/>
      <c r="E1838" s="107"/>
      <c r="F1838" s="108"/>
      <c r="G1838" s="64"/>
      <c r="H1838" s="65"/>
      <c r="I1838" s="69"/>
      <c r="J1838" s="64" t="str">
        <f t="shared" si="294"/>
        <v/>
      </c>
      <c r="K1838" s="64" t="str">
        <f t="shared" si="295"/>
        <v/>
      </c>
    </row>
    <row r="1839" spans="1:11" ht="17.25" x14ac:dyDescent="0.2">
      <c r="B1839" s="338"/>
      <c r="C1839" s="109"/>
      <c r="D1839" s="109"/>
      <c r="E1839" s="107"/>
      <c r="F1839" s="108"/>
      <c r="G1839" s="64"/>
      <c r="H1839" s="65"/>
      <c r="I1839" s="69"/>
      <c r="J1839" s="64" t="str">
        <f t="shared" si="294"/>
        <v/>
      </c>
      <c r="K1839" s="64" t="str">
        <f t="shared" si="295"/>
        <v/>
      </c>
    </row>
    <row r="1840" spans="1:11" ht="17.25" x14ac:dyDescent="0.2">
      <c r="B1840" s="338"/>
      <c r="C1840" s="109"/>
      <c r="D1840" s="109"/>
      <c r="E1840" s="107"/>
      <c r="F1840" s="108"/>
      <c r="G1840" s="64"/>
      <c r="H1840" s="65"/>
      <c r="I1840" s="69"/>
      <c r="J1840" s="64" t="str">
        <f t="shared" si="294"/>
        <v/>
      </c>
      <c r="K1840" s="64" t="str">
        <f t="shared" si="295"/>
        <v/>
      </c>
    </row>
    <row r="1841" spans="1:11" ht="17.25" x14ac:dyDescent="0.2">
      <c r="B1841" s="338"/>
      <c r="C1841" s="109"/>
      <c r="D1841" s="109"/>
      <c r="E1841" s="107"/>
      <c r="F1841" s="108"/>
      <c r="G1841" s="64"/>
      <c r="H1841" s="65"/>
      <c r="I1841" s="69"/>
      <c r="J1841" s="64" t="str">
        <f t="shared" si="294"/>
        <v/>
      </c>
      <c r="K1841" s="64" t="str">
        <f t="shared" si="295"/>
        <v/>
      </c>
    </row>
    <row r="1842" spans="1:11" ht="17.25" x14ac:dyDescent="0.2">
      <c r="B1842" s="338"/>
      <c r="C1842" s="109"/>
      <c r="D1842" s="109"/>
      <c r="E1842" s="107"/>
      <c r="F1842" s="108"/>
      <c r="G1842" s="64"/>
      <c r="H1842" s="65"/>
      <c r="I1842" s="69"/>
      <c r="J1842" s="64" t="str">
        <f t="shared" si="294"/>
        <v/>
      </c>
      <c r="K1842" s="64" t="str">
        <f t="shared" si="295"/>
        <v/>
      </c>
    </row>
    <row r="1843" spans="1:11" ht="17.25" x14ac:dyDescent="0.2">
      <c r="B1843" s="338"/>
      <c r="C1843" s="109"/>
      <c r="D1843" s="109"/>
      <c r="E1843" s="107"/>
      <c r="F1843" s="108"/>
      <c r="G1843" s="64"/>
      <c r="H1843" s="65"/>
      <c r="I1843" s="69"/>
      <c r="J1843" s="64" t="str">
        <f t="shared" si="294"/>
        <v/>
      </c>
      <c r="K1843" s="64" t="str">
        <f t="shared" si="295"/>
        <v/>
      </c>
    </row>
    <row r="1844" spans="1:11" ht="17.25" x14ac:dyDescent="0.2">
      <c r="B1844" s="338"/>
      <c r="C1844" s="109"/>
      <c r="D1844" s="109"/>
      <c r="E1844" s="107"/>
      <c r="F1844" s="108"/>
      <c r="G1844" s="64"/>
      <c r="H1844" s="65"/>
      <c r="I1844" s="69"/>
      <c r="J1844" s="64" t="str">
        <f t="shared" si="294"/>
        <v/>
      </c>
      <c r="K1844" s="64" t="str">
        <f t="shared" si="295"/>
        <v/>
      </c>
    </row>
    <row r="1845" spans="1:11" ht="18" customHeight="1" x14ac:dyDescent="0.2">
      <c r="B1845" s="561" t="s">
        <v>22</v>
      </c>
      <c r="C1845" s="561" t="s">
        <v>177</v>
      </c>
      <c r="D1845" s="561" t="s">
        <v>243</v>
      </c>
      <c r="E1845" s="561" t="s">
        <v>23</v>
      </c>
      <c r="F1845" s="562" t="s">
        <v>234</v>
      </c>
      <c r="G1845" s="562"/>
      <c r="H1845" s="562"/>
      <c r="I1845" s="562"/>
      <c r="J1845" s="562"/>
      <c r="K1845" s="562"/>
    </row>
    <row r="1846" spans="1:11" ht="21" x14ac:dyDescent="0.2">
      <c r="A1846" s="114" t="s">
        <v>1110</v>
      </c>
      <c r="B1846" s="435" t="s">
        <v>1141</v>
      </c>
      <c r="C1846" s="115" t="s">
        <v>1131</v>
      </c>
      <c r="D1846" s="114" t="s">
        <v>2167</v>
      </c>
      <c r="E1846" s="329" t="str">
        <f>IF($O$100="","",$O$100)</f>
        <v>Metropolitana de Pinheirais - Área 2</v>
      </c>
      <c r="F1846" s="563">
        <f>IF(B1846="","",VLOOKUP(E1846,$O$2:$T$120,6,0))</f>
        <v>58144</v>
      </c>
      <c r="G1846" s="564"/>
      <c r="H1846" s="564"/>
      <c r="I1846" s="564"/>
      <c r="J1846" s="564"/>
      <c r="K1846" s="565"/>
    </row>
    <row r="1847" spans="1:11" ht="43.5" x14ac:dyDescent="0.2">
      <c r="B1847" s="116" t="s">
        <v>0</v>
      </c>
      <c r="C1847" s="116" t="s">
        <v>20</v>
      </c>
      <c r="D1847" s="116" t="s">
        <v>21</v>
      </c>
      <c r="E1847" s="116" t="s">
        <v>1</v>
      </c>
      <c r="F1847" s="117" t="s">
        <v>3</v>
      </c>
      <c r="G1847" s="116" t="s">
        <v>216</v>
      </c>
      <c r="H1847" s="180" t="s">
        <v>242</v>
      </c>
      <c r="I1847" s="116" t="s">
        <v>245</v>
      </c>
      <c r="J1847" s="116" t="s">
        <v>217</v>
      </c>
      <c r="K1847" s="116" t="s">
        <v>218</v>
      </c>
    </row>
    <row r="1848" spans="1:11" ht="17.25" x14ac:dyDescent="0.2">
      <c r="B1848" s="420" t="s">
        <v>2183</v>
      </c>
      <c r="C1848" s="101" t="s">
        <v>2134</v>
      </c>
      <c r="D1848" s="101" t="s">
        <v>2184</v>
      </c>
      <c r="E1848" s="107" t="s">
        <v>265</v>
      </c>
      <c r="F1848" s="108">
        <v>12.5</v>
      </c>
      <c r="G1848" s="64">
        <v>12</v>
      </c>
      <c r="H1848" s="65">
        <v>1</v>
      </c>
      <c r="I1848" s="69">
        <f>IF(G1848="","",SUM(G1848:H1848))</f>
        <v>13</v>
      </c>
      <c r="J1848" s="64">
        <f>IF(G1848="","",ROUNDUP(G1848*0.65,0))</f>
        <v>8</v>
      </c>
      <c r="K1848" s="64">
        <f>IF(G1848="","",ROUNDUP(G1848*0.55,0))</f>
        <v>7</v>
      </c>
    </row>
    <row r="1849" spans="1:11" ht="17.25" x14ac:dyDescent="0.2">
      <c r="B1849" s="420" t="s">
        <v>2185</v>
      </c>
      <c r="C1849" s="101" t="s">
        <v>2134</v>
      </c>
      <c r="D1849" s="101" t="s">
        <v>2186</v>
      </c>
      <c r="E1849" s="107" t="s">
        <v>265</v>
      </c>
      <c r="F1849" s="108">
        <v>12.5</v>
      </c>
      <c r="G1849" s="64">
        <v>12</v>
      </c>
      <c r="H1849" s="65">
        <v>1</v>
      </c>
      <c r="I1849" s="69">
        <f t="shared" ref="I1849:I1858" si="296">IF(G1849="","",SUM(G1849:H1849))</f>
        <v>13</v>
      </c>
      <c r="J1849" s="64">
        <f t="shared" ref="J1849:J1863" si="297">IF(G1849="","",ROUNDUP(G1849*0.65,0))</f>
        <v>8</v>
      </c>
      <c r="K1849" s="64">
        <f t="shared" ref="K1849:K1863" si="298">IF(G1849="","",ROUNDUP(G1849*0.55,0))</f>
        <v>7</v>
      </c>
    </row>
    <row r="1850" spans="1:11" ht="17.25" x14ac:dyDescent="0.2">
      <c r="B1850" s="420" t="s">
        <v>2187</v>
      </c>
      <c r="C1850" s="101" t="s">
        <v>2188</v>
      </c>
      <c r="D1850" s="101" t="s">
        <v>2169</v>
      </c>
      <c r="E1850" s="107" t="s">
        <v>1019</v>
      </c>
      <c r="F1850" s="108">
        <v>16.5</v>
      </c>
      <c r="G1850" s="64">
        <v>14</v>
      </c>
      <c r="H1850" s="65">
        <v>1</v>
      </c>
      <c r="I1850" s="69">
        <f t="shared" si="296"/>
        <v>15</v>
      </c>
      <c r="J1850" s="64">
        <f t="shared" si="297"/>
        <v>10</v>
      </c>
      <c r="K1850" s="64">
        <f t="shared" si="298"/>
        <v>8</v>
      </c>
    </row>
    <row r="1851" spans="1:11" ht="17.25" x14ac:dyDescent="0.2">
      <c r="B1851" s="420" t="s">
        <v>2189</v>
      </c>
      <c r="C1851" s="101" t="s">
        <v>2190</v>
      </c>
      <c r="D1851" s="101" t="s">
        <v>2191</v>
      </c>
      <c r="E1851" s="107" t="s">
        <v>265</v>
      </c>
      <c r="F1851" s="108">
        <v>12.5</v>
      </c>
      <c r="G1851" s="64">
        <v>12</v>
      </c>
      <c r="H1851" s="65">
        <v>2</v>
      </c>
      <c r="I1851" s="69">
        <f t="shared" si="296"/>
        <v>14</v>
      </c>
      <c r="J1851" s="64">
        <f t="shared" si="297"/>
        <v>8</v>
      </c>
      <c r="K1851" s="64">
        <f t="shared" si="298"/>
        <v>7</v>
      </c>
    </row>
    <row r="1852" spans="1:11" ht="17.25" x14ac:dyDescent="0.2">
      <c r="B1852" s="420" t="s">
        <v>2192</v>
      </c>
      <c r="C1852" s="101" t="s">
        <v>2193</v>
      </c>
      <c r="D1852" s="101" t="s">
        <v>2194</v>
      </c>
      <c r="E1852" s="107" t="s">
        <v>179</v>
      </c>
      <c r="F1852" s="108">
        <v>9.5</v>
      </c>
      <c r="G1852" s="64">
        <v>13</v>
      </c>
      <c r="H1852" s="65">
        <v>2</v>
      </c>
      <c r="I1852" s="69">
        <f t="shared" si="296"/>
        <v>15</v>
      </c>
      <c r="J1852" s="64">
        <f t="shared" si="297"/>
        <v>9</v>
      </c>
      <c r="K1852" s="64">
        <f t="shared" si="298"/>
        <v>8</v>
      </c>
    </row>
    <row r="1853" spans="1:11" ht="17.25" x14ac:dyDescent="0.2">
      <c r="B1853" s="420" t="s">
        <v>2195</v>
      </c>
      <c r="C1853" s="101" t="s">
        <v>2196</v>
      </c>
      <c r="D1853" s="101" t="s">
        <v>2197</v>
      </c>
      <c r="E1853" s="107" t="s">
        <v>179</v>
      </c>
      <c r="F1853" s="108">
        <v>9.5</v>
      </c>
      <c r="G1853" s="64">
        <v>12</v>
      </c>
      <c r="H1853" s="65">
        <v>3</v>
      </c>
      <c r="I1853" s="69">
        <f t="shared" si="296"/>
        <v>15</v>
      </c>
      <c r="J1853" s="64">
        <f t="shared" si="297"/>
        <v>8</v>
      </c>
      <c r="K1853" s="64">
        <f t="shared" si="298"/>
        <v>7</v>
      </c>
    </row>
    <row r="1854" spans="1:11" ht="17.25" x14ac:dyDescent="0.2">
      <c r="B1854" s="339"/>
      <c r="C1854" s="101"/>
      <c r="D1854" s="101"/>
      <c r="E1854" s="107"/>
      <c r="F1854" s="108"/>
      <c r="G1854" s="64"/>
      <c r="H1854" s="65"/>
      <c r="I1854" s="69" t="str">
        <f t="shared" si="296"/>
        <v/>
      </c>
      <c r="J1854" s="64" t="str">
        <f t="shared" si="297"/>
        <v/>
      </c>
      <c r="K1854" s="64" t="str">
        <f t="shared" si="298"/>
        <v/>
      </c>
    </row>
    <row r="1855" spans="1:11" ht="17.25" x14ac:dyDescent="0.2">
      <c r="B1855" s="339"/>
      <c r="C1855" s="101"/>
      <c r="D1855" s="101"/>
      <c r="E1855" s="107"/>
      <c r="F1855" s="108"/>
      <c r="G1855" s="64"/>
      <c r="H1855" s="65"/>
      <c r="I1855" s="69" t="str">
        <f t="shared" si="296"/>
        <v/>
      </c>
      <c r="J1855" s="64" t="str">
        <f t="shared" si="297"/>
        <v/>
      </c>
      <c r="K1855" s="64" t="str">
        <f t="shared" si="298"/>
        <v/>
      </c>
    </row>
    <row r="1856" spans="1:11" ht="17.25" x14ac:dyDescent="0.2">
      <c r="B1856" s="339"/>
      <c r="C1856" s="101"/>
      <c r="D1856" s="101"/>
      <c r="E1856" s="107"/>
      <c r="F1856" s="108"/>
      <c r="G1856" s="64"/>
      <c r="H1856" s="65"/>
      <c r="I1856" s="69" t="str">
        <f t="shared" si="296"/>
        <v/>
      </c>
      <c r="J1856" s="64" t="str">
        <f t="shared" si="297"/>
        <v/>
      </c>
      <c r="K1856" s="64" t="str">
        <f t="shared" si="298"/>
        <v/>
      </c>
    </row>
    <row r="1857" spans="1:11" ht="17.25" x14ac:dyDescent="0.2">
      <c r="B1857" s="339"/>
      <c r="C1857" s="101"/>
      <c r="D1857" s="101"/>
      <c r="E1857" s="107"/>
      <c r="F1857" s="108"/>
      <c r="G1857" s="64"/>
      <c r="H1857" s="65"/>
      <c r="I1857" s="69" t="str">
        <f t="shared" si="296"/>
        <v/>
      </c>
      <c r="J1857" s="64" t="str">
        <f t="shared" si="297"/>
        <v/>
      </c>
      <c r="K1857" s="64" t="str">
        <f t="shared" si="298"/>
        <v/>
      </c>
    </row>
    <row r="1858" spans="1:11" ht="17.25" x14ac:dyDescent="0.2">
      <c r="B1858" s="339"/>
      <c r="C1858" s="101"/>
      <c r="D1858" s="101"/>
      <c r="E1858" s="107"/>
      <c r="F1858" s="108"/>
      <c r="G1858" s="64"/>
      <c r="H1858" s="65"/>
      <c r="I1858" s="69" t="str">
        <f t="shared" si="296"/>
        <v/>
      </c>
      <c r="J1858" s="64" t="str">
        <f t="shared" si="297"/>
        <v/>
      </c>
      <c r="K1858" s="64" t="str">
        <f t="shared" si="298"/>
        <v/>
      </c>
    </row>
    <row r="1859" spans="1:11" ht="17.25" x14ac:dyDescent="0.2">
      <c r="B1859" s="339"/>
      <c r="C1859" s="101"/>
      <c r="D1859" s="101"/>
      <c r="E1859" s="107"/>
      <c r="F1859" s="108"/>
      <c r="G1859" s="64"/>
      <c r="H1859" s="65"/>
      <c r="I1859" s="69"/>
      <c r="J1859" s="64" t="str">
        <f t="shared" si="297"/>
        <v/>
      </c>
      <c r="K1859" s="64" t="str">
        <f t="shared" si="298"/>
        <v/>
      </c>
    </row>
    <row r="1860" spans="1:11" ht="17.25" x14ac:dyDescent="0.2">
      <c r="B1860" s="339"/>
      <c r="C1860" s="101"/>
      <c r="D1860" s="101"/>
      <c r="E1860" s="107"/>
      <c r="F1860" s="108"/>
      <c r="G1860" s="64"/>
      <c r="H1860" s="65"/>
      <c r="I1860" s="69"/>
      <c r="J1860" s="64" t="str">
        <f t="shared" si="297"/>
        <v/>
      </c>
      <c r="K1860" s="64" t="str">
        <f t="shared" si="298"/>
        <v/>
      </c>
    </row>
    <row r="1861" spans="1:11" ht="17.25" x14ac:dyDescent="0.2">
      <c r="B1861" s="339"/>
      <c r="C1861" s="101"/>
      <c r="D1861" s="101"/>
      <c r="E1861" s="107"/>
      <c r="F1861" s="108"/>
      <c r="G1861" s="64"/>
      <c r="H1861" s="65"/>
      <c r="I1861" s="69"/>
      <c r="J1861" s="64" t="str">
        <f t="shared" si="297"/>
        <v/>
      </c>
      <c r="K1861" s="64" t="str">
        <f t="shared" si="298"/>
        <v/>
      </c>
    </row>
    <row r="1862" spans="1:11" ht="17.25" x14ac:dyDescent="0.2">
      <c r="B1862" s="339"/>
      <c r="C1862" s="101"/>
      <c r="D1862" s="101"/>
      <c r="E1862" s="107"/>
      <c r="F1862" s="108"/>
      <c r="G1862" s="64"/>
      <c r="H1862" s="65"/>
      <c r="I1862" s="69"/>
      <c r="J1862" s="64" t="str">
        <f t="shared" si="297"/>
        <v/>
      </c>
      <c r="K1862" s="64" t="str">
        <f t="shared" si="298"/>
        <v/>
      </c>
    </row>
    <row r="1863" spans="1:11" ht="17.25" x14ac:dyDescent="0.2">
      <c r="B1863" s="339"/>
      <c r="C1863" s="101"/>
      <c r="D1863" s="101"/>
      <c r="E1863" s="107"/>
      <c r="F1863" s="108"/>
      <c r="G1863" s="64"/>
      <c r="H1863" s="65"/>
      <c r="I1863" s="69"/>
      <c r="J1863" s="64" t="str">
        <f t="shared" si="297"/>
        <v/>
      </c>
      <c r="K1863" s="64" t="str">
        <f t="shared" si="298"/>
        <v/>
      </c>
    </row>
    <row r="1864" spans="1:11" ht="18" customHeight="1" x14ac:dyDescent="0.2">
      <c r="B1864" s="561" t="s">
        <v>22</v>
      </c>
      <c r="C1864" s="561" t="s">
        <v>177</v>
      </c>
      <c r="D1864" s="561" t="s">
        <v>243</v>
      </c>
      <c r="E1864" s="561" t="s">
        <v>23</v>
      </c>
      <c r="F1864" s="562" t="s">
        <v>234</v>
      </c>
      <c r="G1864" s="562"/>
      <c r="H1864" s="562"/>
      <c r="I1864" s="562"/>
      <c r="J1864" s="562"/>
      <c r="K1864" s="562"/>
    </row>
    <row r="1865" spans="1:11" ht="21" x14ac:dyDescent="0.2">
      <c r="A1865" s="114" t="s">
        <v>1111</v>
      </c>
      <c r="B1865" s="432" t="s">
        <v>1147</v>
      </c>
      <c r="C1865" s="115" t="s">
        <v>1130</v>
      </c>
      <c r="D1865" s="114" t="s">
        <v>574</v>
      </c>
      <c r="E1865" s="329" t="str">
        <f>IF($O$101="","",$O$101)</f>
        <v>Metropolitana de Esmeralda - Área 1</v>
      </c>
      <c r="F1865" s="563">
        <f>IF(B1865="","",VLOOKUP(E1865,$O$2:$T$120,6,0))</f>
        <v>61245</v>
      </c>
      <c r="G1865" s="564"/>
      <c r="H1865" s="564"/>
      <c r="I1865" s="564"/>
      <c r="J1865" s="564"/>
      <c r="K1865" s="565"/>
    </row>
    <row r="1866" spans="1:11" ht="43.5" x14ac:dyDescent="0.2">
      <c r="B1866" s="116" t="s">
        <v>0</v>
      </c>
      <c r="C1866" s="116" t="s">
        <v>20</v>
      </c>
      <c r="D1866" s="116" t="s">
        <v>21</v>
      </c>
      <c r="E1866" s="116" t="s">
        <v>1</v>
      </c>
      <c r="F1866" s="117" t="s">
        <v>3</v>
      </c>
      <c r="G1866" s="116" t="s">
        <v>216</v>
      </c>
      <c r="H1866" s="180" t="s">
        <v>242</v>
      </c>
      <c r="I1866" s="116" t="s">
        <v>245</v>
      </c>
      <c r="J1866" s="116" t="s">
        <v>217</v>
      </c>
      <c r="K1866" s="116" t="s">
        <v>218</v>
      </c>
    </row>
    <row r="1867" spans="1:11" ht="17.25" x14ac:dyDescent="0.2">
      <c r="B1867" s="421" t="s">
        <v>2198</v>
      </c>
      <c r="C1867" s="100" t="s">
        <v>2199</v>
      </c>
      <c r="D1867" s="100" t="s">
        <v>2200</v>
      </c>
      <c r="E1867" s="107" t="s">
        <v>57</v>
      </c>
      <c r="F1867" s="108">
        <v>23</v>
      </c>
      <c r="G1867" s="57">
        <v>13</v>
      </c>
      <c r="H1867" s="65">
        <v>2</v>
      </c>
      <c r="I1867" s="69">
        <f>IF(G1867="","",SUM(G1867:H1867))</f>
        <v>15</v>
      </c>
      <c r="J1867" s="64">
        <f>IF(G1867="","",ROUNDUP(G1867*0.65,0))</f>
        <v>9</v>
      </c>
      <c r="K1867" s="64">
        <f>IF(G1867="","",ROUNDUP(G1867*0.55,0))</f>
        <v>8</v>
      </c>
    </row>
    <row r="1868" spans="1:11" ht="17.25" x14ac:dyDescent="0.2">
      <c r="B1868" s="421" t="s">
        <v>2201</v>
      </c>
      <c r="C1868" s="100" t="s">
        <v>2199</v>
      </c>
      <c r="D1868" s="100" t="s">
        <v>2202</v>
      </c>
      <c r="E1868" s="107" t="s">
        <v>56</v>
      </c>
      <c r="F1868" s="333">
        <v>17.5</v>
      </c>
      <c r="G1868" s="57">
        <v>12</v>
      </c>
      <c r="H1868" s="65">
        <v>2</v>
      </c>
      <c r="I1868" s="69">
        <f t="shared" ref="I1868:I1873" si="299">IF(G1868="","",SUM(G1868:H1868))</f>
        <v>14</v>
      </c>
      <c r="J1868" s="64">
        <f t="shared" ref="J1868:J1882" si="300">IF(G1868="","",ROUNDUP(G1868*0.65,0))</f>
        <v>8</v>
      </c>
      <c r="K1868" s="64">
        <f t="shared" ref="K1868:K1882" si="301">IF(G1868="","",ROUNDUP(G1868*0.55,0))</f>
        <v>7</v>
      </c>
    </row>
    <row r="1869" spans="1:11" ht="17.25" x14ac:dyDescent="0.2">
      <c r="B1869" s="421" t="s">
        <v>2203</v>
      </c>
      <c r="C1869" s="100" t="s">
        <v>2199</v>
      </c>
      <c r="D1869" s="100" t="s">
        <v>2204</v>
      </c>
      <c r="E1869" s="107" t="s">
        <v>56</v>
      </c>
      <c r="F1869" s="333">
        <v>17.5</v>
      </c>
      <c r="G1869" s="57">
        <v>12</v>
      </c>
      <c r="H1869" s="65">
        <v>1</v>
      </c>
      <c r="I1869" s="69">
        <f t="shared" si="299"/>
        <v>13</v>
      </c>
      <c r="J1869" s="64">
        <f t="shared" si="300"/>
        <v>8</v>
      </c>
      <c r="K1869" s="64">
        <f t="shared" si="301"/>
        <v>7</v>
      </c>
    </row>
    <row r="1870" spans="1:11" ht="17.25" x14ac:dyDescent="0.2">
      <c r="B1870" s="421" t="s">
        <v>2205</v>
      </c>
      <c r="C1870" s="100" t="s">
        <v>2199</v>
      </c>
      <c r="D1870" s="100" t="s">
        <v>2202</v>
      </c>
      <c r="E1870" s="107" t="s">
        <v>56</v>
      </c>
      <c r="F1870" s="333">
        <v>17.5</v>
      </c>
      <c r="G1870" s="57">
        <v>12</v>
      </c>
      <c r="H1870" s="65">
        <v>1</v>
      </c>
      <c r="I1870" s="69">
        <f t="shared" si="299"/>
        <v>13</v>
      </c>
      <c r="J1870" s="64">
        <f t="shared" si="300"/>
        <v>8</v>
      </c>
      <c r="K1870" s="64">
        <f t="shared" si="301"/>
        <v>7</v>
      </c>
    </row>
    <row r="1871" spans="1:11" ht="17.25" x14ac:dyDescent="0.2">
      <c r="B1871" s="421" t="s">
        <v>2206</v>
      </c>
      <c r="C1871" s="100" t="s">
        <v>2199</v>
      </c>
      <c r="D1871" s="100" t="s">
        <v>2207</v>
      </c>
      <c r="E1871" s="107" t="s">
        <v>55</v>
      </c>
      <c r="F1871" s="333">
        <v>14</v>
      </c>
      <c r="G1871" s="57">
        <v>10</v>
      </c>
      <c r="H1871" s="65">
        <v>2</v>
      </c>
      <c r="I1871" s="69">
        <f t="shared" si="299"/>
        <v>12</v>
      </c>
      <c r="J1871" s="64">
        <f t="shared" si="300"/>
        <v>7</v>
      </c>
      <c r="K1871" s="64">
        <f t="shared" si="301"/>
        <v>6</v>
      </c>
    </row>
    <row r="1872" spans="1:11" ht="17.25" x14ac:dyDescent="0.2">
      <c r="B1872" s="421" t="s">
        <v>2208</v>
      </c>
      <c r="C1872" s="100" t="s">
        <v>2199</v>
      </c>
      <c r="D1872" s="100" t="s">
        <v>2209</v>
      </c>
      <c r="E1872" s="107" t="s">
        <v>55</v>
      </c>
      <c r="F1872" s="333">
        <v>14</v>
      </c>
      <c r="G1872" s="57">
        <v>10</v>
      </c>
      <c r="H1872" s="65">
        <v>2</v>
      </c>
      <c r="I1872" s="69">
        <f t="shared" si="299"/>
        <v>12</v>
      </c>
      <c r="J1872" s="64">
        <f t="shared" si="300"/>
        <v>7</v>
      </c>
      <c r="K1872" s="64">
        <f t="shared" si="301"/>
        <v>6</v>
      </c>
    </row>
    <row r="1873" spans="1:11" ht="17.25" x14ac:dyDescent="0.2">
      <c r="B1873" s="421" t="s">
        <v>2210</v>
      </c>
      <c r="C1873" s="100" t="s">
        <v>2199</v>
      </c>
      <c r="D1873" s="100" t="s">
        <v>2211</v>
      </c>
      <c r="E1873" s="107" t="s">
        <v>55</v>
      </c>
      <c r="F1873" s="333">
        <v>14</v>
      </c>
      <c r="G1873" s="57">
        <v>10</v>
      </c>
      <c r="H1873" s="65">
        <v>1</v>
      </c>
      <c r="I1873" s="69">
        <f t="shared" si="299"/>
        <v>11</v>
      </c>
      <c r="J1873" s="64">
        <f t="shared" si="300"/>
        <v>7</v>
      </c>
      <c r="K1873" s="64">
        <f t="shared" si="301"/>
        <v>6</v>
      </c>
    </row>
    <row r="1874" spans="1:11" ht="17.25" x14ac:dyDescent="0.2">
      <c r="B1874" s="340"/>
      <c r="C1874" s="100"/>
      <c r="D1874" s="100"/>
      <c r="E1874" s="107"/>
      <c r="F1874" s="108"/>
      <c r="G1874" s="57"/>
      <c r="H1874" s="65"/>
      <c r="I1874" s="69"/>
      <c r="J1874" s="64" t="str">
        <f t="shared" si="300"/>
        <v/>
      </c>
      <c r="K1874" s="64" t="str">
        <f t="shared" si="301"/>
        <v/>
      </c>
    </row>
    <row r="1875" spans="1:11" ht="17.25" x14ac:dyDescent="0.2">
      <c r="B1875" s="340"/>
      <c r="C1875" s="100"/>
      <c r="D1875" s="100"/>
      <c r="E1875" s="107"/>
      <c r="F1875" s="108"/>
      <c r="G1875" s="57"/>
      <c r="H1875" s="65"/>
      <c r="I1875" s="69"/>
      <c r="J1875" s="64" t="str">
        <f t="shared" si="300"/>
        <v/>
      </c>
      <c r="K1875" s="64" t="str">
        <f t="shared" si="301"/>
        <v/>
      </c>
    </row>
    <row r="1876" spans="1:11" ht="17.25" x14ac:dyDescent="0.2">
      <c r="B1876" s="340"/>
      <c r="C1876" s="100"/>
      <c r="D1876" s="100"/>
      <c r="E1876" s="107"/>
      <c r="F1876" s="108"/>
      <c r="G1876" s="57"/>
      <c r="H1876" s="65"/>
      <c r="I1876" s="69"/>
      <c r="J1876" s="64" t="str">
        <f t="shared" si="300"/>
        <v/>
      </c>
      <c r="K1876" s="64" t="str">
        <f t="shared" si="301"/>
        <v/>
      </c>
    </row>
    <row r="1877" spans="1:11" ht="17.25" x14ac:dyDescent="0.2">
      <c r="B1877" s="340"/>
      <c r="C1877" s="100"/>
      <c r="D1877" s="100"/>
      <c r="E1877" s="107"/>
      <c r="F1877" s="108"/>
      <c r="G1877" s="57"/>
      <c r="H1877" s="65"/>
      <c r="I1877" s="69"/>
      <c r="J1877" s="64" t="str">
        <f t="shared" si="300"/>
        <v/>
      </c>
      <c r="K1877" s="64" t="str">
        <f t="shared" si="301"/>
        <v/>
      </c>
    </row>
    <row r="1878" spans="1:11" ht="17.25" x14ac:dyDescent="0.2">
      <c r="B1878" s="340"/>
      <c r="C1878" s="100"/>
      <c r="D1878" s="100"/>
      <c r="E1878" s="107"/>
      <c r="F1878" s="108"/>
      <c r="G1878" s="57"/>
      <c r="H1878" s="65"/>
      <c r="I1878" s="69"/>
      <c r="J1878" s="64" t="str">
        <f t="shared" si="300"/>
        <v/>
      </c>
      <c r="K1878" s="64" t="str">
        <f t="shared" si="301"/>
        <v/>
      </c>
    </row>
    <row r="1879" spans="1:11" ht="17.25" x14ac:dyDescent="0.2">
      <c r="B1879" s="340"/>
      <c r="C1879" s="100"/>
      <c r="D1879" s="100"/>
      <c r="E1879" s="107"/>
      <c r="F1879" s="108"/>
      <c r="G1879" s="57"/>
      <c r="H1879" s="65"/>
      <c r="I1879" s="69"/>
      <c r="J1879" s="64" t="str">
        <f t="shared" si="300"/>
        <v/>
      </c>
      <c r="K1879" s="64" t="str">
        <f t="shared" si="301"/>
        <v/>
      </c>
    </row>
    <row r="1880" spans="1:11" ht="17.25" x14ac:dyDescent="0.2">
      <c r="B1880" s="340"/>
      <c r="C1880" s="100"/>
      <c r="D1880" s="100"/>
      <c r="E1880" s="107"/>
      <c r="F1880" s="108"/>
      <c r="G1880" s="57"/>
      <c r="H1880" s="65"/>
      <c r="I1880" s="69"/>
      <c r="J1880" s="64" t="str">
        <f t="shared" si="300"/>
        <v/>
      </c>
      <c r="K1880" s="64" t="str">
        <f t="shared" si="301"/>
        <v/>
      </c>
    </row>
    <row r="1881" spans="1:11" ht="17.25" x14ac:dyDescent="0.2">
      <c r="B1881" s="340"/>
      <c r="C1881" s="100"/>
      <c r="D1881" s="100"/>
      <c r="E1881" s="107"/>
      <c r="F1881" s="108"/>
      <c r="G1881" s="57"/>
      <c r="H1881" s="65"/>
      <c r="I1881" s="69"/>
      <c r="J1881" s="64" t="str">
        <f t="shared" si="300"/>
        <v/>
      </c>
      <c r="K1881" s="64" t="str">
        <f t="shared" si="301"/>
        <v/>
      </c>
    </row>
    <row r="1882" spans="1:11" ht="17.25" x14ac:dyDescent="0.2">
      <c r="B1882" s="340"/>
      <c r="C1882" s="100"/>
      <c r="D1882" s="100"/>
      <c r="E1882" s="107"/>
      <c r="F1882" s="108"/>
      <c r="G1882" s="57"/>
      <c r="H1882" s="65"/>
      <c r="I1882" s="69"/>
      <c r="J1882" s="64" t="str">
        <f t="shared" si="300"/>
        <v/>
      </c>
      <c r="K1882" s="64" t="str">
        <f t="shared" si="301"/>
        <v/>
      </c>
    </row>
    <row r="1883" spans="1:11" ht="18" customHeight="1" x14ac:dyDescent="0.2">
      <c r="B1883" s="561" t="s">
        <v>22</v>
      </c>
      <c r="C1883" s="561" t="s">
        <v>177</v>
      </c>
      <c r="D1883" s="561" t="s">
        <v>243</v>
      </c>
      <c r="E1883" s="561" t="s">
        <v>23</v>
      </c>
      <c r="F1883" s="562" t="s">
        <v>234</v>
      </c>
      <c r="G1883" s="562"/>
      <c r="H1883" s="562"/>
      <c r="I1883" s="562"/>
      <c r="J1883" s="562"/>
      <c r="K1883" s="562"/>
    </row>
    <row r="1884" spans="1:11" ht="21" x14ac:dyDescent="0.2">
      <c r="A1884" s="114" t="s">
        <v>1112</v>
      </c>
      <c r="B1884" s="587" t="s">
        <v>2697</v>
      </c>
      <c r="C1884" s="115" t="s">
        <v>1129</v>
      </c>
      <c r="D1884" s="114" t="s">
        <v>1282</v>
      </c>
      <c r="E1884" s="329" t="str">
        <f>IF($O$102="","",$O$102)</f>
        <v>Metropolitana de Esmeralda - Área 2</v>
      </c>
      <c r="F1884" s="563">
        <f>IF(B1884="","",VLOOKUP(E1884,$O$2:$T$120,6,0))</f>
        <v>66672</v>
      </c>
      <c r="G1884" s="564"/>
      <c r="H1884" s="564"/>
      <c r="I1884" s="564"/>
      <c r="J1884" s="564"/>
      <c r="K1884" s="565"/>
    </row>
    <row r="1885" spans="1:11" ht="43.5" x14ac:dyDescent="0.2">
      <c r="B1885" s="116"/>
      <c r="C1885" s="116"/>
      <c r="D1885" s="116"/>
      <c r="E1885" s="116" t="s">
        <v>1</v>
      </c>
      <c r="F1885" s="117" t="s">
        <v>3</v>
      </c>
      <c r="G1885" s="116" t="s">
        <v>216</v>
      </c>
      <c r="H1885" s="180" t="s">
        <v>242</v>
      </c>
      <c r="I1885" s="116" t="s">
        <v>245</v>
      </c>
      <c r="J1885" s="116" t="s">
        <v>217</v>
      </c>
      <c r="K1885" s="116" t="s">
        <v>218</v>
      </c>
    </row>
    <row r="1886" spans="1:11" ht="17.25" x14ac:dyDescent="0.2">
      <c r="B1886" s="421" t="s">
        <v>2212</v>
      </c>
      <c r="C1886" s="101" t="s">
        <v>2213</v>
      </c>
      <c r="D1886" s="101" t="s">
        <v>2207</v>
      </c>
      <c r="E1886" s="107" t="s">
        <v>55</v>
      </c>
      <c r="F1886" s="333">
        <v>14</v>
      </c>
      <c r="G1886" s="64">
        <v>13</v>
      </c>
      <c r="H1886" s="65">
        <v>2</v>
      </c>
      <c r="I1886" s="69">
        <f>IF(G1886="","",SUM(G1886:H1886))</f>
        <v>15</v>
      </c>
      <c r="J1886" s="64">
        <f>IF(G1886="","",ROUNDUP(G1886*0.65,0))</f>
        <v>9</v>
      </c>
      <c r="K1886" s="64">
        <f>IF(G1886="","",ROUNDUP(G1886*0.55,0))</f>
        <v>8</v>
      </c>
    </row>
    <row r="1887" spans="1:11" ht="17.25" x14ac:dyDescent="0.2">
      <c r="B1887" s="421" t="s">
        <v>2214</v>
      </c>
      <c r="C1887" s="101" t="s">
        <v>2215</v>
      </c>
      <c r="D1887" s="101" t="s">
        <v>2202</v>
      </c>
      <c r="E1887" s="107" t="s">
        <v>1019</v>
      </c>
      <c r="F1887" s="108">
        <v>16.5</v>
      </c>
      <c r="G1887" s="64">
        <v>13</v>
      </c>
      <c r="H1887" s="65">
        <v>2</v>
      </c>
      <c r="I1887" s="69">
        <f t="shared" ref="I1887:I1892" si="302">IF(G1887="","",SUM(G1887:H1887))</f>
        <v>15</v>
      </c>
      <c r="J1887" s="64">
        <f t="shared" ref="J1887:J1901" si="303">IF(G1887="","",ROUNDUP(G1887*0.65,0))</f>
        <v>9</v>
      </c>
      <c r="K1887" s="64">
        <f t="shared" ref="K1887:K1901" si="304">IF(G1887="","",ROUNDUP(G1887*0.55,0))</f>
        <v>8</v>
      </c>
    </row>
    <row r="1888" spans="1:11" ht="17.25" x14ac:dyDescent="0.2">
      <c r="B1888" s="421" t="s">
        <v>2216</v>
      </c>
      <c r="C1888" s="101" t="s">
        <v>2215</v>
      </c>
      <c r="D1888" s="101" t="s">
        <v>2217</v>
      </c>
      <c r="E1888" s="107" t="s">
        <v>265</v>
      </c>
      <c r="F1888" s="108">
        <v>12.5</v>
      </c>
      <c r="G1888" s="64">
        <v>12</v>
      </c>
      <c r="H1888" s="65">
        <v>2</v>
      </c>
      <c r="I1888" s="69">
        <f t="shared" si="302"/>
        <v>14</v>
      </c>
      <c r="J1888" s="64">
        <f t="shared" si="303"/>
        <v>8</v>
      </c>
      <c r="K1888" s="64">
        <f t="shared" si="304"/>
        <v>7</v>
      </c>
    </row>
    <row r="1889" spans="1:11" ht="17.25" x14ac:dyDescent="0.2">
      <c r="B1889" s="421" t="s">
        <v>2218</v>
      </c>
      <c r="C1889" s="101" t="s">
        <v>2219</v>
      </c>
      <c r="D1889" s="101" t="s">
        <v>2217</v>
      </c>
      <c r="E1889" s="107" t="s">
        <v>265</v>
      </c>
      <c r="F1889" s="108">
        <v>12.5</v>
      </c>
      <c r="G1889" s="64">
        <v>12</v>
      </c>
      <c r="H1889" s="65">
        <v>1</v>
      </c>
      <c r="I1889" s="69">
        <f t="shared" si="302"/>
        <v>13</v>
      </c>
      <c r="J1889" s="64">
        <f t="shared" si="303"/>
        <v>8</v>
      </c>
      <c r="K1889" s="64">
        <f t="shared" si="304"/>
        <v>7</v>
      </c>
    </row>
    <row r="1890" spans="1:11" ht="17.25" x14ac:dyDescent="0.2">
      <c r="B1890" s="421" t="s">
        <v>2220</v>
      </c>
      <c r="C1890" s="101" t="s">
        <v>2219</v>
      </c>
      <c r="D1890" s="101" t="s">
        <v>2207</v>
      </c>
      <c r="E1890" s="107" t="s">
        <v>265</v>
      </c>
      <c r="F1890" s="108">
        <v>12.5</v>
      </c>
      <c r="G1890" s="64">
        <v>12</v>
      </c>
      <c r="H1890" s="65">
        <v>1</v>
      </c>
      <c r="I1890" s="69">
        <f t="shared" si="302"/>
        <v>13</v>
      </c>
      <c r="J1890" s="64">
        <f t="shared" si="303"/>
        <v>8</v>
      </c>
      <c r="K1890" s="64">
        <f t="shared" si="304"/>
        <v>7</v>
      </c>
    </row>
    <row r="1891" spans="1:11" ht="17.25" x14ac:dyDescent="0.2">
      <c r="B1891" s="421" t="s">
        <v>2221</v>
      </c>
      <c r="C1891" s="101" t="s">
        <v>2222</v>
      </c>
      <c r="D1891" s="101" t="s">
        <v>2217</v>
      </c>
      <c r="E1891" s="107" t="s">
        <v>179</v>
      </c>
      <c r="F1891" s="108">
        <v>9.5</v>
      </c>
      <c r="G1891" s="64">
        <v>12</v>
      </c>
      <c r="H1891" s="65">
        <v>2</v>
      </c>
      <c r="I1891" s="69">
        <f t="shared" si="302"/>
        <v>14</v>
      </c>
      <c r="J1891" s="64">
        <f t="shared" si="303"/>
        <v>8</v>
      </c>
      <c r="K1891" s="64">
        <f t="shared" si="304"/>
        <v>7</v>
      </c>
    </row>
    <row r="1892" spans="1:11" ht="17.25" x14ac:dyDescent="0.2">
      <c r="B1892" s="421" t="s">
        <v>2223</v>
      </c>
      <c r="C1892" s="101" t="s">
        <v>2222</v>
      </c>
      <c r="D1892" s="101" t="s">
        <v>2207</v>
      </c>
      <c r="E1892" s="107" t="s">
        <v>179</v>
      </c>
      <c r="F1892" s="108">
        <v>9.5</v>
      </c>
      <c r="G1892" s="64">
        <v>14</v>
      </c>
      <c r="H1892" s="65">
        <v>2</v>
      </c>
      <c r="I1892" s="69">
        <f t="shared" si="302"/>
        <v>16</v>
      </c>
      <c r="J1892" s="64">
        <f t="shared" si="303"/>
        <v>10</v>
      </c>
      <c r="K1892" s="64">
        <f t="shared" si="304"/>
        <v>8</v>
      </c>
    </row>
    <row r="1893" spans="1:11" ht="17.25" x14ac:dyDescent="0.2">
      <c r="B1893" s="341"/>
      <c r="C1893" s="101"/>
      <c r="D1893" s="101"/>
      <c r="E1893" s="107"/>
      <c r="F1893" s="108"/>
      <c r="G1893" s="64"/>
      <c r="H1893" s="65"/>
      <c r="I1893" s="69"/>
      <c r="J1893" s="64" t="str">
        <f t="shared" si="303"/>
        <v/>
      </c>
      <c r="K1893" s="64" t="str">
        <f t="shared" si="304"/>
        <v/>
      </c>
    </row>
    <row r="1894" spans="1:11" ht="17.25" x14ac:dyDescent="0.2">
      <c r="B1894" s="341"/>
      <c r="C1894" s="101"/>
      <c r="D1894" s="101"/>
      <c r="E1894" s="107"/>
      <c r="F1894" s="108"/>
      <c r="G1894" s="64"/>
      <c r="H1894" s="65"/>
      <c r="I1894" s="69"/>
      <c r="J1894" s="64" t="str">
        <f t="shared" si="303"/>
        <v/>
      </c>
      <c r="K1894" s="64" t="str">
        <f t="shared" si="304"/>
        <v/>
      </c>
    </row>
    <row r="1895" spans="1:11" ht="17.25" x14ac:dyDescent="0.2">
      <c r="B1895" s="341"/>
      <c r="C1895" s="101"/>
      <c r="D1895" s="101"/>
      <c r="E1895" s="107"/>
      <c r="F1895" s="108"/>
      <c r="G1895" s="64"/>
      <c r="H1895" s="65"/>
      <c r="I1895" s="69"/>
      <c r="J1895" s="64" t="str">
        <f t="shared" si="303"/>
        <v/>
      </c>
      <c r="K1895" s="64" t="str">
        <f t="shared" si="304"/>
        <v/>
      </c>
    </row>
    <row r="1896" spans="1:11" ht="17.25" x14ac:dyDescent="0.2">
      <c r="B1896" s="341"/>
      <c r="C1896" s="101"/>
      <c r="D1896" s="101"/>
      <c r="E1896" s="107"/>
      <c r="F1896" s="108"/>
      <c r="G1896" s="64"/>
      <c r="H1896" s="65"/>
      <c r="I1896" s="69"/>
      <c r="J1896" s="64" t="str">
        <f t="shared" si="303"/>
        <v/>
      </c>
      <c r="K1896" s="64" t="str">
        <f t="shared" si="304"/>
        <v/>
      </c>
    </row>
    <row r="1897" spans="1:11" ht="17.25" x14ac:dyDescent="0.2">
      <c r="B1897" s="341"/>
      <c r="C1897" s="101"/>
      <c r="D1897" s="101"/>
      <c r="E1897" s="107"/>
      <c r="F1897" s="108"/>
      <c r="G1897" s="64"/>
      <c r="H1897" s="65"/>
      <c r="I1897" s="69"/>
      <c r="J1897" s="64" t="str">
        <f t="shared" si="303"/>
        <v/>
      </c>
      <c r="K1897" s="64" t="str">
        <f t="shared" si="304"/>
        <v/>
      </c>
    </row>
    <row r="1898" spans="1:11" ht="17.25" x14ac:dyDescent="0.2">
      <c r="B1898" s="341"/>
      <c r="C1898" s="101"/>
      <c r="D1898" s="101"/>
      <c r="E1898" s="107"/>
      <c r="F1898" s="108"/>
      <c r="G1898" s="64"/>
      <c r="H1898" s="65"/>
      <c r="I1898" s="69"/>
      <c r="J1898" s="64" t="str">
        <f t="shared" si="303"/>
        <v/>
      </c>
      <c r="K1898" s="64" t="str">
        <f t="shared" si="304"/>
        <v/>
      </c>
    </row>
    <row r="1899" spans="1:11" ht="17.25" x14ac:dyDescent="0.2">
      <c r="B1899" s="341"/>
      <c r="C1899" s="101"/>
      <c r="D1899" s="101"/>
      <c r="E1899" s="107"/>
      <c r="F1899" s="108"/>
      <c r="G1899" s="64"/>
      <c r="H1899" s="65"/>
      <c r="I1899" s="69"/>
      <c r="J1899" s="64" t="str">
        <f t="shared" si="303"/>
        <v/>
      </c>
      <c r="K1899" s="64" t="str">
        <f t="shared" si="304"/>
        <v/>
      </c>
    </row>
    <row r="1900" spans="1:11" ht="17.25" x14ac:dyDescent="0.2">
      <c r="B1900" s="341"/>
      <c r="C1900" s="101"/>
      <c r="D1900" s="101"/>
      <c r="E1900" s="107"/>
      <c r="F1900" s="108"/>
      <c r="G1900" s="64"/>
      <c r="H1900" s="65"/>
      <c r="I1900" s="69"/>
      <c r="J1900" s="64" t="str">
        <f t="shared" si="303"/>
        <v/>
      </c>
      <c r="K1900" s="64" t="str">
        <f t="shared" si="304"/>
        <v/>
      </c>
    </row>
    <row r="1901" spans="1:11" ht="17.25" x14ac:dyDescent="0.2">
      <c r="B1901" s="341"/>
      <c r="C1901" s="101"/>
      <c r="D1901" s="101"/>
      <c r="E1901" s="107"/>
      <c r="F1901" s="108"/>
      <c r="G1901" s="64"/>
      <c r="H1901" s="65"/>
      <c r="I1901" s="69"/>
      <c r="J1901" s="64" t="str">
        <f t="shared" si="303"/>
        <v/>
      </c>
      <c r="K1901" s="64" t="str">
        <f t="shared" si="304"/>
        <v/>
      </c>
    </row>
    <row r="1902" spans="1:11" ht="18" customHeight="1" x14ac:dyDescent="0.2">
      <c r="B1902" s="561" t="s">
        <v>22</v>
      </c>
      <c r="C1902" s="561" t="s">
        <v>177</v>
      </c>
      <c r="D1902" s="561" t="s">
        <v>243</v>
      </c>
      <c r="E1902" s="561" t="s">
        <v>23</v>
      </c>
      <c r="F1902" s="562" t="s">
        <v>234</v>
      </c>
      <c r="G1902" s="562"/>
      <c r="H1902" s="562"/>
      <c r="I1902" s="562"/>
      <c r="J1902" s="562"/>
      <c r="K1902" s="562"/>
    </row>
    <row r="1903" spans="1:11" ht="21" x14ac:dyDescent="0.2">
      <c r="A1903" s="114" t="s">
        <v>1113</v>
      </c>
      <c r="B1903" s="432" t="s">
        <v>1148</v>
      </c>
      <c r="C1903" s="115" t="s">
        <v>1130</v>
      </c>
      <c r="D1903" s="114" t="s">
        <v>574</v>
      </c>
      <c r="E1903" s="329" t="str">
        <f>IF($O$103="","",$O$103)</f>
        <v>Metropolitana de Esmeralda - Área 3</v>
      </c>
      <c r="F1903" s="563">
        <f>IF(B1903="","",VLOOKUP(E1903,$O$2:$T$120,6,0))</f>
        <v>60469</v>
      </c>
      <c r="G1903" s="564"/>
      <c r="H1903" s="564"/>
      <c r="I1903" s="564"/>
      <c r="J1903" s="564"/>
      <c r="K1903" s="565"/>
    </row>
    <row r="1904" spans="1:11" ht="43.5" x14ac:dyDescent="0.2">
      <c r="B1904" s="116" t="s">
        <v>0</v>
      </c>
      <c r="C1904" s="116" t="s">
        <v>20</v>
      </c>
      <c r="D1904" s="116" t="s">
        <v>21</v>
      </c>
      <c r="E1904" s="116" t="s">
        <v>1</v>
      </c>
      <c r="F1904" s="117" t="s">
        <v>3</v>
      </c>
      <c r="G1904" s="116" t="s">
        <v>216</v>
      </c>
      <c r="H1904" s="180" t="s">
        <v>242</v>
      </c>
      <c r="I1904" s="116" t="s">
        <v>245</v>
      </c>
      <c r="J1904" s="116" t="s">
        <v>217</v>
      </c>
      <c r="K1904" s="116" t="s">
        <v>218</v>
      </c>
    </row>
    <row r="1905" spans="2:11" ht="17.25" x14ac:dyDescent="0.2">
      <c r="B1905" s="421" t="s">
        <v>2224</v>
      </c>
      <c r="C1905" s="102" t="s">
        <v>2171</v>
      </c>
      <c r="D1905" s="102" t="s">
        <v>2202</v>
      </c>
      <c r="E1905" s="107" t="s">
        <v>56</v>
      </c>
      <c r="F1905" s="333">
        <v>17.5</v>
      </c>
      <c r="G1905" s="57">
        <v>14</v>
      </c>
      <c r="H1905" s="65">
        <v>1</v>
      </c>
      <c r="I1905" s="69">
        <f>IF(G1905="","",SUM(G1905:H1905))</f>
        <v>15</v>
      </c>
      <c r="J1905" s="64">
        <f>IF(G1905="","",ROUNDUP(G1905*0.65,0))</f>
        <v>10</v>
      </c>
      <c r="K1905" s="64">
        <f>IF(G1905="","",ROUNDUP(G1905*0.55,0))</f>
        <v>8</v>
      </c>
    </row>
    <row r="1906" spans="2:11" ht="17.25" x14ac:dyDescent="0.2">
      <c r="B1906" s="421" t="s">
        <v>2225</v>
      </c>
      <c r="C1906" s="102" t="s">
        <v>2171</v>
      </c>
      <c r="D1906" s="102" t="s">
        <v>2200</v>
      </c>
      <c r="E1906" s="107" t="s">
        <v>56</v>
      </c>
      <c r="F1906" s="333">
        <v>17.5</v>
      </c>
      <c r="G1906" s="57">
        <v>14</v>
      </c>
      <c r="H1906" s="65">
        <v>1</v>
      </c>
      <c r="I1906" s="69">
        <f t="shared" ref="I1906:I1918" si="305">IF(G1906="","",SUM(G1906:H1906))</f>
        <v>15</v>
      </c>
      <c r="J1906" s="64">
        <f t="shared" ref="J1906:J1920" si="306">IF(G1906="","",ROUNDUP(G1906*0.65,0))</f>
        <v>10</v>
      </c>
      <c r="K1906" s="64">
        <f t="shared" ref="K1906:K1920" si="307">IF(G1906="","",ROUNDUP(G1906*0.55,0))</f>
        <v>8</v>
      </c>
    </row>
    <row r="1907" spans="2:11" ht="17.25" x14ac:dyDescent="0.2">
      <c r="B1907" s="421" t="s">
        <v>2226</v>
      </c>
      <c r="C1907" s="102" t="s">
        <v>2171</v>
      </c>
      <c r="D1907" s="102" t="s">
        <v>2169</v>
      </c>
      <c r="E1907" s="107" t="s">
        <v>1019</v>
      </c>
      <c r="F1907" s="108">
        <v>16.5</v>
      </c>
      <c r="G1907" s="57">
        <v>14</v>
      </c>
      <c r="H1907" s="65">
        <v>1</v>
      </c>
      <c r="I1907" s="69">
        <f t="shared" si="305"/>
        <v>15</v>
      </c>
      <c r="J1907" s="64">
        <f t="shared" si="306"/>
        <v>10</v>
      </c>
      <c r="K1907" s="64">
        <f t="shared" si="307"/>
        <v>8</v>
      </c>
    </row>
    <row r="1908" spans="2:11" ht="17.25" x14ac:dyDescent="0.2">
      <c r="B1908" s="421" t="s">
        <v>2227</v>
      </c>
      <c r="C1908" s="102" t="s">
        <v>2171</v>
      </c>
      <c r="D1908" s="102" t="s">
        <v>2207</v>
      </c>
      <c r="E1908" s="107" t="s">
        <v>55</v>
      </c>
      <c r="F1908" s="333">
        <v>14</v>
      </c>
      <c r="G1908" s="57">
        <v>12</v>
      </c>
      <c r="H1908" s="65">
        <v>1</v>
      </c>
      <c r="I1908" s="69">
        <f t="shared" si="305"/>
        <v>13</v>
      </c>
      <c r="J1908" s="64">
        <f t="shared" si="306"/>
        <v>8</v>
      </c>
      <c r="K1908" s="64">
        <f t="shared" si="307"/>
        <v>7</v>
      </c>
    </row>
    <row r="1909" spans="2:11" ht="17.25" x14ac:dyDescent="0.2">
      <c r="B1909" s="421" t="s">
        <v>2228</v>
      </c>
      <c r="C1909" s="102" t="s">
        <v>2171</v>
      </c>
      <c r="D1909" s="102" t="s">
        <v>2180</v>
      </c>
      <c r="E1909" s="107" t="s">
        <v>55</v>
      </c>
      <c r="F1909" s="333">
        <v>14</v>
      </c>
      <c r="G1909" s="57">
        <v>12</v>
      </c>
      <c r="H1909" s="65">
        <v>1</v>
      </c>
      <c r="I1909" s="69">
        <f t="shared" si="305"/>
        <v>13</v>
      </c>
      <c r="J1909" s="64">
        <f t="shared" si="306"/>
        <v>8</v>
      </c>
      <c r="K1909" s="64">
        <f t="shared" si="307"/>
        <v>7</v>
      </c>
    </row>
    <row r="1910" spans="2:11" ht="17.25" x14ac:dyDescent="0.2">
      <c r="B1910" s="421" t="s">
        <v>2229</v>
      </c>
      <c r="C1910" s="102" t="s">
        <v>2230</v>
      </c>
      <c r="D1910" s="102" t="s">
        <v>2169</v>
      </c>
      <c r="E1910" s="107" t="s">
        <v>55</v>
      </c>
      <c r="F1910" s="333">
        <v>14</v>
      </c>
      <c r="G1910" s="57">
        <v>12</v>
      </c>
      <c r="H1910" s="65">
        <v>2</v>
      </c>
      <c r="I1910" s="69">
        <f t="shared" si="305"/>
        <v>14</v>
      </c>
      <c r="J1910" s="64">
        <f t="shared" si="306"/>
        <v>8</v>
      </c>
      <c r="K1910" s="64">
        <f t="shared" si="307"/>
        <v>7</v>
      </c>
    </row>
    <row r="1911" spans="2:11" ht="17.25" x14ac:dyDescent="0.2">
      <c r="B1911" s="343"/>
      <c r="C1911" s="102"/>
      <c r="D1911" s="102"/>
      <c r="E1911" s="107"/>
      <c r="F1911" s="108"/>
      <c r="G1911" s="57"/>
      <c r="H1911" s="65"/>
      <c r="I1911" s="69" t="str">
        <f t="shared" si="305"/>
        <v/>
      </c>
      <c r="J1911" s="64" t="str">
        <f t="shared" si="306"/>
        <v/>
      </c>
      <c r="K1911" s="64" t="str">
        <f t="shared" si="307"/>
        <v/>
      </c>
    </row>
    <row r="1912" spans="2:11" ht="17.25" x14ac:dyDescent="0.2">
      <c r="B1912" s="343"/>
      <c r="C1912" s="102"/>
      <c r="D1912" s="102"/>
      <c r="E1912" s="107"/>
      <c r="F1912" s="108"/>
      <c r="G1912" s="57"/>
      <c r="H1912" s="65"/>
      <c r="I1912" s="69" t="str">
        <f t="shared" si="305"/>
        <v/>
      </c>
      <c r="J1912" s="64" t="str">
        <f t="shared" si="306"/>
        <v/>
      </c>
      <c r="K1912" s="64" t="str">
        <f t="shared" si="307"/>
        <v/>
      </c>
    </row>
    <row r="1913" spans="2:11" ht="17.25" x14ac:dyDescent="0.2">
      <c r="B1913" s="343"/>
      <c r="C1913" s="102"/>
      <c r="D1913" s="110"/>
      <c r="E1913" s="107"/>
      <c r="F1913" s="108"/>
      <c r="G1913" s="57"/>
      <c r="H1913" s="65"/>
      <c r="I1913" s="69" t="str">
        <f t="shared" si="305"/>
        <v/>
      </c>
      <c r="J1913" s="64" t="str">
        <f t="shared" si="306"/>
        <v/>
      </c>
      <c r="K1913" s="64" t="str">
        <f t="shared" si="307"/>
        <v/>
      </c>
    </row>
    <row r="1914" spans="2:11" ht="17.25" x14ac:dyDescent="0.2">
      <c r="B1914" s="343"/>
      <c r="C1914" s="102"/>
      <c r="D1914" s="110"/>
      <c r="E1914" s="107"/>
      <c r="F1914" s="108"/>
      <c r="G1914" s="57"/>
      <c r="H1914" s="65"/>
      <c r="I1914" s="69" t="str">
        <f t="shared" si="305"/>
        <v/>
      </c>
      <c r="J1914" s="64" t="str">
        <f t="shared" si="306"/>
        <v/>
      </c>
      <c r="K1914" s="64" t="str">
        <f t="shared" si="307"/>
        <v/>
      </c>
    </row>
    <row r="1915" spans="2:11" ht="17.25" x14ac:dyDescent="0.2">
      <c r="B1915" s="343"/>
      <c r="C1915" s="102"/>
      <c r="D1915" s="102"/>
      <c r="E1915" s="107"/>
      <c r="F1915" s="108"/>
      <c r="G1915" s="57"/>
      <c r="H1915" s="65"/>
      <c r="I1915" s="69" t="str">
        <f t="shared" si="305"/>
        <v/>
      </c>
      <c r="J1915" s="64" t="str">
        <f t="shared" si="306"/>
        <v/>
      </c>
      <c r="K1915" s="64" t="str">
        <f t="shared" si="307"/>
        <v/>
      </c>
    </row>
    <row r="1916" spans="2:11" ht="17.25" x14ac:dyDescent="0.2">
      <c r="B1916" s="343"/>
      <c r="C1916" s="102"/>
      <c r="D1916" s="102"/>
      <c r="E1916" s="107"/>
      <c r="F1916" s="108"/>
      <c r="G1916" s="57"/>
      <c r="H1916" s="65"/>
      <c r="I1916" s="69" t="str">
        <f t="shared" si="305"/>
        <v/>
      </c>
      <c r="J1916" s="64" t="str">
        <f t="shared" si="306"/>
        <v/>
      </c>
      <c r="K1916" s="64" t="str">
        <f t="shared" si="307"/>
        <v/>
      </c>
    </row>
    <row r="1917" spans="2:11" ht="17.25" x14ac:dyDescent="0.2">
      <c r="B1917" s="343"/>
      <c r="C1917" s="102"/>
      <c r="D1917" s="102"/>
      <c r="E1917" s="107"/>
      <c r="F1917" s="108"/>
      <c r="G1917" s="57"/>
      <c r="H1917" s="65"/>
      <c r="I1917" s="69" t="str">
        <f t="shared" si="305"/>
        <v/>
      </c>
      <c r="J1917" s="64" t="str">
        <f t="shared" si="306"/>
        <v/>
      </c>
      <c r="K1917" s="64" t="str">
        <f t="shared" si="307"/>
        <v/>
      </c>
    </row>
    <row r="1918" spans="2:11" ht="17.25" x14ac:dyDescent="0.2">
      <c r="B1918" s="343"/>
      <c r="C1918" s="102"/>
      <c r="D1918" s="102"/>
      <c r="E1918" s="107"/>
      <c r="F1918" s="108"/>
      <c r="G1918" s="57"/>
      <c r="H1918" s="65"/>
      <c r="I1918" s="69" t="str">
        <f t="shared" si="305"/>
        <v/>
      </c>
      <c r="J1918" s="64" t="str">
        <f t="shared" si="306"/>
        <v/>
      </c>
      <c r="K1918" s="64" t="str">
        <f t="shared" si="307"/>
        <v/>
      </c>
    </row>
    <row r="1919" spans="2:11" ht="17.25" x14ac:dyDescent="0.2">
      <c r="B1919" s="343"/>
      <c r="C1919" s="102"/>
      <c r="D1919" s="102"/>
      <c r="E1919" s="107"/>
      <c r="F1919" s="108"/>
      <c r="G1919" s="57"/>
      <c r="H1919" s="65"/>
      <c r="I1919" s="69"/>
      <c r="J1919" s="64" t="str">
        <f t="shared" si="306"/>
        <v/>
      </c>
      <c r="K1919" s="64" t="str">
        <f t="shared" si="307"/>
        <v/>
      </c>
    </row>
    <row r="1920" spans="2:11" ht="17.25" x14ac:dyDescent="0.2">
      <c r="B1920" s="343"/>
      <c r="C1920" s="102"/>
      <c r="D1920" s="102"/>
      <c r="E1920" s="107"/>
      <c r="F1920" s="108"/>
      <c r="G1920" s="57"/>
      <c r="H1920" s="65"/>
      <c r="I1920" s="69"/>
      <c r="J1920" s="64" t="str">
        <f t="shared" si="306"/>
        <v/>
      </c>
      <c r="K1920" s="64" t="str">
        <f t="shared" si="307"/>
        <v/>
      </c>
    </row>
    <row r="1921" spans="1:11" ht="18" customHeight="1" x14ac:dyDescent="0.2">
      <c r="B1921" s="561" t="s">
        <v>22</v>
      </c>
      <c r="C1921" s="561" t="s">
        <v>177</v>
      </c>
      <c r="D1921" s="561" t="s">
        <v>243</v>
      </c>
      <c r="E1921" s="561" t="s">
        <v>23</v>
      </c>
      <c r="F1921" s="562" t="s">
        <v>234</v>
      </c>
      <c r="G1921" s="562"/>
      <c r="H1921" s="562"/>
      <c r="I1921" s="562"/>
      <c r="J1921" s="562"/>
      <c r="K1921" s="562"/>
    </row>
    <row r="1922" spans="1:11" ht="21" x14ac:dyDescent="0.2">
      <c r="A1922" s="114" t="s">
        <v>1114</v>
      </c>
      <c r="B1922" s="587" t="s">
        <v>2698</v>
      </c>
      <c r="C1922" s="115" t="s">
        <v>1129</v>
      </c>
      <c r="D1922" s="114" t="s">
        <v>1282</v>
      </c>
      <c r="E1922" s="329" t="str">
        <f>IF($O$104="","",$O$104)</f>
        <v>Metropolitana de Esmeralda - Área 4</v>
      </c>
      <c r="F1922" s="563">
        <f>IF(B1922="","",VLOOKUP(E1922,$O$2:$T$120,6,0))</f>
        <v>48066</v>
      </c>
      <c r="G1922" s="564"/>
      <c r="H1922" s="564"/>
      <c r="I1922" s="564"/>
      <c r="J1922" s="564"/>
      <c r="K1922" s="565"/>
    </row>
    <row r="1923" spans="1:11" ht="43.5" x14ac:dyDescent="0.2">
      <c r="B1923" s="116" t="s">
        <v>0</v>
      </c>
      <c r="C1923" s="116" t="s">
        <v>20</v>
      </c>
      <c r="D1923" s="116" t="s">
        <v>21</v>
      </c>
      <c r="E1923" s="116" t="s">
        <v>1</v>
      </c>
      <c r="F1923" s="117" t="s">
        <v>3</v>
      </c>
      <c r="G1923" s="116" t="s">
        <v>216</v>
      </c>
      <c r="H1923" s="180" t="s">
        <v>242</v>
      </c>
      <c r="I1923" s="116" t="s">
        <v>245</v>
      </c>
      <c r="J1923" s="116" t="s">
        <v>217</v>
      </c>
      <c r="K1923" s="116" t="s">
        <v>218</v>
      </c>
    </row>
    <row r="1924" spans="1:11" ht="17.25" x14ac:dyDescent="0.2">
      <c r="B1924" s="421" t="s">
        <v>2231</v>
      </c>
      <c r="C1924" s="103" t="s">
        <v>2230</v>
      </c>
      <c r="D1924" s="103" t="s">
        <v>2232</v>
      </c>
      <c r="E1924" s="107" t="s">
        <v>265</v>
      </c>
      <c r="F1924" s="108">
        <v>12.5</v>
      </c>
      <c r="G1924" s="64">
        <v>8</v>
      </c>
      <c r="H1924" s="65">
        <v>2</v>
      </c>
      <c r="I1924" s="69">
        <f>IF(G1924="","",SUM(G1924:H1924))</f>
        <v>10</v>
      </c>
      <c r="J1924" s="64">
        <f>IF(G1924="","",ROUNDUP(G1924*0.65,0))</f>
        <v>6</v>
      </c>
      <c r="K1924" s="64">
        <f>IF(G1924="","",ROUNDUP(G1924*0.55,0))</f>
        <v>5</v>
      </c>
    </row>
    <row r="1925" spans="1:11" ht="17.25" x14ac:dyDescent="0.2">
      <c r="B1925" s="421" t="s">
        <v>2233</v>
      </c>
      <c r="C1925" s="103" t="s">
        <v>2234</v>
      </c>
      <c r="D1925" s="103" t="s">
        <v>2235</v>
      </c>
      <c r="E1925" s="107" t="s">
        <v>265</v>
      </c>
      <c r="F1925" s="108">
        <v>12.5</v>
      </c>
      <c r="G1925" s="64">
        <v>12</v>
      </c>
      <c r="H1925" s="65">
        <v>3</v>
      </c>
      <c r="I1925" s="69">
        <f t="shared" ref="I1925:I1931" si="308">IF(G1925="","",SUM(G1925:H1925))</f>
        <v>15</v>
      </c>
      <c r="J1925" s="64">
        <f t="shared" ref="J1925:J1939" si="309">IF(G1925="","",ROUNDUP(G1925*0.65,0))</f>
        <v>8</v>
      </c>
      <c r="K1925" s="64">
        <f t="shared" ref="K1925:K1939" si="310">IF(G1925="","",ROUNDUP(G1925*0.55,0))</f>
        <v>7</v>
      </c>
    </row>
    <row r="1926" spans="1:11" ht="17.25" x14ac:dyDescent="0.2">
      <c r="B1926" s="421" t="s">
        <v>2236</v>
      </c>
      <c r="C1926" s="103" t="s">
        <v>2234</v>
      </c>
      <c r="D1926" s="103" t="s">
        <v>2237</v>
      </c>
      <c r="E1926" s="107" t="s">
        <v>265</v>
      </c>
      <c r="F1926" s="108">
        <v>12.5</v>
      </c>
      <c r="G1926" s="64">
        <v>16</v>
      </c>
      <c r="H1926" s="65">
        <v>1</v>
      </c>
      <c r="I1926" s="69">
        <f t="shared" si="308"/>
        <v>17</v>
      </c>
      <c r="J1926" s="64">
        <f t="shared" si="309"/>
        <v>11</v>
      </c>
      <c r="K1926" s="64">
        <f t="shared" si="310"/>
        <v>9</v>
      </c>
    </row>
    <row r="1927" spans="1:11" ht="17.25" x14ac:dyDescent="0.2">
      <c r="B1927" s="421" t="s">
        <v>2238</v>
      </c>
      <c r="C1927" s="103" t="s">
        <v>2239</v>
      </c>
      <c r="D1927" s="103" t="s">
        <v>2237</v>
      </c>
      <c r="E1927" s="107" t="s">
        <v>265</v>
      </c>
      <c r="F1927" s="108">
        <v>12.5</v>
      </c>
      <c r="G1927" s="64">
        <v>12</v>
      </c>
      <c r="H1927" s="65">
        <v>1</v>
      </c>
      <c r="I1927" s="69">
        <f t="shared" si="308"/>
        <v>13</v>
      </c>
      <c r="J1927" s="64">
        <f t="shared" si="309"/>
        <v>8</v>
      </c>
      <c r="K1927" s="64">
        <f t="shared" si="310"/>
        <v>7</v>
      </c>
    </row>
    <row r="1928" spans="1:11" ht="17.25" x14ac:dyDescent="0.2">
      <c r="B1928" s="421" t="s">
        <v>2240</v>
      </c>
      <c r="C1928" s="103" t="s">
        <v>2239</v>
      </c>
      <c r="D1928" s="103" t="s">
        <v>2211</v>
      </c>
      <c r="E1928" s="107" t="s">
        <v>265</v>
      </c>
      <c r="F1928" s="108">
        <v>12.5</v>
      </c>
      <c r="G1928" s="64">
        <v>14</v>
      </c>
      <c r="H1928" s="65">
        <v>1</v>
      </c>
      <c r="I1928" s="69">
        <f t="shared" si="308"/>
        <v>15</v>
      </c>
      <c r="J1928" s="64">
        <f t="shared" si="309"/>
        <v>10</v>
      </c>
      <c r="K1928" s="64">
        <f t="shared" si="310"/>
        <v>8</v>
      </c>
    </row>
    <row r="1929" spans="1:11" ht="17.25" x14ac:dyDescent="0.2">
      <c r="B1929" s="336"/>
      <c r="C1929" s="103"/>
      <c r="D1929" s="103"/>
      <c r="E1929" s="107"/>
      <c r="F1929" s="108"/>
      <c r="G1929" s="64"/>
      <c r="H1929" s="65"/>
      <c r="I1929" s="69" t="str">
        <f t="shared" si="308"/>
        <v/>
      </c>
      <c r="J1929" s="64" t="str">
        <f t="shared" si="309"/>
        <v/>
      </c>
      <c r="K1929" s="64" t="str">
        <f t="shared" si="310"/>
        <v/>
      </c>
    </row>
    <row r="1930" spans="1:11" ht="17.25" x14ac:dyDescent="0.2">
      <c r="B1930" s="336"/>
      <c r="C1930" s="103"/>
      <c r="D1930" s="103"/>
      <c r="E1930" s="107"/>
      <c r="F1930" s="108"/>
      <c r="G1930" s="64"/>
      <c r="H1930" s="65"/>
      <c r="I1930" s="69" t="str">
        <f t="shared" si="308"/>
        <v/>
      </c>
      <c r="J1930" s="64" t="str">
        <f t="shared" si="309"/>
        <v/>
      </c>
      <c r="K1930" s="64" t="str">
        <f t="shared" si="310"/>
        <v/>
      </c>
    </row>
    <row r="1931" spans="1:11" ht="17.25" x14ac:dyDescent="0.2">
      <c r="B1931" s="336"/>
      <c r="C1931" s="103"/>
      <c r="D1931" s="103"/>
      <c r="E1931" s="107"/>
      <c r="F1931" s="108"/>
      <c r="G1931" s="64"/>
      <c r="H1931" s="65"/>
      <c r="I1931" s="69" t="str">
        <f t="shared" si="308"/>
        <v/>
      </c>
      <c r="J1931" s="64" t="str">
        <f t="shared" si="309"/>
        <v/>
      </c>
      <c r="K1931" s="64" t="str">
        <f t="shared" si="310"/>
        <v/>
      </c>
    </row>
    <row r="1932" spans="1:11" ht="17.25" x14ac:dyDescent="0.2">
      <c r="B1932" s="336"/>
      <c r="C1932" s="103"/>
      <c r="D1932" s="103"/>
      <c r="E1932" s="107"/>
      <c r="F1932" s="108"/>
      <c r="G1932" s="64"/>
      <c r="H1932" s="65"/>
      <c r="I1932" s="69"/>
      <c r="J1932" s="64" t="str">
        <f t="shared" si="309"/>
        <v/>
      </c>
      <c r="K1932" s="64" t="str">
        <f t="shared" si="310"/>
        <v/>
      </c>
    </row>
    <row r="1933" spans="1:11" ht="17.25" x14ac:dyDescent="0.2">
      <c r="B1933" s="336"/>
      <c r="C1933" s="103"/>
      <c r="D1933" s="103"/>
      <c r="E1933" s="107"/>
      <c r="F1933" s="108"/>
      <c r="G1933" s="64"/>
      <c r="H1933" s="65"/>
      <c r="I1933" s="69"/>
      <c r="J1933" s="64" t="str">
        <f t="shared" si="309"/>
        <v/>
      </c>
      <c r="K1933" s="64" t="str">
        <f t="shared" si="310"/>
        <v/>
      </c>
    </row>
    <row r="1934" spans="1:11" ht="17.25" x14ac:dyDescent="0.2">
      <c r="B1934" s="336"/>
      <c r="C1934" s="103"/>
      <c r="D1934" s="103"/>
      <c r="E1934" s="107"/>
      <c r="F1934" s="108"/>
      <c r="G1934" s="64"/>
      <c r="H1934" s="65"/>
      <c r="I1934" s="69"/>
      <c r="J1934" s="64" t="str">
        <f t="shared" si="309"/>
        <v/>
      </c>
      <c r="K1934" s="64" t="str">
        <f t="shared" si="310"/>
        <v/>
      </c>
    </row>
    <row r="1935" spans="1:11" ht="17.25" x14ac:dyDescent="0.2">
      <c r="B1935" s="336"/>
      <c r="C1935" s="103"/>
      <c r="D1935" s="103"/>
      <c r="E1935" s="107"/>
      <c r="F1935" s="108"/>
      <c r="G1935" s="64"/>
      <c r="H1935" s="65"/>
      <c r="I1935" s="69"/>
      <c r="J1935" s="64" t="str">
        <f t="shared" si="309"/>
        <v/>
      </c>
      <c r="K1935" s="64" t="str">
        <f t="shared" si="310"/>
        <v/>
      </c>
    </row>
    <row r="1936" spans="1:11" ht="17.25" x14ac:dyDescent="0.2">
      <c r="B1936" s="336"/>
      <c r="C1936" s="103"/>
      <c r="D1936" s="103"/>
      <c r="E1936" s="107"/>
      <c r="F1936" s="108"/>
      <c r="G1936" s="64"/>
      <c r="H1936" s="65"/>
      <c r="I1936" s="69"/>
      <c r="J1936" s="64" t="str">
        <f t="shared" si="309"/>
        <v/>
      </c>
      <c r="K1936" s="64" t="str">
        <f t="shared" si="310"/>
        <v/>
      </c>
    </row>
    <row r="1937" spans="1:11" ht="17.25" x14ac:dyDescent="0.2">
      <c r="B1937" s="336"/>
      <c r="C1937" s="103"/>
      <c r="D1937" s="103"/>
      <c r="E1937" s="107"/>
      <c r="F1937" s="108"/>
      <c r="G1937" s="64"/>
      <c r="H1937" s="65"/>
      <c r="I1937" s="69"/>
      <c r="J1937" s="64" t="str">
        <f t="shared" si="309"/>
        <v/>
      </c>
      <c r="K1937" s="64" t="str">
        <f t="shared" si="310"/>
        <v/>
      </c>
    </row>
    <row r="1938" spans="1:11" ht="17.25" x14ac:dyDescent="0.2">
      <c r="B1938" s="336"/>
      <c r="C1938" s="103"/>
      <c r="D1938" s="103"/>
      <c r="E1938" s="107"/>
      <c r="F1938" s="108"/>
      <c r="G1938" s="64"/>
      <c r="H1938" s="65"/>
      <c r="I1938" s="69"/>
      <c r="J1938" s="64" t="str">
        <f t="shared" si="309"/>
        <v/>
      </c>
      <c r="K1938" s="64" t="str">
        <f t="shared" si="310"/>
        <v/>
      </c>
    </row>
    <row r="1939" spans="1:11" ht="17.25" x14ac:dyDescent="0.2">
      <c r="B1939" s="336"/>
      <c r="C1939" s="103"/>
      <c r="D1939" s="103"/>
      <c r="E1939" s="107"/>
      <c r="F1939" s="108"/>
      <c r="G1939" s="64"/>
      <c r="H1939" s="65"/>
      <c r="I1939" s="69"/>
      <c r="J1939" s="64" t="str">
        <f t="shared" si="309"/>
        <v/>
      </c>
      <c r="K1939" s="64" t="str">
        <f t="shared" si="310"/>
        <v/>
      </c>
    </row>
    <row r="1940" spans="1:11" ht="18" customHeight="1" x14ac:dyDescent="0.2">
      <c r="B1940" s="561" t="s">
        <v>22</v>
      </c>
      <c r="C1940" s="561" t="s">
        <v>177</v>
      </c>
      <c r="D1940" s="561" t="s">
        <v>243</v>
      </c>
      <c r="E1940" s="561" t="s">
        <v>23</v>
      </c>
      <c r="F1940" s="562" t="s">
        <v>234</v>
      </c>
      <c r="G1940" s="562"/>
      <c r="H1940" s="562"/>
      <c r="I1940" s="562"/>
      <c r="J1940" s="562"/>
      <c r="K1940" s="562"/>
    </row>
    <row r="1941" spans="1:11" ht="21" x14ac:dyDescent="0.2">
      <c r="A1941" s="114" t="s">
        <v>1115</v>
      </c>
      <c r="B1941" s="432" t="s">
        <v>1149</v>
      </c>
      <c r="C1941" s="115" t="s">
        <v>1130</v>
      </c>
      <c r="D1941" s="114" t="s">
        <v>574</v>
      </c>
      <c r="E1941" s="329" t="str">
        <f>IF($O$105="","",$O$105)</f>
        <v>Metropolitana de Yporanga - Área 1</v>
      </c>
      <c r="F1941" s="563">
        <f>IF(B1941="","",VLOOKUP(E1941,$O$2:$T$120,6,0))</f>
        <v>68223</v>
      </c>
      <c r="G1941" s="564"/>
      <c r="H1941" s="564"/>
      <c r="I1941" s="564"/>
      <c r="J1941" s="564"/>
      <c r="K1941" s="565"/>
    </row>
    <row r="1942" spans="1:11" ht="43.5" x14ac:dyDescent="0.2">
      <c r="B1942" s="116" t="s">
        <v>0</v>
      </c>
      <c r="C1942" s="116" t="s">
        <v>20</v>
      </c>
      <c r="D1942" s="116" t="s">
        <v>21</v>
      </c>
      <c r="E1942" s="116" t="s">
        <v>1</v>
      </c>
      <c r="F1942" s="117" t="s">
        <v>3</v>
      </c>
      <c r="G1942" s="116" t="s">
        <v>216</v>
      </c>
      <c r="H1942" s="180" t="s">
        <v>242</v>
      </c>
      <c r="I1942" s="116" t="s">
        <v>245</v>
      </c>
      <c r="J1942" s="116" t="s">
        <v>217</v>
      </c>
      <c r="K1942" s="116" t="s">
        <v>218</v>
      </c>
    </row>
    <row r="1943" spans="1:11" ht="17.25" x14ac:dyDescent="0.2">
      <c r="B1943" s="422" t="s">
        <v>2241</v>
      </c>
      <c r="C1943" s="97" t="s">
        <v>2204</v>
      </c>
      <c r="D1943" s="97" t="s">
        <v>2200</v>
      </c>
      <c r="E1943" s="107" t="s">
        <v>1019</v>
      </c>
      <c r="F1943" s="108">
        <v>16.5</v>
      </c>
      <c r="G1943" s="57">
        <v>13</v>
      </c>
      <c r="H1943" s="65">
        <v>2</v>
      </c>
      <c r="I1943" s="69">
        <f>IF(G1943="","",SUM(G1943:H1943))</f>
        <v>15</v>
      </c>
      <c r="J1943" s="64">
        <f>IF(G1943="","",ROUNDUP(G1943*0.65,0))</f>
        <v>9</v>
      </c>
      <c r="K1943" s="64">
        <f>IF(G1943="","",ROUNDUP(G1943*0.55,0))</f>
        <v>8</v>
      </c>
    </row>
    <row r="1944" spans="1:11" ht="17.25" x14ac:dyDescent="0.2">
      <c r="B1944" s="422" t="s">
        <v>2242</v>
      </c>
      <c r="C1944" s="97" t="s">
        <v>2204</v>
      </c>
      <c r="D1944" s="97" t="s">
        <v>2243</v>
      </c>
      <c r="E1944" s="107" t="s">
        <v>55</v>
      </c>
      <c r="F1944" s="333">
        <v>14</v>
      </c>
      <c r="G1944" s="57">
        <v>13</v>
      </c>
      <c r="H1944" s="65">
        <v>2</v>
      </c>
      <c r="I1944" s="69">
        <f t="shared" ref="I1944:I1958" si="311">IF(G1944="","",SUM(G1944:H1944))</f>
        <v>15</v>
      </c>
      <c r="J1944" s="64">
        <f t="shared" ref="J1944:J1958" si="312">IF(G1944="","",ROUNDUP(G1944*0.65,0))</f>
        <v>9</v>
      </c>
      <c r="K1944" s="64">
        <f t="shared" ref="K1944:K1958" si="313">IF(G1944="","",ROUNDUP(G1944*0.55,0))</f>
        <v>8</v>
      </c>
    </row>
    <row r="1945" spans="1:11" ht="17.25" x14ac:dyDescent="0.2">
      <c r="B1945" s="422" t="s">
        <v>2244</v>
      </c>
      <c r="C1945" s="97" t="s">
        <v>2204</v>
      </c>
      <c r="D1945" s="97" t="s">
        <v>2245</v>
      </c>
      <c r="E1945" s="107" t="s">
        <v>265</v>
      </c>
      <c r="F1945" s="108">
        <v>12.5</v>
      </c>
      <c r="G1945" s="57">
        <v>10</v>
      </c>
      <c r="H1945" s="65">
        <v>1</v>
      </c>
      <c r="I1945" s="69">
        <f t="shared" si="311"/>
        <v>11</v>
      </c>
      <c r="J1945" s="64">
        <f t="shared" si="312"/>
        <v>7</v>
      </c>
      <c r="K1945" s="64">
        <f t="shared" si="313"/>
        <v>6</v>
      </c>
    </row>
    <row r="1946" spans="1:11" ht="17.25" x14ac:dyDescent="0.2">
      <c r="B1946" s="422" t="s">
        <v>2246</v>
      </c>
      <c r="C1946" s="97" t="s">
        <v>2204</v>
      </c>
      <c r="D1946" s="97" t="s">
        <v>2211</v>
      </c>
      <c r="E1946" s="107" t="s">
        <v>265</v>
      </c>
      <c r="F1946" s="108">
        <v>12.5</v>
      </c>
      <c r="G1946" s="57">
        <v>10</v>
      </c>
      <c r="H1946" s="65">
        <v>1</v>
      </c>
      <c r="I1946" s="69">
        <f t="shared" si="311"/>
        <v>11</v>
      </c>
      <c r="J1946" s="64">
        <f t="shared" si="312"/>
        <v>7</v>
      </c>
      <c r="K1946" s="64">
        <f t="shared" si="313"/>
        <v>6</v>
      </c>
    </row>
    <row r="1947" spans="1:11" ht="17.25" x14ac:dyDescent="0.2">
      <c r="B1947" s="422" t="s">
        <v>2247</v>
      </c>
      <c r="C1947" s="97" t="s">
        <v>2248</v>
      </c>
      <c r="D1947" s="97" t="s">
        <v>2249</v>
      </c>
      <c r="E1947" s="107" t="s">
        <v>265</v>
      </c>
      <c r="F1947" s="108">
        <v>12.5</v>
      </c>
      <c r="G1947" s="57">
        <v>10</v>
      </c>
      <c r="H1947" s="65">
        <v>1</v>
      </c>
      <c r="I1947" s="69">
        <f t="shared" si="311"/>
        <v>11</v>
      </c>
      <c r="J1947" s="64">
        <f t="shared" si="312"/>
        <v>7</v>
      </c>
      <c r="K1947" s="64">
        <f t="shared" si="313"/>
        <v>6</v>
      </c>
    </row>
    <row r="1948" spans="1:11" ht="17.25" x14ac:dyDescent="0.2">
      <c r="B1948" s="422" t="s">
        <v>2250</v>
      </c>
      <c r="C1948" s="97" t="s">
        <v>2251</v>
      </c>
      <c r="D1948" s="97" t="s">
        <v>2207</v>
      </c>
      <c r="E1948" s="107" t="s">
        <v>265</v>
      </c>
      <c r="F1948" s="108">
        <v>12.5</v>
      </c>
      <c r="G1948" s="57">
        <v>10</v>
      </c>
      <c r="H1948" s="65">
        <v>1</v>
      </c>
      <c r="I1948" s="69">
        <f t="shared" si="311"/>
        <v>11</v>
      </c>
      <c r="J1948" s="64">
        <f t="shared" si="312"/>
        <v>7</v>
      </c>
      <c r="K1948" s="64">
        <f t="shared" si="313"/>
        <v>6</v>
      </c>
    </row>
    <row r="1949" spans="1:11" ht="17.25" x14ac:dyDescent="0.2">
      <c r="B1949" s="422" t="s">
        <v>2252</v>
      </c>
      <c r="C1949" s="97" t="s">
        <v>2253</v>
      </c>
      <c r="D1949" s="97" t="s">
        <v>2200</v>
      </c>
      <c r="E1949" s="107" t="s">
        <v>265</v>
      </c>
      <c r="F1949" s="108">
        <v>12.5</v>
      </c>
      <c r="G1949" s="57">
        <v>10</v>
      </c>
      <c r="H1949" s="65">
        <v>2</v>
      </c>
      <c r="I1949" s="69">
        <f t="shared" si="311"/>
        <v>12</v>
      </c>
      <c r="J1949" s="64">
        <f t="shared" si="312"/>
        <v>7</v>
      </c>
      <c r="K1949" s="64">
        <f t="shared" si="313"/>
        <v>6</v>
      </c>
    </row>
    <row r="1950" spans="1:11" ht="17.25" x14ac:dyDescent="0.2">
      <c r="B1950" s="422" t="s">
        <v>2254</v>
      </c>
      <c r="C1950" s="97" t="s">
        <v>2255</v>
      </c>
      <c r="D1950" s="97" t="s">
        <v>2256</v>
      </c>
      <c r="E1950" s="107" t="s">
        <v>265</v>
      </c>
      <c r="F1950" s="108">
        <v>12.5</v>
      </c>
      <c r="G1950" s="57">
        <v>12</v>
      </c>
      <c r="H1950" s="65">
        <v>2</v>
      </c>
      <c r="I1950" s="69">
        <f t="shared" si="311"/>
        <v>14</v>
      </c>
      <c r="J1950" s="64">
        <f t="shared" si="312"/>
        <v>8</v>
      </c>
      <c r="K1950" s="64">
        <f t="shared" si="313"/>
        <v>7</v>
      </c>
    </row>
    <row r="1951" spans="1:11" ht="17.25" x14ac:dyDescent="0.2">
      <c r="B1951" s="344"/>
      <c r="C1951" s="97"/>
      <c r="D1951" s="97"/>
      <c r="E1951" s="107"/>
      <c r="F1951" s="108"/>
      <c r="G1951" s="57"/>
      <c r="H1951" s="65"/>
      <c r="I1951" s="69" t="str">
        <f t="shared" si="311"/>
        <v/>
      </c>
      <c r="J1951" s="64" t="str">
        <f t="shared" si="312"/>
        <v/>
      </c>
      <c r="K1951" s="64" t="str">
        <f t="shared" si="313"/>
        <v/>
      </c>
    </row>
    <row r="1952" spans="1:11" ht="17.25" x14ac:dyDescent="0.2">
      <c r="B1952" s="344"/>
      <c r="C1952" s="97"/>
      <c r="D1952" s="97"/>
      <c r="E1952" s="107"/>
      <c r="F1952" s="108"/>
      <c r="G1952" s="57"/>
      <c r="H1952" s="65"/>
      <c r="I1952" s="69" t="str">
        <f t="shared" si="311"/>
        <v/>
      </c>
      <c r="J1952" s="64" t="str">
        <f t="shared" si="312"/>
        <v/>
      </c>
      <c r="K1952" s="64" t="str">
        <f t="shared" si="313"/>
        <v/>
      </c>
    </row>
    <row r="1953" spans="1:11" ht="17.25" x14ac:dyDescent="0.2">
      <c r="B1953" s="344"/>
      <c r="C1953" s="97"/>
      <c r="D1953" s="97"/>
      <c r="E1953" s="107"/>
      <c r="F1953" s="108"/>
      <c r="G1953" s="57"/>
      <c r="H1953" s="65"/>
      <c r="I1953" s="69" t="str">
        <f t="shared" si="311"/>
        <v/>
      </c>
      <c r="J1953" s="64" t="str">
        <f t="shared" si="312"/>
        <v/>
      </c>
      <c r="K1953" s="64" t="str">
        <f t="shared" si="313"/>
        <v/>
      </c>
    </row>
    <row r="1954" spans="1:11" ht="17.25" x14ac:dyDescent="0.2">
      <c r="B1954" s="344"/>
      <c r="C1954" s="97"/>
      <c r="D1954" s="97"/>
      <c r="E1954" s="107"/>
      <c r="F1954" s="108"/>
      <c r="G1954" s="57"/>
      <c r="H1954" s="65"/>
      <c r="I1954" s="69" t="str">
        <f t="shared" si="311"/>
        <v/>
      </c>
      <c r="J1954" s="64" t="str">
        <f t="shared" si="312"/>
        <v/>
      </c>
      <c r="K1954" s="64" t="str">
        <f t="shared" si="313"/>
        <v/>
      </c>
    </row>
    <row r="1955" spans="1:11" ht="17.25" x14ac:dyDescent="0.2">
      <c r="B1955" s="344"/>
      <c r="C1955" s="97"/>
      <c r="D1955" s="97"/>
      <c r="E1955" s="107"/>
      <c r="F1955" s="108"/>
      <c r="G1955" s="57"/>
      <c r="H1955" s="65"/>
      <c r="I1955" s="69" t="str">
        <f t="shared" si="311"/>
        <v/>
      </c>
      <c r="J1955" s="64" t="str">
        <f t="shared" si="312"/>
        <v/>
      </c>
      <c r="K1955" s="64" t="str">
        <f t="shared" si="313"/>
        <v/>
      </c>
    </row>
    <row r="1956" spans="1:11" ht="17.25" x14ac:dyDescent="0.2">
      <c r="B1956" s="344"/>
      <c r="C1956" s="97"/>
      <c r="D1956" s="97"/>
      <c r="E1956" s="107"/>
      <c r="F1956" s="108"/>
      <c r="G1956" s="57"/>
      <c r="H1956" s="65"/>
      <c r="I1956" s="69" t="str">
        <f t="shared" si="311"/>
        <v/>
      </c>
      <c r="J1956" s="64" t="str">
        <f t="shared" si="312"/>
        <v/>
      </c>
      <c r="K1956" s="64" t="str">
        <f t="shared" si="313"/>
        <v/>
      </c>
    </row>
    <row r="1957" spans="1:11" ht="17.25" x14ac:dyDescent="0.2">
      <c r="B1957" s="344"/>
      <c r="C1957" s="97"/>
      <c r="D1957" s="97"/>
      <c r="E1957" s="107"/>
      <c r="F1957" s="108"/>
      <c r="G1957" s="57"/>
      <c r="H1957" s="65"/>
      <c r="I1957" s="69" t="str">
        <f t="shared" si="311"/>
        <v/>
      </c>
      <c r="J1957" s="64" t="str">
        <f t="shared" si="312"/>
        <v/>
      </c>
      <c r="K1957" s="64" t="str">
        <f t="shared" si="313"/>
        <v/>
      </c>
    </row>
    <row r="1958" spans="1:11" ht="17.25" x14ac:dyDescent="0.2">
      <c r="B1958" s="344"/>
      <c r="C1958" s="97"/>
      <c r="D1958" s="97"/>
      <c r="E1958" s="107"/>
      <c r="F1958" s="108"/>
      <c r="G1958" s="57"/>
      <c r="H1958" s="65"/>
      <c r="I1958" s="69" t="str">
        <f t="shared" si="311"/>
        <v/>
      </c>
      <c r="J1958" s="64" t="str">
        <f t="shared" si="312"/>
        <v/>
      </c>
      <c r="K1958" s="64" t="str">
        <f t="shared" si="313"/>
        <v/>
      </c>
    </row>
    <row r="1959" spans="1:11" ht="18" customHeight="1" x14ac:dyDescent="0.2">
      <c r="B1959" s="561" t="s">
        <v>22</v>
      </c>
      <c r="C1959" s="561" t="s">
        <v>177</v>
      </c>
      <c r="D1959" s="561" t="s">
        <v>243</v>
      </c>
      <c r="E1959" s="561" t="s">
        <v>23</v>
      </c>
      <c r="F1959" s="562" t="s">
        <v>234</v>
      </c>
      <c r="G1959" s="562"/>
      <c r="H1959" s="562"/>
      <c r="I1959" s="562"/>
      <c r="J1959" s="562"/>
      <c r="K1959" s="562"/>
    </row>
    <row r="1960" spans="1:11" ht="30" x14ac:dyDescent="0.2">
      <c r="A1960" s="114" t="s">
        <v>1116</v>
      </c>
      <c r="B1960" s="435" t="s">
        <v>1142</v>
      </c>
      <c r="C1960" s="115" t="s">
        <v>1131</v>
      </c>
      <c r="D1960" s="114" t="s">
        <v>2167</v>
      </c>
      <c r="E1960" s="329" t="str">
        <f>IF($O$106="","",$O$106)</f>
        <v>Metropolitana de Jaguara Mirim - Área 1</v>
      </c>
      <c r="F1960" s="563">
        <f>IF(B1960="","",VLOOKUP(E1960,$O$2:$T$120,6,0))</f>
        <v>69773</v>
      </c>
      <c r="G1960" s="564"/>
      <c r="H1960" s="564"/>
      <c r="I1960" s="564"/>
      <c r="J1960" s="564"/>
      <c r="K1960" s="565"/>
    </row>
    <row r="1961" spans="1:11" ht="43.5" x14ac:dyDescent="0.2">
      <c r="B1961" s="116" t="s">
        <v>0</v>
      </c>
      <c r="C1961" s="116" t="s">
        <v>20</v>
      </c>
      <c r="D1961" s="116" t="s">
        <v>21</v>
      </c>
      <c r="E1961" s="116" t="s">
        <v>1</v>
      </c>
      <c r="F1961" s="117" t="s">
        <v>3</v>
      </c>
      <c r="G1961" s="116" t="s">
        <v>216</v>
      </c>
      <c r="H1961" s="180" t="s">
        <v>242</v>
      </c>
      <c r="I1961" s="116" t="s">
        <v>245</v>
      </c>
      <c r="J1961" s="116" t="s">
        <v>217</v>
      </c>
      <c r="K1961" s="116" t="s">
        <v>218</v>
      </c>
    </row>
    <row r="1962" spans="1:11" ht="17.25" x14ac:dyDescent="0.2">
      <c r="B1962" s="423" t="s">
        <v>2257</v>
      </c>
      <c r="C1962" s="97" t="s">
        <v>2258</v>
      </c>
      <c r="D1962" s="181" t="s">
        <v>2259</v>
      </c>
      <c r="E1962" s="182" t="s">
        <v>1019</v>
      </c>
      <c r="F1962" s="108">
        <v>16.5</v>
      </c>
      <c r="G1962" s="57">
        <v>13</v>
      </c>
      <c r="H1962" s="65">
        <v>2</v>
      </c>
      <c r="I1962" s="69">
        <f t="shared" ref="I1962:I1977" si="314">IF(G1962="","",SUM(G1962:H1962))</f>
        <v>15</v>
      </c>
      <c r="J1962" s="64">
        <f>IF(G1962="","",ROUNDUP(G1962*0.65,0))</f>
        <v>9</v>
      </c>
      <c r="K1962" s="64">
        <f>IF(G1962="","",ROUNDUP(G1962*0.55,0))</f>
        <v>8</v>
      </c>
    </row>
    <row r="1963" spans="1:11" ht="17.25" x14ac:dyDescent="0.2">
      <c r="B1963" s="423" t="s">
        <v>2260</v>
      </c>
      <c r="C1963" s="97" t="s">
        <v>2258</v>
      </c>
      <c r="D1963" s="181" t="s">
        <v>2261</v>
      </c>
      <c r="E1963" s="182" t="s">
        <v>55</v>
      </c>
      <c r="F1963" s="333">
        <v>14</v>
      </c>
      <c r="G1963" s="57">
        <v>13</v>
      </c>
      <c r="H1963" s="65">
        <v>2</v>
      </c>
      <c r="I1963" s="69">
        <f t="shared" si="314"/>
        <v>15</v>
      </c>
      <c r="J1963" s="64">
        <f t="shared" ref="J1963:J1977" si="315">IF(G1963="","",ROUNDUP(G1963*0.65,0))</f>
        <v>9</v>
      </c>
      <c r="K1963" s="64">
        <f t="shared" ref="K1963:K1977" si="316">IF(G1963="","",ROUNDUP(G1963*0.55,0))</f>
        <v>8</v>
      </c>
    </row>
    <row r="1964" spans="1:11" ht="17.25" x14ac:dyDescent="0.2">
      <c r="B1964" s="423" t="s">
        <v>2262</v>
      </c>
      <c r="C1964" s="97" t="s">
        <v>2258</v>
      </c>
      <c r="D1964" s="181" t="s">
        <v>2263</v>
      </c>
      <c r="E1964" s="182" t="s">
        <v>265</v>
      </c>
      <c r="F1964" s="108">
        <v>12.5</v>
      </c>
      <c r="G1964" s="57">
        <v>12</v>
      </c>
      <c r="H1964" s="65">
        <v>1</v>
      </c>
      <c r="I1964" s="69">
        <f t="shared" si="314"/>
        <v>13</v>
      </c>
      <c r="J1964" s="64">
        <f t="shared" si="315"/>
        <v>8</v>
      </c>
      <c r="K1964" s="64">
        <f t="shared" si="316"/>
        <v>7</v>
      </c>
    </row>
    <row r="1965" spans="1:11" ht="17.25" x14ac:dyDescent="0.2">
      <c r="B1965" s="423" t="s">
        <v>2264</v>
      </c>
      <c r="C1965" s="97" t="s">
        <v>2258</v>
      </c>
      <c r="D1965" s="181" t="s">
        <v>2249</v>
      </c>
      <c r="E1965" s="182" t="s">
        <v>265</v>
      </c>
      <c r="F1965" s="108">
        <v>12.5</v>
      </c>
      <c r="G1965" s="57">
        <v>10</v>
      </c>
      <c r="H1965" s="65">
        <v>1</v>
      </c>
      <c r="I1965" s="69">
        <f t="shared" si="314"/>
        <v>11</v>
      </c>
      <c r="J1965" s="64">
        <f t="shared" si="315"/>
        <v>7</v>
      </c>
      <c r="K1965" s="64">
        <f t="shared" si="316"/>
        <v>6</v>
      </c>
    </row>
    <row r="1966" spans="1:11" ht="17.25" x14ac:dyDescent="0.2">
      <c r="B1966" s="423" t="s">
        <v>2265</v>
      </c>
      <c r="C1966" s="97" t="s">
        <v>2266</v>
      </c>
      <c r="D1966" s="181" t="s">
        <v>2249</v>
      </c>
      <c r="E1966" s="182" t="s">
        <v>265</v>
      </c>
      <c r="F1966" s="108">
        <v>12.5</v>
      </c>
      <c r="G1966" s="57">
        <v>10</v>
      </c>
      <c r="H1966" s="65">
        <v>1</v>
      </c>
      <c r="I1966" s="69">
        <f t="shared" si="314"/>
        <v>11</v>
      </c>
      <c r="J1966" s="64">
        <f t="shared" si="315"/>
        <v>7</v>
      </c>
      <c r="K1966" s="64">
        <f t="shared" si="316"/>
        <v>6</v>
      </c>
    </row>
    <row r="1967" spans="1:11" ht="17.25" x14ac:dyDescent="0.2">
      <c r="B1967" s="423" t="s">
        <v>2267</v>
      </c>
      <c r="C1967" s="97" t="s">
        <v>2266</v>
      </c>
      <c r="D1967" s="181" t="s">
        <v>2245</v>
      </c>
      <c r="E1967" s="182" t="s">
        <v>265</v>
      </c>
      <c r="F1967" s="108">
        <v>12.5</v>
      </c>
      <c r="G1967" s="57">
        <v>10</v>
      </c>
      <c r="H1967" s="65">
        <v>1</v>
      </c>
      <c r="I1967" s="69">
        <f t="shared" si="314"/>
        <v>11</v>
      </c>
      <c r="J1967" s="64">
        <f t="shared" si="315"/>
        <v>7</v>
      </c>
      <c r="K1967" s="64">
        <f t="shared" si="316"/>
        <v>6</v>
      </c>
    </row>
    <row r="1968" spans="1:11" ht="17.25" x14ac:dyDescent="0.2">
      <c r="B1968" s="423" t="s">
        <v>2268</v>
      </c>
      <c r="C1968" s="97" t="s">
        <v>2269</v>
      </c>
      <c r="D1968" s="181" t="s">
        <v>2245</v>
      </c>
      <c r="E1968" s="182" t="s">
        <v>265</v>
      </c>
      <c r="F1968" s="108">
        <v>12.5</v>
      </c>
      <c r="G1968" s="57">
        <v>10</v>
      </c>
      <c r="H1968" s="65">
        <v>1</v>
      </c>
      <c r="I1968" s="69">
        <f t="shared" si="314"/>
        <v>11</v>
      </c>
      <c r="J1968" s="64">
        <f t="shared" si="315"/>
        <v>7</v>
      </c>
      <c r="K1968" s="64">
        <f t="shared" si="316"/>
        <v>6</v>
      </c>
    </row>
    <row r="1969" spans="1:11" ht="17.25" x14ac:dyDescent="0.2">
      <c r="B1969" s="423" t="s">
        <v>2270</v>
      </c>
      <c r="C1969" s="97" t="s">
        <v>2269</v>
      </c>
      <c r="D1969" s="181" t="s">
        <v>2271</v>
      </c>
      <c r="E1969" s="182" t="s">
        <v>265</v>
      </c>
      <c r="F1969" s="108">
        <v>12.5</v>
      </c>
      <c r="G1969" s="57">
        <v>12</v>
      </c>
      <c r="H1969" s="65">
        <v>1</v>
      </c>
      <c r="I1969" s="69">
        <f t="shared" si="314"/>
        <v>13</v>
      </c>
      <c r="J1969" s="64">
        <f t="shared" si="315"/>
        <v>8</v>
      </c>
      <c r="K1969" s="64">
        <f t="shared" si="316"/>
        <v>7</v>
      </c>
    </row>
    <row r="1970" spans="1:11" ht="17.25" x14ac:dyDescent="0.2">
      <c r="B1970" s="345"/>
      <c r="C1970" s="97"/>
      <c r="D1970" s="181"/>
      <c r="E1970" s="182"/>
      <c r="F1970" s="108"/>
      <c r="G1970" s="57"/>
      <c r="H1970" s="65"/>
      <c r="I1970" s="69" t="str">
        <f t="shared" si="314"/>
        <v/>
      </c>
      <c r="J1970" s="64" t="str">
        <f t="shared" si="315"/>
        <v/>
      </c>
      <c r="K1970" s="64" t="str">
        <f t="shared" si="316"/>
        <v/>
      </c>
    </row>
    <row r="1971" spans="1:11" ht="17.25" x14ac:dyDescent="0.2">
      <c r="B1971" s="345"/>
      <c r="C1971" s="97"/>
      <c r="D1971" s="181"/>
      <c r="E1971" s="182"/>
      <c r="F1971" s="108"/>
      <c r="G1971" s="57"/>
      <c r="H1971" s="65"/>
      <c r="I1971" s="69" t="str">
        <f t="shared" si="314"/>
        <v/>
      </c>
      <c r="J1971" s="64" t="str">
        <f t="shared" si="315"/>
        <v/>
      </c>
      <c r="K1971" s="64" t="str">
        <f t="shared" si="316"/>
        <v/>
      </c>
    </row>
    <row r="1972" spans="1:11" ht="17.25" x14ac:dyDescent="0.2">
      <c r="B1972" s="345"/>
      <c r="C1972" s="97"/>
      <c r="D1972" s="181"/>
      <c r="E1972" s="182"/>
      <c r="F1972" s="108"/>
      <c r="G1972" s="57"/>
      <c r="H1972" s="65"/>
      <c r="I1972" s="69" t="str">
        <f t="shared" si="314"/>
        <v/>
      </c>
      <c r="J1972" s="64" t="str">
        <f t="shared" si="315"/>
        <v/>
      </c>
      <c r="K1972" s="64" t="str">
        <f t="shared" si="316"/>
        <v/>
      </c>
    </row>
    <row r="1973" spans="1:11" ht="17.25" x14ac:dyDescent="0.2">
      <c r="B1973" s="345"/>
      <c r="C1973" s="97"/>
      <c r="D1973" s="181"/>
      <c r="E1973" s="182"/>
      <c r="F1973" s="108"/>
      <c r="G1973" s="57"/>
      <c r="H1973" s="65"/>
      <c r="I1973" s="69" t="str">
        <f t="shared" si="314"/>
        <v/>
      </c>
      <c r="J1973" s="64" t="str">
        <f t="shared" si="315"/>
        <v/>
      </c>
      <c r="K1973" s="64" t="str">
        <f t="shared" si="316"/>
        <v/>
      </c>
    </row>
    <row r="1974" spans="1:11" ht="17.25" x14ac:dyDescent="0.2">
      <c r="B1974" s="345"/>
      <c r="C1974" s="97"/>
      <c r="D1974" s="181"/>
      <c r="E1974" s="182"/>
      <c r="F1974" s="108"/>
      <c r="G1974" s="57"/>
      <c r="H1974" s="65"/>
      <c r="I1974" s="69" t="str">
        <f t="shared" si="314"/>
        <v/>
      </c>
      <c r="J1974" s="64" t="str">
        <f t="shared" si="315"/>
        <v/>
      </c>
      <c r="K1974" s="64" t="str">
        <f t="shared" si="316"/>
        <v/>
      </c>
    </row>
    <row r="1975" spans="1:11" ht="17.25" x14ac:dyDescent="0.2">
      <c r="B1975" s="345"/>
      <c r="C1975" s="97"/>
      <c r="D1975" s="181"/>
      <c r="E1975" s="182"/>
      <c r="F1975" s="108"/>
      <c r="G1975" s="57"/>
      <c r="H1975" s="65"/>
      <c r="I1975" s="69" t="str">
        <f t="shared" si="314"/>
        <v/>
      </c>
      <c r="J1975" s="64" t="str">
        <f t="shared" si="315"/>
        <v/>
      </c>
      <c r="K1975" s="64" t="str">
        <f t="shared" si="316"/>
        <v/>
      </c>
    </row>
    <row r="1976" spans="1:11" ht="17.25" x14ac:dyDescent="0.2">
      <c r="B1976" s="345"/>
      <c r="C1976" s="97"/>
      <c r="D1976" s="181"/>
      <c r="E1976" s="182"/>
      <c r="F1976" s="108"/>
      <c r="G1976" s="57"/>
      <c r="H1976" s="65"/>
      <c r="I1976" s="69" t="str">
        <f t="shared" si="314"/>
        <v/>
      </c>
      <c r="J1976" s="64" t="str">
        <f t="shared" si="315"/>
        <v/>
      </c>
      <c r="K1976" s="64" t="str">
        <f t="shared" si="316"/>
        <v/>
      </c>
    </row>
    <row r="1977" spans="1:11" ht="17.25" x14ac:dyDescent="0.2">
      <c r="B1977" s="345"/>
      <c r="C1977" s="112"/>
      <c r="D1977" s="112"/>
      <c r="E1977" s="107"/>
      <c r="F1977" s="108"/>
      <c r="G1977" s="57"/>
      <c r="H1977" s="65"/>
      <c r="I1977" s="69" t="str">
        <f t="shared" si="314"/>
        <v/>
      </c>
      <c r="J1977" s="64" t="str">
        <f t="shared" si="315"/>
        <v/>
      </c>
      <c r="K1977" s="64" t="str">
        <f t="shared" si="316"/>
        <v/>
      </c>
    </row>
    <row r="1978" spans="1:11" ht="18" customHeight="1" x14ac:dyDescent="0.2">
      <c r="B1978" s="561" t="s">
        <v>22</v>
      </c>
      <c r="C1978" s="561" t="s">
        <v>177</v>
      </c>
      <c r="D1978" s="561" t="s">
        <v>243</v>
      </c>
      <c r="E1978" s="561" t="s">
        <v>23</v>
      </c>
      <c r="F1978" s="562" t="s">
        <v>234</v>
      </c>
      <c r="G1978" s="562"/>
      <c r="H1978" s="562"/>
      <c r="I1978" s="562"/>
      <c r="J1978" s="562"/>
      <c r="K1978" s="562"/>
    </row>
    <row r="1979" spans="1:11" ht="21" x14ac:dyDescent="0.2">
      <c r="A1979" s="114" t="s">
        <v>1117</v>
      </c>
      <c r="B1979" s="434" t="s">
        <v>2630</v>
      </c>
      <c r="C1979" s="115" t="s">
        <v>498</v>
      </c>
      <c r="D1979" s="114" t="s">
        <v>499</v>
      </c>
      <c r="E1979" s="329" t="str">
        <f>IF($O$107="","",$O$107)</f>
        <v>Metropolitana de Barcelona - Área  1</v>
      </c>
      <c r="F1979" s="563">
        <f>IF(B1979="","",VLOOKUP(E1979,$O$2:$T$120,6,0))</f>
        <v>95357</v>
      </c>
      <c r="G1979" s="564"/>
      <c r="H1979" s="564"/>
      <c r="I1979" s="564"/>
      <c r="J1979" s="564"/>
      <c r="K1979" s="565"/>
    </row>
    <row r="1980" spans="1:11" ht="43.5" x14ac:dyDescent="0.2">
      <c r="B1980" s="116" t="s">
        <v>0</v>
      </c>
      <c r="C1980" s="116" t="s">
        <v>20</v>
      </c>
      <c r="D1980" s="116" t="s">
        <v>21</v>
      </c>
      <c r="E1980" s="116" t="s">
        <v>1</v>
      </c>
      <c r="F1980" s="117" t="s">
        <v>3</v>
      </c>
      <c r="G1980" s="116" t="s">
        <v>216</v>
      </c>
      <c r="H1980" s="180" t="s">
        <v>242</v>
      </c>
      <c r="I1980" s="116" t="s">
        <v>245</v>
      </c>
      <c r="J1980" s="116" t="s">
        <v>217</v>
      </c>
      <c r="K1980" s="116" t="s">
        <v>218</v>
      </c>
    </row>
    <row r="1981" spans="1:11" ht="17.25" x14ac:dyDescent="0.2">
      <c r="B1981" s="325" t="s">
        <v>2272</v>
      </c>
      <c r="C1981" s="97" t="s">
        <v>2273</v>
      </c>
      <c r="D1981" s="97" t="s">
        <v>2274</v>
      </c>
      <c r="E1981" s="123" t="s">
        <v>57</v>
      </c>
      <c r="F1981" s="108">
        <v>23</v>
      </c>
      <c r="G1981" s="64">
        <v>16</v>
      </c>
      <c r="H1981" s="65">
        <v>2</v>
      </c>
      <c r="I1981" s="69">
        <f t="shared" ref="I1981:I1990" si="317">IF(G1981="","",SUM(G1981:H1981))</f>
        <v>18</v>
      </c>
      <c r="J1981" s="64">
        <f>IF(G1981="","",ROUNDUP(G1981*0.65,0))</f>
        <v>11</v>
      </c>
      <c r="K1981" s="64">
        <f>IF(G1981="","",ROUNDUP(G1981*0.55,0))</f>
        <v>9</v>
      </c>
    </row>
    <row r="1982" spans="1:11" ht="17.25" x14ac:dyDescent="0.2">
      <c r="B1982" s="325" t="s">
        <v>2275</v>
      </c>
      <c r="C1982" s="97" t="s">
        <v>2276</v>
      </c>
      <c r="D1982" s="97" t="s">
        <v>2277</v>
      </c>
      <c r="E1982" s="123" t="s">
        <v>57</v>
      </c>
      <c r="F1982" s="108">
        <v>23</v>
      </c>
      <c r="G1982" s="64">
        <v>14</v>
      </c>
      <c r="H1982" s="65">
        <v>1</v>
      </c>
      <c r="I1982" s="69">
        <f t="shared" si="317"/>
        <v>15</v>
      </c>
      <c r="J1982" s="64">
        <f t="shared" ref="J1982:J1996" si="318">IF(G1982="","",ROUNDUP(G1982*0.65,0))</f>
        <v>10</v>
      </c>
      <c r="K1982" s="64">
        <f t="shared" ref="K1982:K1996" si="319">IF(G1982="","",ROUNDUP(G1982*0.55,0))</f>
        <v>8</v>
      </c>
    </row>
    <row r="1983" spans="1:11" ht="17.25" x14ac:dyDescent="0.2">
      <c r="B1983" s="325" t="s">
        <v>2278</v>
      </c>
      <c r="C1983" s="97" t="s">
        <v>2276</v>
      </c>
      <c r="D1983" s="97" t="s">
        <v>2136</v>
      </c>
      <c r="E1983" s="123" t="s">
        <v>56</v>
      </c>
      <c r="F1983" s="333">
        <v>17.5</v>
      </c>
      <c r="G1983" s="64">
        <v>14</v>
      </c>
      <c r="H1983" s="65">
        <v>2</v>
      </c>
      <c r="I1983" s="69">
        <f t="shared" si="317"/>
        <v>16</v>
      </c>
      <c r="J1983" s="64">
        <f t="shared" si="318"/>
        <v>10</v>
      </c>
      <c r="K1983" s="64">
        <f t="shared" si="319"/>
        <v>8</v>
      </c>
    </row>
    <row r="1984" spans="1:11" ht="17.25" x14ac:dyDescent="0.2">
      <c r="B1984" s="325" t="s">
        <v>2279</v>
      </c>
      <c r="C1984" s="97" t="s">
        <v>2276</v>
      </c>
      <c r="D1984" s="97" t="s">
        <v>2280</v>
      </c>
      <c r="E1984" s="123" t="s">
        <v>56</v>
      </c>
      <c r="F1984" s="333">
        <v>17.5</v>
      </c>
      <c r="G1984" s="64">
        <v>12</v>
      </c>
      <c r="H1984" s="65">
        <v>2</v>
      </c>
      <c r="I1984" s="69">
        <f t="shared" si="317"/>
        <v>14</v>
      </c>
      <c r="J1984" s="64">
        <f t="shared" si="318"/>
        <v>8</v>
      </c>
      <c r="K1984" s="64">
        <f t="shared" si="319"/>
        <v>7</v>
      </c>
    </row>
    <row r="1985" spans="1:11" ht="17.25" x14ac:dyDescent="0.2">
      <c r="B1985" s="325" t="s">
        <v>2281</v>
      </c>
      <c r="C1985" s="97" t="s">
        <v>2276</v>
      </c>
      <c r="D1985" s="97" t="s">
        <v>2282</v>
      </c>
      <c r="E1985" s="123" t="s">
        <v>55</v>
      </c>
      <c r="F1985" s="333">
        <v>14</v>
      </c>
      <c r="G1985" s="64">
        <v>12</v>
      </c>
      <c r="H1985" s="65">
        <v>2</v>
      </c>
      <c r="I1985" s="69">
        <f t="shared" si="317"/>
        <v>14</v>
      </c>
      <c r="J1985" s="64">
        <f t="shared" si="318"/>
        <v>8</v>
      </c>
      <c r="K1985" s="64">
        <f t="shared" si="319"/>
        <v>7</v>
      </c>
    </row>
    <row r="1986" spans="1:11" ht="17.25" x14ac:dyDescent="0.2">
      <c r="B1986" s="325" t="s">
        <v>2283</v>
      </c>
      <c r="C1986" s="97" t="s">
        <v>2276</v>
      </c>
      <c r="D1986" s="97" t="s">
        <v>2284</v>
      </c>
      <c r="E1986" s="123" t="s">
        <v>55</v>
      </c>
      <c r="F1986" s="333">
        <v>14</v>
      </c>
      <c r="G1986" s="64">
        <v>10</v>
      </c>
      <c r="H1986" s="65">
        <v>1</v>
      </c>
      <c r="I1986" s="69">
        <f t="shared" si="317"/>
        <v>11</v>
      </c>
      <c r="J1986" s="64">
        <f t="shared" si="318"/>
        <v>7</v>
      </c>
      <c r="K1986" s="64">
        <f t="shared" si="319"/>
        <v>6</v>
      </c>
    </row>
    <row r="1987" spans="1:11" ht="17.25" x14ac:dyDescent="0.2">
      <c r="B1987" s="325" t="s">
        <v>2285</v>
      </c>
      <c r="C1987" s="97" t="s">
        <v>2273</v>
      </c>
      <c r="D1987" s="97" t="s">
        <v>2282</v>
      </c>
      <c r="E1987" s="123" t="s">
        <v>265</v>
      </c>
      <c r="F1987" s="108">
        <v>12.5</v>
      </c>
      <c r="G1987" s="64">
        <v>12</v>
      </c>
      <c r="H1987" s="65">
        <v>2</v>
      </c>
      <c r="I1987" s="69">
        <f t="shared" si="317"/>
        <v>14</v>
      </c>
      <c r="J1987" s="64">
        <f t="shared" si="318"/>
        <v>8</v>
      </c>
      <c r="K1987" s="64">
        <f t="shared" si="319"/>
        <v>7</v>
      </c>
    </row>
    <row r="1988" spans="1:11" ht="17.25" x14ac:dyDescent="0.2">
      <c r="B1988" s="325" t="s">
        <v>2286</v>
      </c>
      <c r="C1988" s="97" t="s">
        <v>2287</v>
      </c>
      <c r="D1988" s="97" t="s">
        <v>2288</v>
      </c>
      <c r="E1988" s="123" t="s">
        <v>265</v>
      </c>
      <c r="F1988" s="108">
        <v>12.5</v>
      </c>
      <c r="G1988" s="64">
        <v>10</v>
      </c>
      <c r="H1988" s="65">
        <v>1</v>
      </c>
      <c r="I1988" s="69">
        <f t="shared" si="317"/>
        <v>11</v>
      </c>
      <c r="J1988" s="64">
        <f t="shared" si="318"/>
        <v>7</v>
      </c>
      <c r="K1988" s="64">
        <f t="shared" si="319"/>
        <v>6</v>
      </c>
    </row>
    <row r="1989" spans="1:11" ht="17.25" x14ac:dyDescent="0.2">
      <c r="B1989" s="325" t="s">
        <v>2289</v>
      </c>
      <c r="C1989" s="97" t="s">
        <v>2273</v>
      </c>
      <c r="D1989" s="97" t="s">
        <v>2290</v>
      </c>
      <c r="E1989" s="123" t="s">
        <v>1019</v>
      </c>
      <c r="F1989" s="108">
        <v>16.5</v>
      </c>
      <c r="G1989" s="64">
        <v>16</v>
      </c>
      <c r="H1989" s="65">
        <v>2</v>
      </c>
      <c r="I1989" s="69">
        <f t="shared" si="317"/>
        <v>18</v>
      </c>
      <c r="J1989" s="64">
        <f t="shared" si="318"/>
        <v>11</v>
      </c>
      <c r="K1989" s="64">
        <f t="shared" si="319"/>
        <v>9</v>
      </c>
    </row>
    <row r="1990" spans="1:11" ht="17.25" x14ac:dyDescent="0.2">
      <c r="B1990" s="325" t="s">
        <v>2291</v>
      </c>
      <c r="C1990" s="97" t="s">
        <v>2292</v>
      </c>
      <c r="D1990" s="97" t="s">
        <v>2293</v>
      </c>
      <c r="E1990" s="123" t="s">
        <v>1019</v>
      </c>
      <c r="F1990" s="108">
        <v>16.5</v>
      </c>
      <c r="G1990" s="64">
        <v>10</v>
      </c>
      <c r="H1990" s="65">
        <v>2</v>
      </c>
      <c r="I1990" s="69">
        <f t="shared" si="317"/>
        <v>12</v>
      </c>
      <c r="J1990" s="64">
        <f t="shared" si="318"/>
        <v>7</v>
      </c>
      <c r="K1990" s="64">
        <f t="shared" si="319"/>
        <v>6</v>
      </c>
    </row>
    <row r="1991" spans="1:11" ht="17.25" x14ac:dyDescent="0.2">
      <c r="B1991" s="325"/>
      <c r="C1991" s="97"/>
      <c r="D1991" s="97"/>
      <c r="E1991" s="123"/>
      <c r="F1991" s="108"/>
      <c r="G1991" s="64"/>
      <c r="H1991" s="65"/>
      <c r="I1991" s="69"/>
      <c r="J1991" s="64" t="str">
        <f t="shared" si="318"/>
        <v/>
      </c>
      <c r="K1991" s="64" t="str">
        <f t="shared" si="319"/>
        <v/>
      </c>
    </row>
    <row r="1992" spans="1:11" ht="17.25" x14ac:dyDescent="0.2">
      <c r="B1992" s="325"/>
      <c r="C1992" s="97"/>
      <c r="D1992" s="97"/>
      <c r="E1992" s="123"/>
      <c r="F1992" s="108"/>
      <c r="G1992" s="64"/>
      <c r="H1992" s="65"/>
      <c r="I1992" s="69"/>
      <c r="J1992" s="64" t="str">
        <f t="shared" si="318"/>
        <v/>
      </c>
      <c r="K1992" s="64" t="str">
        <f t="shared" si="319"/>
        <v/>
      </c>
    </row>
    <row r="1993" spans="1:11" ht="17.25" x14ac:dyDescent="0.2">
      <c r="B1993" s="325"/>
      <c r="C1993" s="97"/>
      <c r="D1993" s="97"/>
      <c r="E1993" s="123"/>
      <c r="F1993" s="108"/>
      <c r="G1993" s="64"/>
      <c r="H1993" s="65"/>
      <c r="I1993" s="69"/>
      <c r="J1993" s="64" t="str">
        <f t="shared" si="318"/>
        <v/>
      </c>
      <c r="K1993" s="64" t="str">
        <f t="shared" si="319"/>
        <v/>
      </c>
    </row>
    <row r="1994" spans="1:11" ht="17.25" x14ac:dyDescent="0.2">
      <c r="B1994" s="325"/>
      <c r="C1994" s="97"/>
      <c r="D1994" s="97"/>
      <c r="E1994" s="123"/>
      <c r="F1994" s="108"/>
      <c r="G1994" s="64"/>
      <c r="H1994" s="65"/>
      <c r="I1994" s="69"/>
      <c r="J1994" s="64" t="str">
        <f t="shared" si="318"/>
        <v/>
      </c>
      <c r="K1994" s="64" t="str">
        <f t="shared" si="319"/>
        <v/>
      </c>
    </row>
    <row r="1995" spans="1:11" ht="17.25" x14ac:dyDescent="0.2">
      <c r="B1995" s="325"/>
      <c r="C1995" s="97"/>
      <c r="D1995" s="97"/>
      <c r="E1995" s="123"/>
      <c r="F1995" s="108"/>
      <c r="G1995" s="64"/>
      <c r="H1995" s="65"/>
      <c r="I1995" s="69"/>
      <c r="J1995" s="64" t="str">
        <f t="shared" si="318"/>
        <v/>
      </c>
      <c r="K1995" s="64" t="str">
        <f t="shared" si="319"/>
        <v/>
      </c>
    </row>
    <row r="1996" spans="1:11" ht="17.25" x14ac:dyDescent="0.2">
      <c r="B1996" s="325"/>
      <c r="C1996" s="97"/>
      <c r="D1996" s="97"/>
      <c r="E1996" s="123"/>
      <c r="F1996" s="108"/>
      <c r="G1996" s="64"/>
      <c r="H1996" s="65"/>
      <c r="I1996" s="69"/>
      <c r="J1996" s="64" t="str">
        <f t="shared" si="318"/>
        <v/>
      </c>
      <c r="K1996" s="64" t="str">
        <f t="shared" si="319"/>
        <v/>
      </c>
    </row>
    <row r="1997" spans="1:11" ht="18" customHeight="1" x14ac:dyDescent="0.2">
      <c r="B1997" s="561" t="s">
        <v>22</v>
      </c>
      <c r="C1997" s="561" t="s">
        <v>177</v>
      </c>
      <c r="D1997" s="561" t="s">
        <v>243</v>
      </c>
      <c r="E1997" s="561" t="s">
        <v>23</v>
      </c>
      <c r="F1997" s="562" t="s">
        <v>234</v>
      </c>
      <c r="G1997" s="562"/>
      <c r="H1997" s="562"/>
      <c r="I1997" s="562"/>
      <c r="J1997" s="562"/>
      <c r="K1997" s="562"/>
    </row>
    <row r="1998" spans="1:11" ht="21" x14ac:dyDescent="0.2">
      <c r="A1998" s="114" t="s">
        <v>1118</v>
      </c>
      <c r="B1998" s="434" t="s">
        <v>2631</v>
      </c>
      <c r="C1998" s="115" t="s">
        <v>498</v>
      </c>
      <c r="D1998" s="114" t="s">
        <v>499</v>
      </c>
      <c r="E1998" s="329" t="str">
        <f>IF($O$108="","",$O$108)</f>
        <v>Metropolitana de Barcelona - Área  2</v>
      </c>
      <c r="F1998" s="563">
        <f>IF(B1998="","",VLOOKUP(E1998,$O$2:$T$120,6,0))</f>
        <v>73649</v>
      </c>
      <c r="G1998" s="564"/>
      <c r="H1998" s="564"/>
      <c r="I1998" s="564"/>
      <c r="J1998" s="564"/>
      <c r="K1998" s="565"/>
    </row>
    <row r="1999" spans="1:11" ht="43.5" x14ac:dyDescent="0.2">
      <c r="B1999" s="116" t="s">
        <v>0</v>
      </c>
      <c r="C1999" s="116" t="s">
        <v>20</v>
      </c>
      <c r="D1999" s="116" t="s">
        <v>21</v>
      </c>
      <c r="E1999" s="116" t="s">
        <v>1</v>
      </c>
      <c r="F1999" s="117" t="s">
        <v>3</v>
      </c>
      <c r="G1999" s="116" t="s">
        <v>216</v>
      </c>
      <c r="H1999" s="180" t="s">
        <v>242</v>
      </c>
      <c r="I1999" s="116" t="s">
        <v>245</v>
      </c>
      <c r="J1999" s="116" t="s">
        <v>217</v>
      </c>
      <c r="K1999" s="116" t="s">
        <v>218</v>
      </c>
    </row>
    <row r="2000" spans="1:11" ht="17.25" x14ac:dyDescent="0.2">
      <c r="B2000" s="325" t="s">
        <v>2294</v>
      </c>
      <c r="C2000" s="112" t="s">
        <v>2295</v>
      </c>
      <c r="D2000" s="113" t="s">
        <v>2293</v>
      </c>
      <c r="E2000" s="123" t="s">
        <v>265</v>
      </c>
      <c r="F2000" s="108">
        <v>12.5</v>
      </c>
      <c r="G2000" s="57">
        <v>12</v>
      </c>
      <c r="H2000" s="65">
        <v>2</v>
      </c>
      <c r="I2000" s="69">
        <f t="shared" ref="I2000:I2015" si="320">IF(G2000="","",SUM(G2000:H2000))</f>
        <v>14</v>
      </c>
      <c r="J2000" s="64">
        <f>IF(G2000="","",ROUNDUP(G2000*0.65,0))</f>
        <v>8</v>
      </c>
      <c r="K2000" s="64">
        <f>IF(G2000="","",ROUNDUP(G2000*0.55,0))</f>
        <v>7</v>
      </c>
    </row>
    <row r="2001" spans="2:11" ht="17.25" x14ac:dyDescent="0.2">
      <c r="B2001" s="325" t="s">
        <v>2296</v>
      </c>
      <c r="C2001" s="112" t="s">
        <v>2297</v>
      </c>
      <c r="D2001" s="113" t="s">
        <v>2282</v>
      </c>
      <c r="E2001" s="123" t="s">
        <v>265</v>
      </c>
      <c r="F2001" s="108">
        <v>12.5</v>
      </c>
      <c r="G2001" s="57">
        <v>12</v>
      </c>
      <c r="H2001" s="65">
        <v>2</v>
      </c>
      <c r="I2001" s="69">
        <f t="shared" si="320"/>
        <v>14</v>
      </c>
      <c r="J2001" s="64">
        <f t="shared" ref="J2001:J2015" si="321">IF(G2001="","",ROUNDUP(G2001*0.65,0))</f>
        <v>8</v>
      </c>
      <c r="K2001" s="64">
        <f t="shared" ref="K2001:K2015" si="322">IF(G2001="","",ROUNDUP(G2001*0.55,0))</f>
        <v>7</v>
      </c>
    </row>
    <row r="2002" spans="2:11" ht="17.25" x14ac:dyDescent="0.2">
      <c r="B2002" s="325" t="s">
        <v>2298</v>
      </c>
      <c r="C2002" s="112" t="s">
        <v>2292</v>
      </c>
      <c r="D2002" s="113" t="s">
        <v>2299</v>
      </c>
      <c r="E2002" s="123" t="s">
        <v>265</v>
      </c>
      <c r="F2002" s="108">
        <v>12.5</v>
      </c>
      <c r="G2002" s="57">
        <v>10</v>
      </c>
      <c r="H2002" s="65">
        <v>2</v>
      </c>
      <c r="I2002" s="69">
        <f t="shared" si="320"/>
        <v>12</v>
      </c>
      <c r="J2002" s="64">
        <f t="shared" si="321"/>
        <v>7</v>
      </c>
      <c r="K2002" s="64">
        <f t="shared" si="322"/>
        <v>6</v>
      </c>
    </row>
    <row r="2003" spans="2:11" ht="17.25" x14ac:dyDescent="0.2">
      <c r="B2003" s="325" t="s">
        <v>2300</v>
      </c>
      <c r="C2003" s="112" t="s">
        <v>2292</v>
      </c>
      <c r="D2003" s="113" t="s">
        <v>2301</v>
      </c>
      <c r="E2003" s="107" t="s">
        <v>55</v>
      </c>
      <c r="F2003" s="333">
        <v>14</v>
      </c>
      <c r="G2003" s="57">
        <v>10</v>
      </c>
      <c r="H2003" s="65">
        <v>1</v>
      </c>
      <c r="I2003" s="69">
        <f t="shared" si="320"/>
        <v>11</v>
      </c>
      <c r="J2003" s="64">
        <f t="shared" si="321"/>
        <v>7</v>
      </c>
      <c r="K2003" s="64">
        <f t="shared" si="322"/>
        <v>6</v>
      </c>
    </row>
    <row r="2004" spans="2:11" ht="17.25" x14ac:dyDescent="0.2">
      <c r="B2004" s="325" t="s">
        <v>2302</v>
      </c>
      <c r="C2004" s="112" t="s">
        <v>2276</v>
      </c>
      <c r="D2004" s="113" t="s">
        <v>2303</v>
      </c>
      <c r="E2004" s="107" t="s">
        <v>56</v>
      </c>
      <c r="F2004" s="333">
        <v>17.5</v>
      </c>
      <c r="G2004" s="57">
        <v>14</v>
      </c>
      <c r="H2004" s="65">
        <v>2</v>
      </c>
      <c r="I2004" s="69">
        <f t="shared" si="320"/>
        <v>16</v>
      </c>
      <c r="J2004" s="64">
        <f t="shared" si="321"/>
        <v>10</v>
      </c>
      <c r="K2004" s="64">
        <f t="shared" si="322"/>
        <v>8</v>
      </c>
    </row>
    <row r="2005" spans="2:11" ht="17.25" x14ac:dyDescent="0.2">
      <c r="B2005" s="325" t="s">
        <v>2304</v>
      </c>
      <c r="C2005" s="112" t="s">
        <v>2276</v>
      </c>
      <c r="D2005" s="113" t="s">
        <v>2158</v>
      </c>
      <c r="E2005" s="107" t="s">
        <v>56</v>
      </c>
      <c r="F2005" s="333">
        <v>17.5</v>
      </c>
      <c r="G2005" s="57">
        <v>12</v>
      </c>
      <c r="H2005" s="65">
        <v>2</v>
      </c>
      <c r="I2005" s="69">
        <f t="shared" si="320"/>
        <v>14</v>
      </c>
      <c r="J2005" s="64">
        <f t="shared" si="321"/>
        <v>8</v>
      </c>
      <c r="K2005" s="64">
        <f t="shared" si="322"/>
        <v>7</v>
      </c>
    </row>
    <row r="2006" spans="2:11" ht="17.25" x14ac:dyDescent="0.2">
      <c r="B2006" s="325" t="s">
        <v>2305</v>
      </c>
      <c r="C2006" s="112" t="s">
        <v>2273</v>
      </c>
      <c r="D2006" s="113" t="s">
        <v>2263</v>
      </c>
      <c r="E2006" s="123" t="s">
        <v>1019</v>
      </c>
      <c r="F2006" s="108">
        <v>16.5</v>
      </c>
      <c r="G2006" s="57">
        <v>13</v>
      </c>
      <c r="H2006" s="65">
        <v>2</v>
      </c>
      <c r="I2006" s="69">
        <f t="shared" si="320"/>
        <v>15</v>
      </c>
      <c r="J2006" s="64">
        <f t="shared" si="321"/>
        <v>9</v>
      </c>
      <c r="K2006" s="64">
        <f t="shared" si="322"/>
        <v>8</v>
      </c>
    </row>
    <row r="2007" spans="2:11" ht="17.25" x14ac:dyDescent="0.2">
      <c r="B2007" s="325" t="s">
        <v>2306</v>
      </c>
      <c r="C2007" s="112" t="s">
        <v>2273</v>
      </c>
      <c r="D2007" s="113" t="s">
        <v>2307</v>
      </c>
      <c r="E2007" s="107" t="s">
        <v>55</v>
      </c>
      <c r="F2007" s="333">
        <v>14</v>
      </c>
      <c r="G2007" s="57">
        <v>12</v>
      </c>
      <c r="H2007" s="65">
        <v>2</v>
      </c>
      <c r="I2007" s="69">
        <f t="shared" si="320"/>
        <v>14</v>
      </c>
      <c r="J2007" s="64">
        <f t="shared" si="321"/>
        <v>8</v>
      </c>
      <c r="K2007" s="64">
        <f t="shared" si="322"/>
        <v>7</v>
      </c>
    </row>
    <row r="2008" spans="2:11" ht="17.25" x14ac:dyDescent="0.2">
      <c r="B2008" s="325"/>
      <c r="C2008" s="112"/>
      <c r="D2008" s="113"/>
      <c r="E2008" s="107"/>
      <c r="F2008" s="108"/>
      <c r="G2008" s="57"/>
      <c r="H2008" s="65"/>
      <c r="I2008" s="69" t="str">
        <f t="shared" si="320"/>
        <v/>
      </c>
      <c r="J2008" s="64" t="str">
        <f t="shared" si="321"/>
        <v/>
      </c>
      <c r="K2008" s="64" t="str">
        <f t="shared" si="322"/>
        <v/>
      </c>
    </row>
    <row r="2009" spans="2:11" ht="17.25" x14ac:dyDescent="0.2">
      <c r="B2009" s="325"/>
      <c r="C2009" s="112"/>
      <c r="D2009" s="112"/>
      <c r="E2009" s="107"/>
      <c r="F2009" s="108"/>
      <c r="G2009" s="57"/>
      <c r="H2009" s="65"/>
      <c r="I2009" s="69" t="str">
        <f t="shared" si="320"/>
        <v/>
      </c>
      <c r="J2009" s="64" t="str">
        <f t="shared" si="321"/>
        <v/>
      </c>
      <c r="K2009" s="64" t="str">
        <f t="shared" si="322"/>
        <v/>
      </c>
    </row>
    <row r="2010" spans="2:11" ht="17.25" x14ac:dyDescent="0.2">
      <c r="B2010" s="325"/>
      <c r="C2010" s="112"/>
      <c r="D2010" s="112"/>
      <c r="E2010" s="107"/>
      <c r="F2010" s="108"/>
      <c r="G2010" s="57"/>
      <c r="H2010" s="65"/>
      <c r="I2010" s="69" t="str">
        <f t="shared" si="320"/>
        <v/>
      </c>
      <c r="J2010" s="64" t="str">
        <f t="shared" si="321"/>
        <v/>
      </c>
      <c r="K2010" s="64" t="str">
        <f t="shared" si="322"/>
        <v/>
      </c>
    </row>
    <row r="2011" spans="2:11" ht="17.25" x14ac:dyDescent="0.2">
      <c r="B2011" s="325"/>
      <c r="C2011" s="112"/>
      <c r="D2011" s="112"/>
      <c r="E2011" s="107"/>
      <c r="F2011" s="108"/>
      <c r="G2011" s="57"/>
      <c r="H2011" s="65"/>
      <c r="I2011" s="69" t="str">
        <f t="shared" si="320"/>
        <v/>
      </c>
      <c r="J2011" s="64" t="str">
        <f t="shared" si="321"/>
        <v/>
      </c>
      <c r="K2011" s="64" t="str">
        <f t="shared" si="322"/>
        <v/>
      </c>
    </row>
    <row r="2012" spans="2:11" ht="17.25" x14ac:dyDescent="0.2">
      <c r="B2012" s="325"/>
      <c r="C2012" s="112"/>
      <c r="D2012" s="112"/>
      <c r="E2012" s="107"/>
      <c r="F2012" s="108"/>
      <c r="G2012" s="57"/>
      <c r="H2012" s="65"/>
      <c r="I2012" s="69" t="str">
        <f t="shared" si="320"/>
        <v/>
      </c>
      <c r="J2012" s="64" t="str">
        <f t="shared" si="321"/>
        <v/>
      </c>
      <c r="K2012" s="64" t="str">
        <f t="shared" si="322"/>
        <v/>
      </c>
    </row>
    <row r="2013" spans="2:11" ht="17.25" x14ac:dyDescent="0.2">
      <c r="B2013" s="325"/>
      <c r="C2013" s="112"/>
      <c r="D2013" s="112"/>
      <c r="E2013" s="107"/>
      <c r="F2013" s="108"/>
      <c r="G2013" s="57"/>
      <c r="H2013" s="65"/>
      <c r="I2013" s="69" t="str">
        <f t="shared" si="320"/>
        <v/>
      </c>
      <c r="J2013" s="64" t="str">
        <f t="shared" si="321"/>
        <v/>
      </c>
      <c r="K2013" s="64" t="str">
        <f t="shared" si="322"/>
        <v/>
      </c>
    </row>
    <row r="2014" spans="2:11" ht="17.25" x14ac:dyDescent="0.2">
      <c r="B2014" s="325"/>
      <c r="C2014" s="112"/>
      <c r="D2014" s="112"/>
      <c r="E2014" s="107"/>
      <c r="F2014" s="108"/>
      <c r="G2014" s="57"/>
      <c r="H2014" s="65"/>
      <c r="I2014" s="69" t="str">
        <f t="shared" si="320"/>
        <v/>
      </c>
      <c r="J2014" s="64" t="str">
        <f t="shared" si="321"/>
        <v/>
      </c>
      <c r="K2014" s="64" t="str">
        <f t="shared" si="322"/>
        <v/>
      </c>
    </row>
    <row r="2015" spans="2:11" ht="17.25" x14ac:dyDescent="0.2">
      <c r="B2015" s="325"/>
      <c r="C2015" s="112"/>
      <c r="D2015" s="112"/>
      <c r="E2015" s="107"/>
      <c r="F2015" s="108"/>
      <c r="G2015" s="57"/>
      <c r="H2015" s="65"/>
      <c r="I2015" s="69" t="str">
        <f t="shared" si="320"/>
        <v/>
      </c>
      <c r="J2015" s="64" t="str">
        <f t="shared" si="321"/>
        <v/>
      </c>
      <c r="K2015" s="64" t="str">
        <f t="shared" si="322"/>
        <v/>
      </c>
    </row>
    <row r="2016" spans="2:11" ht="18" customHeight="1" x14ac:dyDescent="0.2">
      <c r="B2016" s="561" t="s">
        <v>22</v>
      </c>
      <c r="C2016" s="561" t="s">
        <v>177</v>
      </c>
      <c r="D2016" s="561" t="s">
        <v>243</v>
      </c>
      <c r="E2016" s="561" t="s">
        <v>23</v>
      </c>
      <c r="F2016" s="562" t="s">
        <v>234</v>
      </c>
      <c r="G2016" s="562"/>
      <c r="H2016" s="562"/>
      <c r="I2016" s="562"/>
      <c r="J2016" s="562"/>
      <c r="K2016" s="562"/>
    </row>
    <row r="2017" spans="1:11" ht="21" x14ac:dyDescent="0.2">
      <c r="A2017" s="114" t="s">
        <v>1119</v>
      </c>
      <c r="B2017" s="434" t="s">
        <v>2632</v>
      </c>
      <c r="C2017" s="115" t="s">
        <v>498</v>
      </c>
      <c r="D2017" s="114" t="s">
        <v>499</v>
      </c>
      <c r="E2017" s="329" t="str">
        <f>IF($O$109="","",$O$109)</f>
        <v>Metropolitana de Barcelona - Área  3</v>
      </c>
      <c r="F2017" s="563">
        <f>IF(B2017="","",VLOOKUP(E2017,$O$2:$T$120,6,0))</f>
        <v>63571</v>
      </c>
      <c r="G2017" s="564"/>
      <c r="H2017" s="564"/>
      <c r="I2017" s="564"/>
      <c r="J2017" s="564"/>
      <c r="K2017" s="565"/>
    </row>
    <row r="2018" spans="1:11" ht="43.5" x14ac:dyDescent="0.2">
      <c r="A2018" s="166" t="s">
        <v>779</v>
      </c>
      <c r="B2018" s="116" t="s">
        <v>0</v>
      </c>
      <c r="C2018" s="116" t="s">
        <v>20</v>
      </c>
      <c r="D2018" s="116" t="s">
        <v>21</v>
      </c>
      <c r="E2018" s="116" t="s">
        <v>1</v>
      </c>
      <c r="F2018" s="117" t="s">
        <v>3</v>
      </c>
      <c r="G2018" s="116" t="s">
        <v>216</v>
      </c>
      <c r="H2018" s="180" t="s">
        <v>242</v>
      </c>
      <c r="I2018" s="116" t="s">
        <v>245</v>
      </c>
      <c r="J2018" s="116" t="s">
        <v>217</v>
      </c>
      <c r="K2018" s="116" t="s">
        <v>218</v>
      </c>
    </row>
    <row r="2019" spans="1:11" ht="17.25" x14ac:dyDescent="0.35">
      <c r="B2019" s="325" t="s">
        <v>2308</v>
      </c>
      <c r="C2019" s="152" t="s">
        <v>2273</v>
      </c>
      <c r="D2019" s="152" t="s">
        <v>2301</v>
      </c>
      <c r="E2019" s="107" t="s">
        <v>55</v>
      </c>
      <c r="F2019" s="333">
        <v>14</v>
      </c>
      <c r="G2019" s="57">
        <v>13</v>
      </c>
      <c r="H2019" s="65">
        <v>1</v>
      </c>
      <c r="I2019" s="69">
        <f t="shared" ref="I2019:I2034" si="323">IF(G2019="","",SUM(G2019:H2019))</f>
        <v>14</v>
      </c>
      <c r="J2019" s="64">
        <f>IF(G2019="","",ROUNDUP(G2019*0.65,0))</f>
        <v>9</v>
      </c>
      <c r="K2019" s="64">
        <f>IF(G2019="","",ROUNDUP(G2019*0.55,0))</f>
        <v>8</v>
      </c>
    </row>
    <row r="2020" spans="1:11" ht="17.25" x14ac:dyDescent="0.35">
      <c r="B2020" s="325" t="s">
        <v>2309</v>
      </c>
      <c r="C2020" s="152" t="s">
        <v>2273</v>
      </c>
      <c r="D2020" s="152" t="s">
        <v>2261</v>
      </c>
      <c r="E2020" s="107" t="s">
        <v>55</v>
      </c>
      <c r="F2020" s="333">
        <v>14</v>
      </c>
      <c r="G2020" s="57">
        <v>10</v>
      </c>
      <c r="H2020" s="65">
        <v>1</v>
      </c>
      <c r="I2020" s="69">
        <f t="shared" si="323"/>
        <v>11</v>
      </c>
      <c r="J2020" s="64">
        <f t="shared" ref="J2020:J2034" si="324">IF(G2020="","",ROUNDUP(G2020*0.65,0))</f>
        <v>7</v>
      </c>
      <c r="K2020" s="64">
        <f t="shared" ref="K2020:K2034" si="325">IF(G2020="","",ROUNDUP(G2020*0.55,0))</f>
        <v>6</v>
      </c>
    </row>
    <row r="2021" spans="1:11" ht="17.25" x14ac:dyDescent="0.35">
      <c r="B2021" s="325" t="s">
        <v>2310</v>
      </c>
      <c r="C2021" s="152" t="s">
        <v>2276</v>
      </c>
      <c r="D2021" s="152" t="s">
        <v>2288</v>
      </c>
      <c r="E2021" s="123" t="s">
        <v>1019</v>
      </c>
      <c r="F2021" s="108">
        <v>16.5</v>
      </c>
      <c r="G2021" s="57">
        <v>13</v>
      </c>
      <c r="H2021" s="65">
        <v>2</v>
      </c>
      <c r="I2021" s="69">
        <f t="shared" si="323"/>
        <v>15</v>
      </c>
      <c r="J2021" s="64">
        <f t="shared" si="324"/>
        <v>9</v>
      </c>
      <c r="K2021" s="64">
        <f t="shared" si="325"/>
        <v>8</v>
      </c>
    </row>
    <row r="2022" spans="1:11" ht="17.25" x14ac:dyDescent="0.35">
      <c r="B2022" s="325" t="s">
        <v>2311</v>
      </c>
      <c r="C2022" s="152" t="s">
        <v>2276</v>
      </c>
      <c r="D2022" s="152" t="s">
        <v>2312</v>
      </c>
      <c r="E2022" s="123" t="s">
        <v>265</v>
      </c>
      <c r="F2022" s="108">
        <v>12.5</v>
      </c>
      <c r="G2022" s="57">
        <v>10</v>
      </c>
      <c r="H2022" s="65">
        <v>2</v>
      </c>
      <c r="I2022" s="69">
        <f t="shared" si="323"/>
        <v>12</v>
      </c>
      <c r="J2022" s="64">
        <f t="shared" si="324"/>
        <v>7</v>
      </c>
      <c r="K2022" s="64">
        <f t="shared" si="325"/>
        <v>6</v>
      </c>
    </row>
    <row r="2023" spans="1:11" ht="17.25" x14ac:dyDescent="0.35">
      <c r="B2023" s="325" t="s">
        <v>2313</v>
      </c>
      <c r="C2023" s="152" t="s">
        <v>2314</v>
      </c>
      <c r="D2023" s="152" t="s">
        <v>2299</v>
      </c>
      <c r="E2023" s="123" t="s">
        <v>265</v>
      </c>
      <c r="F2023" s="108">
        <v>12.5</v>
      </c>
      <c r="G2023" s="57">
        <v>10</v>
      </c>
      <c r="H2023" s="65">
        <v>2</v>
      </c>
      <c r="I2023" s="69">
        <f t="shared" si="323"/>
        <v>12</v>
      </c>
      <c r="J2023" s="64">
        <f t="shared" si="324"/>
        <v>7</v>
      </c>
      <c r="K2023" s="64">
        <f t="shared" si="325"/>
        <v>6</v>
      </c>
    </row>
    <row r="2024" spans="1:11" ht="17.25" x14ac:dyDescent="0.35">
      <c r="B2024" s="325" t="s">
        <v>2315</v>
      </c>
      <c r="C2024" s="152" t="s">
        <v>2316</v>
      </c>
      <c r="D2024" s="152" t="s">
        <v>2317</v>
      </c>
      <c r="E2024" s="123" t="s">
        <v>265</v>
      </c>
      <c r="F2024" s="108">
        <v>12.5</v>
      </c>
      <c r="G2024" s="57">
        <v>12</v>
      </c>
      <c r="H2024" s="65">
        <v>2</v>
      </c>
      <c r="I2024" s="69">
        <f t="shared" si="323"/>
        <v>14</v>
      </c>
      <c r="J2024" s="64">
        <f t="shared" si="324"/>
        <v>8</v>
      </c>
      <c r="K2024" s="64">
        <f t="shared" si="325"/>
        <v>7</v>
      </c>
    </row>
    <row r="2025" spans="1:11" ht="17.25" x14ac:dyDescent="0.35">
      <c r="B2025" s="325" t="s">
        <v>2318</v>
      </c>
      <c r="C2025" s="152" t="s">
        <v>2319</v>
      </c>
      <c r="D2025" s="152" t="s">
        <v>2303</v>
      </c>
      <c r="E2025" s="123" t="s">
        <v>265</v>
      </c>
      <c r="F2025" s="108">
        <v>12.5</v>
      </c>
      <c r="G2025" s="57">
        <v>14</v>
      </c>
      <c r="H2025" s="65">
        <v>3</v>
      </c>
      <c r="I2025" s="69">
        <f t="shared" si="323"/>
        <v>17</v>
      </c>
      <c r="J2025" s="64">
        <f t="shared" si="324"/>
        <v>10</v>
      </c>
      <c r="K2025" s="64">
        <f t="shared" si="325"/>
        <v>8</v>
      </c>
    </row>
    <row r="2026" spans="1:11" ht="17.25" x14ac:dyDescent="0.35">
      <c r="B2026" s="325"/>
      <c r="C2026" s="152"/>
      <c r="D2026" s="152"/>
      <c r="E2026" s="107"/>
      <c r="F2026" s="108"/>
      <c r="G2026" s="57"/>
      <c r="H2026" s="65"/>
      <c r="I2026" s="69" t="str">
        <f t="shared" si="323"/>
        <v/>
      </c>
      <c r="J2026" s="64" t="str">
        <f t="shared" si="324"/>
        <v/>
      </c>
      <c r="K2026" s="64" t="str">
        <f t="shared" si="325"/>
        <v/>
      </c>
    </row>
    <row r="2027" spans="1:11" ht="17.25" x14ac:dyDescent="0.2">
      <c r="B2027" s="325"/>
      <c r="C2027" s="112"/>
      <c r="D2027" s="113"/>
      <c r="E2027" s="107"/>
      <c r="F2027" s="108"/>
      <c r="G2027" s="57"/>
      <c r="H2027" s="65"/>
      <c r="I2027" s="69" t="str">
        <f t="shared" si="323"/>
        <v/>
      </c>
      <c r="J2027" s="64" t="str">
        <f t="shared" si="324"/>
        <v/>
      </c>
      <c r="K2027" s="64" t="str">
        <f t="shared" si="325"/>
        <v/>
      </c>
    </row>
    <row r="2028" spans="1:11" ht="17.25" x14ac:dyDescent="0.2">
      <c r="B2028" s="325"/>
      <c r="C2028" s="112"/>
      <c r="D2028" s="112"/>
      <c r="E2028" s="107"/>
      <c r="F2028" s="108"/>
      <c r="G2028" s="57"/>
      <c r="H2028" s="65"/>
      <c r="I2028" s="69" t="str">
        <f t="shared" si="323"/>
        <v/>
      </c>
      <c r="J2028" s="64" t="str">
        <f t="shared" si="324"/>
        <v/>
      </c>
      <c r="K2028" s="64" t="str">
        <f t="shared" si="325"/>
        <v/>
      </c>
    </row>
    <row r="2029" spans="1:11" ht="17.25" x14ac:dyDescent="0.2">
      <c r="B2029" s="325"/>
      <c r="C2029" s="112"/>
      <c r="D2029" s="112"/>
      <c r="E2029" s="107"/>
      <c r="F2029" s="108"/>
      <c r="G2029" s="57"/>
      <c r="H2029" s="65"/>
      <c r="I2029" s="69" t="str">
        <f t="shared" si="323"/>
        <v/>
      </c>
      <c r="J2029" s="64" t="str">
        <f t="shared" si="324"/>
        <v/>
      </c>
      <c r="K2029" s="64" t="str">
        <f t="shared" si="325"/>
        <v/>
      </c>
    </row>
    <row r="2030" spans="1:11" ht="17.25" x14ac:dyDescent="0.2">
      <c r="B2030" s="325"/>
      <c r="C2030" s="112"/>
      <c r="D2030" s="112"/>
      <c r="E2030" s="107"/>
      <c r="F2030" s="108"/>
      <c r="G2030" s="57"/>
      <c r="H2030" s="65"/>
      <c r="I2030" s="69" t="str">
        <f t="shared" si="323"/>
        <v/>
      </c>
      <c r="J2030" s="64" t="str">
        <f t="shared" si="324"/>
        <v/>
      </c>
      <c r="K2030" s="64" t="str">
        <f t="shared" si="325"/>
        <v/>
      </c>
    </row>
    <row r="2031" spans="1:11" ht="17.25" x14ac:dyDescent="0.2">
      <c r="B2031" s="325"/>
      <c r="C2031" s="112"/>
      <c r="D2031" s="112"/>
      <c r="E2031" s="107"/>
      <c r="F2031" s="108"/>
      <c r="G2031" s="57"/>
      <c r="H2031" s="65"/>
      <c r="I2031" s="69" t="str">
        <f t="shared" si="323"/>
        <v/>
      </c>
      <c r="J2031" s="64" t="str">
        <f t="shared" si="324"/>
        <v/>
      </c>
      <c r="K2031" s="64" t="str">
        <f t="shared" si="325"/>
        <v/>
      </c>
    </row>
    <row r="2032" spans="1:11" ht="17.25" x14ac:dyDescent="0.2">
      <c r="B2032" s="325"/>
      <c r="C2032" s="112"/>
      <c r="D2032" s="112"/>
      <c r="E2032" s="107"/>
      <c r="F2032" s="108"/>
      <c r="G2032" s="57"/>
      <c r="H2032" s="65"/>
      <c r="I2032" s="69" t="str">
        <f t="shared" si="323"/>
        <v/>
      </c>
      <c r="J2032" s="64" t="str">
        <f t="shared" si="324"/>
        <v/>
      </c>
      <c r="K2032" s="64" t="str">
        <f t="shared" si="325"/>
        <v/>
      </c>
    </row>
    <row r="2033" spans="1:11" ht="17.25" x14ac:dyDescent="0.2">
      <c r="B2033" s="325"/>
      <c r="C2033" s="112"/>
      <c r="D2033" s="112"/>
      <c r="E2033" s="107"/>
      <c r="F2033" s="108"/>
      <c r="G2033" s="57"/>
      <c r="H2033" s="65"/>
      <c r="I2033" s="69" t="str">
        <f t="shared" si="323"/>
        <v/>
      </c>
      <c r="J2033" s="64" t="str">
        <f t="shared" si="324"/>
        <v/>
      </c>
      <c r="K2033" s="64" t="str">
        <f t="shared" si="325"/>
        <v/>
      </c>
    </row>
    <row r="2034" spans="1:11" ht="17.25" x14ac:dyDescent="0.2">
      <c r="B2034" s="325"/>
      <c r="C2034" s="112"/>
      <c r="D2034" s="112"/>
      <c r="E2034" s="107"/>
      <c r="F2034" s="108"/>
      <c r="G2034" s="57"/>
      <c r="H2034" s="65"/>
      <c r="I2034" s="69" t="str">
        <f t="shared" si="323"/>
        <v/>
      </c>
      <c r="J2034" s="64" t="str">
        <f t="shared" si="324"/>
        <v/>
      </c>
      <c r="K2034" s="64" t="str">
        <f t="shared" si="325"/>
        <v/>
      </c>
    </row>
    <row r="2035" spans="1:11" ht="18" customHeight="1" x14ac:dyDescent="0.2">
      <c r="B2035" s="561" t="s">
        <v>22</v>
      </c>
      <c r="C2035" s="561" t="s">
        <v>177</v>
      </c>
      <c r="D2035" s="561" t="s">
        <v>243</v>
      </c>
      <c r="E2035" s="561" t="s">
        <v>23</v>
      </c>
      <c r="F2035" s="566" t="s">
        <v>234</v>
      </c>
      <c r="G2035" s="567"/>
      <c r="H2035" s="567"/>
      <c r="I2035" s="567"/>
      <c r="J2035" s="567"/>
      <c r="K2035" s="568"/>
    </row>
    <row r="2036" spans="1:11" ht="21" x14ac:dyDescent="0.2">
      <c r="A2036" s="114" t="s">
        <v>1120</v>
      </c>
      <c r="B2036" s="436" t="s">
        <v>2692</v>
      </c>
      <c r="C2036" s="115" t="s">
        <v>2699</v>
      </c>
      <c r="D2036" s="114" t="s">
        <v>1209</v>
      </c>
      <c r="E2036" s="329" t="str">
        <f>IF($O$110="","",$O$110)</f>
        <v>Munic. Tupinambá - Reg. Leste</v>
      </c>
      <c r="F2036" s="563">
        <f>IF(B2036="","",VLOOKUP(E2036,$O$2:$T$120,6,0))</f>
        <v>52717</v>
      </c>
      <c r="G2036" s="564"/>
      <c r="H2036" s="564"/>
      <c r="I2036" s="564"/>
      <c r="J2036" s="564"/>
      <c r="K2036" s="565"/>
    </row>
    <row r="2037" spans="1:11" ht="43.5" x14ac:dyDescent="0.2">
      <c r="A2037" s="166" t="s">
        <v>779</v>
      </c>
      <c r="B2037" s="116" t="s">
        <v>0</v>
      </c>
      <c r="C2037" s="116" t="s">
        <v>20</v>
      </c>
      <c r="D2037" s="116" t="s">
        <v>21</v>
      </c>
      <c r="E2037" s="116" t="s">
        <v>1</v>
      </c>
      <c r="F2037" s="117" t="s">
        <v>3</v>
      </c>
      <c r="G2037" s="116" t="s">
        <v>216</v>
      </c>
      <c r="H2037" s="180" t="s">
        <v>242</v>
      </c>
      <c r="I2037" s="116" t="s">
        <v>245</v>
      </c>
      <c r="J2037" s="116" t="s">
        <v>217</v>
      </c>
      <c r="K2037" s="116" t="s">
        <v>218</v>
      </c>
    </row>
    <row r="2038" spans="1:11" ht="17.25" x14ac:dyDescent="0.2">
      <c r="B2038" s="353" t="s">
        <v>2320</v>
      </c>
      <c r="C2038" s="97" t="s">
        <v>2321</v>
      </c>
      <c r="D2038" s="97" t="s">
        <v>2322</v>
      </c>
      <c r="E2038" s="424" t="s">
        <v>55</v>
      </c>
      <c r="F2038" s="333">
        <v>14</v>
      </c>
      <c r="G2038" s="425">
        <v>12</v>
      </c>
      <c r="H2038" s="426">
        <v>1</v>
      </c>
      <c r="I2038" s="69">
        <f>IF(G2038="","",SUM(G2038:H2038))</f>
        <v>13</v>
      </c>
      <c r="J2038" s="64">
        <f>IF(G2038="","",ROUNDUP(G2038*0.65,0))</f>
        <v>8</v>
      </c>
      <c r="K2038" s="64">
        <f>IF(G2038="","",ROUNDUP(G2038*0.55,0))</f>
        <v>7</v>
      </c>
    </row>
    <row r="2039" spans="1:11" ht="17.25" x14ac:dyDescent="0.2">
      <c r="B2039" s="353" t="s">
        <v>2323</v>
      </c>
      <c r="C2039" s="97" t="s">
        <v>2324</v>
      </c>
      <c r="D2039" s="97" t="s">
        <v>2325</v>
      </c>
      <c r="E2039" s="424" t="s">
        <v>55</v>
      </c>
      <c r="F2039" s="333">
        <v>14</v>
      </c>
      <c r="G2039" s="425">
        <v>10</v>
      </c>
      <c r="H2039" s="426">
        <v>2</v>
      </c>
      <c r="I2039" s="69">
        <f t="shared" ref="I2039:I2048" si="326">IF(G2039="","",SUM(G2039:H2039))</f>
        <v>12</v>
      </c>
      <c r="J2039" s="64">
        <f t="shared" ref="J2039:J2053" si="327">IF(G2039="","",ROUNDUP(G2039*0.65,0))</f>
        <v>7</v>
      </c>
      <c r="K2039" s="64">
        <f t="shared" ref="K2039:K2053" si="328">IF(G2039="","",ROUNDUP(G2039*0.55,0))</f>
        <v>6</v>
      </c>
    </row>
    <row r="2040" spans="1:11" ht="17.25" x14ac:dyDescent="0.2">
      <c r="B2040" s="353" t="s">
        <v>2326</v>
      </c>
      <c r="C2040" s="97" t="s">
        <v>2324</v>
      </c>
      <c r="D2040" s="97" t="s">
        <v>2327</v>
      </c>
      <c r="E2040" s="424" t="s">
        <v>265</v>
      </c>
      <c r="F2040" s="108">
        <v>12.5</v>
      </c>
      <c r="G2040" s="425">
        <v>12</v>
      </c>
      <c r="H2040" s="426">
        <v>2</v>
      </c>
      <c r="I2040" s="69">
        <f t="shared" si="326"/>
        <v>14</v>
      </c>
      <c r="J2040" s="64">
        <f t="shared" si="327"/>
        <v>8</v>
      </c>
      <c r="K2040" s="64">
        <f t="shared" si="328"/>
        <v>7</v>
      </c>
    </row>
    <row r="2041" spans="1:11" ht="17.25" x14ac:dyDescent="0.2">
      <c r="B2041" s="353" t="s">
        <v>2328</v>
      </c>
      <c r="C2041" s="97" t="s">
        <v>2324</v>
      </c>
      <c r="D2041" s="97" t="s">
        <v>2329</v>
      </c>
      <c r="E2041" s="424" t="s">
        <v>265</v>
      </c>
      <c r="F2041" s="108">
        <v>12.5</v>
      </c>
      <c r="G2041" s="425">
        <v>10</v>
      </c>
      <c r="H2041" s="426">
        <v>2</v>
      </c>
      <c r="I2041" s="69">
        <f t="shared" si="326"/>
        <v>12</v>
      </c>
      <c r="J2041" s="64">
        <f t="shared" si="327"/>
        <v>7</v>
      </c>
      <c r="K2041" s="64">
        <f t="shared" si="328"/>
        <v>6</v>
      </c>
    </row>
    <row r="2042" spans="1:11" ht="17.25" x14ac:dyDescent="0.2">
      <c r="B2042" s="353" t="s">
        <v>2330</v>
      </c>
      <c r="C2042" s="97" t="s">
        <v>2331</v>
      </c>
      <c r="D2042" s="97" t="s">
        <v>2332</v>
      </c>
      <c r="E2042" s="424" t="s">
        <v>265</v>
      </c>
      <c r="F2042" s="108">
        <v>12.5</v>
      </c>
      <c r="G2042" s="425">
        <v>8</v>
      </c>
      <c r="H2042" s="426">
        <v>2</v>
      </c>
      <c r="I2042" s="69">
        <f t="shared" si="326"/>
        <v>10</v>
      </c>
      <c r="J2042" s="64">
        <f t="shared" si="327"/>
        <v>6</v>
      </c>
      <c r="K2042" s="64">
        <f t="shared" si="328"/>
        <v>5</v>
      </c>
    </row>
    <row r="2043" spans="1:11" ht="17.25" x14ac:dyDescent="0.2">
      <c r="B2043" s="353" t="s">
        <v>2333</v>
      </c>
      <c r="C2043" s="97" t="s">
        <v>2334</v>
      </c>
      <c r="D2043" s="97" t="s">
        <v>2335</v>
      </c>
      <c r="E2043" s="424" t="s">
        <v>265</v>
      </c>
      <c r="F2043" s="108">
        <v>12.5</v>
      </c>
      <c r="G2043" s="425">
        <v>8</v>
      </c>
      <c r="H2043" s="426">
        <v>2</v>
      </c>
      <c r="I2043" s="69">
        <f t="shared" si="326"/>
        <v>10</v>
      </c>
      <c r="J2043" s="64">
        <f t="shared" si="327"/>
        <v>6</v>
      </c>
      <c r="K2043" s="64">
        <f t="shared" si="328"/>
        <v>5</v>
      </c>
    </row>
    <row r="2044" spans="1:11" ht="17.25" x14ac:dyDescent="0.2">
      <c r="B2044" s="353" t="s">
        <v>2336</v>
      </c>
      <c r="C2044" s="97" t="s">
        <v>2337</v>
      </c>
      <c r="D2044" s="97" t="s">
        <v>2338</v>
      </c>
      <c r="E2044" s="424" t="s">
        <v>265</v>
      </c>
      <c r="F2044" s="108">
        <v>12.5</v>
      </c>
      <c r="G2044" s="425">
        <v>8</v>
      </c>
      <c r="H2044" s="426">
        <v>1</v>
      </c>
      <c r="I2044" s="69">
        <f t="shared" si="326"/>
        <v>9</v>
      </c>
      <c r="J2044" s="64">
        <f t="shared" si="327"/>
        <v>6</v>
      </c>
      <c r="K2044" s="64">
        <f t="shared" si="328"/>
        <v>5</v>
      </c>
    </row>
    <row r="2045" spans="1:11" ht="17.25" x14ac:dyDescent="0.2">
      <c r="B2045" s="334"/>
      <c r="C2045" s="112"/>
      <c r="D2045" s="112"/>
      <c r="E2045" s="107"/>
      <c r="F2045" s="108"/>
      <c r="G2045" s="335"/>
      <c r="H2045" s="65"/>
      <c r="I2045" s="69" t="str">
        <f t="shared" si="326"/>
        <v/>
      </c>
      <c r="J2045" s="64" t="str">
        <f t="shared" si="327"/>
        <v/>
      </c>
      <c r="K2045" s="64" t="str">
        <f t="shared" si="328"/>
        <v/>
      </c>
    </row>
    <row r="2046" spans="1:11" ht="17.25" x14ac:dyDescent="0.2">
      <c r="B2046" s="332"/>
      <c r="C2046" s="112"/>
      <c r="D2046" s="113"/>
      <c r="E2046" s="107"/>
      <c r="F2046" s="108"/>
      <c r="G2046" s="57"/>
      <c r="H2046" s="65"/>
      <c r="I2046" s="69" t="str">
        <f t="shared" si="326"/>
        <v/>
      </c>
      <c r="J2046" s="64" t="str">
        <f t="shared" si="327"/>
        <v/>
      </c>
      <c r="K2046" s="64" t="str">
        <f t="shared" si="328"/>
        <v/>
      </c>
    </row>
    <row r="2047" spans="1:11" ht="17.25" x14ac:dyDescent="0.2">
      <c r="B2047" s="332"/>
      <c r="C2047" s="112"/>
      <c r="D2047" s="112"/>
      <c r="E2047" s="107"/>
      <c r="F2047" s="108"/>
      <c r="G2047" s="57"/>
      <c r="H2047" s="65"/>
      <c r="I2047" s="69" t="str">
        <f t="shared" si="326"/>
        <v/>
      </c>
      <c r="J2047" s="64" t="str">
        <f t="shared" si="327"/>
        <v/>
      </c>
      <c r="K2047" s="64" t="str">
        <f t="shared" si="328"/>
        <v/>
      </c>
    </row>
    <row r="2048" spans="1:11" ht="17.25" x14ac:dyDescent="0.2">
      <c r="B2048" s="332"/>
      <c r="C2048" s="112"/>
      <c r="D2048" s="112"/>
      <c r="E2048" s="107"/>
      <c r="F2048" s="108"/>
      <c r="G2048" s="57"/>
      <c r="H2048" s="65"/>
      <c r="I2048" s="69" t="str">
        <f t="shared" si="326"/>
        <v/>
      </c>
      <c r="J2048" s="64" t="str">
        <f t="shared" si="327"/>
        <v/>
      </c>
      <c r="K2048" s="64" t="str">
        <f t="shared" si="328"/>
        <v/>
      </c>
    </row>
    <row r="2049" spans="1:11" ht="17.25" x14ac:dyDescent="0.2">
      <c r="B2049" s="332"/>
      <c r="C2049" s="112"/>
      <c r="D2049" s="112"/>
      <c r="E2049" s="107"/>
      <c r="F2049" s="108"/>
      <c r="G2049" s="57"/>
      <c r="H2049" s="65"/>
      <c r="I2049" s="69"/>
      <c r="J2049" s="64" t="str">
        <f t="shared" si="327"/>
        <v/>
      </c>
      <c r="K2049" s="64" t="str">
        <f t="shared" si="328"/>
        <v/>
      </c>
    </row>
    <row r="2050" spans="1:11" ht="17.25" x14ac:dyDescent="0.2">
      <c r="B2050" s="332"/>
      <c r="C2050" s="112"/>
      <c r="D2050" s="112"/>
      <c r="E2050" s="107"/>
      <c r="F2050" s="108"/>
      <c r="G2050" s="57"/>
      <c r="H2050" s="65"/>
      <c r="I2050" s="69"/>
      <c r="J2050" s="64" t="str">
        <f t="shared" si="327"/>
        <v/>
      </c>
      <c r="K2050" s="64" t="str">
        <f t="shared" si="328"/>
        <v/>
      </c>
    </row>
    <row r="2051" spans="1:11" ht="17.25" x14ac:dyDescent="0.2">
      <c r="B2051" s="332"/>
      <c r="C2051" s="112"/>
      <c r="D2051" s="112"/>
      <c r="E2051" s="107"/>
      <c r="F2051" s="108"/>
      <c r="G2051" s="57"/>
      <c r="H2051" s="65"/>
      <c r="I2051" s="69"/>
      <c r="J2051" s="64" t="str">
        <f t="shared" si="327"/>
        <v/>
      </c>
      <c r="K2051" s="64" t="str">
        <f t="shared" si="328"/>
        <v/>
      </c>
    </row>
    <row r="2052" spans="1:11" ht="17.25" x14ac:dyDescent="0.2">
      <c r="B2052" s="332"/>
      <c r="C2052" s="112"/>
      <c r="D2052" s="112"/>
      <c r="E2052" s="107"/>
      <c r="F2052" s="108"/>
      <c r="G2052" s="57"/>
      <c r="H2052" s="65"/>
      <c r="I2052" s="69"/>
      <c r="J2052" s="64" t="str">
        <f t="shared" si="327"/>
        <v/>
      </c>
      <c r="K2052" s="64" t="str">
        <f t="shared" si="328"/>
        <v/>
      </c>
    </row>
    <row r="2053" spans="1:11" ht="17.25" x14ac:dyDescent="0.2">
      <c r="B2053" s="332"/>
      <c r="C2053" s="112"/>
      <c r="D2053" s="112"/>
      <c r="E2053" s="107"/>
      <c r="F2053" s="108"/>
      <c r="G2053" s="57"/>
      <c r="H2053" s="65"/>
      <c r="I2053" s="69"/>
      <c r="J2053" s="64" t="str">
        <f t="shared" si="327"/>
        <v/>
      </c>
      <c r="K2053" s="64" t="str">
        <f t="shared" si="328"/>
        <v/>
      </c>
    </row>
    <row r="2054" spans="1:11" ht="18" customHeight="1" x14ac:dyDescent="0.2">
      <c r="B2054" s="561" t="s">
        <v>22</v>
      </c>
      <c r="C2054" s="561" t="s">
        <v>177</v>
      </c>
      <c r="D2054" s="561" t="s">
        <v>243</v>
      </c>
      <c r="E2054" s="561" t="s">
        <v>23</v>
      </c>
      <c r="F2054" s="562" t="s">
        <v>234</v>
      </c>
      <c r="G2054" s="562"/>
      <c r="H2054" s="562"/>
      <c r="I2054" s="562"/>
      <c r="J2054" s="562"/>
      <c r="K2054" s="562"/>
    </row>
    <row r="2055" spans="1:11" ht="21" x14ac:dyDescent="0.2">
      <c r="A2055" s="114" t="s">
        <v>1121</v>
      </c>
      <c r="B2055" s="431" t="s">
        <v>2649</v>
      </c>
      <c r="C2055" s="115" t="s">
        <v>1129</v>
      </c>
      <c r="D2055" s="114" t="s">
        <v>1282</v>
      </c>
      <c r="E2055" s="329" t="str">
        <f>IF($O$111="","",$O$111)</f>
        <v>Munic. Tupinambá - Reg. Oeste</v>
      </c>
      <c r="F2055" s="563">
        <f>IF(B2055="","",VLOOKUP(E2055,$O$2:$T$120,6,0))</f>
        <v>54268</v>
      </c>
      <c r="G2055" s="564"/>
      <c r="H2055" s="564"/>
      <c r="I2055" s="564"/>
      <c r="J2055" s="564"/>
      <c r="K2055" s="565"/>
    </row>
    <row r="2056" spans="1:11" ht="43.5" x14ac:dyDescent="0.2">
      <c r="A2056" s="166" t="s">
        <v>779</v>
      </c>
      <c r="B2056" s="116" t="s">
        <v>0</v>
      </c>
      <c r="C2056" s="116" t="s">
        <v>20</v>
      </c>
      <c r="D2056" s="116" t="s">
        <v>21</v>
      </c>
      <c r="E2056" s="116" t="s">
        <v>1</v>
      </c>
      <c r="F2056" s="117" t="s">
        <v>3</v>
      </c>
      <c r="G2056" s="116" t="s">
        <v>216</v>
      </c>
      <c r="H2056" s="180" t="s">
        <v>242</v>
      </c>
      <c r="I2056" s="116" t="s">
        <v>245</v>
      </c>
      <c r="J2056" s="116" t="s">
        <v>217</v>
      </c>
      <c r="K2056" s="116" t="s">
        <v>218</v>
      </c>
    </row>
    <row r="2057" spans="1:11" ht="17.25" x14ac:dyDescent="0.2">
      <c r="B2057" s="353" t="s">
        <v>2339</v>
      </c>
      <c r="C2057" s="97" t="s">
        <v>2340</v>
      </c>
      <c r="D2057" s="97" t="s">
        <v>2325</v>
      </c>
      <c r="E2057" s="424" t="s">
        <v>265</v>
      </c>
      <c r="F2057" s="108">
        <v>12.5</v>
      </c>
      <c r="G2057" s="425">
        <v>17</v>
      </c>
      <c r="H2057" s="426">
        <v>3</v>
      </c>
      <c r="I2057" s="69">
        <f>IF(G2057="","",SUM(G2057:H2057))</f>
        <v>20</v>
      </c>
      <c r="J2057" s="64">
        <f>IF(G2057="","",ROUNDUP(G2057*0.65,0))</f>
        <v>12</v>
      </c>
      <c r="K2057" s="64">
        <f>IF(G2057="","",ROUNDUP(G2057*0.55,0))</f>
        <v>10</v>
      </c>
    </row>
    <row r="2058" spans="1:11" ht="17.25" x14ac:dyDescent="0.2">
      <c r="B2058" s="353" t="s">
        <v>2341</v>
      </c>
      <c r="C2058" s="97" t="s">
        <v>2340</v>
      </c>
      <c r="D2058" s="97" t="s">
        <v>2342</v>
      </c>
      <c r="E2058" s="424" t="s">
        <v>265</v>
      </c>
      <c r="F2058" s="108">
        <v>12.5</v>
      </c>
      <c r="G2058" s="425">
        <v>17</v>
      </c>
      <c r="H2058" s="426">
        <v>3</v>
      </c>
      <c r="I2058" s="69">
        <f t="shared" ref="I2058:I2063" si="329">IF(G2058="","",SUM(G2058:H2058))</f>
        <v>20</v>
      </c>
      <c r="J2058" s="64">
        <f t="shared" ref="J2058:J2072" si="330">IF(G2058="","",ROUNDUP(G2058*0.65,0))</f>
        <v>12</v>
      </c>
      <c r="K2058" s="64">
        <f t="shared" ref="K2058:K2072" si="331">IF(G2058="","",ROUNDUP(G2058*0.55,0))</f>
        <v>10</v>
      </c>
    </row>
    <row r="2059" spans="1:11" ht="17.25" x14ac:dyDescent="0.2">
      <c r="B2059" s="353" t="s">
        <v>2343</v>
      </c>
      <c r="C2059" s="97" t="s">
        <v>2340</v>
      </c>
      <c r="D2059" s="97" t="s">
        <v>2329</v>
      </c>
      <c r="E2059" s="424" t="s">
        <v>265</v>
      </c>
      <c r="F2059" s="108">
        <v>12.5</v>
      </c>
      <c r="G2059" s="425">
        <v>12</v>
      </c>
      <c r="H2059" s="426">
        <v>2</v>
      </c>
      <c r="I2059" s="69">
        <f t="shared" si="329"/>
        <v>14</v>
      </c>
      <c r="J2059" s="64">
        <f t="shared" si="330"/>
        <v>8</v>
      </c>
      <c r="K2059" s="64">
        <f t="shared" si="331"/>
        <v>7</v>
      </c>
    </row>
    <row r="2060" spans="1:11" ht="17.25" x14ac:dyDescent="0.2">
      <c r="B2060" s="353" t="s">
        <v>2344</v>
      </c>
      <c r="C2060" s="97" t="s">
        <v>2340</v>
      </c>
      <c r="D2060" s="97" t="s">
        <v>2345</v>
      </c>
      <c r="E2060" s="424" t="s">
        <v>265</v>
      </c>
      <c r="F2060" s="108">
        <v>12.5</v>
      </c>
      <c r="G2060" s="425">
        <v>12</v>
      </c>
      <c r="H2060" s="426">
        <v>1</v>
      </c>
      <c r="I2060" s="69">
        <f t="shared" si="329"/>
        <v>13</v>
      </c>
      <c r="J2060" s="64">
        <f t="shared" si="330"/>
        <v>8</v>
      </c>
      <c r="K2060" s="64">
        <f t="shared" si="331"/>
        <v>7</v>
      </c>
    </row>
    <row r="2061" spans="1:11" ht="17.25" x14ac:dyDescent="0.2">
      <c r="B2061" s="353" t="s">
        <v>2346</v>
      </c>
      <c r="C2061" s="97" t="s">
        <v>2340</v>
      </c>
      <c r="D2061" s="97" t="s">
        <v>2347</v>
      </c>
      <c r="E2061" s="424" t="s">
        <v>265</v>
      </c>
      <c r="F2061" s="108">
        <v>12.5</v>
      </c>
      <c r="G2061" s="425">
        <v>12</v>
      </c>
      <c r="H2061" s="426">
        <v>1</v>
      </c>
      <c r="I2061" s="69">
        <f t="shared" si="329"/>
        <v>13</v>
      </c>
      <c r="J2061" s="64">
        <f t="shared" si="330"/>
        <v>8</v>
      </c>
      <c r="K2061" s="64">
        <f t="shared" si="331"/>
        <v>7</v>
      </c>
    </row>
    <row r="2062" spans="1:11" ht="17.25" x14ac:dyDescent="0.2">
      <c r="B2062" s="336"/>
      <c r="C2062" s="99"/>
      <c r="D2062" s="99"/>
      <c r="E2062" s="107"/>
      <c r="F2062" s="108"/>
      <c r="G2062" s="57"/>
      <c r="H2062" s="65"/>
      <c r="I2062" s="69" t="str">
        <f t="shared" si="329"/>
        <v/>
      </c>
      <c r="J2062" s="64" t="str">
        <f t="shared" si="330"/>
        <v/>
      </c>
      <c r="K2062" s="64" t="str">
        <f t="shared" si="331"/>
        <v/>
      </c>
    </row>
    <row r="2063" spans="1:11" ht="17.25" x14ac:dyDescent="0.2">
      <c r="B2063" s="336"/>
      <c r="C2063" s="99"/>
      <c r="D2063" s="99"/>
      <c r="E2063" s="107"/>
      <c r="F2063" s="108"/>
      <c r="G2063" s="57"/>
      <c r="H2063" s="65"/>
      <c r="I2063" s="69" t="str">
        <f t="shared" si="329"/>
        <v/>
      </c>
      <c r="J2063" s="64" t="str">
        <f t="shared" si="330"/>
        <v/>
      </c>
      <c r="K2063" s="64" t="str">
        <f t="shared" si="331"/>
        <v/>
      </c>
    </row>
    <row r="2064" spans="1:11" ht="17.25" x14ac:dyDescent="0.2">
      <c r="B2064" s="336"/>
      <c r="C2064" s="99"/>
      <c r="D2064" s="99"/>
      <c r="E2064" s="107"/>
      <c r="F2064" s="108"/>
      <c r="G2064" s="57"/>
      <c r="H2064" s="65"/>
      <c r="I2064" s="69"/>
      <c r="J2064" s="64" t="str">
        <f t="shared" si="330"/>
        <v/>
      </c>
      <c r="K2064" s="64" t="str">
        <f t="shared" si="331"/>
        <v/>
      </c>
    </row>
    <row r="2065" spans="1:11" ht="17.25" x14ac:dyDescent="0.2">
      <c r="B2065" s="336"/>
      <c r="C2065" s="99"/>
      <c r="D2065" s="99"/>
      <c r="E2065" s="107"/>
      <c r="F2065" s="108"/>
      <c r="G2065" s="57"/>
      <c r="H2065" s="65"/>
      <c r="I2065" s="69"/>
      <c r="J2065" s="64" t="str">
        <f t="shared" si="330"/>
        <v/>
      </c>
      <c r="K2065" s="64" t="str">
        <f t="shared" si="331"/>
        <v/>
      </c>
    </row>
    <row r="2066" spans="1:11" ht="17.25" x14ac:dyDescent="0.2">
      <c r="B2066" s="336"/>
      <c r="C2066" s="99"/>
      <c r="D2066" s="99"/>
      <c r="E2066" s="107"/>
      <c r="F2066" s="108"/>
      <c r="G2066" s="57"/>
      <c r="H2066" s="65"/>
      <c r="I2066" s="69"/>
      <c r="J2066" s="64" t="str">
        <f t="shared" si="330"/>
        <v/>
      </c>
      <c r="K2066" s="64" t="str">
        <f t="shared" si="331"/>
        <v/>
      </c>
    </row>
    <row r="2067" spans="1:11" ht="17.25" x14ac:dyDescent="0.2">
      <c r="B2067" s="336"/>
      <c r="C2067" s="99"/>
      <c r="D2067" s="99"/>
      <c r="E2067" s="107"/>
      <c r="F2067" s="108"/>
      <c r="G2067" s="57"/>
      <c r="H2067" s="65"/>
      <c r="I2067" s="69"/>
      <c r="J2067" s="64" t="str">
        <f t="shared" si="330"/>
        <v/>
      </c>
      <c r="K2067" s="64" t="str">
        <f t="shared" si="331"/>
        <v/>
      </c>
    </row>
    <row r="2068" spans="1:11" ht="17.25" x14ac:dyDescent="0.2">
      <c r="B2068" s="336"/>
      <c r="C2068" s="99"/>
      <c r="D2068" s="99"/>
      <c r="E2068" s="107"/>
      <c r="F2068" s="108"/>
      <c r="G2068" s="57"/>
      <c r="H2068" s="65"/>
      <c r="I2068" s="69"/>
      <c r="J2068" s="64" t="str">
        <f t="shared" si="330"/>
        <v/>
      </c>
      <c r="K2068" s="64" t="str">
        <f t="shared" si="331"/>
        <v/>
      </c>
    </row>
    <row r="2069" spans="1:11" ht="17.25" x14ac:dyDescent="0.2">
      <c r="B2069" s="336"/>
      <c r="C2069" s="99"/>
      <c r="D2069" s="99"/>
      <c r="E2069" s="107"/>
      <c r="F2069" s="108"/>
      <c r="G2069" s="57"/>
      <c r="H2069" s="65"/>
      <c r="I2069" s="69"/>
      <c r="J2069" s="64" t="str">
        <f t="shared" si="330"/>
        <v/>
      </c>
      <c r="K2069" s="64" t="str">
        <f t="shared" si="331"/>
        <v/>
      </c>
    </row>
    <row r="2070" spans="1:11" ht="17.25" x14ac:dyDescent="0.2">
      <c r="B2070" s="336"/>
      <c r="C2070" s="99"/>
      <c r="D2070" s="99"/>
      <c r="E2070" s="107"/>
      <c r="F2070" s="108"/>
      <c r="G2070" s="57"/>
      <c r="H2070" s="65"/>
      <c r="I2070" s="69"/>
      <c r="J2070" s="64" t="str">
        <f t="shared" si="330"/>
        <v/>
      </c>
      <c r="K2070" s="64" t="str">
        <f t="shared" si="331"/>
        <v/>
      </c>
    </row>
    <row r="2071" spans="1:11" ht="17.25" x14ac:dyDescent="0.2">
      <c r="B2071" s="336"/>
      <c r="C2071" s="99"/>
      <c r="D2071" s="99"/>
      <c r="E2071" s="107"/>
      <c r="F2071" s="108"/>
      <c r="G2071" s="57"/>
      <c r="H2071" s="65"/>
      <c r="I2071" s="69"/>
      <c r="J2071" s="64" t="str">
        <f t="shared" si="330"/>
        <v/>
      </c>
      <c r="K2071" s="64" t="str">
        <f t="shared" si="331"/>
        <v/>
      </c>
    </row>
    <row r="2072" spans="1:11" ht="17.25" x14ac:dyDescent="0.2">
      <c r="B2072" s="336"/>
      <c r="C2072" s="99"/>
      <c r="D2072" s="99"/>
      <c r="E2072" s="107"/>
      <c r="F2072" s="108"/>
      <c r="G2072" s="57"/>
      <c r="H2072" s="65"/>
      <c r="I2072" s="69"/>
      <c r="J2072" s="64" t="str">
        <f t="shared" si="330"/>
        <v/>
      </c>
      <c r="K2072" s="64" t="str">
        <f t="shared" si="331"/>
        <v/>
      </c>
    </row>
    <row r="2073" spans="1:11" ht="18" customHeight="1" x14ac:dyDescent="0.2">
      <c r="B2073" s="561" t="s">
        <v>22</v>
      </c>
      <c r="C2073" s="561" t="s">
        <v>177</v>
      </c>
      <c r="D2073" s="561" t="s">
        <v>243</v>
      </c>
      <c r="E2073" s="561" t="s">
        <v>23</v>
      </c>
      <c r="F2073" s="562" t="s">
        <v>234</v>
      </c>
      <c r="G2073" s="562"/>
      <c r="H2073" s="562"/>
      <c r="I2073" s="562"/>
      <c r="J2073" s="562"/>
      <c r="K2073" s="562"/>
    </row>
    <row r="2074" spans="1:11" ht="21" x14ac:dyDescent="0.2">
      <c r="A2074" s="114" t="s">
        <v>1122</v>
      </c>
      <c r="B2074" s="436" t="s">
        <v>2693</v>
      </c>
      <c r="C2074" s="115" t="s">
        <v>1132</v>
      </c>
      <c r="D2074" s="114" t="s">
        <v>1209</v>
      </c>
      <c r="E2074" s="329" t="str">
        <f>IF($O$112="","",$O$112)</f>
        <v>Munic. Pinheirais</v>
      </c>
      <c r="F2074" s="563">
        <f>IF(B2074="","",VLOOKUP(E2074,$O$2:$T$120,6,0))</f>
        <v>79076</v>
      </c>
      <c r="G2074" s="564"/>
      <c r="H2074" s="564"/>
      <c r="I2074" s="564"/>
      <c r="J2074" s="564"/>
      <c r="K2074" s="565"/>
    </row>
    <row r="2075" spans="1:11" ht="43.5" x14ac:dyDescent="0.2">
      <c r="A2075" s="166" t="s">
        <v>779</v>
      </c>
      <c r="B2075" s="116" t="s">
        <v>0</v>
      </c>
      <c r="C2075" s="116" t="s">
        <v>20</v>
      </c>
      <c r="D2075" s="116" t="s">
        <v>21</v>
      </c>
      <c r="E2075" s="116" t="s">
        <v>1</v>
      </c>
      <c r="F2075" s="117" t="s">
        <v>3</v>
      </c>
      <c r="G2075" s="116" t="s">
        <v>216</v>
      </c>
      <c r="H2075" s="180" t="s">
        <v>242</v>
      </c>
      <c r="I2075" s="116" t="s">
        <v>245</v>
      </c>
      <c r="J2075" s="116" t="s">
        <v>217</v>
      </c>
      <c r="K2075" s="116" t="s">
        <v>218</v>
      </c>
    </row>
    <row r="2076" spans="1:11" ht="17.25" x14ac:dyDescent="0.2">
      <c r="B2076" s="409" t="s">
        <v>2348</v>
      </c>
      <c r="C2076" s="97" t="s">
        <v>2349</v>
      </c>
      <c r="D2076" s="97" t="s">
        <v>2350</v>
      </c>
      <c r="E2076" s="424" t="s">
        <v>55</v>
      </c>
      <c r="F2076" s="333">
        <v>14</v>
      </c>
      <c r="G2076" s="425">
        <v>12</v>
      </c>
      <c r="H2076" s="426">
        <v>3</v>
      </c>
      <c r="I2076" s="69">
        <f>IF(G2076="","",SUM(G2076:H2076))</f>
        <v>15</v>
      </c>
      <c r="J2076" s="64">
        <f>IF(G2076="","",ROUNDUP(G2076*0.65,0))</f>
        <v>8</v>
      </c>
      <c r="K2076" s="64">
        <f>IF(G2076="","",ROUNDUP(G2076*0.55,0))</f>
        <v>7</v>
      </c>
    </row>
    <row r="2077" spans="1:11" ht="17.25" x14ac:dyDescent="0.2">
      <c r="B2077" s="409" t="s">
        <v>2351</v>
      </c>
      <c r="C2077" s="97" t="s">
        <v>2349</v>
      </c>
      <c r="D2077" s="97" t="s">
        <v>2352</v>
      </c>
      <c r="E2077" s="424" t="s">
        <v>55</v>
      </c>
      <c r="F2077" s="333">
        <v>14</v>
      </c>
      <c r="G2077" s="425">
        <v>12</v>
      </c>
      <c r="H2077" s="426">
        <v>3</v>
      </c>
      <c r="I2077" s="69">
        <f t="shared" ref="I2077:I2082" si="332">IF(G2077="","",SUM(G2077:H2077))</f>
        <v>15</v>
      </c>
      <c r="J2077" s="64">
        <f t="shared" ref="J2077:J2091" si="333">IF(G2077="","",ROUNDUP(G2077*0.65,0))</f>
        <v>8</v>
      </c>
      <c r="K2077" s="64">
        <f t="shared" ref="K2077:K2091" si="334">IF(G2077="","",ROUNDUP(G2077*0.55,0))</f>
        <v>7</v>
      </c>
    </row>
    <row r="2078" spans="1:11" ht="17.25" x14ac:dyDescent="0.2">
      <c r="B2078" s="409" t="s">
        <v>2353</v>
      </c>
      <c r="C2078" s="97" t="s">
        <v>2349</v>
      </c>
      <c r="D2078" s="97" t="s">
        <v>2354</v>
      </c>
      <c r="E2078" s="424" t="s">
        <v>265</v>
      </c>
      <c r="F2078" s="108">
        <v>12.5</v>
      </c>
      <c r="G2078" s="425">
        <v>12</v>
      </c>
      <c r="H2078" s="426">
        <v>2</v>
      </c>
      <c r="I2078" s="69">
        <f t="shared" si="332"/>
        <v>14</v>
      </c>
      <c r="J2078" s="64">
        <f t="shared" si="333"/>
        <v>8</v>
      </c>
      <c r="K2078" s="64">
        <f t="shared" si="334"/>
        <v>7</v>
      </c>
    </row>
    <row r="2079" spans="1:11" ht="17.25" x14ac:dyDescent="0.2">
      <c r="B2079" s="409" t="s">
        <v>2355</v>
      </c>
      <c r="C2079" s="97" t="s">
        <v>2349</v>
      </c>
      <c r="D2079" s="97" t="s">
        <v>2356</v>
      </c>
      <c r="E2079" s="424" t="s">
        <v>265</v>
      </c>
      <c r="F2079" s="108">
        <v>12.5</v>
      </c>
      <c r="G2079" s="425">
        <v>14</v>
      </c>
      <c r="H2079" s="426">
        <v>3</v>
      </c>
      <c r="I2079" s="69">
        <f t="shared" si="332"/>
        <v>17</v>
      </c>
      <c r="J2079" s="64">
        <f t="shared" si="333"/>
        <v>10</v>
      </c>
      <c r="K2079" s="64">
        <f t="shared" si="334"/>
        <v>8</v>
      </c>
    </row>
    <row r="2080" spans="1:11" ht="17.25" x14ac:dyDescent="0.2">
      <c r="B2080" s="409" t="s">
        <v>2357</v>
      </c>
      <c r="C2080" s="97" t="s">
        <v>2349</v>
      </c>
      <c r="D2080" s="97" t="s">
        <v>2358</v>
      </c>
      <c r="E2080" s="424" t="s">
        <v>265</v>
      </c>
      <c r="F2080" s="108">
        <v>12.5</v>
      </c>
      <c r="G2080" s="425">
        <v>12</v>
      </c>
      <c r="H2080" s="426">
        <v>2</v>
      </c>
      <c r="I2080" s="69">
        <f t="shared" si="332"/>
        <v>14</v>
      </c>
      <c r="J2080" s="64">
        <f t="shared" si="333"/>
        <v>8</v>
      </c>
      <c r="K2080" s="64">
        <f t="shared" si="334"/>
        <v>7</v>
      </c>
    </row>
    <row r="2081" spans="1:11" ht="17.25" x14ac:dyDescent="0.2">
      <c r="B2081" s="409" t="s">
        <v>2359</v>
      </c>
      <c r="C2081" s="97" t="s">
        <v>2349</v>
      </c>
      <c r="D2081" s="97" t="s">
        <v>2360</v>
      </c>
      <c r="E2081" s="424" t="s">
        <v>179</v>
      </c>
      <c r="F2081" s="108">
        <v>9.5</v>
      </c>
      <c r="G2081" s="425">
        <v>14</v>
      </c>
      <c r="H2081" s="426">
        <v>2</v>
      </c>
      <c r="I2081" s="69">
        <f t="shared" si="332"/>
        <v>16</v>
      </c>
      <c r="J2081" s="64">
        <f t="shared" si="333"/>
        <v>10</v>
      </c>
      <c r="K2081" s="64">
        <f t="shared" si="334"/>
        <v>8</v>
      </c>
    </row>
    <row r="2082" spans="1:11" ht="17.25" x14ac:dyDescent="0.2">
      <c r="B2082" s="409" t="s">
        <v>2361</v>
      </c>
      <c r="C2082" s="97" t="s">
        <v>2349</v>
      </c>
      <c r="D2082" s="97" t="s">
        <v>2362</v>
      </c>
      <c r="E2082" s="424" t="s">
        <v>179</v>
      </c>
      <c r="F2082" s="108">
        <v>9.5</v>
      </c>
      <c r="G2082" s="425">
        <v>14</v>
      </c>
      <c r="H2082" s="426">
        <v>2</v>
      </c>
      <c r="I2082" s="69">
        <f t="shared" si="332"/>
        <v>16</v>
      </c>
      <c r="J2082" s="64">
        <f t="shared" si="333"/>
        <v>10</v>
      </c>
      <c r="K2082" s="64">
        <f t="shared" si="334"/>
        <v>8</v>
      </c>
    </row>
    <row r="2083" spans="1:11" ht="17.25" x14ac:dyDescent="0.2">
      <c r="B2083" s="409" t="s">
        <v>2363</v>
      </c>
      <c r="C2083" s="97" t="s">
        <v>2349</v>
      </c>
      <c r="D2083" s="97" t="s">
        <v>2364</v>
      </c>
      <c r="E2083" s="424" t="s">
        <v>179</v>
      </c>
      <c r="F2083" s="108">
        <v>9.5</v>
      </c>
      <c r="G2083" s="425">
        <v>12</v>
      </c>
      <c r="H2083" s="426">
        <v>1</v>
      </c>
      <c r="I2083" s="69"/>
      <c r="J2083" s="64">
        <f t="shared" si="333"/>
        <v>8</v>
      </c>
      <c r="K2083" s="64">
        <f t="shared" si="334"/>
        <v>7</v>
      </c>
    </row>
    <row r="2084" spans="1:11" ht="17.25" x14ac:dyDescent="0.2">
      <c r="B2084" s="338"/>
      <c r="C2084" s="109"/>
      <c r="D2084" s="109"/>
      <c r="E2084" s="107"/>
      <c r="F2084" s="108"/>
      <c r="G2084" s="64"/>
      <c r="H2084" s="65"/>
      <c r="I2084" s="69"/>
      <c r="J2084" s="64" t="str">
        <f t="shared" si="333"/>
        <v/>
      </c>
      <c r="K2084" s="64" t="str">
        <f t="shared" si="334"/>
        <v/>
      </c>
    </row>
    <row r="2085" spans="1:11" ht="17.25" x14ac:dyDescent="0.2">
      <c r="B2085" s="338"/>
      <c r="C2085" s="109"/>
      <c r="D2085" s="109"/>
      <c r="E2085" s="107"/>
      <c r="F2085" s="108"/>
      <c r="G2085" s="64"/>
      <c r="H2085" s="65"/>
      <c r="I2085" s="69"/>
      <c r="J2085" s="64" t="str">
        <f t="shared" si="333"/>
        <v/>
      </c>
      <c r="K2085" s="64" t="str">
        <f t="shared" si="334"/>
        <v/>
      </c>
    </row>
    <row r="2086" spans="1:11" ht="17.25" x14ac:dyDescent="0.2">
      <c r="B2086" s="338"/>
      <c r="C2086" s="109"/>
      <c r="D2086" s="109"/>
      <c r="E2086" s="107"/>
      <c r="F2086" s="108"/>
      <c r="G2086" s="64"/>
      <c r="H2086" s="65"/>
      <c r="I2086" s="69"/>
      <c r="J2086" s="64" t="str">
        <f t="shared" si="333"/>
        <v/>
      </c>
      <c r="K2086" s="64" t="str">
        <f t="shared" si="334"/>
        <v/>
      </c>
    </row>
    <row r="2087" spans="1:11" ht="17.25" x14ac:dyDescent="0.2">
      <c r="B2087" s="338"/>
      <c r="C2087" s="109"/>
      <c r="D2087" s="109"/>
      <c r="E2087" s="107"/>
      <c r="F2087" s="108"/>
      <c r="G2087" s="64"/>
      <c r="H2087" s="65"/>
      <c r="I2087" s="69"/>
      <c r="J2087" s="64" t="str">
        <f t="shared" si="333"/>
        <v/>
      </c>
      <c r="K2087" s="64" t="str">
        <f t="shared" si="334"/>
        <v/>
      </c>
    </row>
    <row r="2088" spans="1:11" ht="17.25" x14ac:dyDescent="0.2">
      <c r="B2088" s="338"/>
      <c r="C2088" s="109"/>
      <c r="D2088" s="109"/>
      <c r="E2088" s="107"/>
      <c r="F2088" s="108"/>
      <c r="G2088" s="64"/>
      <c r="H2088" s="65"/>
      <c r="I2088" s="69"/>
      <c r="J2088" s="64" t="str">
        <f t="shared" si="333"/>
        <v/>
      </c>
      <c r="K2088" s="64" t="str">
        <f t="shared" si="334"/>
        <v/>
      </c>
    </row>
    <row r="2089" spans="1:11" ht="17.25" x14ac:dyDescent="0.2">
      <c r="B2089" s="338"/>
      <c r="C2089" s="109"/>
      <c r="D2089" s="109"/>
      <c r="E2089" s="107"/>
      <c r="F2089" s="108"/>
      <c r="G2089" s="64"/>
      <c r="H2089" s="65"/>
      <c r="I2089" s="69"/>
      <c r="J2089" s="64" t="str">
        <f t="shared" si="333"/>
        <v/>
      </c>
      <c r="K2089" s="64" t="str">
        <f t="shared" si="334"/>
        <v/>
      </c>
    </row>
    <row r="2090" spans="1:11" ht="17.25" x14ac:dyDescent="0.2">
      <c r="B2090" s="338"/>
      <c r="C2090" s="109"/>
      <c r="D2090" s="109"/>
      <c r="E2090" s="107"/>
      <c r="F2090" s="108"/>
      <c r="G2090" s="64"/>
      <c r="H2090" s="65"/>
      <c r="I2090" s="69"/>
      <c r="J2090" s="64" t="str">
        <f t="shared" si="333"/>
        <v/>
      </c>
      <c r="K2090" s="64" t="str">
        <f t="shared" si="334"/>
        <v/>
      </c>
    </row>
    <row r="2091" spans="1:11" ht="17.25" x14ac:dyDescent="0.2">
      <c r="B2091" s="338"/>
      <c r="C2091" s="109"/>
      <c r="D2091" s="109"/>
      <c r="E2091" s="107"/>
      <c r="F2091" s="108"/>
      <c r="G2091" s="64"/>
      <c r="H2091" s="65"/>
      <c r="I2091" s="69"/>
      <c r="J2091" s="64" t="str">
        <f t="shared" si="333"/>
        <v/>
      </c>
      <c r="K2091" s="64" t="str">
        <f t="shared" si="334"/>
        <v/>
      </c>
    </row>
    <row r="2092" spans="1:11" ht="18" customHeight="1" x14ac:dyDescent="0.2">
      <c r="B2092" s="561" t="s">
        <v>22</v>
      </c>
      <c r="C2092" s="561" t="s">
        <v>177</v>
      </c>
      <c r="D2092" s="561" t="s">
        <v>243</v>
      </c>
      <c r="E2092" s="561" t="s">
        <v>23</v>
      </c>
      <c r="F2092" s="562" t="s">
        <v>234</v>
      </c>
      <c r="G2092" s="562"/>
      <c r="H2092" s="562"/>
      <c r="I2092" s="562"/>
      <c r="J2092" s="562"/>
      <c r="K2092" s="562"/>
    </row>
    <row r="2093" spans="1:11" ht="21" x14ac:dyDescent="0.2">
      <c r="A2093" s="114" t="s">
        <v>1123</v>
      </c>
      <c r="B2093" s="436" t="s">
        <v>2694</v>
      </c>
      <c r="C2093" s="115" t="s">
        <v>1132</v>
      </c>
      <c r="D2093" s="114" t="s">
        <v>1209</v>
      </c>
      <c r="E2093" s="329" t="str">
        <f>IF($O$113="","",$O$113)</f>
        <v>Munic. Esmeralda - Reg. Leste</v>
      </c>
      <c r="F2093" s="563">
        <f>IF(B2093="","",VLOOKUP(E2093,$O$2:$T$120,6,0))</f>
        <v>86829</v>
      </c>
      <c r="G2093" s="564"/>
      <c r="H2093" s="564"/>
      <c r="I2093" s="564"/>
      <c r="J2093" s="564"/>
      <c r="K2093" s="565"/>
    </row>
    <row r="2094" spans="1:11" ht="43.5" x14ac:dyDescent="0.2">
      <c r="A2094" s="166" t="s">
        <v>779</v>
      </c>
      <c r="B2094" s="116" t="s">
        <v>0</v>
      </c>
      <c r="C2094" s="116" t="s">
        <v>20</v>
      </c>
      <c r="D2094" s="116" t="s">
        <v>21</v>
      </c>
      <c r="E2094" s="116" t="s">
        <v>1</v>
      </c>
      <c r="F2094" s="117" t="s">
        <v>3</v>
      </c>
      <c r="G2094" s="116" t="s">
        <v>216</v>
      </c>
      <c r="H2094" s="180" t="s">
        <v>242</v>
      </c>
      <c r="I2094" s="116" t="s">
        <v>245</v>
      </c>
      <c r="J2094" s="116" t="s">
        <v>217</v>
      </c>
      <c r="K2094" s="116" t="s">
        <v>218</v>
      </c>
    </row>
    <row r="2095" spans="1:11" ht="17.25" x14ac:dyDescent="0.2">
      <c r="B2095" s="427" t="s">
        <v>2365</v>
      </c>
      <c r="C2095" s="97" t="s">
        <v>2366</v>
      </c>
      <c r="D2095" s="97" t="s">
        <v>2367</v>
      </c>
      <c r="E2095" s="424" t="s">
        <v>55</v>
      </c>
      <c r="F2095" s="333">
        <v>14</v>
      </c>
      <c r="G2095" s="425">
        <v>14</v>
      </c>
      <c r="H2095" s="426">
        <v>1</v>
      </c>
      <c r="I2095" s="69">
        <f>IF(G2095="","",SUM(G2095:H2095))</f>
        <v>15</v>
      </c>
      <c r="J2095" s="64">
        <f>IF(G2095="","",ROUNDUP(G2095*0.65,0))</f>
        <v>10</v>
      </c>
      <c r="K2095" s="64">
        <f>IF(G2095="","",ROUNDUP(G2095*0.55,0))</f>
        <v>8</v>
      </c>
    </row>
    <row r="2096" spans="1:11" ht="17.25" x14ac:dyDescent="0.2">
      <c r="B2096" s="427" t="s">
        <v>2368</v>
      </c>
      <c r="C2096" s="97" t="s">
        <v>2366</v>
      </c>
      <c r="D2096" s="97" t="s">
        <v>2369</v>
      </c>
      <c r="E2096" s="424" t="s">
        <v>55</v>
      </c>
      <c r="F2096" s="333">
        <v>14</v>
      </c>
      <c r="G2096" s="425">
        <v>14</v>
      </c>
      <c r="H2096" s="426">
        <v>1</v>
      </c>
      <c r="I2096" s="69">
        <f t="shared" ref="I2096:I2105" si="335">IF(G2096="","",SUM(G2096:H2096))</f>
        <v>15</v>
      </c>
      <c r="J2096" s="64">
        <f t="shared" ref="J2096:J2110" si="336">IF(G2096="","",ROUNDUP(G2096*0.65,0))</f>
        <v>10</v>
      </c>
      <c r="K2096" s="64">
        <f t="shared" ref="K2096:K2110" si="337">IF(G2096="","",ROUNDUP(G2096*0.55,0))</f>
        <v>8</v>
      </c>
    </row>
    <row r="2097" spans="1:11" ht="17.25" x14ac:dyDescent="0.2">
      <c r="B2097" s="427" t="s">
        <v>2370</v>
      </c>
      <c r="C2097" s="97" t="s">
        <v>2366</v>
      </c>
      <c r="D2097" s="97" t="s">
        <v>2371</v>
      </c>
      <c r="E2097" s="424" t="s">
        <v>55</v>
      </c>
      <c r="F2097" s="333">
        <v>14</v>
      </c>
      <c r="G2097" s="425">
        <v>14</v>
      </c>
      <c r="H2097" s="426">
        <v>1</v>
      </c>
      <c r="I2097" s="69">
        <f t="shared" si="335"/>
        <v>15</v>
      </c>
      <c r="J2097" s="64">
        <f t="shared" si="336"/>
        <v>10</v>
      </c>
      <c r="K2097" s="64">
        <f t="shared" si="337"/>
        <v>8</v>
      </c>
    </row>
    <row r="2098" spans="1:11" ht="17.25" x14ac:dyDescent="0.2">
      <c r="B2098" s="427" t="s">
        <v>2372</v>
      </c>
      <c r="C2098" s="97" t="s">
        <v>2366</v>
      </c>
      <c r="D2098" s="97" t="s">
        <v>2373</v>
      </c>
      <c r="E2098" s="424" t="s">
        <v>265</v>
      </c>
      <c r="F2098" s="108">
        <v>12.5</v>
      </c>
      <c r="G2098" s="425">
        <v>14</v>
      </c>
      <c r="H2098" s="426">
        <v>3</v>
      </c>
      <c r="I2098" s="69">
        <f t="shared" si="335"/>
        <v>17</v>
      </c>
      <c r="J2098" s="64">
        <f t="shared" si="336"/>
        <v>10</v>
      </c>
      <c r="K2098" s="64">
        <f t="shared" si="337"/>
        <v>8</v>
      </c>
    </row>
    <row r="2099" spans="1:11" ht="17.25" x14ac:dyDescent="0.2">
      <c r="B2099" s="427" t="s">
        <v>2374</v>
      </c>
      <c r="C2099" s="97" t="s">
        <v>2366</v>
      </c>
      <c r="D2099" s="97" t="s">
        <v>2375</v>
      </c>
      <c r="E2099" s="424" t="s">
        <v>265</v>
      </c>
      <c r="F2099" s="108">
        <v>12.5</v>
      </c>
      <c r="G2099" s="425">
        <v>12</v>
      </c>
      <c r="H2099" s="426">
        <v>2</v>
      </c>
      <c r="I2099" s="69">
        <f t="shared" si="335"/>
        <v>14</v>
      </c>
      <c r="J2099" s="64">
        <f t="shared" si="336"/>
        <v>8</v>
      </c>
      <c r="K2099" s="64">
        <f t="shared" si="337"/>
        <v>7</v>
      </c>
    </row>
    <row r="2100" spans="1:11" ht="17.25" x14ac:dyDescent="0.2">
      <c r="B2100" s="427" t="s">
        <v>2376</v>
      </c>
      <c r="C2100" s="97" t="s">
        <v>2366</v>
      </c>
      <c r="D2100" s="97" t="s">
        <v>2377</v>
      </c>
      <c r="E2100" s="424" t="s">
        <v>265</v>
      </c>
      <c r="F2100" s="108">
        <v>12.5</v>
      </c>
      <c r="G2100" s="425">
        <v>12</v>
      </c>
      <c r="H2100" s="426">
        <v>2</v>
      </c>
      <c r="I2100" s="69">
        <f t="shared" si="335"/>
        <v>14</v>
      </c>
      <c r="J2100" s="64">
        <f t="shared" si="336"/>
        <v>8</v>
      </c>
      <c r="K2100" s="64">
        <f t="shared" si="337"/>
        <v>7</v>
      </c>
    </row>
    <row r="2101" spans="1:11" ht="17.25" x14ac:dyDescent="0.2">
      <c r="B2101" s="427" t="s">
        <v>2378</v>
      </c>
      <c r="C2101" s="97" t="s">
        <v>2379</v>
      </c>
      <c r="D2101" s="97" t="s">
        <v>2380</v>
      </c>
      <c r="E2101" s="424" t="s">
        <v>179</v>
      </c>
      <c r="F2101" s="108">
        <v>9.5</v>
      </c>
      <c r="G2101" s="425">
        <v>12</v>
      </c>
      <c r="H2101" s="426">
        <v>1</v>
      </c>
      <c r="I2101" s="69">
        <f t="shared" si="335"/>
        <v>13</v>
      </c>
      <c r="J2101" s="64">
        <f t="shared" si="336"/>
        <v>8</v>
      </c>
      <c r="K2101" s="64">
        <f t="shared" si="337"/>
        <v>7</v>
      </c>
    </row>
    <row r="2102" spans="1:11" ht="17.25" x14ac:dyDescent="0.2">
      <c r="B2102" s="427" t="s">
        <v>2381</v>
      </c>
      <c r="C2102" s="97" t="s">
        <v>2110</v>
      </c>
      <c r="D2102" s="97" t="s">
        <v>2382</v>
      </c>
      <c r="E2102" s="424" t="s">
        <v>179</v>
      </c>
      <c r="F2102" s="108">
        <v>9.5</v>
      </c>
      <c r="G2102" s="425">
        <v>10</v>
      </c>
      <c r="H2102" s="426">
        <v>1</v>
      </c>
      <c r="I2102" s="69">
        <f t="shared" si="335"/>
        <v>11</v>
      </c>
      <c r="J2102" s="64">
        <f t="shared" si="336"/>
        <v>7</v>
      </c>
      <c r="K2102" s="64">
        <f t="shared" si="337"/>
        <v>6</v>
      </c>
    </row>
    <row r="2103" spans="1:11" ht="17.25" x14ac:dyDescent="0.2">
      <c r="B2103" s="427" t="s">
        <v>2383</v>
      </c>
      <c r="C2103" s="97" t="s">
        <v>2384</v>
      </c>
      <c r="D2103" s="97" t="s">
        <v>2385</v>
      </c>
      <c r="E2103" s="424" t="s">
        <v>179</v>
      </c>
      <c r="F2103" s="108">
        <v>9.5</v>
      </c>
      <c r="G2103" s="425">
        <v>10</v>
      </c>
      <c r="H2103" s="426">
        <v>1</v>
      </c>
      <c r="I2103" s="69">
        <f t="shared" si="335"/>
        <v>11</v>
      </c>
      <c r="J2103" s="64">
        <f t="shared" si="336"/>
        <v>7</v>
      </c>
      <c r="K2103" s="64">
        <f t="shared" si="337"/>
        <v>6</v>
      </c>
    </row>
    <row r="2104" spans="1:11" ht="17.25" x14ac:dyDescent="0.2">
      <c r="B2104" s="339"/>
      <c r="C2104" s="101"/>
      <c r="D2104" s="101"/>
      <c r="E2104" s="107"/>
      <c r="F2104" s="108"/>
      <c r="G2104" s="64"/>
      <c r="H2104" s="65"/>
      <c r="I2104" s="69" t="str">
        <f t="shared" si="335"/>
        <v/>
      </c>
      <c r="J2104" s="64" t="str">
        <f t="shared" si="336"/>
        <v/>
      </c>
      <c r="K2104" s="64" t="str">
        <f t="shared" si="337"/>
        <v/>
      </c>
    </row>
    <row r="2105" spans="1:11" ht="17.25" x14ac:dyDescent="0.2">
      <c r="B2105" s="339"/>
      <c r="C2105" s="101"/>
      <c r="D2105" s="101"/>
      <c r="E2105" s="107"/>
      <c r="F2105" s="108"/>
      <c r="G2105" s="64"/>
      <c r="H2105" s="65"/>
      <c r="I2105" s="69" t="str">
        <f t="shared" si="335"/>
        <v/>
      </c>
      <c r="J2105" s="64" t="str">
        <f t="shared" si="336"/>
        <v/>
      </c>
      <c r="K2105" s="64" t="str">
        <f t="shared" si="337"/>
        <v/>
      </c>
    </row>
    <row r="2106" spans="1:11" ht="17.25" x14ac:dyDescent="0.2">
      <c r="B2106" s="339"/>
      <c r="C2106" s="101"/>
      <c r="D2106" s="101"/>
      <c r="E2106" s="107"/>
      <c r="F2106" s="108"/>
      <c r="G2106" s="64"/>
      <c r="H2106" s="65"/>
      <c r="I2106" s="69"/>
      <c r="J2106" s="64" t="str">
        <f t="shared" si="336"/>
        <v/>
      </c>
      <c r="K2106" s="64" t="str">
        <f t="shared" si="337"/>
        <v/>
      </c>
    </row>
    <row r="2107" spans="1:11" ht="17.25" x14ac:dyDescent="0.2">
      <c r="B2107" s="339"/>
      <c r="C2107" s="101"/>
      <c r="D2107" s="101"/>
      <c r="E2107" s="107"/>
      <c r="F2107" s="108"/>
      <c r="G2107" s="64"/>
      <c r="H2107" s="65"/>
      <c r="I2107" s="69"/>
      <c r="J2107" s="64" t="str">
        <f t="shared" si="336"/>
        <v/>
      </c>
      <c r="K2107" s="64" t="str">
        <f t="shared" si="337"/>
        <v/>
      </c>
    </row>
    <row r="2108" spans="1:11" ht="17.25" x14ac:dyDescent="0.2">
      <c r="B2108" s="339"/>
      <c r="C2108" s="101"/>
      <c r="D2108" s="101"/>
      <c r="E2108" s="107"/>
      <c r="F2108" s="108"/>
      <c r="G2108" s="64"/>
      <c r="H2108" s="65"/>
      <c r="I2108" s="69"/>
      <c r="J2108" s="64" t="str">
        <f t="shared" si="336"/>
        <v/>
      </c>
      <c r="K2108" s="64" t="str">
        <f t="shared" si="337"/>
        <v/>
      </c>
    </row>
    <row r="2109" spans="1:11" ht="17.25" x14ac:dyDescent="0.2">
      <c r="B2109" s="339"/>
      <c r="C2109" s="101"/>
      <c r="D2109" s="101"/>
      <c r="E2109" s="107"/>
      <c r="F2109" s="108"/>
      <c r="G2109" s="64"/>
      <c r="H2109" s="65"/>
      <c r="I2109" s="69"/>
      <c r="J2109" s="64" t="str">
        <f t="shared" si="336"/>
        <v/>
      </c>
      <c r="K2109" s="64" t="str">
        <f t="shared" si="337"/>
        <v/>
      </c>
    </row>
    <row r="2110" spans="1:11" ht="17.25" x14ac:dyDescent="0.2">
      <c r="B2110" s="339"/>
      <c r="C2110" s="101"/>
      <c r="D2110" s="101"/>
      <c r="E2110" s="107"/>
      <c r="F2110" s="108"/>
      <c r="G2110" s="64"/>
      <c r="H2110" s="65"/>
      <c r="I2110" s="69"/>
      <c r="J2110" s="64" t="str">
        <f t="shared" si="336"/>
        <v/>
      </c>
      <c r="K2110" s="64" t="str">
        <f t="shared" si="337"/>
        <v/>
      </c>
    </row>
    <row r="2111" spans="1:11" ht="18" customHeight="1" x14ac:dyDescent="0.2">
      <c r="B2111" s="561" t="s">
        <v>22</v>
      </c>
      <c r="C2111" s="561" t="s">
        <v>177</v>
      </c>
      <c r="D2111" s="561" t="s">
        <v>243</v>
      </c>
      <c r="E2111" s="561" t="s">
        <v>23</v>
      </c>
      <c r="F2111" s="562" t="s">
        <v>234</v>
      </c>
      <c r="G2111" s="562"/>
      <c r="H2111" s="562"/>
      <c r="I2111" s="562"/>
      <c r="J2111" s="562"/>
      <c r="K2111" s="562"/>
    </row>
    <row r="2112" spans="1:11" ht="21" x14ac:dyDescent="0.2">
      <c r="A2112" s="114" t="s">
        <v>1124</v>
      </c>
      <c r="B2112" s="438" t="s">
        <v>2679</v>
      </c>
      <c r="C2112" s="115" t="s">
        <v>861</v>
      </c>
      <c r="D2112" s="114" t="s">
        <v>862</v>
      </c>
      <c r="E2112" s="329" t="str">
        <f>IF($O$114="","",$O$114)</f>
        <v>Munic. Esmeralda - Reg. Oeste</v>
      </c>
      <c r="F2112" s="563">
        <f>IF(B2112="","",VLOOKUP(E2112,$O$2:$T$120,6,0))</f>
        <v>69773</v>
      </c>
      <c r="G2112" s="564"/>
      <c r="H2112" s="564"/>
      <c r="I2112" s="564"/>
      <c r="J2112" s="564"/>
      <c r="K2112" s="565"/>
    </row>
    <row r="2113" spans="1:11" ht="43.5" x14ac:dyDescent="0.2">
      <c r="A2113" s="166" t="s">
        <v>779</v>
      </c>
      <c r="B2113" s="116" t="s">
        <v>0</v>
      </c>
      <c r="C2113" s="116" t="s">
        <v>20</v>
      </c>
      <c r="D2113" s="116" t="s">
        <v>21</v>
      </c>
      <c r="E2113" s="116" t="s">
        <v>1</v>
      </c>
      <c r="F2113" s="117" t="s">
        <v>3</v>
      </c>
      <c r="G2113" s="116" t="s">
        <v>216</v>
      </c>
      <c r="H2113" s="180" t="s">
        <v>242</v>
      </c>
      <c r="I2113" s="116" t="s">
        <v>245</v>
      </c>
      <c r="J2113" s="116" t="s">
        <v>217</v>
      </c>
      <c r="K2113" s="116" t="s">
        <v>218</v>
      </c>
    </row>
    <row r="2114" spans="1:11" ht="17.25" x14ac:dyDescent="0.2">
      <c r="B2114" s="427" t="s">
        <v>2386</v>
      </c>
      <c r="C2114" s="97" t="s">
        <v>2387</v>
      </c>
      <c r="D2114" s="97" t="s">
        <v>2366</v>
      </c>
      <c r="E2114" s="424" t="s">
        <v>55</v>
      </c>
      <c r="F2114" s="333">
        <v>14</v>
      </c>
      <c r="G2114" s="425">
        <v>12</v>
      </c>
      <c r="H2114" s="426">
        <v>2</v>
      </c>
      <c r="I2114" s="69">
        <f>IF(G2114="","",SUM(G2114:H2114))</f>
        <v>14</v>
      </c>
      <c r="J2114" s="64">
        <f>IF(G2114="","",ROUNDUP(G2114*0.65,0))</f>
        <v>8</v>
      </c>
      <c r="K2114" s="64">
        <f>IF(G2114="","",ROUNDUP(G2114*0.55,0))</f>
        <v>7</v>
      </c>
    </row>
    <row r="2115" spans="1:11" ht="17.25" x14ac:dyDescent="0.2">
      <c r="B2115" s="427" t="s">
        <v>2388</v>
      </c>
      <c r="C2115" s="97" t="s">
        <v>2389</v>
      </c>
      <c r="D2115" s="97" t="s">
        <v>2390</v>
      </c>
      <c r="E2115" s="424" t="s">
        <v>55</v>
      </c>
      <c r="F2115" s="333">
        <v>14</v>
      </c>
      <c r="G2115" s="425">
        <v>10</v>
      </c>
      <c r="H2115" s="426">
        <v>1</v>
      </c>
      <c r="I2115" s="69">
        <f t="shared" ref="I2115:I2120" si="338">IF(G2115="","",SUM(G2115:H2115))</f>
        <v>11</v>
      </c>
      <c r="J2115" s="64">
        <f t="shared" ref="J2115:J2129" si="339">IF(G2115="","",ROUNDUP(G2115*0.65,0))</f>
        <v>7</v>
      </c>
      <c r="K2115" s="64">
        <f t="shared" ref="K2115:K2129" si="340">IF(G2115="","",ROUNDUP(G2115*0.55,0))</f>
        <v>6</v>
      </c>
    </row>
    <row r="2116" spans="1:11" ht="17.25" x14ac:dyDescent="0.2">
      <c r="B2116" s="427" t="s">
        <v>2391</v>
      </c>
      <c r="C2116" s="97" t="s">
        <v>2389</v>
      </c>
      <c r="D2116" s="97" t="s">
        <v>2380</v>
      </c>
      <c r="E2116" s="424" t="s">
        <v>265</v>
      </c>
      <c r="F2116" s="108">
        <v>12.5</v>
      </c>
      <c r="G2116" s="425">
        <v>12</v>
      </c>
      <c r="H2116" s="426">
        <v>1</v>
      </c>
      <c r="I2116" s="69">
        <f t="shared" si="338"/>
        <v>13</v>
      </c>
      <c r="J2116" s="64">
        <f t="shared" si="339"/>
        <v>8</v>
      </c>
      <c r="K2116" s="64">
        <f t="shared" si="340"/>
        <v>7</v>
      </c>
    </row>
    <row r="2117" spans="1:11" ht="17.25" x14ac:dyDescent="0.2">
      <c r="B2117" s="427" t="s">
        <v>2392</v>
      </c>
      <c r="C2117" s="97" t="s">
        <v>2389</v>
      </c>
      <c r="D2117" s="97" t="s">
        <v>2393</v>
      </c>
      <c r="E2117" s="424" t="s">
        <v>265</v>
      </c>
      <c r="F2117" s="108">
        <v>12.5</v>
      </c>
      <c r="G2117" s="425">
        <v>10</v>
      </c>
      <c r="H2117" s="426">
        <v>1</v>
      </c>
      <c r="I2117" s="69">
        <f t="shared" si="338"/>
        <v>11</v>
      </c>
      <c r="J2117" s="64">
        <f t="shared" si="339"/>
        <v>7</v>
      </c>
      <c r="K2117" s="64">
        <f t="shared" si="340"/>
        <v>6</v>
      </c>
    </row>
    <row r="2118" spans="1:11" ht="17.25" x14ac:dyDescent="0.2">
      <c r="B2118" s="427" t="s">
        <v>2394</v>
      </c>
      <c r="C2118" s="97" t="s">
        <v>2389</v>
      </c>
      <c r="D2118" s="97" t="s">
        <v>2395</v>
      </c>
      <c r="E2118" s="424" t="s">
        <v>265</v>
      </c>
      <c r="F2118" s="108">
        <v>12.5</v>
      </c>
      <c r="G2118" s="425">
        <v>10</v>
      </c>
      <c r="H2118" s="426">
        <v>1</v>
      </c>
      <c r="I2118" s="69">
        <f t="shared" si="338"/>
        <v>11</v>
      </c>
      <c r="J2118" s="64">
        <f t="shared" si="339"/>
        <v>7</v>
      </c>
      <c r="K2118" s="64">
        <f t="shared" si="340"/>
        <v>6</v>
      </c>
    </row>
    <row r="2119" spans="1:11" ht="17.25" x14ac:dyDescent="0.2">
      <c r="B2119" s="427" t="s">
        <v>2396</v>
      </c>
      <c r="C2119" s="97" t="s">
        <v>2397</v>
      </c>
      <c r="D2119" s="97" t="s">
        <v>2073</v>
      </c>
      <c r="E2119" s="424" t="s">
        <v>179</v>
      </c>
      <c r="F2119" s="108">
        <v>9.5</v>
      </c>
      <c r="G2119" s="425">
        <v>12</v>
      </c>
      <c r="H2119" s="426">
        <v>1</v>
      </c>
      <c r="I2119" s="69">
        <f t="shared" si="338"/>
        <v>13</v>
      </c>
      <c r="J2119" s="64">
        <f t="shared" si="339"/>
        <v>8</v>
      </c>
      <c r="K2119" s="64">
        <f t="shared" si="340"/>
        <v>7</v>
      </c>
    </row>
    <row r="2120" spans="1:11" ht="17.25" x14ac:dyDescent="0.2">
      <c r="B2120" s="427" t="s">
        <v>2398</v>
      </c>
      <c r="C2120" s="97" t="s">
        <v>2399</v>
      </c>
      <c r="D2120" s="97" t="s">
        <v>2331</v>
      </c>
      <c r="E2120" s="424" t="s">
        <v>179</v>
      </c>
      <c r="F2120" s="108">
        <v>9.5</v>
      </c>
      <c r="G2120" s="425">
        <v>12</v>
      </c>
      <c r="H2120" s="426">
        <v>1</v>
      </c>
      <c r="I2120" s="69">
        <f t="shared" si="338"/>
        <v>13</v>
      </c>
      <c r="J2120" s="64">
        <f t="shared" si="339"/>
        <v>8</v>
      </c>
      <c r="K2120" s="64">
        <f t="shared" si="340"/>
        <v>7</v>
      </c>
    </row>
    <row r="2121" spans="1:11" ht="17.25" x14ac:dyDescent="0.2">
      <c r="B2121" s="427" t="s">
        <v>2400</v>
      </c>
      <c r="C2121" s="97" t="s">
        <v>2401</v>
      </c>
      <c r="D2121" s="97" t="s">
        <v>2402</v>
      </c>
      <c r="E2121" s="424" t="s">
        <v>179</v>
      </c>
      <c r="F2121" s="108">
        <v>9.5</v>
      </c>
      <c r="G2121" s="425">
        <v>12</v>
      </c>
      <c r="H2121" s="426">
        <v>2</v>
      </c>
      <c r="I2121" s="69"/>
      <c r="J2121" s="64">
        <f t="shared" si="339"/>
        <v>8</v>
      </c>
      <c r="K2121" s="64">
        <f t="shared" si="340"/>
        <v>7</v>
      </c>
    </row>
    <row r="2122" spans="1:11" ht="17.25" x14ac:dyDescent="0.2">
      <c r="B2122" s="340"/>
      <c r="C2122" s="100"/>
      <c r="D2122" s="100"/>
      <c r="E2122" s="107"/>
      <c r="F2122" s="108"/>
      <c r="G2122" s="57"/>
      <c r="H2122" s="65"/>
      <c r="I2122" s="69"/>
      <c r="J2122" s="64" t="str">
        <f t="shared" si="339"/>
        <v/>
      </c>
      <c r="K2122" s="64" t="str">
        <f t="shared" si="340"/>
        <v/>
      </c>
    </row>
    <row r="2123" spans="1:11" ht="17.25" x14ac:dyDescent="0.2">
      <c r="B2123" s="340"/>
      <c r="C2123" s="100"/>
      <c r="D2123" s="100"/>
      <c r="E2123" s="107"/>
      <c r="F2123" s="108"/>
      <c r="G2123" s="57"/>
      <c r="H2123" s="65"/>
      <c r="I2123" s="69"/>
      <c r="J2123" s="64" t="str">
        <f t="shared" si="339"/>
        <v/>
      </c>
      <c r="K2123" s="64" t="str">
        <f t="shared" si="340"/>
        <v/>
      </c>
    </row>
    <row r="2124" spans="1:11" ht="17.25" x14ac:dyDescent="0.2">
      <c r="B2124" s="340"/>
      <c r="C2124" s="100"/>
      <c r="D2124" s="100"/>
      <c r="E2124" s="107"/>
      <c r="F2124" s="108"/>
      <c r="G2124" s="57"/>
      <c r="H2124" s="65"/>
      <c r="I2124" s="69"/>
      <c r="J2124" s="64" t="str">
        <f t="shared" si="339"/>
        <v/>
      </c>
      <c r="K2124" s="64" t="str">
        <f t="shared" si="340"/>
        <v/>
      </c>
    </row>
    <row r="2125" spans="1:11" ht="17.25" x14ac:dyDescent="0.2">
      <c r="B2125" s="340"/>
      <c r="C2125" s="100"/>
      <c r="D2125" s="100"/>
      <c r="E2125" s="107"/>
      <c r="F2125" s="108"/>
      <c r="G2125" s="57"/>
      <c r="H2125" s="65"/>
      <c r="I2125" s="69"/>
      <c r="J2125" s="64" t="str">
        <f t="shared" si="339"/>
        <v/>
      </c>
      <c r="K2125" s="64" t="str">
        <f t="shared" si="340"/>
        <v/>
      </c>
    </row>
    <row r="2126" spans="1:11" ht="17.25" x14ac:dyDescent="0.2">
      <c r="B2126" s="340"/>
      <c r="C2126" s="100"/>
      <c r="D2126" s="100"/>
      <c r="E2126" s="107"/>
      <c r="F2126" s="108"/>
      <c r="G2126" s="57"/>
      <c r="H2126" s="65"/>
      <c r="I2126" s="69"/>
      <c r="J2126" s="64" t="str">
        <f t="shared" si="339"/>
        <v/>
      </c>
      <c r="K2126" s="64" t="str">
        <f t="shared" si="340"/>
        <v/>
      </c>
    </row>
    <row r="2127" spans="1:11" ht="17.25" x14ac:dyDescent="0.2">
      <c r="B2127" s="340"/>
      <c r="C2127" s="100"/>
      <c r="D2127" s="100"/>
      <c r="E2127" s="107"/>
      <c r="F2127" s="108"/>
      <c r="G2127" s="57"/>
      <c r="H2127" s="65"/>
      <c r="I2127" s="69"/>
      <c r="J2127" s="64" t="str">
        <f t="shared" si="339"/>
        <v/>
      </c>
      <c r="K2127" s="64" t="str">
        <f t="shared" si="340"/>
        <v/>
      </c>
    </row>
    <row r="2128" spans="1:11" ht="17.25" x14ac:dyDescent="0.2">
      <c r="B2128" s="340"/>
      <c r="C2128" s="100"/>
      <c r="D2128" s="100"/>
      <c r="E2128" s="107"/>
      <c r="F2128" s="108"/>
      <c r="G2128" s="57"/>
      <c r="H2128" s="65"/>
      <c r="I2128" s="69"/>
      <c r="J2128" s="64" t="str">
        <f t="shared" si="339"/>
        <v/>
      </c>
      <c r="K2128" s="64" t="str">
        <f t="shared" si="340"/>
        <v/>
      </c>
    </row>
    <row r="2129" spans="1:11" ht="17.25" x14ac:dyDescent="0.2">
      <c r="B2129" s="340"/>
      <c r="C2129" s="100"/>
      <c r="D2129" s="100"/>
      <c r="E2129" s="107"/>
      <c r="F2129" s="108"/>
      <c r="G2129" s="57"/>
      <c r="H2129" s="65"/>
      <c r="I2129" s="69"/>
      <c r="J2129" s="64" t="str">
        <f t="shared" si="339"/>
        <v/>
      </c>
      <c r="K2129" s="64" t="str">
        <f t="shared" si="340"/>
        <v/>
      </c>
    </row>
    <row r="2130" spans="1:11" ht="18" customHeight="1" x14ac:dyDescent="0.2">
      <c r="B2130" s="561" t="s">
        <v>22</v>
      </c>
      <c r="C2130" s="561" t="s">
        <v>177</v>
      </c>
      <c r="D2130" s="561" t="s">
        <v>243</v>
      </c>
      <c r="E2130" s="561" t="s">
        <v>23</v>
      </c>
      <c r="F2130" s="562" t="s">
        <v>234</v>
      </c>
      <c r="G2130" s="562"/>
      <c r="H2130" s="562"/>
      <c r="I2130" s="562"/>
      <c r="J2130" s="562"/>
      <c r="K2130" s="562"/>
    </row>
    <row r="2131" spans="1:11" ht="21" x14ac:dyDescent="0.2">
      <c r="A2131" s="114" t="s">
        <v>1125</v>
      </c>
      <c r="B2131" s="432" t="s">
        <v>2652</v>
      </c>
      <c r="C2131" s="115" t="s">
        <v>1130</v>
      </c>
      <c r="D2131" s="114" t="s">
        <v>574</v>
      </c>
      <c r="E2131" s="329" t="str">
        <f>IF($O$115="","",$O$115)</f>
        <v>Munic. Yporanga</v>
      </c>
      <c r="F2131" s="563">
        <f>IF(B2131="","",VLOOKUP(E2131,$O$2:$T$120,6,0))</f>
        <v>48841</v>
      </c>
      <c r="G2131" s="564"/>
      <c r="H2131" s="564"/>
      <c r="I2131" s="564"/>
      <c r="J2131" s="564"/>
      <c r="K2131" s="565"/>
    </row>
    <row r="2132" spans="1:11" ht="43.5" x14ac:dyDescent="0.2">
      <c r="A2132" s="166" t="s">
        <v>779</v>
      </c>
      <c r="B2132" s="116" t="s">
        <v>0</v>
      </c>
      <c r="C2132" s="116" t="s">
        <v>20</v>
      </c>
      <c r="D2132" s="116" t="s">
        <v>21</v>
      </c>
      <c r="E2132" s="116" t="s">
        <v>1</v>
      </c>
      <c r="F2132" s="117" t="s">
        <v>3</v>
      </c>
      <c r="G2132" s="116" t="s">
        <v>216</v>
      </c>
      <c r="H2132" s="180" t="s">
        <v>242</v>
      </c>
      <c r="I2132" s="116" t="s">
        <v>245</v>
      </c>
      <c r="J2132" s="116" t="s">
        <v>217</v>
      </c>
      <c r="K2132" s="116" t="s">
        <v>218</v>
      </c>
    </row>
    <row r="2133" spans="1:11" ht="17.25" x14ac:dyDescent="0.2">
      <c r="B2133" s="428" t="s">
        <v>2403</v>
      </c>
      <c r="C2133" s="97" t="s">
        <v>2404</v>
      </c>
      <c r="D2133" s="97" t="s">
        <v>2405</v>
      </c>
      <c r="E2133" s="424" t="s">
        <v>265</v>
      </c>
      <c r="F2133" s="108">
        <v>12.5</v>
      </c>
      <c r="G2133" s="425">
        <v>13</v>
      </c>
      <c r="H2133" s="426">
        <v>2</v>
      </c>
      <c r="I2133" s="69">
        <f>IF(G2133="","",SUM(G2133:H2133))</f>
        <v>15</v>
      </c>
      <c r="J2133" s="64">
        <f>IF(G2133="","",ROUNDUP(G2133*0.65,0))</f>
        <v>9</v>
      </c>
      <c r="K2133" s="64">
        <f>IF(G2133="","",ROUNDUP(G2133*0.55,0))</f>
        <v>8</v>
      </c>
    </row>
    <row r="2134" spans="1:11" ht="17.25" x14ac:dyDescent="0.2">
      <c r="B2134" s="428" t="s">
        <v>2406</v>
      </c>
      <c r="C2134" s="97" t="s">
        <v>2404</v>
      </c>
      <c r="D2134" s="97" t="s">
        <v>2407</v>
      </c>
      <c r="E2134" s="424" t="s">
        <v>265</v>
      </c>
      <c r="F2134" s="108">
        <v>12.5</v>
      </c>
      <c r="G2134" s="425">
        <v>15</v>
      </c>
      <c r="H2134" s="426">
        <v>2</v>
      </c>
      <c r="I2134" s="69">
        <f t="shared" ref="I2134:I2139" si="341">IF(G2134="","",SUM(G2134:H2134))</f>
        <v>17</v>
      </c>
      <c r="J2134" s="64">
        <f t="shared" ref="J2134:J2148" si="342">IF(G2134="","",ROUNDUP(G2134*0.65,0))</f>
        <v>10</v>
      </c>
      <c r="K2134" s="64">
        <f t="shared" ref="K2134:K2148" si="343">IF(G2134="","",ROUNDUP(G2134*0.55,0))</f>
        <v>9</v>
      </c>
    </row>
    <row r="2135" spans="1:11" ht="17.25" x14ac:dyDescent="0.2">
      <c r="B2135" s="428" t="s">
        <v>2408</v>
      </c>
      <c r="C2135" s="97" t="s">
        <v>2404</v>
      </c>
      <c r="D2135" s="97" t="s">
        <v>2409</v>
      </c>
      <c r="E2135" s="424" t="s">
        <v>265</v>
      </c>
      <c r="F2135" s="108">
        <v>12.5</v>
      </c>
      <c r="G2135" s="425">
        <v>15</v>
      </c>
      <c r="H2135" s="426">
        <v>3</v>
      </c>
      <c r="I2135" s="69">
        <f t="shared" si="341"/>
        <v>18</v>
      </c>
      <c r="J2135" s="64">
        <f t="shared" si="342"/>
        <v>10</v>
      </c>
      <c r="K2135" s="64">
        <f t="shared" si="343"/>
        <v>9</v>
      </c>
    </row>
    <row r="2136" spans="1:11" ht="17.25" x14ac:dyDescent="0.2">
      <c r="B2136" s="428" t="s">
        <v>2410</v>
      </c>
      <c r="C2136" s="97" t="s">
        <v>2404</v>
      </c>
      <c r="D2136" s="97" t="s">
        <v>2411</v>
      </c>
      <c r="E2136" s="424" t="s">
        <v>179</v>
      </c>
      <c r="F2136" s="108">
        <v>9.5</v>
      </c>
      <c r="G2136" s="425">
        <v>10</v>
      </c>
      <c r="H2136" s="426">
        <v>3</v>
      </c>
      <c r="I2136" s="69">
        <f t="shared" si="341"/>
        <v>13</v>
      </c>
      <c r="J2136" s="64">
        <f t="shared" si="342"/>
        <v>7</v>
      </c>
      <c r="K2136" s="64">
        <f t="shared" si="343"/>
        <v>6</v>
      </c>
    </row>
    <row r="2137" spans="1:11" ht="17.25" x14ac:dyDescent="0.2">
      <c r="B2137" s="428" t="s">
        <v>2412</v>
      </c>
      <c r="C2137" s="97" t="s">
        <v>2404</v>
      </c>
      <c r="D2137" s="97" t="s">
        <v>2413</v>
      </c>
      <c r="E2137" s="424" t="s">
        <v>179</v>
      </c>
      <c r="F2137" s="108">
        <v>9.5</v>
      </c>
      <c r="G2137" s="425">
        <v>10</v>
      </c>
      <c r="H2137" s="426">
        <v>2</v>
      </c>
      <c r="I2137" s="69">
        <f t="shared" si="341"/>
        <v>12</v>
      </c>
      <c r="J2137" s="64">
        <f t="shared" si="342"/>
        <v>7</v>
      </c>
      <c r="K2137" s="64">
        <f t="shared" si="343"/>
        <v>6</v>
      </c>
    </row>
    <row r="2138" spans="1:11" ht="17.25" x14ac:dyDescent="0.2">
      <c r="B2138" s="341"/>
      <c r="C2138" s="101"/>
      <c r="D2138" s="101"/>
      <c r="E2138" s="107"/>
      <c r="F2138" s="108"/>
      <c r="G2138" s="64"/>
      <c r="H2138" s="65"/>
      <c r="I2138" s="69" t="str">
        <f t="shared" si="341"/>
        <v/>
      </c>
      <c r="J2138" s="64" t="str">
        <f t="shared" si="342"/>
        <v/>
      </c>
      <c r="K2138" s="64" t="str">
        <f t="shared" si="343"/>
        <v/>
      </c>
    </row>
    <row r="2139" spans="1:11" ht="17.25" x14ac:dyDescent="0.2">
      <c r="B2139" s="341"/>
      <c r="C2139" s="101"/>
      <c r="D2139" s="101"/>
      <c r="E2139" s="107"/>
      <c r="F2139" s="108"/>
      <c r="G2139" s="64"/>
      <c r="H2139" s="65"/>
      <c r="I2139" s="69" t="str">
        <f t="shared" si="341"/>
        <v/>
      </c>
      <c r="J2139" s="64" t="str">
        <f t="shared" si="342"/>
        <v/>
      </c>
      <c r="K2139" s="64" t="str">
        <f t="shared" si="343"/>
        <v/>
      </c>
    </row>
    <row r="2140" spans="1:11" ht="17.25" x14ac:dyDescent="0.2">
      <c r="B2140" s="341"/>
      <c r="C2140" s="101"/>
      <c r="D2140" s="101"/>
      <c r="E2140" s="107"/>
      <c r="F2140" s="108"/>
      <c r="G2140" s="64"/>
      <c r="H2140" s="65"/>
      <c r="I2140" s="69"/>
      <c r="J2140" s="64" t="str">
        <f t="shared" si="342"/>
        <v/>
      </c>
      <c r="K2140" s="64" t="str">
        <f t="shared" si="343"/>
        <v/>
      </c>
    </row>
    <row r="2141" spans="1:11" ht="17.25" x14ac:dyDescent="0.2">
      <c r="B2141" s="341"/>
      <c r="C2141" s="101"/>
      <c r="D2141" s="101"/>
      <c r="E2141" s="107"/>
      <c r="F2141" s="108"/>
      <c r="G2141" s="64"/>
      <c r="H2141" s="65"/>
      <c r="I2141" s="69"/>
      <c r="J2141" s="64" t="str">
        <f t="shared" si="342"/>
        <v/>
      </c>
      <c r="K2141" s="64" t="str">
        <f t="shared" si="343"/>
        <v/>
      </c>
    </row>
    <row r="2142" spans="1:11" ht="17.25" x14ac:dyDescent="0.2">
      <c r="B2142" s="341"/>
      <c r="C2142" s="101"/>
      <c r="D2142" s="101"/>
      <c r="E2142" s="107"/>
      <c r="F2142" s="108"/>
      <c r="G2142" s="64"/>
      <c r="H2142" s="65"/>
      <c r="I2142" s="69"/>
      <c r="J2142" s="64" t="str">
        <f t="shared" si="342"/>
        <v/>
      </c>
      <c r="K2142" s="64" t="str">
        <f t="shared" si="343"/>
        <v/>
      </c>
    </row>
    <row r="2143" spans="1:11" ht="17.25" x14ac:dyDescent="0.2">
      <c r="B2143" s="341"/>
      <c r="C2143" s="101"/>
      <c r="D2143" s="101"/>
      <c r="E2143" s="107"/>
      <c r="F2143" s="108"/>
      <c r="G2143" s="64"/>
      <c r="H2143" s="65"/>
      <c r="I2143" s="69"/>
      <c r="J2143" s="64" t="str">
        <f t="shared" si="342"/>
        <v/>
      </c>
      <c r="K2143" s="64" t="str">
        <f t="shared" si="343"/>
        <v/>
      </c>
    </row>
    <row r="2144" spans="1:11" ht="17.25" x14ac:dyDescent="0.2">
      <c r="B2144" s="341"/>
      <c r="C2144" s="101"/>
      <c r="D2144" s="101"/>
      <c r="E2144" s="107"/>
      <c r="F2144" s="108"/>
      <c r="G2144" s="64"/>
      <c r="H2144" s="65"/>
      <c r="I2144" s="69"/>
      <c r="J2144" s="64" t="str">
        <f t="shared" si="342"/>
        <v/>
      </c>
      <c r="K2144" s="64" t="str">
        <f t="shared" si="343"/>
        <v/>
      </c>
    </row>
    <row r="2145" spans="1:11" ht="17.25" x14ac:dyDescent="0.2">
      <c r="B2145" s="341"/>
      <c r="C2145" s="101"/>
      <c r="D2145" s="101"/>
      <c r="E2145" s="107"/>
      <c r="F2145" s="108"/>
      <c r="G2145" s="64"/>
      <c r="H2145" s="65"/>
      <c r="I2145" s="69"/>
      <c r="J2145" s="64" t="str">
        <f t="shared" si="342"/>
        <v/>
      </c>
      <c r="K2145" s="64" t="str">
        <f t="shared" si="343"/>
        <v/>
      </c>
    </row>
    <row r="2146" spans="1:11" ht="17.25" x14ac:dyDescent="0.2">
      <c r="B2146" s="341"/>
      <c r="C2146" s="101"/>
      <c r="D2146" s="101"/>
      <c r="E2146" s="107"/>
      <c r="F2146" s="108"/>
      <c r="G2146" s="64"/>
      <c r="H2146" s="65"/>
      <c r="I2146" s="69"/>
      <c r="J2146" s="64" t="str">
        <f t="shared" si="342"/>
        <v/>
      </c>
      <c r="K2146" s="64" t="str">
        <f t="shared" si="343"/>
        <v/>
      </c>
    </row>
    <row r="2147" spans="1:11" ht="17.25" x14ac:dyDescent="0.2">
      <c r="B2147" s="341"/>
      <c r="C2147" s="101"/>
      <c r="D2147" s="101"/>
      <c r="E2147" s="107"/>
      <c r="F2147" s="108"/>
      <c r="G2147" s="64"/>
      <c r="H2147" s="65"/>
      <c r="I2147" s="69"/>
      <c r="J2147" s="64" t="str">
        <f t="shared" si="342"/>
        <v/>
      </c>
      <c r="K2147" s="64" t="str">
        <f t="shared" si="343"/>
        <v/>
      </c>
    </row>
    <row r="2148" spans="1:11" ht="17.25" x14ac:dyDescent="0.2">
      <c r="B2148" s="341"/>
      <c r="C2148" s="101"/>
      <c r="D2148" s="101"/>
      <c r="E2148" s="107"/>
      <c r="F2148" s="108"/>
      <c r="G2148" s="64"/>
      <c r="H2148" s="65"/>
      <c r="I2148" s="69"/>
      <c r="J2148" s="64" t="str">
        <f t="shared" si="342"/>
        <v/>
      </c>
      <c r="K2148" s="64" t="str">
        <f t="shared" si="343"/>
        <v/>
      </c>
    </row>
    <row r="2149" spans="1:11" ht="18" customHeight="1" x14ac:dyDescent="0.2">
      <c r="B2149" s="561" t="s">
        <v>22</v>
      </c>
      <c r="C2149" s="561" t="s">
        <v>177</v>
      </c>
      <c r="D2149" s="561" t="s">
        <v>243</v>
      </c>
      <c r="E2149" s="561" t="s">
        <v>23</v>
      </c>
      <c r="F2149" s="562" t="s">
        <v>234</v>
      </c>
      <c r="G2149" s="562"/>
      <c r="H2149" s="562"/>
      <c r="I2149" s="562"/>
      <c r="J2149" s="562"/>
      <c r="K2149" s="562"/>
    </row>
    <row r="2150" spans="1:11" ht="21" x14ac:dyDescent="0.2">
      <c r="A2150" s="114" t="s">
        <v>1126</v>
      </c>
      <c r="B2150" s="438" t="s">
        <v>2680</v>
      </c>
      <c r="C2150" s="115" t="s">
        <v>861</v>
      </c>
      <c r="D2150" s="114" t="s">
        <v>862</v>
      </c>
      <c r="E2150" s="329" t="str">
        <f>IF($O$116="","",$O$116)</f>
        <v>Munic. Jaguará Mirim</v>
      </c>
      <c r="F2150" s="563">
        <f>IF(B2150="","",VLOOKUP(E2150,$O$2:$T$120,6,0))</f>
        <v>51166</v>
      </c>
      <c r="G2150" s="564"/>
      <c r="H2150" s="564"/>
      <c r="I2150" s="564"/>
      <c r="J2150" s="564"/>
      <c r="K2150" s="565"/>
    </row>
    <row r="2151" spans="1:11" ht="43.5" x14ac:dyDescent="0.2">
      <c r="A2151" s="166" t="s">
        <v>779</v>
      </c>
      <c r="B2151" s="116" t="s">
        <v>0</v>
      </c>
      <c r="C2151" s="116" t="s">
        <v>20</v>
      </c>
      <c r="D2151" s="116" t="s">
        <v>21</v>
      </c>
      <c r="E2151" s="116" t="s">
        <v>1</v>
      </c>
      <c r="F2151" s="117" t="s">
        <v>3</v>
      </c>
      <c r="G2151" s="116" t="s">
        <v>216</v>
      </c>
      <c r="H2151" s="180" t="s">
        <v>242</v>
      </c>
      <c r="I2151" s="116" t="s">
        <v>245</v>
      </c>
      <c r="J2151" s="116" t="s">
        <v>217</v>
      </c>
      <c r="K2151" s="116" t="s">
        <v>218</v>
      </c>
    </row>
    <row r="2152" spans="1:11" ht="17.25" x14ac:dyDescent="0.2">
      <c r="B2152" s="429" t="s">
        <v>2414</v>
      </c>
      <c r="C2152" s="97" t="s">
        <v>2415</v>
      </c>
      <c r="D2152" s="97" t="s">
        <v>2416</v>
      </c>
      <c r="E2152" s="424" t="s">
        <v>55</v>
      </c>
      <c r="F2152" s="333">
        <v>14</v>
      </c>
      <c r="G2152" s="425">
        <v>15</v>
      </c>
      <c r="H2152" s="426">
        <v>3</v>
      </c>
      <c r="I2152" s="69">
        <f>IF(G2152="","",SUM(G2152:H2152))</f>
        <v>18</v>
      </c>
      <c r="J2152" s="64">
        <f>IF(G2152="","",ROUNDUP(G2152*0.65,0))</f>
        <v>10</v>
      </c>
      <c r="K2152" s="64">
        <f>IF(G2152="","",ROUNDUP(G2152*0.55,0))</f>
        <v>9</v>
      </c>
    </row>
    <row r="2153" spans="1:11" ht="17.25" x14ac:dyDescent="0.2">
      <c r="B2153" s="429" t="s">
        <v>2417</v>
      </c>
      <c r="C2153" s="97" t="s">
        <v>2415</v>
      </c>
      <c r="D2153" s="97" t="s">
        <v>1339</v>
      </c>
      <c r="E2153" s="424" t="s">
        <v>55</v>
      </c>
      <c r="F2153" s="333">
        <v>14</v>
      </c>
      <c r="G2153" s="425">
        <v>15</v>
      </c>
      <c r="H2153" s="426">
        <v>2</v>
      </c>
      <c r="I2153" s="69">
        <f t="shared" ref="I2153:I2165" si="344">IF(G2153="","",SUM(G2153:H2153))</f>
        <v>17</v>
      </c>
      <c r="J2153" s="64">
        <f t="shared" ref="J2153:J2167" si="345">IF(G2153="","",ROUNDUP(G2153*0.65,0))</f>
        <v>10</v>
      </c>
      <c r="K2153" s="64">
        <f t="shared" ref="K2153:K2167" si="346">IF(G2153="","",ROUNDUP(G2153*0.55,0))</f>
        <v>9</v>
      </c>
    </row>
    <row r="2154" spans="1:11" ht="17.25" x14ac:dyDescent="0.2">
      <c r="B2154" s="429" t="s">
        <v>2418</v>
      </c>
      <c r="C2154" s="97" t="s">
        <v>2415</v>
      </c>
      <c r="D2154" s="97" t="s">
        <v>2419</v>
      </c>
      <c r="E2154" s="424" t="s">
        <v>265</v>
      </c>
      <c r="F2154" s="108">
        <v>12.5</v>
      </c>
      <c r="G2154" s="425">
        <v>12</v>
      </c>
      <c r="H2154" s="426">
        <v>2</v>
      </c>
      <c r="I2154" s="69">
        <f t="shared" si="344"/>
        <v>14</v>
      </c>
      <c r="J2154" s="64">
        <f t="shared" si="345"/>
        <v>8</v>
      </c>
      <c r="K2154" s="64">
        <f t="shared" si="346"/>
        <v>7</v>
      </c>
    </row>
    <row r="2155" spans="1:11" ht="17.25" x14ac:dyDescent="0.2">
      <c r="B2155" s="429" t="s">
        <v>2420</v>
      </c>
      <c r="C2155" s="97" t="s">
        <v>2415</v>
      </c>
      <c r="D2155" s="97" t="s">
        <v>2421</v>
      </c>
      <c r="E2155" s="424" t="s">
        <v>265</v>
      </c>
      <c r="F2155" s="108">
        <v>12.5</v>
      </c>
      <c r="G2155" s="425">
        <v>12</v>
      </c>
      <c r="H2155" s="426">
        <v>1</v>
      </c>
      <c r="I2155" s="69">
        <f t="shared" si="344"/>
        <v>13</v>
      </c>
      <c r="J2155" s="64">
        <f t="shared" si="345"/>
        <v>8</v>
      </c>
      <c r="K2155" s="64">
        <f t="shared" si="346"/>
        <v>7</v>
      </c>
    </row>
    <row r="2156" spans="1:11" ht="17.25" x14ac:dyDescent="0.2">
      <c r="B2156" s="429" t="s">
        <v>2422</v>
      </c>
      <c r="C2156" s="97" t="s">
        <v>2415</v>
      </c>
      <c r="D2156" s="97" t="s">
        <v>1658</v>
      </c>
      <c r="E2156" s="424" t="s">
        <v>265</v>
      </c>
      <c r="F2156" s="108">
        <v>12.5</v>
      </c>
      <c r="G2156" s="425">
        <v>12</v>
      </c>
      <c r="H2156" s="426">
        <v>1</v>
      </c>
      <c r="I2156" s="69">
        <f t="shared" si="344"/>
        <v>13</v>
      </c>
      <c r="J2156" s="64">
        <f t="shared" si="345"/>
        <v>8</v>
      </c>
      <c r="K2156" s="64">
        <f t="shared" si="346"/>
        <v>7</v>
      </c>
    </row>
    <row r="2157" spans="1:11" ht="17.25" x14ac:dyDescent="0.2">
      <c r="B2157" s="343"/>
      <c r="C2157" s="102"/>
      <c r="D2157" s="110"/>
      <c r="E2157" s="107"/>
      <c r="F2157" s="108"/>
      <c r="G2157" s="57"/>
      <c r="H2157" s="65"/>
      <c r="I2157" s="69" t="str">
        <f t="shared" si="344"/>
        <v/>
      </c>
      <c r="J2157" s="64" t="str">
        <f t="shared" si="345"/>
        <v/>
      </c>
      <c r="K2157" s="64" t="str">
        <f t="shared" si="346"/>
        <v/>
      </c>
    </row>
    <row r="2158" spans="1:11" ht="17.25" x14ac:dyDescent="0.2">
      <c r="B2158" s="343"/>
      <c r="C2158" s="102"/>
      <c r="D2158" s="102"/>
      <c r="E2158" s="107"/>
      <c r="F2158" s="108"/>
      <c r="G2158" s="57"/>
      <c r="H2158" s="65"/>
      <c r="I2158" s="69" t="str">
        <f t="shared" si="344"/>
        <v/>
      </c>
      <c r="J2158" s="64" t="str">
        <f t="shared" si="345"/>
        <v/>
      </c>
      <c r="K2158" s="64" t="str">
        <f t="shared" si="346"/>
        <v/>
      </c>
    </row>
    <row r="2159" spans="1:11" ht="17.25" x14ac:dyDescent="0.2">
      <c r="B2159" s="343"/>
      <c r="C2159" s="102"/>
      <c r="D2159" s="102"/>
      <c r="E2159" s="107"/>
      <c r="F2159" s="108"/>
      <c r="G2159" s="57"/>
      <c r="H2159" s="65"/>
      <c r="I2159" s="69" t="str">
        <f t="shared" si="344"/>
        <v/>
      </c>
      <c r="J2159" s="64" t="str">
        <f t="shared" si="345"/>
        <v/>
      </c>
      <c r="K2159" s="64" t="str">
        <f t="shared" si="346"/>
        <v/>
      </c>
    </row>
    <row r="2160" spans="1:11" ht="17.25" x14ac:dyDescent="0.2">
      <c r="B2160" s="343"/>
      <c r="C2160" s="102"/>
      <c r="D2160" s="110"/>
      <c r="E2160" s="107"/>
      <c r="F2160" s="108"/>
      <c r="G2160" s="57"/>
      <c r="H2160" s="65"/>
      <c r="I2160" s="69" t="str">
        <f t="shared" si="344"/>
        <v/>
      </c>
      <c r="J2160" s="64" t="str">
        <f t="shared" si="345"/>
        <v/>
      </c>
      <c r="K2160" s="64" t="str">
        <f t="shared" si="346"/>
        <v/>
      </c>
    </row>
    <row r="2161" spans="1:11" ht="17.25" x14ac:dyDescent="0.2">
      <c r="B2161" s="343"/>
      <c r="C2161" s="102"/>
      <c r="D2161" s="110"/>
      <c r="E2161" s="107"/>
      <c r="F2161" s="108"/>
      <c r="G2161" s="57"/>
      <c r="H2161" s="65"/>
      <c r="I2161" s="69" t="str">
        <f t="shared" si="344"/>
        <v/>
      </c>
      <c r="J2161" s="64" t="str">
        <f t="shared" si="345"/>
        <v/>
      </c>
      <c r="K2161" s="64" t="str">
        <f t="shared" si="346"/>
        <v/>
      </c>
    </row>
    <row r="2162" spans="1:11" ht="17.25" x14ac:dyDescent="0.2">
      <c r="B2162" s="343"/>
      <c r="C2162" s="102"/>
      <c r="D2162" s="102"/>
      <c r="E2162" s="107"/>
      <c r="F2162" s="108"/>
      <c r="G2162" s="57"/>
      <c r="H2162" s="65"/>
      <c r="I2162" s="69" t="str">
        <f t="shared" si="344"/>
        <v/>
      </c>
      <c r="J2162" s="64" t="str">
        <f t="shared" si="345"/>
        <v/>
      </c>
      <c r="K2162" s="64" t="str">
        <f t="shared" si="346"/>
        <v/>
      </c>
    </row>
    <row r="2163" spans="1:11" ht="17.25" x14ac:dyDescent="0.2">
      <c r="B2163" s="343"/>
      <c r="C2163" s="102"/>
      <c r="D2163" s="102"/>
      <c r="E2163" s="107"/>
      <c r="F2163" s="108"/>
      <c r="G2163" s="57"/>
      <c r="H2163" s="65"/>
      <c r="I2163" s="69" t="str">
        <f t="shared" si="344"/>
        <v/>
      </c>
      <c r="J2163" s="64" t="str">
        <f t="shared" si="345"/>
        <v/>
      </c>
      <c r="K2163" s="64" t="str">
        <f t="shared" si="346"/>
        <v/>
      </c>
    </row>
    <row r="2164" spans="1:11" ht="17.25" x14ac:dyDescent="0.2">
      <c r="B2164" s="343"/>
      <c r="C2164" s="102"/>
      <c r="D2164" s="102"/>
      <c r="E2164" s="107"/>
      <c r="F2164" s="108"/>
      <c r="G2164" s="57"/>
      <c r="H2164" s="65"/>
      <c r="I2164" s="69" t="str">
        <f t="shared" si="344"/>
        <v/>
      </c>
      <c r="J2164" s="64" t="str">
        <f t="shared" si="345"/>
        <v/>
      </c>
      <c r="K2164" s="64" t="str">
        <f t="shared" si="346"/>
        <v/>
      </c>
    </row>
    <row r="2165" spans="1:11" ht="17.25" x14ac:dyDescent="0.2">
      <c r="B2165" s="343"/>
      <c r="C2165" s="102"/>
      <c r="D2165" s="102"/>
      <c r="E2165" s="107"/>
      <c r="F2165" s="108"/>
      <c r="G2165" s="57"/>
      <c r="H2165" s="65"/>
      <c r="I2165" s="69" t="str">
        <f t="shared" si="344"/>
        <v/>
      </c>
      <c r="J2165" s="64" t="str">
        <f t="shared" si="345"/>
        <v/>
      </c>
      <c r="K2165" s="64" t="str">
        <f t="shared" si="346"/>
        <v/>
      </c>
    </row>
    <row r="2166" spans="1:11" ht="17.25" x14ac:dyDescent="0.2">
      <c r="B2166" s="343"/>
      <c r="C2166" s="102"/>
      <c r="D2166" s="102"/>
      <c r="E2166" s="107"/>
      <c r="F2166" s="108"/>
      <c r="G2166" s="57"/>
      <c r="H2166" s="65"/>
      <c r="I2166" s="69"/>
      <c r="J2166" s="64" t="str">
        <f t="shared" si="345"/>
        <v/>
      </c>
      <c r="K2166" s="64" t="str">
        <f t="shared" si="346"/>
        <v/>
      </c>
    </row>
    <row r="2167" spans="1:11" ht="17.25" x14ac:dyDescent="0.2">
      <c r="B2167" s="343"/>
      <c r="C2167" s="102"/>
      <c r="D2167" s="102"/>
      <c r="E2167" s="107"/>
      <c r="F2167" s="108"/>
      <c r="G2167" s="57"/>
      <c r="H2167" s="65"/>
      <c r="I2167" s="69"/>
      <c r="J2167" s="64" t="str">
        <f t="shared" si="345"/>
        <v/>
      </c>
      <c r="K2167" s="64" t="str">
        <f t="shared" si="346"/>
        <v/>
      </c>
    </row>
    <row r="2168" spans="1:11" ht="18" customHeight="1" x14ac:dyDescent="0.2">
      <c r="B2168" s="561" t="s">
        <v>22</v>
      </c>
      <c r="C2168" s="561" t="s">
        <v>177</v>
      </c>
      <c r="D2168" s="561" t="s">
        <v>243</v>
      </c>
      <c r="E2168" s="561" t="s">
        <v>23</v>
      </c>
      <c r="F2168" s="562" t="s">
        <v>234</v>
      </c>
      <c r="G2168" s="562"/>
      <c r="H2168" s="562"/>
      <c r="I2168" s="562"/>
      <c r="J2168" s="562"/>
      <c r="K2168" s="562"/>
    </row>
    <row r="2169" spans="1:11" ht="21" x14ac:dyDescent="0.2">
      <c r="A2169" s="114" t="s">
        <v>1127</v>
      </c>
      <c r="B2169" s="434" t="s">
        <v>2719</v>
      </c>
      <c r="C2169" s="115" t="s">
        <v>498</v>
      </c>
      <c r="D2169" s="114" t="s">
        <v>499</v>
      </c>
      <c r="E2169" s="329" t="str">
        <f>IF($O$117="","",$O$117)</f>
        <v>Munic. Barcelona - Reg. Leste</v>
      </c>
      <c r="F2169" s="563">
        <f>IF(B2169="","",VLOOKUP(E2169,$O$2:$T$120,6,0))</f>
        <v>94177</v>
      </c>
      <c r="G2169" s="564"/>
      <c r="H2169" s="564"/>
      <c r="I2169" s="564"/>
      <c r="J2169" s="564"/>
      <c r="K2169" s="565"/>
    </row>
    <row r="2170" spans="1:11" ht="43.5" x14ac:dyDescent="0.2">
      <c r="A2170" s="166" t="s">
        <v>779</v>
      </c>
      <c r="B2170" s="116" t="s">
        <v>0</v>
      </c>
      <c r="C2170" s="116" t="s">
        <v>20</v>
      </c>
      <c r="D2170" s="116" t="s">
        <v>21</v>
      </c>
      <c r="E2170" s="116" t="s">
        <v>1</v>
      </c>
      <c r="F2170" s="117" t="s">
        <v>3</v>
      </c>
      <c r="G2170" s="116" t="s">
        <v>216</v>
      </c>
      <c r="H2170" s="180" t="s">
        <v>242</v>
      </c>
      <c r="I2170" s="116" t="s">
        <v>245</v>
      </c>
      <c r="J2170" s="116" t="s">
        <v>217</v>
      </c>
      <c r="K2170" s="116" t="s">
        <v>218</v>
      </c>
    </row>
    <row r="2171" spans="1:11" ht="17.25" x14ac:dyDescent="0.2">
      <c r="B2171" s="430" t="s">
        <v>2423</v>
      </c>
      <c r="C2171" s="97" t="s">
        <v>2424</v>
      </c>
      <c r="D2171" s="97" t="s">
        <v>2425</v>
      </c>
      <c r="E2171" s="424" t="s">
        <v>55</v>
      </c>
      <c r="F2171" s="333">
        <v>14</v>
      </c>
      <c r="G2171" s="425">
        <v>15</v>
      </c>
      <c r="H2171" s="426">
        <v>2</v>
      </c>
      <c r="I2171" s="69">
        <f>IF(G2171="","",SUM(G2171:H2171))</f>
        <v>17</v>
      </c>
      <c r="J2171" s="64">
        <f>IF(G2171="","",ROUNDUP(G2171*0.65,0))</f>
        <v>10</v>
      </c>
      <c r="K2171" s="64">
        <f>IF(G2171="","",ROUNDUP(G2171*0.55,0))</f>
        <v>9</v>
      </c>
    </row>
    <row r="2172" spans="1:11" ht="17.25" x14ac:dyDescent="0.2">
      <c r="B2172" s="430" t="s">
        <v>2426</v>
      </c>
      <c r="C2172" s="97" t="s">
        <v>2424</v>
      </c>
      <c r="D2172" s="97" t="s">
        <v>2427</v>
      </c>
      <c r="E2172" s="424" t="s">
        <v>55</v>
      </c>
      <c r="F2172" s="333">
        <v>14</v>
      </c>
      <c r="G2172" s="425">
        <v>15</v>
      </c>
      <c r="H2172" s="426">
        <v>2</v>
      </c>
      <c r="I2172" s="69">
        <f t="shared" ref="I2172:I2178" si="347">IF(G2172="","",SUM(G2172:H2172))</f>
        <v>17</v>
      </c>
      <c r="J2172" s="64">
        <f t="shared" ref="J2172:J2186" si="348">IF(G2172="","",ROUNDUP(G2172*0.65,0))</f>
        <v>10</v>
      </c>
      <c r="K2172" s="64">
        <f t="shared" ref="K2172:K2186" si="349">IF(G2172="","",ROUNDUP(G2172*0.55,0))</f>
        <v>9</v>
      </c>
    </row>
    <row r="2173" spans="1:11" ht="17.25" x14ac:dyDescent="0.2">
      <c r="B2173" s="430" t="s">
        <v>2428</v>
      </c>
      <c r="C2173" s="97" t="s">
        <v>2424</v>
      </c>
      <c r="D2173" s="97" t="s">
        <v>2429</v>
      </c>
      <c r="E2173" s="424" t="s">
        <v>55</v>
      </c>
      <c r="F2173" s="333">
        <v>14</v>
      </c>
      <c r="G2173" s="425">
        <v>15</v>
      </c>
      <c r="H2173" s="426">
        <v>1</v>
      </c>
      <c r="I2173" s="69">
        <f t="shared" si="347"/>
        <v>16</v>
      </c>
      <c r="J2173" s="64">
        <f t="shared" si="348"/>
        <v>10</v>
      </c>
      <c r="K2173" s="64">
        <f t="shared" si="349"/>
        <v>9</v>
      </c>
    </row>
    <row r="2174" spans="1:11" ht="17.25" x14ac:dyDescent="0.2">
      <c r="B2174" s="430" t="s">
        <v>2430</v>
      </c>
      <c r="C2174" s="97" t="s">
        <v>2424</v>
      </c>
      <c r="D2174" s="97" t="s">
        <v>2431</v>
      </c>
      <c r="E2174" s="424" t="s">
        <v>265</v>
      </c>
      <c r="F2174" s="108">
        <v>12.5</v>
      </c>
      <c r="G2174" s="425">
        <v>10</v>
      </c>
      <c r="H2174" s="426">
        <v>1</v>
      </c>
      <c r="I2174" s="69">
        <f t="shared" si="347"/>
        <v>11</v>
      </c>
      <c r="J2174" s="64">
        <f t="shared" si="348"/>
        <v>7</v>
      </c>
      <c r="K2174" s="64">
        <f t="shared" si="349"/>
        <v>6</v>
      </c>
    </row>
    <row r="2175" spans="1:11" ht="17.25" x14ac:dyDescent="0.2">
      <c r="B2175" s="430" t="s">
        <v>2432</v>
      </c>
      <c r="C2175" s="97" t="s">
        <v>2424</v>
      </c>
      <c r="D2175" s="97" t="s">
        <v>2433</v>
      </c>
      <c r="E2175" s="424" t="s">
        <v>265</v>
      </c>
      <c r="F2175" s="108">
        <v>12.5</v>
      </c>
      <c r="G2175" s="425">
        <v>12</v>
      </c>
      <c r="H2175" s="426">
        <v>1</v>
      </c>
      <c r="I2175" s="69">
        <f t="shared" si="347"/>
        <v>13</v>
      </c>
      <c r="J2175" s="64">
        <f t="shared" si="348"/>
        <v>8</v>
      </c>
      <c r="K2175" s="64">
        <f t="shared" si="349"/>
        <v>7</v>
      </c>
    </row>
    <row r="2176" spans="1:11" ht="17.25" x14ac:dyDescent="0.2">
      <c r="B2176" s="430" t="s">
        <v>2434</v>
      </c>
      <c r="C2176" s="97" t="s">
        <v>2424</v>
      </c>
      <c r="D2176" s="97" t="s">
        <v>2435</v>
      </c>
      <c r="E2176" s="424" t="s">
        <v>265</v>
      </c>
      <c r="F2176" s="108">
        <v>12.5</v>
      </c>
      <c r="G2176" s="425">
        <v>10</v>
      </c>
      <c r="H2176" s="426">
        <v>1</v>
      </c>
      <c r="I2176" s="69">
        <f t="shared" si="347"/>
        <v>11</v>
      </c>
      <c r="J2176" s="64">
        <f t="shared" si="348"/>
        <v>7</v>
      </c>
      <c r="K2176" s="64">
        <f t="shared" si="349"/>
        <v>6</v>
      </c>
    </row>
    <row r="2177" spans="1:11" ht="17.25" x14ac:dyDescent="0.2">
      <c r="B2177" s="430" t="s">
        <v>2436</v>
      </c>
      <c r="C2177" s="97" t="s">
        <v>2437</v>
      </c>
      <c r="D2177" s="97" t="s">
        <v>2438</v>
      </c>
      <c r="E2177" s="424" t="s">
        <v>179</v>
      </c>
      <c r="F2177" s="108">
        <v>9.5</v>
      </c>
      <c r="G2177" s="425">
        <v>12</v>
      </c>
      <c r="H2177" s="426">
        <v>2</v>
      </c>
      <c r="I2177" s="69">
        <f t="shared" si="347"/>
        <v>14</v>
      </c>
      <c r="J2177" s="64">
        <f t="shared" si="348"/>
        <v>8</v>
      </c>
      <c r="K2177" s="64">
        <f t="shared" si="349"/>
        <v>7</v>
      </c>
    </row>
    <row r="2178" spans="1:11" ht="17.25" x14ac:dyDescent="0.2">
      <c r="B2178" s="430" t="s">
        <v>2439</v>
      </c>
      <c r="C2178" s="97" t="s">
        <v>2440</v>
      </c>
      <c r="D2178" s="97" t="s">
        <v>2441</v>
      </c>
      <c r="E2178" s="424" t="s">
        <v>179</v>
      </c>
      <c r="F2178" s="108">
        <v>9.5</v>
      </c>
      <c r="G2178" s="425">
        <v>13</v>
      </c>
      <c r="H2178" s="426">
        <v>2</v>
      </c>
      <c r="I2178" s="69">
        <f t="shared" si="347"/>
        <v>15</v>
      </c>
      <c r="J2178" s="64">
        <f t="shared" si="348"/>
        <v>9</v>
      </c>
      <c r="K2178" s="64">
        <f t="shared" si="349"/>
        <v>8</v>
      </c>
    </row>
    <row r="2179" spans="1:11" ht="17.25" x14ac:dyDescent="0.2">
      <c r="B2179" s="430" t="s">
        <v>2442</v>
      </c>
      <c r="C2179" s="97" t="s">
        <v>2443</v>
      </c>
      <c r="D2179" s="97" t="s">
        <v>2444</v>
      </c>
      <c r="E2179" s="424" t="s">
        <v>179</v>
      </c>
      <c r="F2179" s="108">
        <v>9.5</v>
      </c>
      <c r="G2179" s="425">
        <v>10</v>
      </c>
      <c r="H2179" s="426">
        <v>1</v>
      </c>
      <c r="I2179" s="69"/>
      <c r="J2179" s="64">
        <f t="shared" si="348"/>
        <v>7</v>
      </c>
      <c r="K2179" s="64">
        <f t="shared" si="349"/>
        <v>6</v>
      </c>
    </row>
    <row r="2180" spans="1:11" ht="17.25" x14ac:dyDescent="0.2">
      <c r="B2180" s="336"/>
      <c r="C2180" s="103"/>
      <c r="D2180" s="103"/>
      <c r="E2180" s="107"/>
      <c r="F2180" s="108"/>
      <c r="G2180" s="64"/>
      <c r="H2180" s="65"/>
      <c r="I2180" s="69"/>
      <c r="J2180" s="64" t="str">
        <f t="shared" si="348"/>
        <v/>
      </c>
      <c r="K2180" s="64" t="str">
        <f t="shared" si="349"/>
        <v/>
      </c>
    </row>
    <row r="2181" spans="1:11" ht="17.25" x14ac:dyDescent="0.2">
      <c r="B2181" s="336"/>
      <c r="C2181" s="103"/>
      <c r="D2181" s="103"/>
      <c r="E2181" s="107"/>
      <c r="F2181" s="108"/>
      <c r="G2181" s="64"/>
      <c r="H2181" s="65"/>
      <c r="I2181" s="69"/>
      <c r="J2181" s="64" t="str">
        <f t="shared" si="348"/>
        <v/>
      </c>
      <c r="K2181" s="64" t="str">
        <f t="shared" si="349"/>
        <v/>
      </c>
    </row>
    <row r="2182" spans="1:11" ht="17.25" x14ac:dyDescent="0.2">
      <c r="B2182" s="336"/>
      <c r="C2182" s="103"/>
      <c r="D2182" s="103"/>
      <c r="E2182" s="107"/>
      <c r="F2182" s="108"/>
      <c r="G2182" s="64"/>
      <c r="H2182" s="65"/>
      <c r="I2182" s="69"/>
      <c r="J2182" s="64" t="str">
        <f t="shared" si="348"/>
        <v/>
      </c>
      <c r="K2182" s="64" t="str">
        <f t="shared" si="349"/>
        <v/>
      </c>
    </row>
    <row r="2183" spans="1:11" ht="17.25" x14ac:dyDescent="0.2">
      <c r="B2183" s="336"/>
      <c r="C2183" s="103"/>
      <c r="D2183" s="103"/>
      <c r="E2183" s="107"/>
      <c r="F2183" s="108"/>
      <c r="G2183" s="64"/>
      <c r="H2183" s="65"/>
      <c r="I2183" s="69"/>
      <c r="J2183" s="64" t="str">
        <f t="shared" si="348"/>
        <v/>
      </c>
      <c r="K2183" s="64" t="str">
        <f t="shared" si="349"/>
        <v/>
      </c>
    </row>
    <row r="2184" spans="1:11" ht="17.25" x14ac:dyDescent="0.2">
      <c r="B2184" s="336"/>
      <c r="C2184" s="103"/>
      <c r="D2184" s="103"/>
      <c r="E2184" s="107"/>
      <c r="F2184" s="108"/>
      <c r="G2184" s="64"/>
      <c r="H2184" s="65"/>
      <c r="I2184" s="69"/>
      <c r="J2184" s="64" t="str">
        <f t="shared" si="348"/>
        <v/>
      </c>
      <c r="K2184" s="64" t="str">
        <f t="shared" si="349"/>
        <v/>
      </c>
    </row>
    <row r="2185" spans="1:11" ht="17.25" x14ac:dyDescent="0.2">
      <c r="B2185" s="336"/>
      <c r="C2185" s="103"/>
      <c r="D2185" s="103"/>
      <c r="E2185" s="107"/>
      <c r="F2185" s="108"/>
      <c r="G2185" s="64"/>
      <c r="H2185" s="65"/>
      <c r="I2185" s="69"/>
      <c r="J2185" s="64" t="str">
        <f t="shared" si="348"/>
        <v/>
      </c>
      <c r="K2185" s="64" t="str">
        <f t="shared" si="349"/>
        <v/>
      </c>
    </row>
    <row r="2186" spans="1:11" ht="17.25" x14ac:dyDescent="0.2">
      <c r="B2186" s="336"/>
      <c r="C2186" s="103"/>
      <c r="D2186" s="103"/>
      <c r="E2186" s="107"/>
      <c r="F2186" s="108"/>
      <c r="G2186" s="64"/>
      <c r="H2186" s="65"/>
      <c r="I2186" s="69"/>
      <c r="J2186" s="64" t="str">
        <f t="shared" si="348"/>
        <v/>
      </c>
      <c r="K2186" s="64" t="str">
        <f t="shared" si="349"/>
        <v/>
      </c>
    </row>
    <row r="2187" spans="1:11" ht="18" customHeight="1" x14ac:dyDescent="0.2">
      <c r="B2187" s="561" t="s">
        <v>22</v>
      </c>
      <c r="C2187" s="561" t="s">
        <v>177</v>
      </c>
      <c r="D2187" s="561" t="s">
        <v>243</v>
      </c>
      <c r="E2187" s="561" t="s">
        <v>23</v>
      </c>
      <c r="F2187" s="562" t="s">
        <v>234</v>
      </c>
      <c r="G2187" s="562"/>
      <c r="H2187" s="562"/>
      <c r="I2187" s="562"/>
      <c r="J2187" s="562"/>
      <c r="K2187" s="562"/>
    </row>
    <row r="2188" spans="1:11" ht="21" x14ac:dyDescent="0.2">
      <c r="A2188" s="114" t="s">
        <v>1128</v>
      </c>
      <c r="B2188" s="434" t="s">
        <v>2722</v>
      </c>
      <c r="C2188" s="115" t="s">
        <v>498</v>
      </c>
      <c r="D2188" s="114" t="s">
        <v>499</v>
      </c>
      <c r="E2188" s="329" t="str">
        <f>IF($O$118="","",$O$118)</f>
        <v>Munic. Barcelona - Reg. Oeste</v>
      </c>
      <c r="F2188" s="563">
        <f>IF(B2188="","",VLOOKUP(E2188,$O$2:$T$120,6,0))</f>
        <v>82346</v>
      </c>
      <c r="G2188" s="564"/>
      <c r="H2188" s="564"/>
      <c r="I2188" s="564"/>
      <c r="J2188" s="564"/>
      <c r="K2188" s="565"/>
    </row>
    <row r="2189" spans="1:11" ht="43.5" x14ac:dyDescent="0.2">
      <c r="A2189" s="166" t="s">
        <v>779</v>
      </c>
      <c r="B2189" s="116" t="s">
        <v>0</v>
      </c>
      <c r="C2189" s="116" t="s">
        <v>20</v>
      </c>
      <c r="D2189" s="116" t="s">
        <v>21</v>
      </c>
      <c r="E2189" s="116" t="s">
        <v>1</v>
      </c>
      <c r="F2189" s="117" t="s">
        <v>3</v>
      </c>
      <c r="G2189" s="116" t="s">
        <v>216</v>
      </c>
      <c r="H2189" s="180" t="s">
        <v>242</v>
      </c>
      <c r="I2189" s="116" t="s">
        <v>245</v>
      </c>
      <c r="J2189" s="116" t="s">
        <v>217</v>
      </c>
      <c r="K2189" s="116" t="s">
        <v>218</v>
      </c>
    </row>
    <row r="2190" spans="1:11" ht="17.25" x14ac:dyDescent="0.2">
      <c r="B2190" s="430" t="s">
        <v>2445</v>
      </c>
      <c r="C2190" s="97" t="s">
        <v>2425</v>
      </c>
      <c r="D2190" s="97" t="s">
        <v>2446</v>
      </c>
      <c r="E2190" s="424" t="s">
        <v>55</v>
      </c>
      <c r="F2190" s="333">
        <v>14</v>
      </c>
      <c r="G2190" s="425">
        <v>12</v>
      </c>
      <c r="H2190" s="426">
        <v>3</v>
      </c>
      <c r="I2190" s="69">
        <f>IF(G2190="","",SUM(G2190:H2190))</f>
        <v>15</v>
      </c>
      <c r="J2190" s="64">
        <f>IF(G2190="","",ROUNDUP(G2190*0.65,0))</f>
        <v>8</v>
      </c>
      <c r="K2190" s="64">
        <f>IF(G2190="","",ROUNDUP(G2190*0.55,0))</f>
        <v>7</v>
      </c>
    </row>
    <row r="2191" spans="1:11" ht="17.25" x14ac:dyDescent="0.2">
      <c r="B2191" s="430" t="s">
        <v>2447</v>
      </c>
      <c r="C2191" s="97" t="s">
        <v>2425</v>
      </c>
      <c r="D2191" s="97" t="s">
        <v>2448</v>
      </c>
      <c r="E2191" s="424" t="s">
        <v>55</v>
      </c>
      <c r="F2191" s="333">
        <v>14</v>
      </c>
      <c r="G2191" s="425">
        <v>12</v>
      </c>
      <c r="H2191" s="426">
        <v>3</v>
      </c>
      <c r="I2191" s="69">
        <f t="shared" ref="I2191:I2205" si="350">IF(G2191="","",SUM(G2191:H2191))</f>
        <v>15</v>
      </c>
      <c r="J2191" s="64">
        <f t="shared" ref="J2191:J2205" si="351">IF(G2191="","",ROUNDUP(G2191*0.65,0))</f>
        <v>8</v>
      </c>
      <c r="K2191" s="64">
        <f t="shared" ref="K2191:K2205" si="352">IF(G2191="","",ROUNDUP(G2191*0.55,0))</f>
        <v>7</v>
      </c>
    </row>
    <row r="2192" spans="1:11" ht="17.25" x14ac:dyDescent="0.2">
      <c r="B2192" s="430" t="s">
        <v>2449</v>
      </c>
      <c r="C2192" s="97" t="s">
        <v>2425</v>
      </c>
      <c r="D2192" s="97" t="s">
        <v>2450</v>
      </c>
      <c r="E2192" s="424" t="s">
        <v>265</v>
      </c>
      <c r="F2192" s="108">
        <v>12.5</v>
      </c>
      <c r="G2192" s="425">
        <v>10</v>
      </c>
      <c r="H2192" s="426">
        <v>2</v>
      </c>
      <c r="I2192" s="69">
        <f t="shared" si="350"/>
        <v>12</v>
      </c>
      <c r="J2192" s="64">
        <f t="shared" si="351"/>
        <v>7</v>
      </c>
      <c r="K2192" s="64">
        <f t="shared" si="352"/>
        <v>6</v>
      </c>
    </row>
    <row r="2193" spans="2:11" ht="17.25" x14ac:dyDescent="0.2">
      <c r="B2193" s="430" t="s">
        <v>2451</v>
      </c>
      <c r="C2193" s="97" t="s">
        <v>2425</v>
      </c>
      <c r="D2193" s="97" t="s">
        <v>2438</v>
      </c>
      <c r="E2193" s="424" t="s">
        <v>265</v>
      </c>
      <c r="F2193" s="108">
        <v>12.5</v>
      </c>
      <c r="G2193" s="425">
        <v>10</v>
      </c>
      <c r="H2193" s="426">
        <v>2</v>
      </c>
      <c r="I2193" s="69">
        <f t="shared" si="350"/>
        <v>12</v>
      </c>
      <c r="J2193" s="64">
        <f t="shared" si="351"/>
        <v>7</v>
      </c>
      <c r="K2193" s="64">
        <f t="shared" si="352"/>
        <v>6</v>
      </c>
    </row>
    <row r="2194" spans="2:11" ht="17.25" x14ac:dyDescent="0.2">
      <c r="B2194" s="430" t="s">
        <v>2452</v>
      </c>
      <c r="C2194" s="97" t="s">
        <v>2425</v>
      </c>
      <c r="D2194" s="97" t="s">
        <v>2453</v>
      </c>
      <c r="E2194" s="424" t="s">
        <v>265</v>
      </c>
      <c r="F2194" s="108">
        <v>12.5</v>
      </c>
      <c r="G2194" s="425">
        <v>10</v>
      </c>
      <c r="H2194" s="426">
        <v>1</v>
      </c>
      <c r="I2194" s="69">
        <f t="shared" si="350"/>
        <v>11</v>
      </c>
      <c r="J2194" s="64">
        <f t="shared" si="351"/>
        <v>7</v>
      </c>
      <c r="K2194" s="64">
        <f t="shared" si="352"/>
        <v>6</v>
      </c>
    </row>
    <row r="2195" spans="2:11" ht="17.25" x14ac:dyDescent="0.2">
      <c r="B2195" s="430" t="s">
        <v>2454</v>
      </c>
      <c r="C2195" s="97" t="s">
        <v>2425</v>
      </c>
      <c r="D2195" s="97" t="s">
        <v>2455</v>
      </c>
      <c r="E2195" s="424" t="s">
        <v>179</v>
      </c>
      <c r="F2195" s="108">
        <v>9.5</v>
      </c>
      <c r="G2195" s="425">
        <v>15</v>
      </c>
      <c r="H2195" s="426">
        <v>3</v>
      </c>
      <c r="I2195" s="69">
        <f t="shared" si="350"/>
        <v>18</v>
      </c>
      <c r="J2195" s="64">
        <f t="shared" si="351"/>
        <v>10</v>
      </c>
      <c r="K2195" s="64">
        <f t="shared" si="352"/>
        <v>9</v>
      </c>
    </row>
    <row r="2196" spans="2:11" ht="17.25" x14ac:dyDescent="0.2">
      <c r="B2196" s="430" t="s">
        <v>2456</v>
      </c>
      <c r="C2196" s="97" t="s">
        <v>2425</v>
      </c>
      <c r="D2196" s="97" t="s">
        <v>2457</v>
      </c>
      <c r="E2196" s="424" t="s">
        <v>179</v>
      </c>
      <c r="F2196" s="108">
        <v>9.5</v>
      </c>
      <c r="G2196" s="425">
        <v>15</v>
      </c>
      <c r="H2196" s="426">
        <v>2</v>
      </c>
      <c r="I2196" s="69">
        <f t="shared" si="350"/>
        <v>17</v>
      </c>
      <c r="J2196" s="64">
        <f t="shared" si="351"/>
        <v>10</v>
      </c>
      <c r="K2196" s="64">
        <f t="shared" si="352"/>
        <v>9</v>
      </c>
    </row>
    <row r="2197" spans="2:11" ht="17.25" x14ac:dyDescent="0.2">
      <c r="B2197" s="430" t="s">
        <v>2458</v>
      </c>
      <c r="C2197" s="97" t="s">
        <v>2459</v>
      </c>
      <c r="D2197" s="97" t="s">
        <v>2438</v>
      </c>
      <c r="E2197" s="424" t="s">
        <v>179</v>
      </c>
      <c r="F2197" s="108">
        <v>9.5</v>
      </c>
      <c r="G2197" s="425">
        <v>8</v>
      </c>
      <c r="H2197" s="426">
        <v>2</v>
      </c>
      <c r="I2197" s="69">
        <f t="shared" si="350"/>
        <v>10</v>
      </c>
      <c r="J2197" s="64">
        <f t="shared" si="351"/>
        <v>6</v>
      </c>
      <c r="K2197" s="64">
        <f t="shared" si="352"/>
        <v>5</v>
      </c>
    </row>
    <row r="2198" spans="2:11" ht="17.25" x14ac:dyDescent="0.2">
      <c r="B2198" s="344"/>
      <c r="C2198" s="97"/>
      <c r="D2198" s="97"/>
      <c r="E2198" s="107"/>
      <c r="F2198" s="108"/>
      <c r="G2198" s="57"/>
      <c r="H2198" s="65"/>
      <c r="I2198" s="69" t="str">
        <f t="shared" si="350"/>
        <v/>
      </c>
      <c r="J2198" s="64" t="str">
        <f t="shared" si="351"/>
        <v/>
      </c>
      <c r="K2198" s="64" t="str">
        <f t="shared" si="352"/>
        <v/>
      </c>
    </row>
    <row r="2199" spans="2:11" ht="17.25" x14ac:dyDescent="0.2">
      <c r="B2199" s="344"/>
      <c r="C2199" s="97"/>
      <c r="D2199" s="97"/>
      <c r="E2199" s="107"/>
      <c r="F2199" s="108"/>
      <c r="G2199" s="57"/>
      <c r="H2199" s="65"/>
      <c r="I2199" s="69" t="str">
        <f t="shared" si="350"/>
        <v/>
      </c>
      <c r="J2199" s="64" t="str">
        <f t="shared" si="351"/>
        <v/>
      </c>
      <c r="K2199" s="64" t="str">
        <f t="shared" si="352"/>
        <v/>
      </c>
    </row>
    <row r="2200" spans="2:11" ht="17.25" x14ac:dyDescent="0.2">
      <c r="B2200" s="344"/>
      <c r="C2200" s="97"/>
      <c r="D2200" s="97"/>
      <c r="E2200" s="107"/>
      <c r="F2200" s="108"/>
      <c r="G2200" s="57"/>
      <c r="H2200" s="65"/>
      <c r="I2200" s="69" t="str">
        <f t="shared" si="350"/>
        <v/>
      </c>
      <c r="J2200" s="64" t="str">
        <f t="shared" si="351"/>
        <v/>
      </c>
      <c r="K2200" s="64" t="str">
        <f t="shared" si="352"/>
        <v/>
      </c>
    </row>
    <row r="2201" spans="2:11" ht="17.25" x14ac:dyDescent="0.2">
      <c r="B2201" s="344"/>
      <c r="C2201" s="97"/>
      <c r="D2201" s="97"/>
      <c r="E2201" s="107"/>
      <c r="F2201" s="108"/>
      <c r="G2201" s="57"/>
      <c r="H2201" s="65"/>
      <c r="I2201" s="69" t="str">
        <f t="shared" si="350"/>
        <v/>
      </c>
      <c r="J2201" s="64" t="str">
        <f t="shared" si="351"/>
        <v/>
      </c>
      <c r="K2201" s="64" t="str">
        <f t="shared" si="352"/>
        <v/>
      </c>
    </row>
    <row r="2202" spans="2:11" ht="17.25" x14ac:dyDescent="0.2">
      <c r="B2202" s="344"/>
      <c r="C2202" s="97"/>
      <c r="D2202" s="97"/>
      <c r="E2202" s="107"/>
      <c r="F2202" s="108"/>
      <c r="G2202" s="57"/>
      <c r="H2202" s="65"/>
      <c r="I2202" s="69" t="str">
        <f t="shared" si="350"/>
        <v/>
      </c>
      <c r="J2202" s="64" t="str">
        <f t="shared" si="351"/>
        <v/>
      </c>
      <c r="K2202" s="64" t="str">
        <f t="shared" si="352"/>
        <v/>
      </c>
    </row>
    <row r="2203" spans="2:11" ht="17.25" x14ac:dyDescent="0.2">
      <c r="B2203" s="344"/>
      <c r="C2203" s="97"/>
      <c r="D2203" s="97"/>
      <c r="E2203" s="107"/>
      <c r="F2203" s="108"/>
      <c r="G2203" s="57"/>
      <c r="H2203" s="65"/>
      <c r="I2203" s="69" t="str">
        <f t="shared" si="350"/>
        <v/>
      </c>
      <c r="J2203" s="64" t="str">
        <f t="shared" si="351"/>
        <v/>
      </c>
      <c r="K2203" s="64" t="str">
        <f t="shared" si="352"/>
        <v/>
      </c>
    </row>
    <row r="2204" spans="2:11" ht="17.25" x14ac:dyDescent="0.2">
      <c r="B2204" s="344"/>
      <c r="C2204" s="97"/>
      <c r="D2204" s="97"/>
      <c r="E2204" s="107"/>
      <c r="F2204" s="108"/>
      <c r="G2204" s="57"/>
      <c r="H2204" s="65"/>
      <c r="I2204" s="69" t="str">
        <f t="shared" si="350"/>
        <v/>
      </c>
      <c r="J2204" s="64" t="str">
        <f t="shared" si="351"/>
        <v/>
      </c>
      <c r="K2204" s="64" t="str">
        <f t="shared" si="352"/>
        <v/>
      </c>
    </row>
    <row r="2205" spans="2:11" ht="17.25" x14ac:dyDescent="0.2">
      <c r="B2205" s="344"/>
      <c r="C2205" s="97"/>
      <c r="D2205" s="97"/>
      <c r="E2205" s="107"/>
      <c r="F2205" s="108"/>
      <c r="G2205" s="57"/>
      <c r="H2205" s="65"/>
      <c r="I2205" s="69" t="str">
        <f t="shared" si="350"/>
        <v/>
      </c>
      <c r="J2205" s="64" t="str">
        <f t="shared" si="351"/>
        <v/>
      </c>
      <c r="K2205" s="64" t="str">
        <f t="shared" si="352"/>
        <v/>
      </c>
    </row>
  </sheetData>
  <autoFilter ref="A2:K2205" xr:uid="{00000000-0001-0000-0200-000000000000}"/>
  <sortState xmlns:xlrd2="http://schemas.microsoft.com/office/spreadsheetml/2017/richdata2" ref="C1601:K1609">
    <sortCondition ref="E1601:E1609"/>
  </sortState>
  <conditionalFormatting sqref="B991 B1010 B1903">
    <cfRule type="containsText" dxfId="62" priority="16" operator="containsText" text="PRÓPRIA">
      <formula>NOT(ISERROR(SEARCH("PRÓPRIA",B991)))</formula>
    </cfRule>
  </conditionalFormatting>
  <conditionalFormatting sqref="B2055">
    <cfRule type="containsText" dxfId="61" priority="1" operator="containsText" text="PRÓPRIA">
      <formula>NOT(ISERROR(SEARCH("PRÓPRIA",B2055)))</formula>
    </cfRule>
  </conditionalFormatting>
  <dataValidations count="4">
    <dataValidation type="list" allowBlank="1" showInputMessage="1" showErrorMessage="1" sqref="E226:E229 E2198:E2205 E2157:E2167 E2138:E2148 E2122:E2129 E2104:E2110 E2084:E2091 E2062:E2072 E2045:E2053 E2180:E2186 E1951:E1958 E1911:E1920 E1893:E1901 E1874:E1882 E1854:E1863 E1836:E1844 E1818:E1825 E1801:E1806 E1991:E1996 E2008:E2015 E1929:E1939 E2027:E2034 E1633:E1635 E1553:E1559 E1530:E1540 E1570:E1578 E1496:E1502 E1475:E1483 E1456:E1464 E1438:E1445 E1513:E1521 E1591:E1597 E1705:E1711 E1780:E1787 E1761:E1768 E1742:E1749 E1723:E1730 E1648:E1654 E1685:E1692 E1666:E1673 E1360:E1369 E1322:E1331 E1303:E1312 E1284:E1293 E1264:E1274 E1246:E1255 E1227:E1236 E1208:E1217 E1402:E1407 E1419:E1426 E1341:E1350 E1190:E1198 E1152:E1160 E1134:E1141 E1112:E1122 E1094:E1103 E1079:E1084 E1062:E1065 E1042:E1046 E1170:E1179 E1017:E1027 E998:E1008 E980:E989 E961:E970 E942:E951 E923:E932 E907:E913 E887:E894 E809:E818 E752:E761 E733:E742 E697:E704 E715:E723 E658:E666 E678:E685 E772:E780 E851:E856 E868:E875 E790:E799 E637:E647 E507:E514 E469:E476 E448:E457 E431:E438 E410:E419 E392:E400 E373:E381 E357:E362 E547:E552 E564:E571 E486:E495 E621:E628 E602:E609 E583:E590 E100:E115 E81:E96 E62:E77 E43:E58 E24:E39 E5:E20 E205:E210 E157:E172 E138:E153 E243:E248 E299:E305 E317:E324 E338:E343 E279:E286 E260:E267 E119:E134" xr:uid="{00000000-0002-0000-0200-000000000000}">
      <formula1>$P$4:$P$15</formula1>
    </dataValidation>
    <dataValidation type="list" allowBlank="1" showInputMessage="1" showErrorMessage="1" sqref="E191 E1977 E1616 E1388 E837 E533" xr:uid="{00000000-0002-0000-0200-000001000000}">
      <formula1>$O$4:$O$16</formula1>
    </dataValidation>
    <dataValidation type="list" allowBlank="1" showInputMessage="1" showErrorMessage="1" sqref="E195:E200 E223:E225" xr:uid="{00000000-0002-0000-0200-000002000000}">
      <formula1>$P$277:$P$288</formula1>
    </dataValidation>
    <dataValidation type="list" allowBlank="1" showInputMessage="1" showErrorMessage="1" sqref="E652" xr:uid="{00000000-0002-0000-0200-000003000000}">
      <formula1>$P$177:$P$188</formula1>
    </dataValidation>
  </dataValidation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B2:X35"/>
  <sheetViews>
    <sheetView tabSelected="1" workbookViewId="0">
      <selection activeCell="B33" sqref="B33:R35"/>
    </sheetView>
  </sheetViews>
  <sheetFormatPr defaultRowHeight="12.75" x14ac:dyDescent="0.2"/>
  <cols>
    <col min="1" max="16384" width="9.140625" style="298"/>
  </cols>
  <sheetData>
    <row r="2" spans="2:24" x14ac:dyDescent="0.2">
      <c r="B2" s="616" t="s">
        <v>442</v>
      </c>
      <c r="C2" s="616"/>
      <c r="D2" s="616"/>
      <c r="E2" s="616"/>
      <c r="F2" s="616"/>
      <c r="G2" s="616"/>
      <c r="H2" s="616"/>
      <c r="I2" s="616"/>
      <c r="J2" s="616"/>
      <c r="K2" s="616"/>
      <c r="L2" s="616"/>
      <c r="M2" s="616"/>
      <c r="N2" s="616"/>
      <c r="O2" s="616"/>
      <c r="P2" s="616"/>
      <c r="Q2" s="616"/>
      <c r="R2" s="616"/>
    </row>
    <row r="3" spans="2:24" x14ac:dyDescent="0.2">
      <c r="B3" s="616"/>
      <c r="C3" s="616"/>
      <c r="D3" s="616"/>
      <c r="E3" s="616"/>
      <c r="F3" s="616"/>
      <c r="G3" s="616"/>
      <c r="H3" s="616"/>
      <c r="I3" s="616"/>
      <c r="J3" s="616"/>
      <c r="K3" s="616"/>
      <c r="L3" s="616"/>
      <c r="M3" s="616"/>
      <c r="N3" s="616"/>
      <c r="O3" s="616"/>
      <c r="P3" s="616"/>
      <c r="Q3" s="616"/>
      <c r="R3" s="616"/>
    </row>
    <row r="4" spans="2:24" x14ac:dyDescent="0.2">
      <c r="B4" s="616"/>
      <c r="C4" s="616"/>
      <c r="D4" s="616"/>
      <c r="E4" s="616"/>
      <c r="F4" s="616"/>
      <c r="G4" s="616"/>
      <c r="H4" s="616"/>
      <c r="I4" s="616"/>
      <c r="J4" s="616"/>
      <c r="K4" s="616"/>
      <c r="L4" s="616"/>
      <c r="M4" s="616"/>
      <c r="N4" s="616"/>
      <c r="O4" s="616"/>
      <c r="P4" s="616"/>
      <c r="Q4" s="616"/>
      <c r="R4" s="616"/>
    </row>
    <row r="5" spans="2:24" x14ac:dyDescent="0.2">
      <c r="B5" s="616"/>
      <c r="C5" s="616"/>
      <c r="D5" s="616"/>
      <c r="E5" s="616"/>
      <c r="F5" s="616"/>
      <c r="G5" s="616"/>
      <c r="H5" s="616"/>
      <c r="I5" s="616"/>
      <c r="J5" s="616"/>
      <c r="K5" s="616"/>
      <c r="L5" s="616"/>
      <c r="M5" s="616"/>
      <c r="N5" s="616"/>
      <c r="O5" s="616"/>
      <c r="P5" s="616"/>
      <c r="Q5" s="616"/>
      <c r="R5" s="616"/>
    </row>
    <row r="6" spans="2:24" x14ac:dyDescent="0.2">
      <c r="B6" s="616"/>
      <c r="C6" s="616"/>
      <c r="D6" s="616"/>
      <c r="E6" s="616"/>
      <c r="F6" s="616"/>
      <c r="G6" s="616"/>
      <c r="H6" s="616"/>
      <c r="I6" s="616"/>
      <c r="J6" s="616"/>
      <c r="K6" s="616"/>
      <c r="L6" s="616"/>
      <c r="M6" s="616"/>
      <c r="N6" s="616"/>
      <c r="O6" s="616"/>
      <c r="P6" s="616"/>
      <c r="Q6" s="616"/>
      <c r="R6" s="616"/>
    </row>
    <row r="7" spans="2:24" x14ac:dyDescent="0.2">
      <c r="B7" s="617" t="s">
        <v>2725</v>
      </c>
      <c r="C7" s="617"/>
      <c r="D7" s="617"/>
      <c r="E7" s="617"/>
      <c r="F7" s="617"/>
      <c r="G7" s="617"/>
      <c r="H7" s="617"/>
      <c r="I7" s="617"/>
      <c r="J7" s="617"/>
      <c r="K7" s="617"/>
      <c r="L7" s="617"/>
      <c r="M7" s="617"/>
      <c r="N7" s="617"/>
      <c r="O7" s="617"/>
      <c r="P7" s="617"/>
      <c r="Q7" s="617"/>
      <c r="R7" s="617"/>
    </row>
    <row r="8" spans="2:24" x14ac:dyDescent="0.2">
      <c r="B8" s="617"/>
      <c r="C8" s="617"/>
      <c r="D8" s="617"/>
      <c r="E8" s="617"/>
      <c r="F8" s="617"/>
      <c r="G8" s="617"/>
      <c r="H8" s="617"/>
      <c r="I8" s="617"/>
      <c r="J8" s="617"/>
      <c r="K8" s="617"/>
      <c r="L8" s="617"/>
      <c r="M8" s="617"/>
      <c r="N8" s="617"/>
      <c r="O8" s="617"/>
      <c r="P8" s="617"/>
      <c r="Q8" s="617"/>
      <c r="R8" s="617"/>
    </row>
    <row r="9" spans="2:24" x14ac:dyDescent="0.2">
      <c r="B9" s="617"/>
      <c r="C9" s="617"/>
      <c r="D9" s="617"/>
      <c r="E9" s="617"/>
      <c r="F9" s="617"/>
      <c r="G9" s="617"/>
      <c r="H9" s="617"/>
      <c r="I9" s="617"/>
      <c r="J9" s="617"/>
      <c r="K9" s="617"/>
      <c r="L9" s="617"/>
      <c r="M9" s="617"/>
      <c r="N9" s="617"/>
      <c r="O9" s="617"/>
      <c r="P9" s="617"/>
      <c r="Q9" s="617"/>
      <c r="R9" s="617"/>
      <c r="S9" s="618" t="s">
        <v>2703</v>
      </c>
      <c r="T9" s="618"/>
      <c r="U9" s="618"/>
      <c r="V9" s="618"/>
      <c r="W9" s="619">
        <f ca="1">RECEBÍVEIS!AA18</f>
        <v>2019</v>
      </c>
      <c r="X9" s="619"/>
    </row>
    <row r="10" spans="2:24" x14ac:dyDescent="0.2">
      <c r="B10" s="617"/>
      <c r="C10" s="617"/>
      <c r="D10" s="617"/>
      <c r="E10" s="617"/>
      <c r="F10" s="617"/>
      <c r="G10" s="617"/>
      <c r="H10" s="617"/>
      <c r="I10" s="617"/>
      <c r="J10" s="617"/>
      <c r="K10" s="617"/>
      <c r="L10" s="617"/>
      <c r="M10" s="617"/>
      <c r="N10" s="617"/>
      <c r="O10" s="617"/>
      <c r="P10" s="617"/>
      <c r="Q10" s="617"/>
      <c r="R10" s="617"/>
      <c r="S10" s="618"/>
      <c r="T10" s="618"/>
      <c r="U10" s="618"/>
      <c r="V10" s="618"/>
      <c r="W10" s="619"/>
      <c r="X10" s="619"/>
    </row>
    <row r="11" spans="2:24" x14ac:dyDescent="0.2">
      <c r="B11" s="617"/>
      <c r="C11" s="617"/>
      <c r="D11" s="617"/>
      <c r="E11" s="617"/>
      <c r="F11" s="617"/>
      <c r="G11" s="617"/>
      <c r="H11" s="617"/>
      <c r="I11" s="617"/>
      <c r="J11" s="617"/>
      <c r="K11" s="617"/>
      <c r="L11" s="617"/>
      <c r="M11" s="617"/>
      <c r="N11" s="617"/>
      <c r="O11" s="617"/>
      <c r="P11" s="617"/>
      <c r="Q11" s="617"/>
      <c r="R11" s="617"/>
      <c r="S11" s="618"/>
      <c r="T11" s="618"/>
      <c r="U11" s="618"/>
      <c r="V11" s="618"/>
      <c r="W11" s="619"/>
      <c r="X11" s="619"/>
    </row>
    <row r="12" spans="2:24" x14ac:dyDescent="0.2">
      <c r="B12" s="617"/>
      <c r="C12" s="617"/>
      <c r="D12" s="617"/>
      <c r="E12" s="617"/>
      <c r="F12" s="617"/>
      <c r="G12" s="617"/>
      <c r="H12" s="617"/>
      <c r="I12" s="617"/>
      <c r="J12" s="617"/>
      <c r="K12" s="617"/>
      <c r="L12" s="617"/>
      <c r="M12" s="617"/>
      <c r="N12" s="617"/>
      <c r="O12" s="617"/>
      <c r="P12" s="617"/>
      <c r="Q12" s="617"/>
      <c r="R12" s="617"/>
      <c r="S12" s="618"/>
      <c r="T12" s="618"/>
      <c r="U12" s="618"/>
      <c r="V12" s="618"/>
      <c r="W12" s="619"/>
      <c r="X12" s="619"/>
    </row>
    <row r="13" spans="2:24" x14ac:dyDescent="0.2">
      <c r="B13" s="617"/>
      <c r="C13" s="617"/>
      <c r="D13" s="617"/>
      <c r="E13" s="617"/>
      <c r="F13" s="617"/>
      <c r="G13" s="617"/>
      <c r="H13" s="617"/>
      <c r="I13" s="617"/>
      <c r="J13" s="617"/>
      <c r="K13" s="617"/>
      <c r="L13" s="617"/>
      <c r="M13" s="617"/>
      <c r="N13" s="617"/>
      <c r="O13" s="617"/>
      <c r="P13" s="617"/>
      <c r="Q13" s="617"/>
      <c r="R13" s="617"/>
      <c r="S13" s="618"/>
      <c r="T13" s="618"/>
      <c r="U13" s="618"/>
      <c r="V13" s="618"/>
      <c r="W13" s="619"/>
      <c r="X13" s="619"/>
    </row>
    <row r="14" spans="2:24" x14ac:dyDescent="0.2">
      <c r="B14" s="617"/>
      <c r="C14" s="617"/>
      <c r="D14" s="617"/>
      <c r="E14" s="617"/>
      <c r="F14" s="617"/>
      <c r="G14" s="617"/>
      <c r="H14" s="617"/>
      <c r="I14" s="617"/>
      <c r="J14" s="617"/>
      <c r="K14" s="617"/>
      <c r="L14" s="617"/>
      <c r="M14" s="617"/>
      <c r="N14" s="617"/>
      <c r="O14" s="617"/>
      <c r="P14" s="617"/>
      <c r="Q14" s="617"/>
      <c r="R14" s="617"/>
      <c r="W14" s="620" t="str">
        <f ca="1">CONCATENATE((FROTA!BQ6-FROTA!BQ14)," anos de uso")</f>
        <v>8 anos de uso</v>
      </c>
      <c r="X14" s="620"/>
    </row>
    <row r="15" spans="2:24" x14ac:dyDescent="0.2">
      <c r="B15" s="617"/>
      <c r="C15" s="617"/>
      <c r="D15" s="617"/>
      <c r="E15" s="617"/>
      <c r="F15" s="617"/>
      <c r="G15" s="617"/>
      <c r="H15" s="617"/>
      <c r="I15" s="617"/>
      <c r="J15" s="617"/>
      <c r="K15" s="617"/>
      <c r="L15" s="617"/>
      <c r="M15" s="617"/>
      <c r="N15" s="617"/>
      <c r="O15" s="617"/>
      <c r="P15" s="617"/>
      <c r="Q15" s="617"/>
      <c r="R15" s="617"/>
    </row>
    <row r="16" spans="2:24" x14ac:dyDescent="0.2">
      <c r="B16" s="617"/>
      <c r="C16" s="617"/>
      <c r="D16" s="617"/>
      <c r="E16" s="617"/>
      <c r="F16" s="617"/>
      <c r="G16" s="617"/>
      <c r="H16" s="617"/>
      <c r="I16" s="617"/>
      <c r="J16" s="617"/>
      <c r="K16" s="617"/>
      <c r="L16" s="617"/>
      <c r="M16" s="617"/>
      <c r="N16" s="617"/>
      <c r="O16" s="617"/>
      <c r="P16" s="617"/>
      <c r="Q16" s="617"/>
      <c r="R16" s="617"/>
    </row>
    <row r="17" spans="2:24" x14ac:dyDescent="0.2">
      <c r="B17" s="617"/>
      <c r="C17" s="617"/>
      <c r="D17" s="617"/>
      <c r="E17" s="617"/>
      <c r="F17" s="617"/>
      <c r="G17" s="617"/>
      <c r="H17" s="617"/>
      <c r="I17" s="617"/>
      <c r="J17" s="617"/>
      <c r="K17" s="617"/>
      <c r="L17" s="617"/>
      <c r="M17" s="617"/>
      <c r="N17" s="617"/>
      <c r="O17" s="617"/>
      <c r="P17" s="617"/>
      <c r="Q17" s="617"/>
      <c r="R17" s="617"/>
    </row>
    <row r="18" spans="2:24" x14ac:dyDescent="0.2">
      <c r="B18" s="617"/>
      <c r="C18" s="617"/>
      <c r="D18" s="617"/>
      <c r="E18" s="617"/>
      <c r="F18" s="617"/>
      <c r="G18" s="617"/>
      <c r="H18" s="617"/>
      <c r="I18" s="617"/>
      <c r="J18" s="617"/>
      <c r="K18" s="617"/>
      <c r="L18" s="617"/>
      <c r="M18" s="617"/>
      <c r="N18" s="617"/>
      <c r="O18" s="617"/>
      <c r="P18" s="617"/>
      <c r="Q18" s="617"/>
      <c r="R18" s="617"/>
    </row>
    <row r="19" spans="2:24" x14ac:dyDescent="0.2">
      <c r="B19" s="617"/>
      <c r="C19" s="617"/>
      <c r="D19" s="617"/>
      <c r="E19" s="617"/>
      <c r="F19" s="617"/>
      <c r="G19" s="617"/>
      <c r="H19" s="617"/>
      <c r="I19" s="617"/>
      <c r="J19" s="617"/>
      <c r="K19" s="617"/>
      <c r="L19" s="617"/>
      <c r="M19" s="617"/>
      <c r="N19" s="617"/>
      <c r="O19" s="617"/>
      <c r="P19" s="617"/>
      <c r="Q19" s="617"/>
      <c r="R19" s="617"/>
    </row>
    <row r="20" spans="2:24" x14ac:dyDescent="0.2">
      <c r="B20" s="617"/>
      <c r="C20" s="617"/>
      <c r="D20" s="617"/>
      <c r="E20" s="617"/>
      <c r="F20" s="617"/>
      <c r="G20" s="617"/>
      <c r="H20" s="617"/>
      <c r="I20" s="617"/>
      <c r="J20" s="617"/>
      <c r="K20" s="617"/>
      <c r="L20" s="617"/>
      <c r="M20" s="617"/>
      <c r="N20" s="617"/>
      <c r="O20" s="617"/>
      <c r="P20" s="617"/>
      <c r="Q20" s="617"/>
      <c r="R20" s="617"/>
    </row>
    <row r="21" spans="2:24" x14ac:dyDescent="0.2">
      <c r="B21" s="617"/>
      <c r="C21" s="617"/>
      <c r="D21" s="617"/>
      <c r="E21" s="617"/>
      <c r="F21" s="617"/>
      <c r="G21" s="617"/>
      <c r="H21" s="617"/>
      <c r="I21" s="617"/>
      <c r="J21" s="617"/>
      <c r="K21" s="617"/>
      <c r="L21" s="617"/>
      <c r="M21" s="617"/>
      <c r="N21" s="617"/>
      <c r="O21" s="617"/>
      <c r="P21" s="617"/>
      <c r="Q21" s="617"/>
      <c r="R21" s="617"/>
      <c r="S21" s="618" t="s">
        <v>2704</v>
      </c>
      <c r="T21" s="618"/>
      <c r="U21" s="618"/>
      <c r="V21" s="618"/>
      <c r="W21" s="619">
        <f ca="1">RECEBÍVEIS!AA24</f>
        <v>2013</v>
      </c>
      <c r="X21" s="619"/>
    </row>
    <row r="22" spans="2:24" x14ac:dyDescent="0.2">
      <c r="B22" s="617"/>
      <c r="C22" s="617"/>
      <c r="D22" s="617"/>
      <c r="E22" s="617"/>
      <c r="F22" s="617"/>
      <c r="G22" s="617"/>
      <c r="H22" s="617"/>
      <c r="I22" s="617"/>
      <c r="J22" s="617"/>
      <c r="K22" s="617"/>
      <c r="L22" s="617"/>
      <c r="M22" s="617"/>
      <c r="N22" s="617"/>
      <c r="O22" s="617"/>
      <c r="P22" s="617"/>
      <c r="Q22" s="617"/>
      <c r="R22" s="617"/>
      <c r="S22" s="618"/>
      <c r="T22" s="618"/>
      <c r="U22" s="618"/>
      <c r="V22" s="618"/>
      <c r="W22" s="619"/>
      <c r="X22" s="619"/>
    </row>
    <row r="23" spans="2:24" x14ac:dyDescent="0.2">
      <c r="B23" s="617"/>
      <c r="C23" s="617"/>
      <c r="D23" s="617"/>
      <c r="E23" s="617"/>
      <c r="F23" s="617"/>
      <c r="G23" s="617"/>
      <c r="H23" s="617"/>
      <c r="I23" s="617"/>
      <c r="J23" s="617"/>
      <c r="K23" s="617"/>
      <c r="L23" s="617"/>
      <c r="M23" s="617"/>
      <c r="N23" s="617"/>
      <c r="O23" s="617"/>
      <c r="P23" s="617"/>
      <c r="Q23" s="617"/>
      <c r="R23" s="617"/>
      <c r="S23" s="618"/>
      <c r="T23" s="618"/>
      <c r="U23" s="618"/>
      <c r="V23" s="618"/>
      <c r="W23" s="619"/>
      <c r="X23" s="619"/>
    </row>
    <row r="24" spans="2:24" x14ac:dyDescent="0.2">
      <c r="B24" s="617"/>
      <c r="C24" s="617"/>
      <c r="D24" s="617"/>
      <c r="E24" s="617"/>
      <c r="F24" s="617"/>
      <c r="G24" s="617"/>
      <c r="H24" s="617"/>
      <c r="I24" s="617"/>
      <c r="J24" s="617"/>
      <c r="K24" s="617"/>
      <c r="L24" s="617"/>
      <c r="M24" s="617"/>
      <c r="N24" s="617"/>
      <c r="O24" s="617"/>
      <c r="P24" s="617"/>
      <c r="Q24" s="617"/>
      <c r="R24" s="617"/>
      <c r="S24" s="618"/>
      <c r="T24" s="618"/>
      <c r="U24" s="618"/>
      <c r="V24" s="618"/>
      <c r="W24" s="619"/>
      <c r="X24" s="619"/>
    </row>
    <row r="25" spans="2:24" x14ac:dyDescent="0.2">
      <c r="B25" s="617"/>
      <c r="C25" s="617"/>
      <c r="D25" s="617"/>
      <c r="E25" s="617"/>
      <c r="F25" s="617"/>
      <c r="G25" s="617"/>
      <c r="H25" s="617"/>
      <c r="I25" s="617"/>
      <c r="J25" s="617"/>
      <c r="K25" s="617"/>
      <c r="L25" s="617"/>
      <c r="M25" s="617"/>
      <c r="N25" s="617"/>
      <c r="O25" s="617"/>
      <c r="P25" s="617"/>
      <c r="Q25" s="617"/>
      <c r="R25" s="617"/>
      <c r="S25" s="618"/>
      <c r="T25" s="618"/>
      <c r="U25" s="618"/>
      <c r="V25" s="618"/>
      <c r="W25" s="619"/>
      <c r="X25" s="619"/>
    </row>
    <row r="26" spans="2:24" x14ac:dyDescent="0.2">
      <c r="B26" s="617"/>
      <c r="C26" s="617"/>
      <c r="D26" s="617"/>
      <c r="E26" s="617"/>
      <c r="F26" s="617"/>
      <c r="G26" s="617"/>
      <c r="H26" s="617"/>
      <c r="I26" s="617"/>
      <c r="J26" s="617"/>
      <c r="K26" s="617"/>
      <c r="L26" s="617"/>
      <c r="M26" s="617"/>
      <c r="N26" s="617"/>
      <c r="O26" s="617"/>
      <c r="P26" s="617"/>
      <c r="Q26" s="617"/>
      <c r="R26" s="617"/>
      <c r="W26" s="620" t="str">
        <f ca="1">CONCATENATE((FROTA!BQ6-FROTA!BQ20)," anos de uso")</f>
        <v>14 anos de uso</v>
      </c>
      <c r="X26" s="620"/>
    </row>
    <row r="27" spans="2:24" x14ac:dyDescent="0.2">
      <c r="B27" s="617"/>
      <c r="C27" s="617"/>
      <c r="D27" s="617"/>
      <c r="E27" s="617"/>
      <c r="F27" s="617"/>
      <c r="G27" s="617"/>
      <c r="H27" s="617"/>
      <c r="I27" s="617"/>
      <c r="J27" s="617"/>
      <c r="K27" s="617"/>
      <c r="L27" s="617"/>
      <c r="M27" s="617"/>
      <c r="N27" s="617"/>
      <c r="O27" s="617"/>
      <c r="P27" s="617"/>
      <c r="Q27" s="617"/>
      <c r="R27" s="617"/>
    </row>
    <row r="28" spans="2:24" x14ac:dyDescent="0.2">
      <c r="B28" s="617"/>
      <c r="C28" s="617"/>
      <c r="D28" s="617"/>
      <c r="E28" s="617"/>
      <c r="F28" s="617"/>
      <c r="G28" s="617"/>
      <c r="H28" s="617"/>
      <c r="I28" s="617"/>
      <c r="J28" s="617"/>
      <c r="K28" s="617"/>
      <c r="L28" s="617"/>
      <c r="M28" s="617"/>
      <c r="N28" s="617"/>
      <c r="O28" s="617"/>
      <c r="P28" s="617"/>
      <c r="Q28" s="617"/>
      <c r="R28" s="617"/>
    </row>
    <row r="29" spans="2:24" x14ac:dyDescent="0.2">
      <c r="B29" s="617"/>
      <c r="C29" s="617"/>
      <c r="D29" s="617"/>
      <c r="E29" s="617"/>
      <c r="F29" s="617"/>
      <c r="G29" s="617"/>
      <c r="H29" s="617"/>
      <c r="I29" s="617"/>
      <c r="J29" s="617"/>
      <c r="K29" s="617"/>
      <c r="L29" s="617"/>
      <c r="M29" s="617"/>
      <c r="N29" s="617"/>
      <c r="O29" s="617"/>
      <c r="P29" s="617"/>
      <c r="Q29" s="617"/>
      <c r="R29" s="617"/>
    </row>
    <row r="30" spans="2:24" x14ac:dyDescent="0.2">
      <c r="B30" s="617"/>
      <c r="C30" s="617"/>
      <c r="D30" s="617"/>
      <c r="E30" s="617"/>
      <c r="F30" s="617"/>
      <c r="G30" s="617"/>
      <c r="H30" s="617"/>
      <c r="I30" s="617"/>
      <c r="J30" s="617"/>
      <c r="K30" s="617"/>
      <c r="L30" s="617"/>
      <c r="M30" s="617"/>
      <c r="N30" s="617"/>
      <c r="O30" s="617"/>
      <c r="P30" s="617"/>
      <c r="Q30" s="617"/>
      <c r="R30" s="617"/>
    </row>
    <row r="31" spans="2:24" x14ac:dyDescent="0.2">
      <c r="B31" s="617"/>
      <c r="C31" s="617"/>
      <c r="D31" s="617"/>
      <c r="E31" s="617"/>
      <c r="F31" s="617"/>
      <c r="G31" s="617"/>
      <c r="H31" s="617"/>
      <c r="I31" s="617"/>
      <c r="J31" s="617"/>
      <c r="K31" s="617"/>
      <c r="L31" s="617"/>
      <c r="M31" s="617"/>
      <c r="N31" s="617"/>
      <c r="O31" s="617"/>
      <c r="P31" s="617"/>
      <c r="Q31" s="617"/>
      <c r="R31" s="617"/>
    </row>
    <row r="32" spans="2:24" x14ac:dyDescent="0.2">
      <c r="B32" s="617"/>
      <c r="C32" s="617"/>
      <c r="D32" s="617"/>
      <c r="E32" s="617"/>
      <c r="F32" s="617"/>
      <c r="G32" s="617"/>
      <c r="H32" s="617"/>
      <c r="I32" s="617"/>
      <c r="J32" s="617"/>
      <c r="K32" s="617"/>
      <c r="L32" s="617"/>
      <c r="M32" s="617"/>
      <c r="N32" s="617"/>
      <c r="O32" s="617"/>
      <c r="P32" s="617"/>
      <c r="Q32" s="617"/>
      <c r="R32" s="617"/>
    </row>
    <row r="33" spans="2:18" ht="12.75" customHeight="1" x14ac:dyDescent="0.2">
      <c r="B33" s="615" t="s">
        <v>2622</v>
      </c>
      <c r="C33" s="615"/>
      <c r="D33" s="615"/>
      <c r="E33" s="615"/>
      <c r="F33" s="615"/>
      <c r="G33" s="615"/>
      <c r="H33" s="615"/>
      <c r="I33" s="615"/>
      <c r="J33" s="615"/>
      <c r="K33" s="615"/>
      <c r="L33" s="615"/>
      <c r="M33" s="615"/>
      <c r="N33" s="615"/>
      <c r="O33" s="615"/>
      <c r="P33" s="615"/>
      <c r="Q33" s="615"/>
      <c r="R33" s="615"/>
    </row>
    <row r="34" spans="2:18" ht="12.75" customHeight="1" x14ac:dyDescent="0.2">
      <c r="B34" s="615"/>
      <c r="C34" s="615"/>
      <c r="D34" s="615"/>
      <c r="E34" s="615"/>
      <c r="F34" s="615"/>
      <c r="G34" s="615"/>
      <c r="H34" s="615"/>
      <c r="I34" s="615"/>
      <c r="J34" s="615"/>
      <c r="K34" s="615"/>
      <c r="L34" s="615"/>
      <c r="M34" s="615"/>
      <c r="N34" s="615"/>
      <c r="O34" s="615"/>
      <c r="P34" s="615"/>
      <c r="Q34" s="615"/>
      <c r="R34" s="615"/>
    </row>
    <row r="35" spans="2:18" ht="12.75" customHeight="1" x14ac:dyDescent="0.2">
      <c r="B35" s="615"/>
      <c r="C35" s="615"/>
      <c r="D35" s="615"/>
      <c r="E35" s="615"/>
      <c r="F35" s="615"/>
      <c r="G35" s="615"/>
      <c r="H35" s="615"/>
      <c r="I35" s="615"/>
      <c r="J35" s="615"/>
      <c r="K35" s="615"/>
      <c r="L35" s="615"/>
      <c r="M35" s="615"/>
      <c r="N35" s="615"/>
      <c r="O35" s="615"/>
      <c r="P35" s="615"/>
      <c r="Q35" s="615"/>
      <c r="R35" s="615"/>
    </row>
  </sheetData>
  <sheetProtection algorithmName="SHA-512" hashValue="F9viy1gKcf5EHzv3Fob0N4UlUVrM3dOkPQ5o0pIoYvNnt+gsthOuQVBLOmTqoGsV0OqR2Nfd865mg5zwOGmMhw==" saltValue="BQXYEgje0zdgdRyj1JrUXA==" spinCount="100000" sheet="1" objects="1" scenarios="1"/>
  <mergeCells count="9">
    <mergeCell ref="B33:R35"/>
    <mergeCell ref="B2:R6"/>
    <mergeCell ref="B7:R32"/>
    <mergeCell ref="S9:V13"/>
    <mergeCell ref="W9:X13"/>
    <mergeCell ref="S21:V25"/>
    <mergeCell ref="W21:X25"/>
    <mergeCell ref="W14:X14"/>
    <mergeCell ref="W26:X26"/>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11">
    <tabColor theme="1" tint="4.9989318521683403E-2"/>
  </sheetPr>
  <dimension ref="A1:AU120"/>
  <sheetViews>
    <sheetView workbookViewId="0">
      <pane ySplit="4" topLeftCell="A5" activePane="bottomLeft" state="frozen"/>
      <selection pane="bottomLeft" activeCell="C3" sqref="C3:D3"/>
    </sheetView>
  </sheetViews>
  <sheetFormatPr defaultRowHeight="18" x14ac:dyDescent="0.2"/>
  <cols>
    <col min="1" max="1" width="3.140625" style="247" customWidth="1"/>
    <col min="2" max="2" width="29.140625" style="247" bestFit="1" customWidth="1"/>
    <col min="3" max="4" width="35.7109375" style="247" customWidth="1"/>
    <col min="5" max="5" width="21.42578125" style="247" customWidth="1"/>
    <col min="6" max="6" width="5.5703125" style="247" customWidth="1"/>
    <col min="7" max="8" width="8.85546875" style="247" customWidth="1"/>
    <col min="9" max="13" width="12.7109375" style="247" customWidth="1"/>
    <col min="14" max="15" width="12.7109375" style="238" customWidth="1"/>
    <col min="16" max="16" width="11.5703125" style="238" customWidth="1"/>
    <col min="17" max="17" width="11.85546875" style="239" customWidth="1"/>
    <col min="18" max="18" width="7" style="238" bestFit="1" customWidth="1"/>
    <col min="19" max="19" width="22.5703125" style="238" bestFit="1" customWidth="1"/>
    <col min="20" max="20" width="26.42578125" style="238" bestFit="1" customWidth="1"/>
    <col min="21" max="21" width="13.7109375" style="238" bestFit="1" customWidth="1"/>
    <col min="22" max="22" width="26.28515625" style="238" customWidth="1"/>
    <col min="23" max="23" width="26.42578125" style="238" bestFit="1" customWidth="1"/>
    <col min="24" max="24" width="13.7109375" style="238" bestFit="1" customWidth="1"/>
    <col min="25" max="25" width="20.85546875" style="238" customWidth="1"/>
    <col min="26" max="26" width="26.42578125" style="238" bestFit="1" customWidth="1"/>
    <col min="27" max="28" width="32.7109375" style="238" customWidth="1"/>
    <col min="29" max="29" width="38.28515625" style="490" bestFit="1" customWidth="1"/>
    <col min="30" max="38" width="9.7109375" style="490" customWidth="1"/>
    <col min="39" max="45" width="10.85546875" style="490" customWidth="1"/>
    <col min="46" max="47" width="9.140625" style="490"/>
    <col min="48" max="16384" width="9.140625" style="238"/>
  </cols>
  <sheetData>
    <row r="1" spans="1:45" ht="6" customHeight="1" thickBot="1" x14ac:dyDescent="0.25"/>
    <row r="2" spans="1:45" ht="17.25" customHeight="1" thickBot="1" x14ac:dyDescent="0.25">
      <c r="B2" s="529" t="s">
        <v>1024</v>
      </c>
      <c r="C2" s="530" t="s">
        <v>22</v>
      </c>
      <c r="D2" s="531"/>
      <c r="E2" s="638" t="s">
        <v>243</v>
      </c>
      <c r="F2" s="639"/>
      <c r="G2" s="628" t="s">
        <v>23</v>
      </c>
      <c r="H2" s="628"/>
      <c r="I2" s="628"/>
      <c r="J2" s="629"/>
      <c r="K2" s="627" t="s">
        <v>388</v>
      </c>
      <c r="L2" s="628"/>
      <c r="M2" s="629"/>
      <c r="O2" s="239"/>
      <c r="P2" s="239"/>
      <c r="AI2" s="490" t="s">
        <v>4</v>
      </c>
    </row>
    <row r="3" spans="1:45" ht="33" customHeight="1" thickBot="1" x14ac:dyDescent="0.25">
      <c r="B3" s="537"/>
      <c r="C3" s="642"/>
      <c r="D3" s="643"/>
      <c r="E3" s="640" t="str">
        <f>IF($C$3="","",VLOOKUP($C$3,'REL LINHAS'!$B$2:$K$2205,3,0))</f>
        <v/>
      </c>
      <c r="F3" s="641"/>
      <c r="G3" s="636" t="str">
        <f>IF($C$3="","",VLOOKUP($C$3,'REL LINHAS'!$B$2:$K$2205,4,0))</f>
        <v/>
      </c>
      <c r="H3" s="636"/>
      <c r="I3" s="636"/>
      <c r="J3" s="637"/>
      <c r="K3" s="630" t="str">
        <f>IF($C$3="","",VLOOKUP($C$3,'REL LINHAS'!$B$2:$K$2205,5,0))</f>
        <v/>
      </c>
      <c r="L3" s="631"/>
      <c r="M3" s="632"/>
      <c r="O3" s="240" t="str">
        <f>SEM!AH2</f>
        <v/>
      </c>
      <c r="P3" s="240" t="str">
        <f>SAB!AH2</f>
        <v/>
      </c>
      <c r="Q3" s="240" t="str">
        <f>DF!AH2</f>
        <v/>
      </c>
    </row>
    <row r="4" spans="1:45" ht="33" customHeight="1" thickBot="1" x14ac:dyDescent="0.25">
      <c r="A4" s="248"/>
      <c r="B4" s="104" t="s">
        <v>0</v>
      </c>
      <c r="C4" s="104" t="s">
        <v>20</v>
      </c>
      <c r="D4" s="104" t="s">
        <v>21</v>
      </c>
      <c r="E4" s="104" t="s">
        <v>1</v>
      </c>
      <c r="F4" s="633" t="s">
        <v>207</v>
      </c>
      <c r="G4" s="634"/>
      <c r="H4" s="105" t="s">
        <v>3</v>
      </c>
      <c r="I4" s="104" t="s">
        <v>216</v>
      </c>
      <c r="J4" s="106" t="s">
        <v>242</v>
      </c>
      <c r="K4" s="104" t="s">
        <v>245</v>
      </c>
      <c r="L4" s="583" t="s">
        <v>2634</v>
      </c>
      <c r="M4" s="583" t="s">
        <v>2633</v>
      </c>
      <c r="N4" s="241" t="e">
        <f>(O3/N22)*I5</f>
        <v>#VALUE!</v>
      </c>
      <c r="O4" s="238" t="s">
        <v>255</v>
      </c>
      <c r="P4" s="238" t="s">
        <v>256</v>
      </c>
      <c r="Q4" s="238" t="s">
        <v>257</v>
      </c>
      <c r="R4" s="241"/>
      <c r="T4" s="242" t="s">
        <v>178</v>
      </c>
      <c r="U4" s="242" t="s">
        <v>53</v>
      </c>
      <c r="V4" s="243" t="s">
        <v>191</v>
      </c>
      <c r="W4" s="238" t="s">
        <v>248</v>
      </c>
      <c r="X4" s="238" t="s">
        <v>190</v>
      </c>
      <c r="Y4" s="238" t="s">
        <v>249</v>
      </c>
      <c r="Z4" s="238" t="s">
        <v>250</v>
      </c>
      <c r="AA4" s="599" t="s">
        <v>266</v>
      </c>
      <c r="AB4" s="599" t="s">
        <v>2723</v>
      </c>
      <c r="AC4" s="490" t="s">
        <v>22</v>
      </c>
      <c r="AD4" s="490" t="s">
        <v>482</v>
      </c>
      <c r="AE4" s="490" t="s">
        <v>483</v>
      </c>
      <c r="AF4" s="490" t="s">
        <v>484</v>
      </c>
      <c r="AG4" s="490" t="s">
        <v>485</v>
      </c>
      <c r="AH4" s="490" t="s">
        <v>486</v>
      </c>
      <c r="AI4" s="490" t="s">
        <v>487</v>
      </c>
      <c r="AJ4" s="490" t="s">
        <v>488</v>
      </c>
      <c r="AK4" s="490" t="s">
        <v>489</v>
      </c>
      <c r="AL4" s="490" t="s">
        <v>490</v>
      </c>
      <c r="AM4" s="490" t="s">
        <v>491</v>
      </c>
      <c r="AN4" s="490" t="s">
        <v>492</v>
      </c>
      <c r="AO4" s="490" t="s">
        <v>493</v>
      </c>
      <c r="AP4" s="490" t="s">
        <v>494</v>
      </c>
      <c r="AQ4" s="490" t="s">
        <v>495</v>
      </c>
      <c r="AR4" s="490" t="s">
        <v>496</v>
      </c>
      <c r="AS4" s="490" t="s">
        <v>497</v>
      </c>
    </row>
    <row r="5" spans="1:45" ht="15.75" customHeight="1" thickTop="1" x14ac:dyDescent="0.2">
      <c r="A5" s="248" t="str">
        <f>IF(B5="","",IF(B5="---","",1))</f>
        <v/>
      </c>
      <c r="B5" s="538" t="str">
        <f>IF($C$3="","",IF(VLOOKUP($C$3,$AC$4:$AS$120,2,0)="","",VLOOKUP($C$3,$AC$4:$AS$120,2,0)))</f>
        <v/>
      </c>
      <c r="C5" s="97" t="str">
        <f>IF($B5="","",IF($B5="---","---",VLOOKUP($B5,'REL LINHAS'!$B$2:$K$2205,2,0)))</f>
        <v/>
      </c>
      <c r="D5" s="97" t="str">
        <f>IF($B5="","",IF($B5="---","---",VLOOKUP($B5,'REL LINHAS'!$B$2:$K$2205,3,0)))</f>
        <v/>
      </c>
      <c r="E5" s="539" t="str">
        <f>IF($B5="","",IF($B5="---","---",VLOOKUP($B5,'REL LINHAS'!$B$2:$K$2205,4,0)))</f>
        <v/>
      </c>
      <c r="F5" s="540" t="str">
        <f t="shared" ref="F5:F10" si="0">IF(E5="","",IF(E5="---","---",VLOOKUP(E5,$T$4:$U$14,2,0)))</f>
        <v/>
      </c>
      <c r="G5" s="540" t="str">
        <f t="shared" ref="G5:G10" si="1">IF(F5="","",IF(F5="---","---","pessoas"))</f>
        <v/>
      </c>
      <c r="H5" s="108" t="str">
        <f>IF($B5="","",IF($B5="---","---",VLOOKUP($B5,'REL LINHAS'!$B$2:$K$2205,5,0)))</f>
        <v/>
      </c>
      <c r="I5" s="57" t="str">
        <f>IF($B5="","",IF($B5="---","---",VLOOKUP($B5,'REL LINHAS'!$B$2:$K$2205,6,0)))</f>
        <v/>
      </c>
      <c r="J5" s="65" t="str">
        <f>IF($B5="","",IF($B5="---","---",VLOOKUP($B5,'REL LINHAS'!$B$2:$K$2205,7,0)))</f>
        <v/>
      </c>
      <c r="K5" s="69" t="str">
        <f t="shared" ref="K5:K10" si="2">IF(I5="","",IF(J5="---","---",SUM(I5:J5)))</f>
        <v/>
      </c>
      <c r="L5" s="64" t="str">
        <f>IF($B5="","",IF($B5="---","---",VLOOKUP($B5,'REL LINHAS'!$B$2:$K$2205,9,0)))</f>
        <v/>
      </c>
      <c r="M5" s="124" t="str">
        <f>IF($B5="","",IF($B5="---","---",VLOOKUP($B5,'REL LINHAS'!$B$2:$K$2205,10,0)))</f>
        <v/>
      </c>
      <c r="N5" s="238" t="str">
        <f>IF(I5="","",IF(I5="---","---",I5*F5))</f>
        <v/>
      </c>
      <c r="O5" s="241" t="str">
        <f>IF($I5="","",IF($I5="---","",($O$3/N22)*$N5))</f>
        <v/>
      </c>
      <c r="P5" s="241" t="str">
        <f t="shared" ref="P5:P21" si="3">IF($I5="","",IF($I5="---","",($P$3/SUM($N$5:$N$20)*$N5)))</f>
        <v/>
      </c>
      <c r="Q5" s="241" t="str">
        <f t="shared" ref="Q5:Q21" si="4">IF($M5="","",IF($M5="---","",($Q$3/SUM($N$5:$N$20)*$N5)))</f>
        <v/>
      </c>
      <c r="R5" s="241"/>
      <c r="S5" s="241"/>
      <c r="T5" s="242" t="s">
        <v>192</v>
      </c>
      <c r="U5" s="242">
        <v>22</v>
      </c>
      <c r="V5" s="243" t="s">
        <v>193</v>
      </c>
      <c r="W5" s="238" t="str">
        <f>B5</f>
        <v/>
      </c>
      <c r="X5" s="238" t="str">
        <f>IF(K5="","",ROUNDUP((SUM(RECEBÍVEIS!$E$10/SUM(PERFIL!$K$5:$K$20))*PERFIL!K5),0))</f>
        <v/>
      </c>
      <c r="Y5" s="238" t="str">
        <f>IF(X5="","",ROUNDUP((X5*0.65),0))</f>
        <v/>
      </c>
      <c r="AA5" s="596">
        <v>11</v>
      </c>
      <c r="AB5" s="596" t="s">
        <v>498</v>
      </c>
      <c r="AC5" s="546" t="s">
        <v>1150</v>
      </c>
      <c r="AD5" s="547" t="s">
        <v>501</v>
      </c>
      <c r="AE5" s="547" t="s">
        <v>504</v>
      </c>
      <c r="AF5" s="547" t="s">
        <v>506</v>
      </c>
      <c r="AG5" s="547" t="s">
        <v>508</v>
      </c>
      <c r="AH5" s="547" t="s">
        <v>510</v>
      </c>
      <c r="AI5" s="547" t="s">
        <v>513</v>
      </c>
      <c r="AJ5" s="547" t="s">
        <v>515</v>
      </c>
      <c r="AK5" s="547" t="s">
        <v>517</v>
      </c>
      <c r="AL5" s="490" t="s">
        <v>519</v>
      </c>
      <c r="AM5" s="490" t="s">
        <v>522</v>
      </c>
      <c r="AN5" s="490" t="s">
        <v>524</v>
      </c>
    </row>
    <row r="6" spans="1:45" ht="15.75" customHeight="1" x14ac:dyDescent="0.2">
      <c r="A6" s="248" t="str">
        <f t="shared" ref="A6:A20" si="5">IF(B6="","",IF(B6="---","",1))</f>
        <v/>
      </c>
      <c r="B6" s="538" t="str">
        <f>IF($C$3="","",IF(VLOOKUP($C$3,$AC$4:$AS$120,3,0)="","---",VLOOKUP($C$3,$AC$4:$AS$120,3,0)))</f>
        <v/>
      </c>
      <c r="C6" s="97" t="str">
        <f>IF($B6="","",IF($B6="---","---",VLOOKUP($B6,'REL LINHAS'!$B$2:$K$2205,2,0)))</f>
        <v/>
      </c>
      <c r="D6" s="97" t="str">
        <f>IF($B6="","",IF($B6="---","---",VLOOKUP($B6,'REL LINHAS'!$B$2:$K$2205,3,0)))</f>
        <v/>
      </c>
      <c r="E6" s="539" t="str">
        <f>IF($B6="","",IF($B6="---","---",VLOOKUP($B6,'REL LINHAS'!$B$2:$K$2205,4,0)))</f>
        <v/>
      </c>
      <c r="F6" s="540" t="str">
        <f t="shared" si="0"/>
        <v/>
      </c>
      <c r="G6" s="540" t="str">
        <f t="shared" si="1"/>
        <v/>
      </c>
      <c r="H6" s="108" t="str">
        <f>IF($B6="","",IF($B6="---","---",VLOOKUP($B6,'REL LINHAS'!$B$2:$K$2205,5,0)))</f>
        <v/>
      </c>
      <c r="I6" s="57" t="str">
        <f>IF($B6="","",IF($B6="---","---",VLOOKUP($B6,'REL LINHAS'!$B$2:$K$2205,6,0)))</f>
        <v/>
      </c>
      <c r="J6" s="65" t="str">
        <f>IF($B6="","",IF($B6="---","---",VLOOKUP($B6,'REL LINHAS'!$B$2:$K$2205,7,0)))</f>
        <v/>
      </c>
      <c r="K6" s="69" t="str">
        <f t="shared" si="2"/>
        <v/>
      </c>
      <c r="L6" s="64" t="str">
        <f>IF($B6="","",IF($B6="---","---",VLOOKUP($B6,'REL LINHAS'!$B$2:$K$2205,9,0)))</f>
        <v/>
      </c>
      <c r="M6" s="124" t="str">
        <f>IF($B6="","",IF($B6="---","---",VLOOKUP($B6,'REL LINHAS'!$B$2:$K$2205,10,0)))</f>
        <v/>
      </c>
      <c r="N6" s="238" t="str">
        <f t="shared" ref="N6:N20" si="6">IF(I6="","",IF(I6="---","---",I6*F6))</f>
        <v/>
      </c>
      <c r="O6" s="241" t="str">
        <f>IF($I6="","",IF($I6="---","",($O$3/SUM($N$5:$N$20)*$N6)))</f>
        <v/>
      </c>
      <c r="P6" s="241" t="str">
        <f t="shared" si="3"/>
        <v/>
      </c>
      <c r="Q6" s="241" t="str">
        <f t="shared" si="4"/>
        <v/>
      </c>
      <c r="R6" s="241"/>
      <c r="S6" s="241"/>
      <c r="T6" s="242" t="s">
        <v>179</v>
      </c>
      <c r="U6" s="242">
        <v>32</v>
      </c>
      <c r="V6" s="243" t="s">
        <v>194</v>
      </c>
      <c r="W6" s="238" t="str">
        <f t="shared" ref="W6:W20" si="7">B6</f>
        <v/>
      </c>
      <c r="X6" s="238" t="str">
        <f>IF(K6="","",ROUNDUP((SUM(RECEBÍVEIS!$E$10/SUM(PERFIL!$K$5:$K$20))*PERFIL!K6),0))</f>
        <v/>
      </c>
      <c r="Y6" s="238" t="str">
        <f t="shared" ref="Y6:Y20" si="8">IF(X6="","",ROUNDUP((X6*0.65),0))</f>
        <v/>
      </c>
      <c r="AA6" s="596">
        <v>12</v>
      </c>
      <c r="AB6" s="596"/>
      <c r="AC6" s="546" t="s">
        <v>1156</v>
      </c>
      <c r="AD6" s="547" t="s">
        <v>538</v>
      </c>
      <c r="AE6" s="547" t="s">
        <v>541</v>
      </c>
      <c r="AF6" s="547" t="s">
        <v>544</v>
      </c>
      <c r="AG6" s="547" t="s">
        <v>547</v>
      </c>
      <c r="AH6" s="547" t="s">
        <v>548</v>
      </c>
      <c r="AI6" s="547" t="s">
        <v>550</v>
      </c>
      <c r="AJ6" s="547" t="s">
        <v>553</v>
      </c>
      <c r="AK6" s="547"/>
    </row>
    <row r="7" spans="1:45" ht="15.75" customHeight="1" x14ac:dyDescent="0.2">
      <c r="A7" s="248" t="str">
        <f t="shared" si="5"/>
        <v/>
      </c>
      <c r="B7" s="538" t="str">
        <f>IF($C$3="","",IF(VLOOKUP($C$3,$AC$4:$AS$120,4,0)="","---",VLOOKUP($C$3,$AC$4:$AS$120,4,0)))</f>
        <v/>
      </c>
      <c r="C7" s="97" t="str">
        <f>IF($B7="","",IF($B7="---","---",VLOOKUP($B7,'REL LINHAS'!$B$2:$K$2205,2,0)))</f>
        <v/>
      </c>
      <c r="D7" s="97" t="str">
        <f>IF($B7="","",IF($B7="---","---",VLOOKUP($B7,'REL LINHAS'!$B$2:$K$2205,3,0)))</f>
        <v/>
      </c>
      <c r="E7" s="539" t="str">
        <f>IF($B7="","",IF($B7="---","---",VLOOKUP($B7,'REL LINHAS'!$B$2:$K$2205,4,0)))</f>
        <v/>
      </c>
      <c r="F7" s="540" t="str">
        <f t="shared" si="0"/>
        <v/>
      </c>
      <c r="G7" s="540" t="str">
        <f t="shared" si="1"/>
        <v/>
      </c>
      <c r="H7" s="108" t="str">
        <f>IF($B7="","",IF($B7="---","---",VLOOKUP($B7,'REL LINHAS'!$B$2:$K$2205,5,0)))</f>
        <v/>
      </c>
      <c r="I7" s="57" t="str">
        <f>IF($B7="","",IF($B7="---","---",VLOOKUP($B7,'REL LINHAS'!$B$2:$K$2205,6,0)))</f>
        <v/>
      </c>
      <c r="J7" s="65" t="str">
        <f>IF($B7="","",IF($B7="---","---",VLOOKUP($B7,'REL LINHAS'!$B$2:$K$2205,7,0)))</f>
        <v/>
      </c>
      <c r="K7" s="69" t="str">
        <f t="shared" si="2"/>
        <v/>
      </c>
      <c r="L7" s="64" t="str">
        <f>IF($B7="","",IF($B7="---","---",VLOOKUP($B7,'REL LINHAS'!$B$2:$K$2205,9,0)))</f>
        <v/>
      </c>
      <c r="M7" s="124" t="str">
        <f>IF($B7="","",IF($B7="---","---",VLOOKUP($B7,'REL LINHAS'!$B$2:$K$2205,10,0)))</f>
        <v/>
      </c>
      <c r="N7" s="238" t="str">
        <f t="shared" si="6"/>
        <v/>
      </c>
      <c r="O7" s="241" t="str">
        <f t="shared" ref="O7:O21" si="9">IF($I7="","",IF($I7="---","",($O$3/SUM($N$5:$N$20)*$N7)))</f>
        <v/>
      </c>
      <c r="P7" s="241" t="str">
        <f t="shared" si="3"/>
        <v/>
      </c>
      <c r="Q7" s="241" t="str">
        <f t="shared" si="4"/>
        <v/>
      </c>
      <c r="R7" s="241"/>
      <c r="S7" s="241"/>
      <c r="T7" s="242" t="s">
        <v>265</v>
      </c>
      <c r="U7" s="242">
        <v>67</v>
      </c>
      <c r="V7" s="243" t="s">
        <v>195</v>
      </c>
      <c r="W7" s="238" t="str">
        <f t="shared" si="7"/>
        <v/>
      </c>
      <c r="X7" s="238" t="str">
        <f>IF(K7="","",ROUNDUP((SUM(RECEBÍVEIS!$E$10/SUM(PERFIL!$K$5:$K$20))*PERFIL!K7),0))</f>
        <v/>
      </c>
      <c r="Y7" s="238" t="str">
        <f t="shared" si="8"/>
        <v/>
      </c>
      <c r="AA7" s="596">
        <v>13</v>
      </c>
      <c r="AB7" s="596"/>
      <c r="AC7" s="546" t="s">
        <v>1025</v>
      </c>
      <c r="AD7" s="547" t="s">
        <v>557</v>
      </c>
      <c r="AE7" s="547" t="s">
        <v>559</v>
      </c>
      <c r="AF7" s="547" t="s">
        <v>561</v>
      </c>
      <c r="AG7" s="547" t="s">
        <v>563</v>
      </c>
      <c r="AH7" s="547" t="s">
        <v>565</v>
      </c>
      <c r="AI7" s="547" t="s">
        <v>567</v>
      </c>
      <c r="AJ7" s="547" t="s">
        <v>570</v>
      </c>
      <c r="AK7" s="547"/>
    </row>
    <row r="8" spans="1:45" ht="15.75" customHeight="1" x14ac:dyDescent="0.2">
      <c r="A8" s="248" t="str">
        <f t="shared" si="5"/>
        <v/>
      </c>
      <c r="B8" s="538" t="str">
        <f>IF($C$3="","",IF(VLOOKUP($C$3,$AC$4:$AS$120,5,0)="","---",VLOOKUP($C$3,$AC$4:$AS$120,5,0)))</f>
        <v/>
      </c>
      <c r="C8" s="97" t="str">
        <f>IF($B8="","",IF($B8="---","---",VLOOKUP($B8,'REL LINHAS'!$B$2:$K$2205,2,0)))</f>
        <v/>
      </c>
      <c r="D8" s="97" t="str">
        <f>IF($B8="","",IF($B8="---","---",VLOOKUP($B8,'REL LINHAS'!$B$2:$K$2205,3,0)))</f>
        <v/>
      </c>
      <c r="E8" s="539" t="str">
        <f>IF($B8="","",IF($B8="---","---",VLOOKUP($B8,'REL LINHAS'!$B$2:$K$2205,4,0)))</f>
        <v/>
      </c>
      <c r="F8" s="540" t="str">
        <f t="shared" si="0"/>
        <v/>
      </c>
      <c r="G8" s="540" t="str">
        <f t="shared" si="1"/>
        <v/>
      </c>
      <c r="H8" s="108" t="str">
        <f>IF($B8="","",IF($B8="---","---",VLOOKUP($B8,'REL LINHAS'!$B$2:$K$2205,5,0)))</f>
        <v/>
      </c>
      <c r="I8" s="57" t="str">
        <f>IF($B8="","",IF($B8="---","---",VLOOKUP($B8,'REL LINHAS'!$B$2:$K$2205,6,0)))</f>
        <v/>
      </c>
      <c r="J8" s="65" t="str">
        <f>IF($B8="","",IF($B8="---","---",VLOOKUP($B8,'REL LINHAS'!$B$2:$K$2205,7,0)))</f>
        <v/>
      </c>
      <c r="K8" s="69" t="str">
        <f t="shared" si="2"/>
        <v/>
      </c>
      <c r="L8" s="64" t="str">
        <f>IF($B8="","",IF($B8="---","---",VLOOKUP($B8,'REL LINHAS'!$B$2:$K$2205,9,0)))</f>
        <v/>
      </c>
      <c r="M8" s="124" t="str">
        <f>IF($B8="","",IF($B8="---","---",VLOOKUP($B8,'REL LINHAS'!$B$2:$K$2205,10,0)))</f>
        <v/>
      </c>
      <c r="N8" s="238" t="str">
        <f t="shared" si="6"/>
        <v/>
      </c>
      <c r="O8" s="241" t="str">
        <f t="shared" si="9"/>
        <v/>
      </c>
      <c r="P8" s="241" t="str">
        <f t="shared" si="3"/>
        <v/>
      </c>
      <c r="Q8" s="241" t="str">
        <f t="shared" si="4"/>
        <v/>
      </c>
      <c r="R8" s="241"/>
      <c r="S8" s="241"/>
      <c r="T8" s="242" t="s">
        <v>55</v>
      </c>
      <c r="U8" s="242">
        <v>90</v>
      </c>
      <c r="V8" s="243" t="s">
        <v>196</v>
      </c>
      <c r="W8" s="238" t="str">
        <f t="shared" si="7"/>
        <v/>
      </c>
      <c r="X8" s="238" t="str">
        <f>IF(K8="","",ROUNDUP((SUM(RECEBÍVEIS!$E$10/SUM(PERFIL!$K$5:$K$20))*PERFIL!K8),0))</f>
        <v/>
      </c>
      <c r="Y8" s="238" t="str">
        <f t="shared" si="8"/>
        <v/>
      </c>
      <c r="AA8" s="596">
        <v>14</v>
      </c>
      <c r="AB8" s="596"/>
      <c r="AC8" s="546" t="s">
        <v>1145</v>
      </c>
      <c r="AD8" s="547" t="s">
        <v>575</v>
      </c>
      <c r="AE8" s="547" t="s">
        <v>578</v>
      </c>
      <c r="AF8" s="547" t="s">
        <v>581</v>
      </c>
      <c r="AG8" s="547" t="s">
        <v>584</v>
      </c>
      <c r="AH8" s="547" t="s">
        <v>586</v>
      </c>
      <c r="AI8" s="547" t="s">
        <v>589</v>
      </c>
      <c r="AJ8" s="547" t="s">
        <v>591</v>
      </c>
      <c r="AK8" s="547" t="s">
        <v>594</v>
      </c>
      <c r="AL8" s="490" t="s">
        <v>597</v>
      </c>
      <c r="AM8" s="490" t="s">
        <v>600</v>
      </c>
      <c r="AN8" s="490" t="s">
        <v>602</v>
      </c>
    </row>
    <row r="9" spans="1:45" ht="15.75" customHeight="1" x14ac:dyDescent="0.2">
      <c r="A9" s="248" t="str">
        <f t="shared" si="5"/>
        <v/>
      </c>
      <c r="B9" s="538" t="str">
        <f>IF($C$3="","",IF(VLOOKUP($C$3,$AC$4:$AS$120,6,0)="","---",VLOOKUP($C$3,$AC$4:$AS$120,6,0)))</f>
        <v/>
      </c>
      <c r="C9" s="97" t="str">
        <f>IF($B9="","",IF($B9="---","---",VLOOKUP($B9,'REL LINHAS'!$B$2:$K$2205,2,0)))</f>
        <v/>
      </c>
      <c r="D9" s="97" t="str">
        <f>IF($B9="","",IF($B9="---","---",VLOOKUP($B9,'REL LINHAS'!$B$2:$K$2205,3,0)))</f>
        <v/>
      </c>
      <c r="E9" s="539" t="str">
        <f>IF($B9="","",IF($B9="---","---",VLOOKUP($B9,'REL LINHAS'!$B$2:$K$2205,4,0)))</f>
        <v/>
      </c>
      <c r="F9" s="540" t="str">
        <f t="shared" si="0"/>
        <v/>
      </c>
      <c r="G9" s="540" t="str">
        <f t="shared" si="1"/>
        <v/>
      </c>
      <c r="H9" s="108" t="str">
        <f>IF($B9="","",IF($B9="---","---",VLOOKUP($B9,'REL LINHAS'!$B$2:$K$2205,5,0)))</f>
        <v/>
      </c>
      <c r="I9" s="57" t="str">
        <f>IF($B9="","",IF($B9="---","---",VLOOKUP($B9,'REL LINHAS'!$B$2:$K$2205,6,0)))</f>
        <v/>
      </c>
      <c r="J9" s="65" t="str">
        <f>IF($B9="","",IF($B9="---","---",VLOOKUP($B9,'REL LINHAS'!$B$2:$K$2205,7,0)))</f>
        <v/>
      </c>
      <c r="K9" s="69" t="str">
        <f t="shared" si="2"/>
        <v/>
      </c>
      <c r="L9" s="64" t="str">
        <f>IF($B9="","",IF($B9="---","---",VLOOKUP($B9,'REL LINHAS'!$B$2:$K$2205,9,0)))</f>
        <v/>
      </c>
      <c r="M9" s="124" t="str">
        <f>IF($B9="","",IF($B9="---","---",VLOOKUP($B9,'REL LINHAS'!$B$2:$K$2205,10,0)))</f>
        <v/>
      </c>
      <c r="N9" s="238" t="str">
        <f t="shared" si="6"/>
        <v/>
      </c>
      <c r="O9" s="241" t="str">
        <f t="shared" si="9"/>
        <v/>
      </c>
      <c r="P9" s="241" t="str">
        <f t="shared" si="3"/>
        <v/>
      </c>
      <c r="Q9" s="241" t="str">
        <f t="shared" si="4"/>
        <v/>
      </c>
      <c r="R9" s="241"/>
      <c r="S9" s="241"/>
      <c r="T9" s="242" t="s">
        <v>180</v>
      </c>
      <c r="U9" s="242">
        <v>105</v>
      </c>
      <c r="V9" s="243" t="s">
        <v>197</v>
      </c>
      <c r="W9" s="238" t="str">
        <f t="shared" si="7"/>
        <v/>
      </c>
      <c r="X9" s="238" t="str">
        <f>IF(K9="","",ROUNDUP((SUM(RECEBÍVEIS!$E$10/SUM(PERFIL!$K$5:$K$20))*PERFIL!K9),0))</f>
        <v/>
      </c>
      <c r="Y9" s="238" t="str">
        <f t="shared" si="8"/>
        <v/>
      </c>
      <c r="AA9" s="596">
        <v>15</v>
      </c>
      <c r="AB9" s="596"/>
      <c r="AC9" s="546" t="s">
        <v>1157</v>
      </c>
      <c r="AD9" s="547" t="s">
        <v>605</v>
      </c>
      <c r="AE9" s="547" t="s">
        <v>608</v>
      </c>
      <c r="AF9" s="547" t="s">
        <v>610</v>
      </c>
      <c r="AG9" s="547" t="s">
        <v>612</v>
      </c>
      <c r="AH9" s="547" t="s">
        <v>614</v>
      </c>
      <c r="AI9" s="547" t="s">
        <v>617</v>
      </c>
      <c r="AJ9" s="547" t="s">
        <v>620</v>
      </c>
      <c r="AK9" s="547"/>
    </row>
    <row r="10" spans="1:45" ht="15.75" customHeight="1" x14ac:dyDescent="0.2">
      <c r="A10" s="248" t="str">
        <f t="shared" si="5"/>
        <v/>
      </c>
      <c r="B10" s="538" t="str">
        <f>IF($C$3="","",IF(VLOOKUP($C$3,$AC$4:$AS$120,7,0)="","---",VLOOKUP($C$3,$AC$4:$AS$120,7,0)))</f>
        <v/>
      </c>
      <c r="C10" s="97" t="str">
        <f>IF($B10="","",IF($B10="---","---",VLOOKUP($B10,'REL LINHAS'!$B$2:$K$2205,2,0)))</f>
        <v/>
      </c>
      <c r="D10" s="97" t="str">
        <f>IF($B10="","",IF($B10="---","---",VLOOKUP($B10,'REL LINHAS'!$B$2:$K$2205,3,0)))</f>
        <v/>
      </c>
      <c r="E10" s="539" t="str">
        <f>IF($B10="","",IF($B10="---","---",VLOOKUP($B10,'REL LINHAS'!$B$2:$K$2205,4,0)))</f>
        <v/>
      </c>
      <c r="F10" s="540" t="str">
        <f t="shared" si="0"/>
        <v/>
      </c>
      <c r="G10" s="540" t="str">
        <f t="shared" si="1"/>
        <v/>
      </c>
      <c r="H10" s="108" t="str">
        <f>IF($B10="","",IF($B10="---","---",VLOOKUP($B10,'REL LINHAS'!$B$2:$K$2205,5,0)))</f>
        <v/>
      </c>
      <c r="I10" s="57" t="str">
        <f>IF($B10="","",IF($B10="---","---",VLOOKUP($B10,'REL LINHAS'!$B$2:$K$2205,6,0)))</f>
        <v/>
      </c>
      <c r="J10" s="65" t="str">
        <f>IF($B10="","",IF($B10="---","---",VLOOKUP($B10,'REL LINHAS'!$B$2:$K$2205,7,0)))</f>
        <v/>
      </c>
      <c r="K10" s="69" t="str">
        <f t="shared" si="2"/>
        <v/>
      </c>
      <c r="L10" s="64" t="str">
        <f>IF($B10="","",IF($B10="---","---",VLOOKUP($B10,'REL LINHAS'!$B$2:$K$2205,9,0)))</f>
        <v/>
      </c>
      <c r="M10" s="124" t="str">
        <f>IF($B10="","",IF($B10="---","---",VLOOKUP($B10,'REL LINHAS'!$B$2:$K$2205,10,0)))</f>
        <v/>
      </c>
      <c r="N10" s="238" t="str">
        <f t="shared" si="6"/>
        <v/>
      </c>
      <c r="O10" s="241" t="str">
        <f t="shared" si="9"/>
        <v/>
      </c>
      <c r="P10" s="241" t="str">
        <f t="shared" si="3"/>
        <v/>
      </c>
      <c r="Q10" s="241" t="str">
        <f t="shared" si="4"/>
        <v/>
      </c>
      <c r="R10" s="241"/>
      <c r="S10" s="241"/>
      <c r="T10" s="242" t="s">
        <v>56</v>
      </c>
      <c r="U10" s="242">
        <v>145</v>
      </c>
      <c r="V10" s="243" t="s">
        <v>198</v>
      </c>
      <c r="W10" s="238" t="str">
        <f t="shared" si="7"/>
        <v/>
      </c>
      <c r="X10" s="238" t="str">
        <f>IF(K10="","",ROUNDUP((SUM(RECEBÍVEIS!$E$10/SUM(PERFIL!$K$5:$K$20))*PERFIL!K10),0))</f>
        <v/>
      </c>
      <c r="Y10" s="238" t="str">
        <f t="shared" si="8"/>
        <v/>
      </c>
      <c r="AA10" s="596">
        <v>16</v>
      </c>
      <c r="AB10" s="596"/>
      <c r="AC10" s="546" t="s">
        <v>1136</v>
      </c>
      <c r="AD10" s="547" t="s">
        <v>624</v>
      </c>
      <c r="AE10" s="547" t="s">
        <v>627</v>
      </c>
      <c r="AF10" s="547" t="s">
        <v>630</v>
      </c>
      <c r="AG10" s="547" t="s">
        <v>632</v>
      </c>
      <c r="AH10" s="547" t="s">
        <v>633</v>
      </c>
      <c r="AI10" s="547" t="s">
        <v>635</v>
      </c>
      <c r="AJ10" s="547" t="s">
        <v>637</v>
      </c>
      <c r="AK10" s="547"/>
    </row>
    <row r="11" spans="1:45" ht="15.75" customHeight="1" x14ac:dyDescent="0.2">
      <c r="A11" s="248" t="str">
        <f t="shared" si="5"/>
        <v/>
      </c>
      <c r="B11" s="538" t="str">
        <f>IF($C$3="","",IF(VLOOKUP($C$3,$AC$4:$AS$120,8,0)="","---",VLOOKUP($C$3,$AC$4:$AS$120,8,0)))</f>
        <v/>
      </c>
      <c r="C11" s="97" t="str">
        <f>IF($B11="","",IF($B11="---","---",VLOOKUP($B11,'REL LINHAS'!$B$2:$K$2205,2,0)))</f>
        <v/>
      </c>
      <c r="D11" s="97" t="str">
        <f>IF($B11="","",IF($B11="---","---",VLOOKUP($B11,'REL LINHAS'!$B$2:$K$2205,3,0)))</f>
        <v/>
      </c>
      <c r="E11" s="539" t="str">
        <f>IF($B11="","",IF($B11="---","---",VLOOKUP($B11,'REL LINHAS'!$B$2:$K$2205,4,0)))</f>
        <v/>
      </c>
      <c r="F11" s="540" t="str">
        <f t="shared" ref="F11:F19" si="10">IF(E11="","",IF(E11="---","---",VLOOKUP(E11,$T$4:$U$14,2,0)))</f>
        <v/>
      </c>
      <c r="G11" s="540" t="str">
        <f t="shared" ref="G11:G19" si="11">IF(F11="","",IF(F11="---","---","pessoas"))</f>
        <v/>
      </c>
      <c r="H11" s="108" t="str">
        <f>IF($B11="","",IF($B11="---","---",VLOOKUP($B11,'REL LINHAS'!$B$2:$K$2205,5,0)))</f>
        <v/>
      </c>
      <c r="I11" s="57" t="str">
        <f>IF($B11="","",IF($B11="---","---",VLOOKUP($B11,'REL LINHAS'!$B$2:$K$2205,6,0)))</f>
        <v/>
      </c>
      <c r="J11" s="65" t="str">
        <f>IF($B11="","",IF($B11="---","---",VLOOKUP($B11,'REL LINHAS'!$B$2:$K$2205,7,0)))</f>
        <v/>
      </c>
      <c r="K11" s="69" t="str">
        <f t="shared" ref="K11:K19" si="12">IF(I11="","",IF(J11="---","---",SUM(I11:J11)))</f>
        <v/>
      </c>
      <c r="L11" s="64" t="str">
        <f>IF($B11="","",IF($B11="---","---",VLOOKUP($B11,'REL LINHAS'!$B$2:$K$2205,9,0)))</f>
        <v/>
      </c>
      <c r="M11" s="124" t="str">
        <f>IF($B11="","",IF($B11="---","---",VLOOKUP($B11,'REL LINHAS'!$B$2:$K$2205,10,0)))</f>
        <v/>
      </c>
      <c r="N11" s="238" t="str">
        <f t="shared" si="6"/>
        <v/>
      </c>
      <c r="O11" s="241" t="str">
        <f t="shared" si="9"/>
        <v/>
      </c>
      <c r="P11" s="241" t="str">
        <f t="shared" si="3"/>
        <v/>
      </c>
      <c r="Q11" s="241" t="str">
        <f t="shared" si="4"/>
        <v/>
      </c>
      <c r="R11" s="241"/>
      <c r="S11" s="241"/>
      <c r="T11" s="242" t="s">
        <v>181</v>
      </c>
      <c r="U11" s="242">
        <v>195</v>
      </c>
      <c r="V11" s="243" t="s">
        <v>199</v>
      </c>
      <c r="W11" s="238" t="str">
        <f t="shared" si="7"/>
        <v/>
      </c>
      <c r="X11" s="238" t="str">
        <f>IF(K11="","",ROUNDUP((SUM(RECEBÍVEIS!$E$10/SUM(PERFIL!$K$5:$K$20))*PERFIL!K11),0))</f>
        <v/>
      </c>
      <c r="Y11" s="238" t="str">
        <f t="shared" si="8"/>
        <v/>
      </c>
      <c r="AA11" s="596">
        <v>17</v>
      </c>
      <c r="AB11" s="596" t="s">
        <v>498</v>
      </c>
      <c r="AC11" s="546" t="s">
        <v>1151</v>
      </c>
      <c r="AD11" s="547" t="s">
        <v>640</v>
      </c>
      <c r="AE11" s="547" t="s">
        <v>643</v>
      </c>
      <c r="AF11" s="547" t="s">
        <v>645</v>
      </c>
      <c r="AG11" s="547" t="s">
        <v>647</v>
      </c>
      <c r="AH11" s="547" t="s">
        <v>649</v>
      </c>
      <c r="AI11" s="547" t="s">
        <v>651</v>
      </c>
      <c r="AJ11" s="547" t="s">
        <v>653</v>
      </c>
      <c r="AK11" s="547" t="s">
        <v>654</v>
      </c>
      <c r="AL11" s="490" t="s">
        <v>655</v>
      </c>
      <c r="AM11" s="490" t="s">
        <v>657</v>
      </c>
      <c r="AN11" s="548" t="s">
        <v>658</v>
      </c>
      <c r="AO11" s="548" t="s">
        <v>660</v>
      </c>
      <c r="AP11" s="548" t="s">
        <v>662</v>
      </c>
      <c r="AQ11" s="548" t="s">
        <v>663</v>
      </c>
    </row>
    <row r="12" spans="1:45" ht="15.75" customHeight="1" x14ac:dyDescent="0.2">
      <c r="A12" s="248" t="str">
        <f t="shared" si="5"/>
        <v/>
      </c>
      <c r="B12" s="538" t="str">
        <f>IF($C$3="","",IF(VLOOKUP($C$3,$AC$4:$AS$120,9,0)="","---",VLOOKUP($C$3,$AC$4:$AS$120,9,0)))</f>
        <v/>
      </c>
      <c r="C12" s="97" t="str">
        <f>IF($B12="","",IF($B12="---","---",VLOOKUP($B12,'REL LINHAS'!$B$2:$K$2205,2,0)))</f>
        <v/>
      </c>
      <c r="D12" s="97" t="str">
        <f>IF($B12="","",IF($B12="---","---",VLOOKUP($B12,'REL LINHAS'!$B$2:$K$2205,3,0)))</f>
        <v/>
      </c>
      <c r="E12" s="539" t="str">
        <f>IF($B12="","",IF($B12="---","---",VLOOKUP($B12,'REL LINHAS'!$B$2:$K$2205,4,0)))</f>
        <v/>
      </c>
      <c r="F12" s="540" t="str">
        <f t="shared" si="10"/>
        <v/>
      </c>
      <c r="G12" s="540" t="str">
        <f t="shared" si="11"/>
        <v/>
      </c>
      <c r="H12" s="108" t="str">
        <f>IF($B12="","",IF($B12="---","---",VLOOKUP($B12,'REL LINHAS'!$B$2:$K$2205,5,0)))</f>
        <v/>
      </c>
      <c r="I12" s="57" t="str">
        <f>IF($B12="","",IF($B12="---","---",VLOOKUP($B12,'REL LINHAS'!$B$2:$K$2205,6,0)))</f>
        <v/>
      </c>
      <c r="J12" s="65" t="str">
        <f>IF($B12="","",IF($B12="---","---",VLOOKUP($B12,'REL LINHAS'!$B$2:$K$2205,7,0)))</f>
        <v/>
      </c>
      <c r="K12" s="69" t="str">
        <f t="shared" si="12"/>
        <v/>
      </c>
      <c r="L12" s="64" t="str">
        <f>IF($B12="","",IF($B12="---","---",VLOOKUP($B12,'REL LINHAS'!$B$2:$K$2205,9,0)))</f>
        <v/>
      </c>
      <c r="M12" s="124" t="str">
        <f>IF($B12="","",IF($B12="---","---",VLOOKUP($B12,'REL LINHAS'!$B$2:$K$2205,10,0)))</f>
        <v/>
      </c>
      <c r="N12" s="238" t="str">
        <f t="shared" si="6"/>
        <v/>
      </c>
      <c r="O12" s="241" t="str">
        <f t="shared" si="9"/>
        <v/>
      </c>
      <c r="P12" s="241" t="str">
        <f t="shared" si="3"/>
        <v/>
      </c>
      <c r="Q12" s="241" t="str">
        <f t="shared" si="4"/>
        <v/>
      </c>
      <c r="R12" s="241"/>
      <c r="S12" s="241"/>
      <c r="T12" s="242" t="s">
        <v>57</v>
      </c>
      <c r="U12" s="242">
        <v>250</v>
      </c>
      <c r="V12" s="243" t="s">
        <v>200</v>
      </c>
      <c r="W12" s="238" t="str">
        <f t="shared" si="7"/>
        <v/>
      </c>
      <c r="X12" s="238" t="str">
        <f>IF(K12="","",ROUNDUP((SUM(RECEBÍVEIS!$E$10/SUM(PERFIL!$K$5:$K$20))*PERFIL!K12),0))</f>
        <v/>
      </c>
      <c r="Y12" s="238" t="str">
        <f t="shared" si="8"/>
        <v/>
      </c>
      <c r="AA12" s="596">
        <v>18</v>
      </c>
      <c r="AB12" s="596"/>
      <c r="AC12" s="546" t="s">
        <v>1137</v>
      </c>
      <c r="AD12" s="547" t="s">
        <v>665</v>
      </c>
      <c r="AE12" s="547" t="s">
        <v>668</v>
      </c>
      <c r="AF12" s="547" t="s">
        <v>669</v>
      </c>
      <c r="AG12" s="547" t="s">
        <v>672</v>
      </c>
      <c r="AH12" s="547" t="s">
        <v>674</v>
      </c>
      <c r="AI12" s="547" t="s">
        <v>676</v>
      </c>
      <c r="AJ12" s="547" t="s">
        <v>679</v>
      </c>
      <c r="AK12" s="547" t="s">
        <v>680</v>
      </c>
    </row>
    <row r="13" spans="1:45" ht="15.75" customHeight="1" x14ac:dyDescent="0.2">
      <c r="A13" s="248" t="str">
        <f t="shared" si="5"/>
        <v/>
      </c>
      <c r="B13" s="538" t="str">
        <f>IF($C$3="","",IF(VLOOKUP($C$3,$AC$4:$AS$120,10,0)="","---",VLOOKUP($C$3,$AC$4:$AS$120,10,0)))</f>
        <v/>
      </c>
      <c r="C13" s="97" t="str">
        <f>IF($B13="","",IF($B13="---","---",VLOOKUP($B13,'REL LINHAS'!$B$2:$K$2205,2,0)))</f>
        <v/>
      </c>
      <c r="D13" s="97" t="str">
        <f>IF($B13="","",IF($B13="---","---",VLOOKUP($B13,'REL LINHAS'!$B$2:$K$2205,3,0)))</f>
        <v/>
      </c>
      <c r="E13" s="539" t="str">
        <f>IF($B13="","",IF($B13="---","---",VLOOKUP($B13,'REL LINHAS'!$B$2:$K$2205,4,0)))</f>
        <v/>
      </c>
      <c r="F13" s="540" t="str">
        <f t="shared" si="10"/>
        <v/>
      </c>
      <c r="G13" s="540" t="str">
        <f t="shared" si="11"/>
        <v/>
      </c>
      <c r="H13" s="108" t="str">
        <f>IF($B13="","",IF($B13="---","---",VLOOKUP($B13,'REL LINHAS'!$B$2:$K$2205,5,0)))</f>
        <v/>
      </c>
      <c r="I13" s="57" t="str">
        <f>IF($B13="","",IF($B13="---","---",VLOOKUP($B13,'REL LINHAS'!$B$2:$K$2205,6,0)))</f>
        <v/>
      </c>
      <c r="J13" s="65" t="str">
        <f>IF($B13="","",IF($B13="---","---",VLOOKUP($B13,'REL LINHAS'!$B$2:$K$2205,7,0)))</f>
        <v/>
      </c>
      <c r="K13" s="69" t="str">
        <f t="shared" si="12"/>
        <v/>
      </c>
      <c r="L13" s="64" t="str">
        <f>IF($B13="","",IF($B13="---","---",VLOOKUP($B13,'REL LINHAS'!$B$2:$K$2205,9,0)))</f>
        <v/>
      </c>
      <c r="M13" s="124" t="str">
        <f>IF($B13="","",IF($B13="---","---",VLOOKUP($B13,'REL LINHAS'!$B$2:$K$2205,10,0)))</f>
        <v/>
      </c>
      <c r="N13" s="238" t="str">
        <f t="shared" si="6"/>
        <v/>
      </c>
      <c r="O13" s="241" t="str">
        <f t="shared" si="9"/>
        <v/>
      </c>
      <c r="P13" s="241" t="str">
        <f t="shared" si="3"/>
        <v/>
      </c>
      <c r="Q13" s="241" t="str">
        <f t="shared" si="4"/>
        <v/>
      </c>
      <c r="R13" s="241"/>
      <c r="S13" s="241"/>
      <c r="T13" s="244" t="s">
        <v>1019</v>
      </c>
      <c r="U13" s="242">
        <v>45</v>
      </c>
      <c r="V13" s="243" t="s">
        <v>201</v>
      </c>
      <c r="W13" s="238" t="str">
        <f t="shared" si="7"/>
        <v/>
      </c>
      <c r="X13" s="238" t="str">
        <f>IF(K13="","",ROUNDUP((SUM(RECEBÍVEIS!$E$10/SUM(PERFIL!$K$5:$K$20))*PERFIL!K13),0))</f>
        <v/>
      </c>
      <c r="Y13" s="238" t="str">
        <f t="shared" si="8"/>
        <v/>
      </c>
      <c r="AA13" s="596">
        <v>19</v>
      </c>
      <c r="AB13" s="596"/>
      <c r="AC13" s="546" t="s">
        <v>1026</v>
      </c>
      <c r="AD13" s="547" t="s">
        <v>681</v>
      </c>
      <c r="AE13" s="547" t="s">
        <v>684</v>
      </c>
      <c r="AF13" s="547" t="s">
        <v>687</v>
      </c>
      <c r="AG13" s="547" t="s">
        <v>690</v>
      </c>
      <c r="AH13" s="547" t="s">
        <v>693</v>
      </c>
      <c r="AI13" s="547" t="s">
        <v>696</v>
      </c>
      <c r="AJ13" s="547" t="s">
        <v>699</v>
      </c>
      <c r="AK13" s="547" t="s">
        <v>702</v>
      </c>
      <c r="AL13" s="490" t="s">
        <v>704</v>
      </c>
      <c r="AM13" s="490" t="s">
        <v>707</v>
      </c>
      <c r="AN13" s="547" t="s">
        <v>710</v>
      </c>
      <c r="AO13" s="547" t="s">
        <v>713</v>
      </c>
      <c r="AP13" s="547" t="s">
        <v>715</v>
      </c>
      <c r="AQ13" s="547" t="s">
        <v>717</v>
      </c>
      <c r="AR13" s="547" t="s">
        <v>720</v>
      </c>
      <c r="AS13" s="547" t="s">
        <v>723</v>
      </c>
    </row>
    <row r="14" spans="1:45" ht="15.75" customHeight="1" x14ac:dyDescent="0.2">
      <c r="A14" s="248" t="str">
        <f t="shared" si="5"/>
        <v/>
      </c>
      <c r="B14" s="538" t="str">
        <f>IF($C$3="","",IF(VLOOKUP($C$3,$AC$4:$AS$120,11,0)="","---",VLOOKUP($C$3,$AC$4:$AS$120,11,0)))</f>
        <v/>
      </c>
      <c r="C14" s="97" t="str">
        <f>IF($B14="","",IF($B14="---","---",VLOOKUP($B14,'REL LINHAS'!$B$2:$K$2205,2,0)))</f>
        <v/>
      </c>
      <c r="D14" s="97" t="str">
        <f>IF($B14="","",IF($B14="---","---",VLOOKUP($B14,'REL LINHAS'!$B$2:$K$2205,3,0)))</f>
        <v/>
      </c>
      <c r="E14" s="539" t="str">
        <f>IF($B14="","",IF($B14="---","---",VLOOKUP($B14,'REL LINHAS'!$B$2:$K$2205,4,0)))</f>
        <v/>
      </c>
      <c r="F14" s="540" t="str">
        <f t="shared" si="10"/>
        <v/>
      </c>
      <c r="G14" s="540" t="str">
        <f t="shared" si="11"/>
        <v/>
      </c>
      <c r="H14" s="108" t="str">
        <f>IF($B14="","",IF($B14="---","---",VLOOKUP($B14,'REL LINHAS'!$B$2:$K$2205,5,0)))</f>
        <v/>
      </c>
      <c r="I14" s="57" t="str">
        <f>IF($B14="","",IF($B14="---","---",VLOOKUP($B14,'REL LINHAS'!$B$2:$K$2205,6,0)))</f>
        <v/>
      </c>
      <c r="J14" s="65" t="str">
        <f>IF($B14="","",IF($B14="---","---",VLOOKUP($B14,'REL LINHAS'!$B$2:$K$2205,7,0)))</f>
        <v/>
      </c>
      <c r="K14" s="69" t="str">
        <f t="shared" si="12"/>
        <v/>
      </c>
      <c r="L14" s="64" t="str">
        <f>IF($B14="","",IF($B14="---","---",VLOOKUP($B14,'REL LINHAS'!$B$2:$K$2205,9,0)))</f>
        <v/>
      </c>
      <c r="M14" s="124" t="str">
        <f>IF($B14="","",IF($B14="---","---",VLOOKUP($B14,'REL LINHAS'!$B$2:$K$2205,10,0)))</f>
        <v/>
      </c>
      <c r="N14" s="238" t="str">
        <f t="shared" si="6"/>
        <v/>
      </c>
      <c r="O14" s="241" t="str">
        <f t="shared" si="9"/>
        <v/>
      </c>
      <c r="P14" s="241" t="str">
        <f t="shared" si="3"/>
        <v/>
      </c>
      <c r="Q14" s="241" t="str">
        <f t="shared" si="4"/>
        <v/>
      </c>
      <c r="R14" s="241"/>
      <c r="S14" s="241"/>
      <c r="V14" s="243" t="s">
        <v>202</v>
      </c>
      <c r="W14" s="238" t="str">
        <f t="shared" si="7"/>
        <v/>
      </c>
      <c r="X14" s="238" t="str">
        <f>IF(K14="","",ROUNDUP((SUM(RECEBÍVEIS!$E$10/SUM(PERFIL!$K$5:$K$20))*PERFIL!K14),0))</f>
        <v/>
      </c>
      <c r="Y14" s="238" t="str">
        <f t="shared" si="8"/>
        <v/>
      </c>
      <c r="AA14" s="596">
        <v>20</v>
      </c>
      <c r="AB14" s="596"/>
      <c r="AC14" s="546" t="s">
        <v>1146</v>
      </c>
      <c r="AD14" s="547" t="s">
        <v>726</v>
      </c>
      <c r="AE14" s="547" t="s">
        <v>728</v>
      </c>
      <c r="AF14" s="547" t="s">
        <v>730</v>
      </c>
      <c r="AG14" s="547" t="s">
        <v>732</v>
      </c>
      <c r="AH14" s="547" t="s">
        <v>734</v>
      </c>
      <c r="AI14" s="547" t="s">
        <v>736</v>
      </c>
      <c r="AJ14" s="547" t="s">
        <v>738</v>
      </c>
      <c r="AK14" s="547" t="s">
        <v>741</v>
      </c>
      <c r="AL14" s="490" t="s">
        <v>743</v>
      </c>
      <c r="AM14" s="490" t="s">
        <v>746</v>
      </c>
      <c r="AN14" s="547" t="s">
        <v>747</v>
      </c>
      <c r="AO14" s="547" t="s">
        <v>750</v>
      </c>
      <c r="AP14" s="547" t="s">
        <v>751</v>
      </c>
      <c r="AQ14" s="547" t="s">
        <v>753</v>
      </c>
      <c r="AR14" s="547" t="s">
        <v>754</v>
      </c>
    </row>
    <row r="15" spans="1:45" ht="15.75" customHeight="1" x14ac:dyDescent="0.2">
      <c r="A15" s="248" t="str">
        <f t="shared" si="5"/>
        <v/>
      </c>
      <c r="B15" s="538" t="str">
        <f>IF($C$3="","",IF(VLOOKUP($C$3,$AC$4:$AS$120,12,0)="","---",VLOOKUP($C$3,$AC$4:$AS$120,12,0)))</f>
        <v/>
      </c>
      <c r="C15" s="97" t="str">
        <f>IF($B15="","",IF($B15="---","---",VLOOKUP($B15,'REL LINHAS'!$B$2:$K$2205,2,0)))</f>
        <v/>
      </c>
      <c r="D15" s="97" t="str">
        <f>IF($B15="","",IF($B15="---","---",VLOOKUP($B15,'REL LINHAS'!$B$2:$K$2205,3,0)))</f>
        <v/>
      </c>
      <c r="E15" s="539" t="str">
        <f>IF($B15="","",IF($B15="---","---",VLOOKUP($B15,'REL LINHAS'!$B$2:$K$2205,4,0)))</f>
        <v/>
      </c>
      <c r="F15" s="540" t="str">
        <f t="shared" si="10"/>
        <v/>
      </c>
      <c r="G15" s="540" t="str">
        <f t="shared" si="11"/>
        <v/>
      </c>
      <c r="H15" s="108" t="str">
        <f>IF($B15="","",IF($B15="---","---",VLOOKUP($B15,'REL LINHAS'!$B$2:$K$2205,5,0)))</f>
        <v/>
      </c>
      <c r="I15" s="57" t="str">
        <f>IF($B15="","",IF($B15="---","---",VLOOKUP($B15,'REL LINHAS'!$B$2:$K$2205,6,0)))</f>
        <v/>
      </c>
      <c r="J15" s="65" t="str">
        <f>IF($B15="","",IF($B15="---","---",VLOOKUP($B15,'REL LINHAS'!$B$2:$K$2205,7,0)))</f>
        <v/>
      </c>
      <c r="K15" s="69" t="str">
        <f t="shared" si="12"/>
        <v/>
      </c>
      <c r="L15" s="64" t="str">
        <f>IF($B15="","",IF($B15="---","---",VLOOKUP($B15,'REL LINHAS'!$B$2:$K$2205,9,0)))</f>
        <v/>
      </c>
      <c r="M15" s="124" t="str">
        <f>IF($B15="","",IF($B15="---","---",VLOOKUP($B15,'REL LINHAS'!$B$2:$K$2205,10,0)))</f>
        <v/>
      </c>
      <c r="N15" s="238" t="str">
        <f t="shared" si="6"/>
        <v/>
      </c>
      <c r="O15" s="241" t="str">
        <f t="shared" si="9"/>
        <v/>
      </c>
      <c r="P15" s="241" t="str">
        <f t="shared" si="3"/>
        <v/>
      </c>
      <c r="Q15" s="241" t="str">
        <f t="shared" si="4"/>
        <v/>
      </c>
      <c r="R15" s="241"/>
      <c r="S15" s="241"/>
      <c r="V15" s="243" t="s">
        <v>203</v>
      </c>
      <c r="W15" s="238" t="str">
        <f t="shared" si="7"/>
        <v/>
      </c>
      <c r="X15" s="238" t="str">
        <f>IF(K15="","",ROUNDUP((SUM(RECEBÍVEIS!$E$10/SUM(PERFIL!$K$5:$K$20))*PERFIL!K15),0))</f>
        <v/>
      </c>
      <c r="Y15" s="238" t="str">
        <f t="shared" si="8"/>
        <v/>
      </c>
      <c r="AA15" s="597">
        <v>21</v>
      </c>
      <c r="AB15" s="597"/>
      <c r="AC15" s="549" t="s">
        <v>2651</v>
      </c>
      <c r="AD15" s="547" t="s">
        <v>780</v>
      </c>
      <c r="AE15" s="547" t="s">
        <v>781</v>
      </c>
      <c r="AF15" s="547" t="s">
        <v>782</v>
      </c>
      <c r="AG15" s="547" t="s">
        <v>783</v>
      </c>
      <c r="AH15" s="547" t="s">
        <v>784</v>
      </c>
      <c r="AI15" s="547" t="s">
        <v>785</v>
      </c>
      <c r="AJ15" s="547"/>
      <c r="AK15" s="547"/>
    </row>
    <row r="16" spans="1:45" ht="15.75" customHeight="1" x14ac:dyDescent="0.2">
      <c r="A16" s="248" t="str">
        <f t="shared" si="5"/>
        <v/>
      </c>
      <c r="B16" s="538" t="str">
        <f>IF($C$3="","",IF(VLOOKUP($C$3,$AC$4:$AS$120,13,0)="","---",VLOOKUP($C$3,$AC$4:$AS$120,13,0)))</f>
        <v/>
      </c>
      <c r="C16" s="97" t="str">
        <f>IF($B16="","",IF($B16="---","---",VLOOKUP($B16,'REL LINHAS'!$B$2:$K$2205,2,0)))</f>
        <v/>
      </c>
      <c r="D16" s="97" t="str">
        <f>IF($B16="","",IF($B16="---","---",VLOOKUP($B16,'REL LINHAS'!$B$2:$K$2205,3,0)))</f>
        <v/>
      </c>
      <c r="E16" s="539" t="str">
        <f>IF($B16="","",IF($B16="---","---",VLOOKUP($B16,'REL LINHAS'!$B$2:$K$2205,4,0)))</f>
        <v/>
      </c>
      <c r="F16" s="540" t="str">
        <f t="shared" si="10"/>
        <v/>
      </c>
      <c r="G16" s="540" t="str">
        <f t="shared" si="11"/>
        <v/>
      </c>
      <c r="H16" s="108" t="str">
        <f>IF($B16="","",IF($B16="---","---",VLOOKUP($B16,'REL LINHAS'!$B$2:$K$2205,5,0)))</f>
        <v/>
      </c>
      <c r="I16" s="57" t="str">
        <f>IF($B16="","",IF($B16="---","---",VLOOKUP($B16,'REL LINHAS'!$B$2:$K$2205,6,0)))</f>
        <v/>
      </c>
      <c r="J16" s="65" t="str">
        <f>IF($B16="","",IF($B16="---","---",VLOOKUP($B16,'REL LINHAS'!$B$2:$K$2205,7,0)))</f>
        <v/>
      </c>
      <c r="K16" s="69" t="str">
        <f t="shared" si="12"/>
        <v/>
      </c>
      <c r="L16" s="64" t="str">
        <f>IF($B16="","",IF($B16="---","---",VLOOKUP($B16,'REL LINHAS'!$B$2:$K$2205,9,0)))</f>
        <v/>
      </c>
      <c r="M16" s="124" t="str">
        <f>IF($B16="","",IF($B16="---","---",VLOOKUP($B16,'REL LINHAS'!$B$2:$K$2205,10,0)))</f>
        <v/>
      </c>
      <c r="N16" s="238" t="str">
        <f t="shared" si="6"/>
        <v/>
      </c>
      <c r="O16" s="241" t="str">
        <f t="shared" si="9"/>
        <v/>
      </c>
      <c r="P16" s="241" t="str">
        <f t="shared" si="3"/>
        <v/>
      </c>
      <c r="Q16" s="241" t="str">
        <f t="shared" si="4"/>
        <v/>
      </c>
      <c r="R16" s="241"/>
      <c r="S16" s="241"/>
      <c r="T16" s="245"/>
      <c r="W16" s="238" t="str">
        <f t="shared" si="7"/>
        <v/>
      </c>
      <c r="X16" s="238" t="str">
        <f>IF(K16="","",ROUNDUP((SUM(RECEBÍVEIS!$E$10/SUM(PERFIL!$K$5:$K$20))*PERFIL!K16),0))</f>
        <v/>
      </c>
      <c r="Y16" s="238" t="str">
        <f t="shared" si="8"/>
        <v/>
      </c>
      <c r="AA16" s="597">
        <v>22</v>
      </c>
      <c r="AB16" s="597"/>
      <c r="AC16" s="549" t="s">
        <v>2638</v>
      </c>
      <c r="AD16" s="547" t="s">
        <v>814</v>
      </c>
      <c r="AE16" s="547" t="s">
        <v>815</v>
      </c>
      <c r="AF16" s="547" t="s">
        <v>816</v>
      </c>
      <c r="AG16" s="547" t="s">
        <v>817</v>
      </c>
      <c r="AH16" s="547" t="s">
        <v>818</v>
      </c>
      <c r="AI16" s="547" t="s">
        <v>819</v>
      </c>
      <c r="AJ16" s="547" t="s">
        <v>820</v>
      </c>
      <c r="AK16" s="547" t="s">
        <v>821</v>
      </c>
      <c r="AL16" s="490" t="s">
        <v>822</v>
      </c>
      <c r="AM16" s="490" t="s">
        <v>823</v>
      </c>
      <c r="AN16" s="490" t="s">
        <v>824</v>
      </c>
      <c r="AO16" s="490" t="s">
        <v>825</v>
      </c>
    </row>
    <row r="17" spans="1:47" ht="15.75" customHeight="1" x14ac:dyDescent="0.2">
      <c r="A17" s="248" t="str">
        <f t="shared" si="5"/>
        <v/>
      </c>
      <c r="B17" s="538" t="str">
        <f>IF($C$3="","",IF(VLOOKUP($C$3,$AC$4:$AS$120,14,0)="","---",VLOOKUP($C$3,$AC$4:$AS$120,14,0)))</f>
        <v/>
      </c>
      <c r="C17" s="97" t="str">
        <f>IF($B17="","",IF($B17="---","---",VLOOKUP($B17,'REL LINHAS'!$B$2:$K$2205,2,0)))</f>
        <v/>
      </c>
      <c r="D17" s="97" t="str">
        <f>IF($B17="","",IF($B17="---","---",VLOOKUP($B17,'REL LINHAS'!$B$2:$K$2205,3,0)))</f>
        <v/>
      </c>
      <c r="E17" s="539" t="str">
        <f>IF($B17="","",IF($B17="---","---",VLOOKUP($B17,'REL LINHAS'!$B$2:$K$2205,4,0)))</f>
        <v/>
      </c>
      <c r="F17" s="540" t="str">
        <f t="shared" si="10"/>
        <v/>
      </c>
      <c r="G17" s="540" t="str">
        <f t="shared" si="11"/>
        <v/>
      </c>
      <c r="H17" s="108" t="str">
        <f>IF($B17="","",IF($B17="---","---",VLOOKUP($B17,'REL LINHAS'!$B$2:$K$2205,5,0)))</f>
        <v/>
      </c>
      <c r="I17" s="57" t="str">
        <f>IF($B17="","",IF($B17="---","---",VLOOKUP($B17,'REL LINHAS'!$B$2:$K$2205,6,0)))</f>
        <v/>
      </c>
      <c r="J17" s="65" t="str">
        <f>IF($B17="","",IF($B17="---","---",VLOOKUP($B17,'REL LINHAS'!$B$2:$K$2205,7,0)))</f>
        <v/>
      </c>
      <c r="K17" s="69" t="str">
        <f t="shared" si="12"/>
        <v/>
      </c>
      <c r="L17" s="64" t="str">
        <f>IF($B17="","",IF($B17="---","---",VLOOKUP($B17,'REL LINHAS'!$B$2:$K$2205,9,0)))</f>
        <v/>
      </c>
      <c r="M17" s="124" t="str">
        <f>IF($B17="","",IF($B17="---","---",VLOOKUP($B17,'REL LINHAS'!$B$2:$K$2205,10,0)))</f>
        <v/>
      </c>
      <c r="N17" s="238" t="str">
        <f t="shared" si="6"/>
        <v/>
      </c>
      <c r="O17" s="241" t="str">
        <f t="shared" si="9"/>
        <v/>
      </c>
      <c r="P17" s="241" t="str">
        <f t="shared" si="3"/>
        <v/>
      </c>
      <c r="Q17" s="241" t="str">
        <f t="shared" si="4"/>
        <v/>
      </c>
      <c r="R17" s="241"/>
      <c r="S17" s="241"/>
      <c r="T17" s="245"/>
      <c r="W17" s="238" t="str">
        <f t="shared" si="7"/>
        <v/>
      </c>
      <c r="X17" s="238" t="str">
        <f>IF(K17="","",ROUNDUP((SUM(RECEBÍVEIS!$E$10/SUM(PERFIL!$K$5:$K$20))*PERFIL!K17),0))</f>
        <v/>
      </c>
      <c r="Y17" s="238" t="str">
        <f t="shared" si="8"/>
        <v/>
      </c>
      <c r="AA17" s="597">
        <v>23</v>
      </c>
      <c r="AB17" s="597"/>
      <c r="AC17" s="549" t="s">
        <v>2681</v>
      </c>
      <c r="AD17" s="547" t="s">
        <v>826</v>
      </c>
      <c r="AE17" s="547" t="s">
        <v>828</v>
      </c>
      <c r="AF17" s="547" t="s">
        <v>830</v>
      </c>
      <c r="AG17" s="547" t="s">
        <v>827</v>
      </c>
      <c r="AH17" s="547" t="s">
        <v>829</v>
      </c>
      <c r="AI17" s="547" t="s">
        <v>831</v>
      </c>
      <c r="AJ17" s="547" t="s">
        <v>832</v>
      </c>
      <c r="AK17" s="547" t="s">
        <v>833</v>
      </c>
      <c r="AL17" s="490" t="s">
        <v>834</v>
      </c>
      <c r="AM17" s="490" t="s">
        <v>835</v>
      </c>
    </row>
    <row r="18" spans="1:47" ht="15.75" customHeight="1" x14ac:dyDescent="0.2">
      <c r="A18" s="248" t="str">
        <f t="shared" si="5"/>
        <v/>
      </c>
      <c r="B18" s="538" t="str">
        <f>IF($C$3="","",IF(VLOOKUP($C$3,$AC$4:$AS$120,15,0)="","---",VLOOKUP($C$3,$AC$4:$AS$120,15,0)))</f>
        <v/>
      </c>
      <c r="C18" s="97" t="str">
        <f>IF($B18="","",IF($B18="---","---",VLOOKUP($B18,'REL LINHAS'!$B$2:$K$2205,2,0)))</f>
        <v/>
      </c>
      <c r="D18" s="97" t="str">
        <f>IF($B18="","",IF($B18="---","---",VLOOKUP($B18,'REL LINHAS'!$B$2:$K$2205,3,0)))</f>
        <v/>
      </c>
      <c r="E18" s="539" t="str">
        <f>IF($B18="","",IF($B18="---","---",VLOOKUP($B18,'REL LINHAS'!$B$2:$K$2205,4,0)))</f>
        <v/>
      </c>
      <c r="F18" s="540" t="str">
        <f t="shared" si="10"/>
        <v/>
      </c>
      <c r="G18" s="540" t="str">
        <f t="shared" si="11"/>
        <v/>
      </c>
      <c r="H18" s="108" t="str">
        <f>IF($B18="","",IF($B18="---","---",VLOOKUP($B18,'REL LINHAS'!$B$2:$K$2205,5,0)))</f>
        <v/>
      </c>
      <c r="I18" s="57" t="str">
        <f>IF($B18="","",IF($B18="---","---",VLOOKUP($B18,'REL LINHAS'!$B$2:$K$2205,6,0)))</f>
        <v/>
      </c>
      <c r="J18" s="65" t="str">
        <f>IF($B18="","",IF($B18="---","---",VLOOKUP($B18,'REL LINHAS'!$B$2:$K$2205,7,0)))</f>
        <v/>
      </c>
      <c r="K18" s="69" t="str">
        <f t="shared" si="12"/>
        <v/>
      </c>
      <c r="L18" s="64" t="str">
        <f>IF($B18="","",IF($B18="---","---",VLOOKUP($B18,'REL LINHAS'!$B$2:$K$2205,9,0)))</f>
        <v/>
      </c>
      <c r="M18" s="124" t="str">
        <f>IF($B18="","",IF($B18="---","---",VLOOKUP($B18,'REL LINHAS'!$B$2:$K$2205,10,0)))</f>
        <v/>
      </c>
      <c r="N18" s="238" t="str">
        <f t="shared" si="6"/>
        <v/>
      </c>
      <c r="O18" s="241" t="str">
        <f t="shared" si="9"/>
        <v/>
      </c>
      <c r="P18" s="241" t="str">
        <f t="shared" si="3"/>
        <v/>
      </c>
      <c r="Q18" s="241" t="str">
        <f t="shared" si="4"/>
        <v/>
      </c>
      <c r="R18" s="241"/>
      <c r="S18" s="241"/>
      <c r="T18" s="245" t="s">
        <v>4</v>
      </c>
      <c r="W18" s="238" t="str">
        <f t="shared" si="7"/>
        <v/>
      </c>
      <c r="X18" s="238" t="str">
        <f>IF(K18="","",ROUNDUP((SUM(RECEBÍVEIS!$E$10/SUM(PERFIL!$K$5:$K$20))*PERFIL!K18),0))</f>
        <v/>
      </c>
      <c r="Y18" s="238" t="str">
        <f t="shared" si="8"/>
        <v/>
      </c>
      <c r="AA18" s="597">
        <v>24</v>
      </c>
      <c r="AB18" s="597"/>
      <c r="AC18" s="549" t="s">
        <v>2669</v>
      </c>
      <c r="AD18" s="547" t="s">
        <v>847</v>
      </c>
      <c r="AE18" s="547" t="s">
        <v>848</v>
      </c>
      <c r="AF18" s="547" t="s">
        <v>849</v>
      </c>
      <c r="AG18" s="547" t="s">
        <v>850</v>
      </c>
      <c r="AH18" s="547" t="s">
        <v>851</v>
      </c>
      <c r="AI18" s="547" t="s">
        <v>852</v>
      </c>
      <c r="AJ18" s="547" t="s">
        <v>853</v>
      </c>
      <c r="AK18" s="547"/>
    </row>
    <row r="19" spans="1:47" ht="15.75" customHeight="1" x14ac:dyDescent="0.2">
      <c r="A19" s="248" t="str">
        <f t="shared" si="5"/>
        <v/>
      </c>
      <c r="B19" s="538" t="str">
        <f>IF($C$3="","",IF(VLOOKUP($C$3,$AC$4:$AS$120,16,0)="","---",VLOOKUP($C$3,$AC$4:$AS$120,16,0)))</f>
        <v/>
      </c>
      <c r="C19" s="97" t="str">
        <f>IF($B19="","",IF($B19="---","---",VLOOKUP($B19,'REL LINHAS'!$B$2:$K$2205,2,0)))</f>
        <v/>
      </c>
      <c r="D19" s="97" t="str">
        <f>IF($B19="","",IF($B19="---","---",VLOOKUP($B19,'REL LINHAS'!$B$2:$K$2205,3,0)))</f>
        <v/>
      </c>
      <c r="E19" s="539" t="str">
        <f>IF($B19="","",IF($B19="---","---",VLOOKUP($B19,'REL LINHAS'!$B$2:$K$2205,4,0)))</f>
        <v/>
      </c>
      <c r="F19" s="540" t="str">
        <f t="shared" si="10"/>
        <v/>
      </c>
      <c r="G19" s="540" t="str">
        <f t="shared" si="11"/>
        <v/>
      </c>
      <c r="H19" s="108" t="str">
        <f>IF($B19="","",IF($B19="---","---",VLOOKUP($B19,'REL LINHAS'!$B$2:$K$2205,5,0)))</f>
        <v/>
      </c>
      <c r="I19" s="57" t="str">
        <f>IF($B19="","",IF($B19="---","---",VLOOKUP($B19,'REL LINHAS'!$B$2:$K$2205,6,0)))</f>
        <v/>
      </c>
      <c r="J19" s="65" t="str">
        <f>IF($B19="","",IF($B19="---","---",VLOOKUP($B19,'REL LINHAS'!$B$2:$K$2205,7,0)))</f>
        <v/>
      </c>
      <c r="K19" s="69" t="str">
        <f t="shared" si="12"/>
        <v/>
      </c>
      <c r="L19" s="64" t="str">
        <f>IF($B19="","",IF($B19="---","---",VLOOKUP($B19,'REL LINHAS'!$B$2:$K$2205,9,0)))</f>
        <v/>
      </c>
      <c r="M19" s="124" t="str">
        <f>IF($B19="","",IF($B19="---","---",VLOOKUP($B19,'REL LINHAS'!$B$2:$K$2205,10,0)))</f>
        <v/>
      </c>
      <c r="N19" s="238" t="str">
        <f t="shared" si="6"/>
        <v/>
      </c>
      <c r="O19" s="241" t="str">
        <f t="shared" si="9"/>
        <v/>
      </c>
      <c r="P19" s="241" t="str">
        <f t="shared" si="3"/>
        <v/>
      </c>
      <c r="Q19" s="241" t="str">
        <f t="shared" si="4"/>
        <v/>
      </c>
      <c r="R19" s="241"/>
      <c r="S19" s="245"/>
      <c r="T19" s="245"/>
      <c r="W19" s="238" t="str">
        <f t="shared" si="7"/>
        <v/>
      </c>
      <c r="X19" s="238" t="str">
        <f>IF(K19="","",ROUNDUP((SUM(RECEBÍVEIS!$E$10/SUM(PERFIL!$K$5:$K$20))*PERFIL!K19),0))</f>
        <v/>
      </c>
      <c r="Y19" s="238" t="str">
        <f t="shared" si="8"/>
        <v/>
      </c>
      <c r="AA19" s="596">
        <v>25</v>
      </c>
      <c r="AB19" s="596"/>
      <c r="AC19" s="546" t="s">
        <v>2670</v>
      </c>
      <c r="AD19" s="547" t="s">
        <v>863</v>
      </c>
      <c r="AE19" s="547" t="s">
        <v>864</v>
      </c>
      <c r="AF19" s="547" t="s">
        <v>865</v>
      </c>
      <c r="AG19" s="547" t="s">
        <v>866</v>
      </c>
      <c r="AH19" s="547" t="s">
        <v>867</v>
      </c>
      <c r="AI19" s="547" t="s">
        <v>868</v>
      </c>
      <c r="AJ19" s="547" t="s">
        <v>869</v>
      </c>
      <c r="AK19" s="547"/>
    </row>
    <row r="20" spans="1:47" ht="15.75" customHeight="1" x14ac:dyDescent="0.2">
      <c r="A20" s="248" t="str">
        <f t="shared" si="5"/>
        <v/>
      </c>
      <c r="B20" s="538" t="str">
        <f>IF($C$3="","",IF(VLOOKUP($C$3,$AC$4:$AS$120,17,0)="","---",VLOOKUP($C$3,$AC$4:$AS$120,17,0)))</f>
        <v/>
      </c>
      <c r="C20" s="97" t="str">
        <f>IF($B20="","",IF($B20="---","---",VLOOKUP($B20,'REL LINHAS'!$B$2:$K$2205,2,0)))</f>
        <v/>
      </c>
      <c r="D20" s="97" t="str">
        <f>IF($B20="","",IF($B20="---","---",VLOOKUP($B20,'REL LINHAS'!$B$2:$K$2205,3,0)))</f>
        <v/>
      </c>
      <c r="E20" s="539" t="str">
        <f>IF($B20="","",IF($B20="---","---",VLOOKUP($B20,'REL LINHAS'!$B$2:$K$2205,4,0)))</f>
        <v/>
      </c>
      <c r="F20" s="540" t="str">
        <f>IF(E20="","",IF(E20="---","---",VLOOKUP(E20,$T$4:$U$14,2,0)))</f>
        <v/>
      </c>
      <c r="G20" s="540" t="str">
        <f>IF(F20="","",IF(F20="---","---","pessoas"))</f>
        <v/>
      </c>
      <c r="H20" s="108" t="str">
        <f>IF($B20="","",IF($B20="---","---",VLOOKUP($B20,'REL LINHAS'!$B$2:$K$2205,5,0)))</f>
        <v/>
      </c>
      <c r="I20" s="57" t="str">
        <f>IF($B20="","",IF($B20="---","---",VLOOKUP($B20,'REL LINHAS'!$B$2:$K$2205,6,0)))</f>
        <v/>
      </c>
      <c r="J20" s="65" t="str">
        <f>IF($B20="","",IF($B20="---","---",VLOOKUP($B20,'REL LINHAS'!$B$2:$K$2205,7,0)))</f>
        <v/>
      </c>
      <c r="K20" s="69" t="str">
        <f>IF(I20="","",IF(J20="---","---",SUM(I20:J20)))</f>
        <v/>
      </c>
      <c r="L20" s="64" t="str">
        <f>IF($B20="","",IF($B20="---","---",VLOOKUP($B20,'REL LINHAS'!$B$2:$K$2205,9,0)))</f>
        <v/>
      </c>
      <c r="M20" s="124" t="str">
        <f>IF($B20="","",IF($B20="---","---",VLOOKUP($B20,'REL LINHAS'!$B$2:$K$2205,10,0)))</f>
        <v/>
      </c>
      <c r="N20" s="238" t="str">
        <f t="shared" si="6"/>
        <v/>
      </c>
      <c r="O20" s="241" t="str">
        <f t="shared" si="9"/>
        <v/>
      </c>
      <c r="P20" s="241" t="str">
        <f t="shared" si="3"/>
        <v/>
      </c>
      <c r="Q20" s="241" t="str">
        <f t="shared" si="4"/>
        <v/>
      </c>
      <c r="R20" s="241"/>
      <c r="S20" s="245"/>
      <c r="T20" s="245"/>
      <c r="W20" s="238" t="str">
        <f t="shared" si="7"/>
        <v/>
      </c>
      <c r="X20" s="238" t="str">
        <f>IF(K20="","",ROUNDUP((SUM(RECEBÍVEIS!$E$10/SUM(PERFIL!$K$5:$K$20))*PERFIL!K20),0))</f>
        <v/>
      </c>
      <c r="Y20" s="238" t="str">
        <f t="shared" si="8"/>
        <v/>
      </c>
      <c r="AA20" s="596">
        <v>26</v>
      </c>
      <c r="AB20" s="596"/>
      <c r="AC20" s="546" t="s">
        <v>2625</v>
      </c>
      <c r="AD20" s="547" t="s">
        <v>879</v>
      </c>
      <c r="AE20" s="547" t="s">
        <v>880</v>
      </c>
      <c r="AF20" s="547" t="s">
        <v>881</v>
      </c>
      <c r="AG20" s="547" t="s">
        <v>882</v>
      </c>
      <c r="AH20" s="547" t="s">
        <v>883</v>
      </c>
      <c r="AI20" s="547" t="s">
        <v>884</v>
      </c>
      <c r="AJ20" s="547" t="s">
        <v>885</v>
      </c>
      <c r="AK20" s="547" t="s">
        <v>886</v>
      </c>
      <c r="AL20" s="490" t="s">
        <v>887</v>
      </c>
    </row>
    <row r="21" spans="1:47" s="245" customFormat="1" ht="17.25" customHeight="1" thickBot="1" x14ac:dyDescent="0.25">
      <c r="A21" s="249"/>
      <c r="B21" s="635"/>
      <c r="C21" s="635"/>
      <c r="D21" s="635"/>
      <c r="E21" s="635"/>
      <c r="F21" s="635"/>
      <c r="G21" s="635"/>
      <c r="H21" s="635"/>
      <c r="I21" s="635"/>
      <c r="J21" s="635"/>
      <c r="K21" s="635"/>
      <c r="L21" s="635"/>
      <c r="M21" s="635"/>
      <c r="N21" s="238"/>
      <c r="O21" s="241" t="str">
        <f t="shared" si="9"/>
        <v/>
      </c>
      <c r="P21" s="241" t="str">
        <f t="shared" si="3"/>
        <v/>
      </c>
      <c r="Q21" s="241" t="str">
        <f t="shared" si="4"/>
        <v/>
      </c>
      <c r="AA21" s="597">
        <v>27</v>
      </c>
      <c r="AB21" s="597"/>
      <c r="AC21" s="549" t="s">
        <v>2673</v>
      </c>
      <c r="AD21" s="547" t="s">
        <v>903</v>
      </c>
      <c r="AE21" s="547" t="s">
        <v>904</v>
      </c>
      <c r="AF21" s="547" t="s">
        <v>905</v>
      </c>
      <c r="AG21" s="547" t="s">
        <v>906</v>
      </c>
      <c r="AH21" s="547" t="s">
        <v>907</v>
      </c>
      <c r="AI21" s="547" t="s">
        <v>908</v>
      </c>
      <c r="AJ21" s="547" t="s">
        <v>909</v>
      </c>
      <c r="AK21" s="547" t="s">
        <v>910</v>
      </c>
      <c r="AL21" s="490"/>
      <c r="AM21" s="490"/>
      <c r="AN21" s="490"/>
      <c r="AO21" s="490"/>
      <c r="AP21" s="490"/>
      <c r="AQ21" s="490"/>
      <c r="AR21" s="490"/>
      <c r="AS21" s="490"/>
      <c r="AT21" s="550"/>
      <c r="AU21" s="550"/>
    </row>
    <row r="22" spans="1:47" s="245" customFormat="1" ht="24" thickBot="1" x14ac:dyDescent="0.25">
      <c r="A22" s="249"/>
      <c r="B22" s="532" t="s">
        <v>460</v>
      </c>
      <c r="C22" s="533" t="str">
        <f>IF(B27=0,"E",VLOOKUP(B27,$B$28:$C$35,2,0))</f>
        <v>E</v>
      </c>
      <c r="D22" s="250"/>
      <c r="E22" s="621" t="s">
        <v>209</v>
      </c>
      <c r="F22" s="622"/>
      <c r="G22" s="623"/>
      <c r="H22" s="624" t="str">
        <f>IF(SUM(I5:I20,J5:J20)=0,"",CONCATENATE(SUM(I5:I20),"  carros fixos"))</f>
        <v/>
      </c>
      <c r="I22" s="625"/>
      <c r="J22" s="625"/>
      <c r="K22" s="625"/>
      <c r="L22" s="625"/>
      <c r="M22" s="626"/>
      <c r="N22" s="241">
        <f>SUM(N5:N20)</f>
        <v>0</v>
      </c>
      <c r="O22" s="241">
        <f>SUM(O5:O20)</f>
        <v>0</v>
      </c>
      <c r="P22" s="241">
        <f>SUM(P5:P20)</f>
        <v>0</v>
      </c>
      <c r="Q22" s="241">
        <f>SUM(Q5:Q20)</f>
        <v>0</v>
      </c>
      <c r="S22" s="238"/>
      <c r="T22" s="238"/>
      <c r="AA22" s="597">
        <v>28</v>
      </c>
      <c r="AB22" s="596" t="s">
        <v>498</v>
      </c>
      <c r="AC22" s="549" t="s">
        <v>2659</v>
      </c>
      <c r="AD22" s="547" t="s">
        <v>911</v>
      </c>
      <c r="AE22" s="547" t="s">
        <v>912</v>
      </c>
      <c r="AF22" s="547" t="s">
        <v>913</v>
      </c>
      <c r="AG22" s="547" t="s">
        <v>914</v>
      </c>
      <c r="AH22" s="547" t="s">
        <v>915</v>
      </c>
      <c r="AI22" s="547" t="s">
        <v>916</v>
      </c>
      <c r="AJ22" s="547" t="s">
        <v>917</v>
      </c>
      <c r="AK22" s="547" t="s">
        <v>918</v>
      </c>
      <c r="AL22" s="490" t="s">
        <v>919</v>
      </c>
      <c r="AM22" s="490" t="s">
        <v>920</v>
      </c>
      <c r="AN22" s="490"/>
      <c r="AO22" s="490"/>
      <c r="AP22" s="490"/>
      <c r="AQ22" s="490"/>
      <c r="AR22" s="490"/>
      <c r="AS22" s="490"/>
      <c r="AT22" s="550"/>
      <c r="AU22" s="550"/>
    </row>
    <row r="23" spans="1:47" s="245" customFormat="1" ht="24" thickBot="1" x14ac:dyDescent="0.25">
      <c r="A23" s="249"/>
      <c r="B23" s="532" t="s">
        <v>461</v>
      </c>
      <c r="C23" s="534" t="str">
        <f>IF(D27=0,"sem certificação",VLOOKUP(D27,$D$28:$E$35,2,0))</f>
        <v>sem certificação</v>
      </c>
      <c r="D23" s="250"/>
      <c r="E23" s="621" t="s">
        <v>209</v>
      </c>
      <c r="F23" s="622"/>
      <c r="G23" s="623"/>
      <c r="H23" s="624" t="str">
        <f>IF(SUM(I5:I21,J5:J21)=0,"",CONCATENATE(SUM(J5:J21),"  carros sugeridos como reservas"))</f>
        <v/>
      </c>
      <c r="I23" s="625"/>
      <c r="J23" s="625"/>
      <c r="K23" s="625"/>
      <c r="L23" s="625"/>
      <c r="M23" s="626"/>
      <c r="N23" s="238"/>
      <c r="O23" s="238"/>
      <c r="P23" s="238"/>
      <c r="Q23" s="246"/>
      <c r="S23" s="238"/>
      <c r="T23" s="238"/>
      <c r="AA23" s="596" t="s">
        <v>1031</v>
      </c>
      <c r="AB23" s="596" t="s">
        <v>498</v>
      </c>
      <c r="AC23" s="546" t="s">
        <v>2654</v>
      </c>
      <c r="AD23" s="490">
        <v>1101</v>
      </c>
      <c r="AE23" s="490">
        <v>1102</v>
      </c>
      <c r="AF23" s="490">
        <v>1103</v>
      </c>
      <c r="AG23" s="490">
        <v>1104</v>
      </c>
      <c r="AH23" s="490">
        <v>1105</v>
      </c>
      <c r="AI23" s="490">
        <v>1106</v>
      </c>
      <c r="AJ23" s="490">
        <v>1107</v>
      </c>
      <c r="AK23" s="490">
        <v>1108</v>
      </c>
      <c r="AL23" s="490">
        <v>1109</v>
      </c>
      <c r="AM23" s="490">
        <v>1110</v>
      </c>
      <c r="AN23" s="490" t="str">
        <f>IF('REL LINHAS'!B357="","",'REL LINHAS'!B357)</f>
        <v/>
      </c>
      <c r="AO23" s="490" t="str">
        <f>IF('REL LINHAS'!B358="","",'REL LINHAS'!B358)</f>
        <v/>
      </c>
      <c r="AP23" s="490" t="str">
        <f>IF('REL LINHAS'!B359="","",'REL LINHAS'!B359)</f>
        <v/>
      </c>
      <c r="AQ23" s="490" t="str">
        <f>IF('REL LINHAS'!B360="","",'REL LINHAS'!B360)</f>
        <v/>
      </c>
      <c r="AR23" s="490" t="str">
        <f>IF('REL LINHAS'!B361="","",'REL LINHAS'!B361)</f>
        <v/>
      </c>
      <c r="AS23" s="490" t="str">
        <f>IF('REL LINHAS'!B362="","",'REL LINHAS'!B362)</f>
        <v/>
      </c>
      <c r="AT23" s="550"/>
      <c r="AU23" s="550"/>
    </row>
    <row r="24" spans="1:47" s="245" customFormat="1" ht="24" thickBot="1" x14ac:dyDescent="0.25">
      <c r="A24" s="250"/>
      <c r="B24" s="532" t="s">
        <v>325</v>
      </c>
      <c r="C24" s="535">
        <f>IF('INV. HUM.'!M3="","",'INV. HUM.'!M3)</f>
        <v>0</v>
      </c>
      <c r="D24" s="247"/>
      <c r="E24" s="621" t="s">
        <v>209</v>
      </c>
      <c r="F24" s="622"/>
      <c r="G24" s="623"/>
      <c r="H24" s="624" t="str">
        <f>IF(SUM(K5:K20)=0,"",CONCATENATE(SUM(K5:K20),"  carros de frota total"))</f>
        <v/>
      </c>
      <c r="I24" s="625"/>
      <c r="J24" s="625"/>
      <c r="K24" s="625"/>
      <c r="L24" s="625"/>
      <c r="M24" s="626"/>
      <c r="N24" s="238"/>
      <c r="O24" s="238"/>
      <c r="P24" s="238"/>
      <c r="Q24" s="246"/>
      <c r="S24" s="238"/>
      <c r="T24" s="238"/>
      <c r="AA24" s="597" t="s">
        <v>1032</v>
      </c>
      <c r="AB24" s="597"/>
      <c r="AC24" s="549" t="s">
        <v>2637</v>
      </c>
      <c r="AD24" s="490">
        <v>1201</v>
      </c>
      <c r="AE24" s="490">
        <v>1202</v>
      </c>
      <c r="AF24" s="490">
        <v>1203</v>
      </c>
      <c r="AG24" s="490">
        <v>1204</v>
      </c>
      <c r="AH24" s="490">
        <v>1205</v>
      </c>
      <c r="AI24" s="490">
        <v>1206</v>
      </c>
      <c r="AJ24" s="490">
        <v>1207</v>
      </c>
      <c r="AK24" s="490"/>
      <c r="AL24" s="490"/>
      <c r="AM24" s="490"/>
      <c r="AN24" s="490" t="str">
        <f>IF('REL LINHAS'!B376="","",'REL LINHAS'!B376)</f>
        <v/>
      </c>
      <c r="AO24" s="490" t="str">
        <f>IF('REL LINHAS'!B377="","",'REL LINHAS'!B377)</f>
        <v/>
      </c>
      <c r="AP24" s="490" t="str">
        <f>IF('REL LINHAS'!B378="","",'REL LINHAS'!B378)</f>
        <v/>
      </c>
      <c r="AQ24" s="490" t="str">
        <f>IF('REL LINHAS'!B379="","",'REL LINHAS'!B379)</f>
        <v/>
      </c>
      <c r="AR24" s="490" t="str">
        <f>IF('REL LINHAS'!B380="","",'REL LINHAS'!B380)</f>
        <v/>
      </c>
      <c r="AS24" s="490" t="str">
        <f>IF('REL LINHAS'!B381="","",'REL LINHAS'!B381)</f>
        <v/>
      </c>
      <c r="AT24" s="550"/>
      <c r="AU24" s="550"/>
    </row>
    <row r="25" spans="1:47" s="245" customFormat="1" x14ac:dyDescent="0.2">
      <c r="A25" s="250"/>
      <c r="B25" s="251"/>
      <c r="C25" s="252"/>
      <c r="D25" s="250"/>
      <c r="E25" s="247"/>
      <c r="F25" s="247"/>
      <c r="G25" s="247"/>
      <c r="H25" s="247"/>
      <c r="I25" s="247"/>
      <c r="J25" s="247"/>
      <c r="K25" s="247"/>
      <c r="L25" s="247"/>
      <c r="M25" s="247"/>
      <c r="N25" s="238"/>
      <c r="O25" s="238"/>
      <c r="P25" s="238"/>
      <c r="Q25" s="246"/>
      <c r="S25" s="238"/>
      <c r="T25" s="238"/>
      <c r="AA25" s="597" t="s">
        <v>1033</v>
      </c>
      <c r="AB25" s="596" t="s">
        <v>498</v>
      </c>
      <c r="AC25" s="549" t="s">
        <v>2710</v>
      </c>
      <c r="AD25" s="550">
        <v>2101</v>
      </c>
      <c r="AE25" s="550">
        <v>2102</v>
      </c>
      <c r="AF25" s="550">
        <v>2103</v>
      </c>
      <c r="AG25" s="550">
        <v>2104</v>
      </c>
      <c r="AH25" s="550">
        <v>2105</v>
      </c>
      <c r="AI25" s="550">
        <v>2106</v>
      </c>
      <c r="AJ25" s="550">
        <v>2107</v>
      </c>
      <c r="AK25" s="550"/>
      <c r="AL25" s="550"/>
      <c r="AM25" s="550"/>
      <c r="AN25" s="550"/>
      <c r="AO25" s="550"/>
      <c r="AP25" s="550"/>
      <c r="AQ25" s="550"/>
      <c r="AR25" s="550"/>
      <c r="AS25" s="550"/>
      <c r="AT25" s="550"/>
      <c r="AU25" s="550"/>
    </row>
    <row r="26" spans="1:47" s="245" customFormat="1" x14ac:dyDescent="0.2">
      <c r="A26" s="250"/>
      <c r="B26" s="238"/>
      <c r="E26" s="238"/>
      <c r="F26" s="238"/>
      <c r="G26" s="238"/>
      <c r="H26" s="247"/>
      <c r="I26" s="247"/>
      <c r="J26" s="247"/>
      <c r="K26" s="247"/>
      <c r="L26" s="247"/>
      <c r="M26" s="247"/>
      <c r="N26" s="238"/>
      <c r="O26" s="238"/>
      <c r="P26" s="238" t="s">
        <v>4</v>
      </c>
      <c r="Q26" s="246"/>
      <c r="R26" s="238"/>
      <c r="S26" s="238"/>
      <c r="T26" s="238"/>
      <c r="AA26" s="597" t="s">
        <v>1034</v>
      </c>
      <c r="AB26" s="597"/>
      <c r="AC26" s="549" t="s">
        <v>2661</v>
      </c>
      <c r="AD26" s="550">
        <v>2201</v>
      </c>
      <c r="AE26" s="550">
        <v>2202</v>
      </c>
      <c r="AF26" s="550">
        <v>2203</v>
      </c>
      <c r="AG26" s="550">
        <v>2204</v>
      </c>
      <c r="AH26" s="550">
        <v>2205</v>
      </c>
      <c r="AI26" s="550">
        <v>2206</v>
      </c>
      <c r="AJ26" s="550"/>
      <c r="AK26" s="550"/>
      <c r="AL26" s="550"/>
      <c r="AM26" s="550"/>
      <c r="AN26" s="550"/>
      <c r="AO26" s="550"/>
      <c r="AP26" s="550"/>
      <c r="AQ26" s="550"/>
      <c r="AR26" s="550"/>
      <c r="AS26" s="550"/>
      <c r="AT26" s="550"/>
      <c r="AU26" s="550"/>
    </row>
    <row r="27" spans="1:47" s="245" customFormat="1" x14ac:dyDescent="0.2">
      <c r="A27" s="250"/>
      <c r="B27" s="238">
        <f>COUNTIF(MANUTENÇÃO!H4:N4,"sim")</f>
        <v>0</v>
      </c>
      <c r="D27" s="245">
        <f>COUNTIF(MANUTENÇÃO!O4:U4,"sim")</f>
        <v>0</v>
      </c>
      <c r="E27" s="238"/>
      <c r="F27" s="238"/>
      <c r="G27" s="238"/>
      <c r="H27" s="247"/>
      <c r="I27" s="247"/>
      <c r="J27" s="247"/>
      <c r="K27" s="247"/>
      <c r="L27" s="247"/>
      <c r="M27" s="247"/>
      <c r="N27" s="238"/>
      <c r="O27" s="238"/>
      <c r="P27" s="238"/>
      <c r="Q27" s="246"/>
      <c r="R27" s="238"/>
      <c r="S27" s="238"/>
      <c r="T27" s="238"/>
      <c r="AA27" s="596" t="s">
        <v>1035</v>
      </c>
      <c r="AB27" s="596" t="s">
        <v>498</v>
      </c>
      <c r="AC27" s="546" t="s">
        <v>2655</v>
      </c>
      <c r="AD27" s="550">
        <v>3101</v>
      </c>
      <c r="AE27" s="550">
        <v>3102</v>
      </c>
      <c r="AF27" s="550">
        <v>3103</v>
      </c>
      <c r="AG27" s="550">
        <v>3104</v>
      </c>
      <c r="AH27" s="550">
        <v>3105</v>
      </c>
      <c r="AI27" s="550">
        <v>3106</v>
      </c>
      <c r="AJ27" s="550">
        <v>3107</v>
      </c>
      <c r="AK27" s="550">
        <v>3108</v>
      </c>
      <c r="AL27" s="550"/>
      <c r="AM27" s="550"/>
      <c r="AN27" s="550"/>
      <c r="AO27" s="550"/>
      <c r="AP27" s="550"/>
      <c r="AQ27" s="550"/>
      <c r="AR27" s="550"/>
      <c r="AS27" s="550"/>
      <c r="AT27" s="550"/>
      <c r="AU27" s="550"/>
    </row>
    <row r="28" spans="1:47" s="245" customFormat="1" x14ac:dyDescent="0.2">
      <c r="A28" s="250"/>
      <c r="B28" s="238">
        <v>0</v>
      </c>
      <c r="C28" s="245" t="s">
        <v>313</v>
      </c>
      <c r="D28" s="245">
        <v>0</v>
      </c>
      <c r="E28" s="238" t="s">
        <v>462</v>
      </c>
      <c r="F28" s="238"/>
      <c r="G28" s="238"/>
      <c r="H28" s="247"/>
      <c r="I28" s="247"/>
      <c r="J28" s="247"/>
      <c r="K28" s="247"/>
      <c r="L28" s="247"/>
      <c r="M28" s="247"/>
      <c r="N28" s="238"/>
      <c r="O28" s="238"/>
      <c r="P28" s="238"/>
      <c r="Q28" s="246"/>
      <c r="R28" s="238"/>
      <c r="S28" s="238"/>
      <c r="T28" s="238"/>
      <c r="AA28" s="597" t="s">
        <v>1036</v>
      </c>
      <c r="AB28" s="597"/>
      <c r="AC28" s="549" t="s">
        <v>2662</v>
      </c>
      <c r="AD28" s="550">
        <v>3201</v>
      </c>
      <c r="AE28" s="550">
        <v>3202</v>
      </c>
      <c r="AF28" s="550">
        <v>3203</v>
      </c>
      <c r="AG28" s="550">
        <v>3204</v>
      </c>
      <c r="AH28" s="550">
        <v>3205</v>
      </c>
      <c r="AI28" s="550">
        <v>3206</v>
      </c>
      <c r="AJ28" s="550"/>
      <c r="AK28" s="550"/>
      <c r="AL28" s="550"/>
      <c r="AM28" s="550"/>
      <c r="AN28" s="550"/>
      <c r="AO28" s="550"/>
      <c r="AP28" s="550"/>
      <c r="AQ28" s="550"/>
      <c r="AR28" s="550"/>
      <c r="AS28" s="550"/>
      <c r="AT28" s="550"/>
      <c r="AU28" s="550"/>
    </row>
    <row r="29" spans="1:47" s="245" customFormat="1" x14ac:dyDescent="0.2">
      <c r="A29" s="250"/>
      <c r="B29" s="238">
        <v>1</v>
      </c>
      <c r="C29" s="245" t="s">
        <v>319</v>
      </c>
      <c r="D29" s="245">
        <v>1</v>
      </c>
      <c r="E29" s="238" t="s">
        <v>463</v>
      </c>
      <c r="F29" s="238"/>
      <c r="G29" s="238"/>
      <c r="H29" s="247"/>
      <c r="I29" s="247"/>
      <c r="J29" s="247"/>
      <c r="K29" s="247"/>
      <c r="L29" s="247"/>
      <c r="M29" s="247"/>
      <c r="N29" s="238"/>
      <c r="O29" s="238"/>
      <c r="P29" s="238"/>
      <c r="Q29" s="246"/>
      <c r="R29" s="238"/>
      <c r="S29" s="238"/>
      <c r="T29" s="238"/>
      <c r="AA29" s="597" t="s">
        <v>1037</v>
      </c>
      <c r="AB29" s="596" t="s">
        <v>498</v>
      </c>
      <c r="AC29" s="549" t="s">
        <v>2518</v>
      </c>
      <c r="AD29" s="550">
        <v>4101</v>
      </c>
      <c r="AE29" s="550">
        <v>4102</v>
      </c>
      <c r="AF29" s="550">
        <v>4103</v>
      </c>
      <c r="AG29" s="550">
        <v>4104</v>
      </c>
      <c r="AH29" s="550">
        <v>4105</v>
      </c>
      <c r="AI29" s="550">
        <v>4106</v>
      </c>
      <c r="AJ29" s="550">
        <v>4107</v>
      </c>
      <c r="AK29" s="550">
        <v>4108</v>
      </c>
      <c r="AL29" s="550"/>
      <c r="AM29" s="550"/>
      <c r="AN29" s="550"/>
      <c r="AO29" s="550"/>
      <c r="AP29" s="550"/>
      <c r="AQ29" s="550"/>
      <c r="AR29" s="550"/>
      <c r="AS29" s="550"/>
      <c r="AT29" s="550"/>
      <c r="AU29" s="550"/>
    </row>
    <row r="30" spans="1:47" s="245" customFormat="1" x14ac:dyDescent="0.2">
      <c r="A30" s="250"/>
      <c r="B30" s="238">
        <v>2</v>
      </c>
      <c r="C30" s="245" t="s">
        <v>320</v>
      </c>
      <c r="D30" s="245">
        <v>2</v>
      </c>
      <c r="E30" s="238" t="s">
        <v>464</v>
      </c>
      <c r="F30" s="238"/>
      <c r="G30" s="238"/>
      <c r="H30" s="247"/>
      <c r="I30" s="247"/>
      <c r="J30" s="247"/>
      <c r="K30" s="247"/>
      <c r="L30" s="247"/>
      <c r="M30" s="247"/>
      <c r="N30" s="238"/>
      <c r="O30" s="238"/>
      <c r="P30" s="238"/>
      <c r="Q30" s="246"/>
      <c r="R30" s="238"/>
      <c r="S30" s="238"/>
      <c r="T30" s="238"/>
      <c r="AA30" s="597" t="s">
        <v>1038</v>
      </c>
      <c r="AB30" s="597"/>
      <c r="AC30" s="549" t="s">
        <v>2663</v>
      </c>
      <c r="AD30" s="550">
        <v>4201</v>
      </c>
      <c r="AE30" s="550">
        <v>4202</v>
      </c>
      <c r="AF30" s="550">
        <v>4203</v>
      </c>
      <c r="AG30" s="550">
        <v>4204</v>
      </c>
      <c r="AH30" s="550">
        <v>4205</v>
      </c>
      <c r="AI30" s="550">
        <v>4206</v>
      </c>
      <c r="AJ30" s="550"/>
      <c r="AK30" s="550"/>
      <c r="AL30" s="550"/>
      <c r="AM30" s="550"/>
      <c r="AN30" s="550"/>
      <c r="AO30" s="550"/>
      <c r="AP30" s="550"/>
      <c r="AQ30" s="550"/>
      <c r="AR30" s="550"/>
      <c r="AS30" s="550"/>
      <c r="AT30" s="550"/>
      <c r="AU30" s="550"/>
    </row>
    <row r="31" spans="1:47" s="245" customFormat="1" x14ac:dyDescent="0.2">
      <c r="A31" s="250"/>
      <c r="B31" s="238">
        <v>3</v>
      </c>
      <c r="C31" s="245" t="s">
        <v>321</v>
      </c>
      <c r="D31" s="245">
        <v>3</v>
      </c>
      <c r="E31" s="238" t="s">
        <v>465</v>
      </c>
      <c r="F31" s="238"/>
      <c r="G31" s="238"/>
      <c r="H31" s="247"/>
      <c r="I31" s="247"/>
      <c r="J31" s="247"/>
      <c r="K31" s="247"/>
      <c r="L31" s="247"/>
      <c r="M31" s="247"/>
      <c r="N31" s="238"/>
      <c r="O31" s="238"/>
      <c r="P31" s="238"/>
      <c r="Q31" s="246"/>
      <c r="R31" s="238"/>
      <c r="S31" s="238"/>
      <c r="T31" s="238"/>
      <c r="AA31" s="597" t="s">
        <v>1039</v>
      </c>
      <c r="AB31" s="596" t="s">
        <v>498</v>
      </c>
      <c r="AC31" s="549" t="s">
        <v>2519</v>
      </c>
      <c r="AD31" s="550">
        <v>5101</v>
      </c>
      <c r="AE31" s="550">
        <v>5102</v>
      </c>
      <c r="AF31" s="550">
        <v>5103</v>
      </c>
      <c r="AG31" s="550">
        <v>5104</v>
      </c>
      <c r="AH31" s="550">
        <v>5105</v>
      </c>
      <c r="AI31" s="550">
        <v>5106</v>
      </c>
      <c r="AJ31" s="550">
        <v>5107</v>
      </c>
      <c r="AK31" s="550">
        <v>5108</v>
      </c>
      <c r="AL31" s="550"/>
      <c r="AM31" s="550"/>
      <c r="AN31" s="550"/>
      <c r="AO31" s="550"/>
      <c r="AP31" s="550"/>
      <c r="AQ31" s="550"/>
      <c r="AR31" s="550"/>
      <c r="AS31" s="550"/>
      <c r="AT31" s="550"/>
      <c r="AU31" s="550"/>
    </row>
    <row r="32" spans="1:47" x14ac:dyDescent="0.2">
      <c r="B32" s="238">
        <v>4</v>
      </c>
      <c r="C32" s="245" t="s">
        <v>322</v>
      </c>
      <c r="D32" s="245">
        <v>4</v>
      </c>
      <c r="E32" s="238" t="s">
        <v>466</v>
      </c>
      <c r="F32" s="238"/>
      <c r="G32" s="238"/>
      <c r="AA32" s="597" t="s">
        <v>1040</v>
      </c>
      <c r="AB32" s="597"/>
      <c r="AC32" s="549" t="s">
        <v>2664</v>
      </c>
      <c r="AD32" s="490">
        <v>5201</v>
      </c>
      <c r="AE32" s="490">
        <v>5202</v>
      </c>
      <c r="AF32" s="490">
        <v>5203</v>
      </c>
      <c r="AG32" s="490">
        <v>5204</v>
      </c>
      <c r="AH32" s="490">
        <v>5205</v>
      </c>
      <c r="AI32" s="490">
        <v>5206</v>
      </c>
    </row>
    <row r="33" spans="2:38" x14ac:dyDescent="0.2">
      <c r="B33" s="238">
        <v>5</v>
      </c>
      <c r="C33" s="245" t="s">
        <v>323</v>
      </c>
      <c r="D33" s="245">
        <v>5</v>
      </c>
      <c r="E33" s="238" t="s">
        <v>467</v>
      </c>
      <c r="F33" s="238"/>
      <c r="G33" s="238"/>
      <c r="AA33" s="596" t="s">
        <v>1041</v>
      </c>
      <c r="AB33" s="596" t="s">
        <v>498</v>
      </c>
      <c r="AC33" s="546" t="s">
        <v>2711</v>
      </c>
      <c r="AD33" s="490">
        <v>6101</v>
      </c>
      <c r="AE33" s="490">
        <v>6102</v>
      </c>
      <c r="AF33" s="490">
        <v>6103</v>
      </c>
      <c r="AG33" s="490">
        <v>6104</v>
      </c>
      <c r="AH33" s="490">
        <v>6105</v>
      </c>
      <c r="AI33" s="490">
        <v>6106</v>
      </c>
      <c r="AJ33" s="490">
        <v>6107</v>
      </c>
      <c r="AK33" s="490">
        <v>6108</v>
      </c>
      <c r="AL33" s="490">
        <v>6109</v>
      </c>
    </row>
    <row r="34" spans="2:38" x14ac:dyDescent="0.2">
      <c r="B34" s="238">
        <v>6</v>
      </c>
      <c r="C34" s="245" t="s">
        <v>324</v>
      </c>
      <c r="D34" s="245">
        <v>6</v>
      </c>
      <c r="E34" s="238" t="s">
        <v>468</v>
      </c>
      <c r="F34" s="238"/>
      <c r="G34" s="238"/>
      <c r="AA34" s="597" t="s">
        <v>1042</v>
      </c>
      <c r="AB34" s="597"/>
      <c r="AC34" s="549" t="s">
        <v>2665</v>
      </c>
      <c r="AD34" s="490">
        <v>6201</v>
      </c>
      <c r="AE34" s="490">
        <v>6202</v>
      </c>
      <c r="AF34" s="490">
        <v>6203</v>
      </c>
      <c r="AG34" s="490">
        <v>6204</v>
      </c>
      <c r="AH34" s="490">
        <v>6205</v>
      </c>
      <c r="AI34" s="490">
        <v>6206</v>
      </c>
    </row>
    <row r="35" spans="2:38" x14ac:dyDescent="0.2">
      <c r="B35" s="238"/>
      <c r="C35" s="245"/>
      <c r="D35" s="245">
        <v>7</v>
      </c>
      <c r="E35" s="238" t="s">
        <v>469</v>
      </c>
      <c r="F35" s="238"/>
      <c r="G35" s="238"/>
      <c r="AA35" s="597" t="s">
        <v>1043</v>
      </c>
      <c r="AB35" s="597"/>
      <c r="AC35" s="549" t="s">
        <v>2666</v>
      </c>
      <c r="AD35" s="490">
        <v>7101</v>
      </c>
      <c r="AE35" s="490">
        <v>7102</v>
      </c>
      <c r="AF35" s="490">
        <v>7103</v>
      </c>
      <c r="AG35" s="490">
        <v>7104</v>
      </c>
      <c r="AH35" s="490">
        <v>7105</v>
      </c>
      <c r="AI35" s="490">
        <v>7106</v>
      </c>
    </row>
    <row r="36" spans="2:38" x14ac:dyDescent="0.2">
      <c r="AA36" s="597" t="s">
        <v>1044</v>
      </c>
      <c r="AB36" s="597"/>
      <c r="AC36" s="549" t="s">
        <v>2667</v>
      </c>
      <c r="AD36" s="490">
        <v>7201</v>
      </c>
      <c r="AE36" s="490">
        <v>7202</v>
      </c>
      <c r="AF36" s="490">
        <v>7203</v>
      </c>
      <c r="AG36" s="490">
        <v>7204</v>
      </c>
      <c r="AH36" s="490">
        <v>7205</v>
      </c>
    </row>
    <row r="37" spans="2:38" x14ac:dyDescent="0.2">
      <c r="AA37" s="596" t="s">
        <v>1045</v>
      </c>
      <c r="AB37" s="596" t="s">
        <v>498</v>
      </c>
      <c r="AC37" s="546" t="s">
        <v>2656</v>
      </c>
      <c r="AD37" s="490">
        <v>8101</v>
      </c>
      <c r="AE37" s="490">
        <v>8102</v>
      </c>
      <c r="AF37" s="490">
        <v>8103</v>
      </c>
      <c r="AG37" s="490">
        <v>8104</v>
      </c>
      <c r="AH37" s="490">
        <v>8105</v>
      </c>
      <c r="AI37" s="490">
        <v>8106</v>
      </c>
      <c r="AJ37" s="490">
        <v>8107</v>
      </c>
      <c r="AK37" s="490">
        <v>8108</v>
      </c>
    </row>
    <row r="38" spans="2:38" x14ac:dyDescent="0.2">
      <c r="AA38" s="597" t="s">
        <v>1046</v>
      </c>
      <c r="AB38" s="597"/>
      <c r="AC38" s="549" t="s">
        <v>2642</v>
      </c>
      <c r="AD38" s="490">
        <v>8201</v>
      </c>
      <c r="AE38" s="490">
        <v>8202</v>
      </c>
      <c r="AF38" s="490">
        <v>8203</v>
      </c>
      <c r="AG38" s="490">
        <v>8204</v>
      </c>
      <c r="AH38" s="490">
        <v>8205</v>
      </c>
    </row>
    <row r="39" spans="2:38" x14ac:dyDescent="0.2">
      <c r="AA39" s="596" t="s">
        <v>1047</v>
      </c>
      <c r="AB39" s="596"/>
      <c r="AC39" s="546" t="s">
        <v>1143</v>
      </c>
      <c r="AD39" s="490" t="s">
        <v>1267</v>
      </c>
      <c r="AE39" s="490" t="s">
        <v>1270</v>
      </c>
      <c r="AF39" s="490" t="s">
        <v>1272</v>
      </c>
      <c r="AG39" s="490" t="s">
        <v>1274</v>
      </c>
      <c r="AH39" s="490" t="s">
        <v>1276</v>
      </c>
      <c r="AI39" s="490" t="s">
        <v>1278</v>
      </c>
      <c r="AJ39" s="490" t="s">
        <v>1280</v>
      </c>
    </row>
    <row r="40" spans="2:38" x14ac:dyDescent="0.2">
      <c r="AA40" s="596" t="s">
        <v>1048</v>
      </c>
      <c r="AB40" s="596"/>
      <c r="AC40" s="546" t="s">
        <v>2639</v>
      </c>
      <c r="AD40" s="490" t="s">
        <v>1283</v>
      </c>
      <c r="AE40" s="490" t="s">
        <v>1286</v>
      </c>
      <c r="AF40" s="490" t="s">
        <v>1288</v>
      </c>
      <c r="AG40" s="490" t="s">
        <v>1290</v>
      </c>
      <c r="AH40" s="490" t="s">
        <v>1292</v>
      </c>
      <c r="AI40" s="490" t="s">
        <v>1295</v>
      </c>
      <c r="AJ40" s="490" t="s">
        <v>1297</v>
      </c>
      <c r="AK40" s="490" t="s">
        <v>1299</v>
      </c>
    </row>
    <row r="41" spans="2:38" x14ac:dyDescent="0.2">
      <c r="AA41" s="596" t="s">
        <v>1049</v>
      </c>
      <c r="AB41" s="596" t="s">
        <v>498</v>
      </c>
      <c r="AC41" s="546" t="s">
        <v>2712</v>
      </c>
      <c r="AD41" s="490" t="s">
        <v>1301</v>
      </c>
      <c r="AE41" s="490" t="s">
        <v>1304</v>
      </c>
      <c r="AF41" s="490" t="s">
        <v>1307</v>
      </c>
      <c r="AG41" s="490" t="s">
        <v>1309</v>
      </c>
      <c r="AH41" s="490" t="s">
        <v>1311</v>
      </c>
      <c r="AI41" s="490" t="s">
        <v>1313</v>
      </c>
      <c r="AJ41" s="490" t="s">
        <v>1315</v>
      </c>
      <c r="AK41" s="490" t="s">
        <v>1317</v>
      </c>
    </row>
    <row r="42" spans="2:38" x14ac:dyDescent="0.2">
      <c r="AA42" s="596" t="s">
        <v>1050</v>
      </c>
      <c r="AB42" s="596"/>
      <c r="AC42" s="546" t="s">
        <v>1144</v>
      </c>
      <c r="AD42" s="490" t="s">
        <v>1319</v>
      </c>
      <c r="AE42" s="490" t="s">
        <v>1321</v>
      </c>
      <c r="AF42" s="490" t="s">
        <v>1323</v>
      </c>
      <c r="AG42" s="490" t="s">
        <v>1325</v>
      </c>
      <c r="AH42" s="490" t="s">
        <v>1327</v>
      </c>
      <c r="AI42" s="490" t="s">
        <v>1328</v>
      </c>
      <c r="AJ42" s="490" t="s">
        <v>1330</v>
      </c>
    </row>
    <row r="43" spans="2:38" x14ac:dyDescent="0.2">
      <c r="AA43" s="596" t="s">
        <v>1051</v>
      </c>
      <c r="AB43" s="596" t="s">
        <v>498</v>
      </c>
      <c r="AC43" s="546" t="s">
        <v>2713</v>
      </c>
      <c r="AD43" s="490" t="s">
        <v>1332</v>
      </c>
      <c r="AE43" s="490" t="s">
        <v>1335</v>
      </c>
      <c r="AF43" s="490" t="s">
        <v>1337</v>
      </c>
      <c r="AG43" s="490" t="s">
        <v>1338</v>
      </c>
      <c r="AH43" s="490" t="s">
        <v>1341</v>
      </c>
      <c r="AI43" s="490" t="s">
        <v>1343</v>
      </c>
    </row>
    <row r="44" spans="2:38" x14ac:dyDescent="0.2">
      <c r="AA44" s="596" t="s">
        <v>1052</v>
      </c>
      <c r="AB44" s="596"/>
      <c r="AC44" s="546" t="s">
        <v>2640</v>
      </c>
      <c r="AD44" s="490" t="s">
        <v>1345</v>
      </c>
      <c r="AE44" s="490" t="s">
        <v>1347</v>
      </c>
      <c r="AF44" s="490" t="s">
        <v>1348</v>
      </c>
      <c r="AG44" s="490" t="s">
        <v>1350</v>
      </c>
      <c r="AH44" s="490" t="s">
        <v>1353</v>
      </c>
      <c r="AI44" s="490" t="s">
        <v>1355</v>
      </c>
    </row>
    <row r="45" spans="2:38" x14ac:dyDescent="0.2">
      <c r="AA45" s="596" t="s">
        <v>1053</v>
      </c>
      <c r="AB45" s="596" t="s">
        <v>498</v>
      </c>
      <c r="AC45" s="546" t="s">
        <v>1152</v>
      </c>
      <c r="AD45" s="490" t="s">
        <v>1357</v>
      </c>
      <c r="AE45" s="490" t="s">
        <v>1358</v>
      </c>
      <c r="AF45" s="490" t="s">
        <v>1360</v>
      </c>
      <c r="AG45" s="490" t="s">
        <v>1362</v>
      </c>
      <c r="AH45" s="490" t="s">
        <v>1364</v>
      </c>
      <c r="AI45" s="490" t="s">
        <v>1366</v>
      </c>
      <c r="AJ45" s="490" t="s">
        <v>1368</v>
      </c>
    </row>
    <row r="46" spans="2:38" x14ac:dyDescent="0.2">
      <c r="AA46" s="596" t="s">
        <v>1054</v>
      </c>
      <c r="AB46" s="596"/>
      <c r="AC46" s="546" t="s">
        <v>1027</v>
      </c>
      <c r="AD46" s="490" t="s">
        <v>1372</v>
      </c>
      <c r="AE46" s="490" t="s">
        <v>1375</v>
      </c>
      <c r="AF46" s="490" t="s">
        <v>1377</v>
      </c>
      <c r="AG46" s="490" t="s">
        <v>1379</v>
      </c>
      <c r="AH46" s="490" t="s">
        <v>1382</v>
      </c>
      <c r="AI46" s="490" t="s">
        <v>1384</v>
      </c>
    </row>
    <row r="47" spans="2:38" x14ac:dyDescent="0.2">
      <c r="AA47" s="596" t="s">
        <v>1055</v>
      </c>
      <c r="AB47" s="596"/>
      <c r="AC47" s="546" t="s">
        <v>1138</v>
      </c>
      <c r="AD47" s="490" t="s">
        <v>1387</v>
      </c>
      <c r="AE47" s="490" t="s">
        <v>1388</v>
      </c>
      <c r="AF47" s="490" t="s">
        <v>1389</v>
      </c>
      <c r="AG47" s="490" t="s">
        <v>1392</v>
      </c>
      <c r="AH47" s="490" t="s">
        <v>1394</v>
      </c>
      <c r="AI47" s="490" t="s">
        <v>1397</v>
      </c>
    </row>
    <row r="48" spans="2:38" x14ac:dyDescent="0.2">
      <c r="AA48" s="596" t="s">
        <v>1056</v>
      </c>
      <c r="AB48" s="596"/>
      <c r="AC48" s="546" t="s">
        <v>1139</v>
      </c>
      <c r="AD48" s="490" t="s">
        <v>1399</v>
      </c>
      <c r="AE48" s="490" t="s">
        <v>1401</v>
      </c>
      <c r="AF48" s="490" t="s">
        <v>1404</v>
      </c>
      <c r="AG48" s="490" t="s">
        <v>1406</v>
      </c>
      <c r="AH48" s="490" t="s">
        <v>1408</v>
      </c>
      <c r="AI48" s="490" t="s">
        <v>1409</v>
      </c>
      <c r="AJ48" s="490" t="s">
        <v>1411</v>
      </c>
    </row>
    <row r="49" spans="27:41" x14ac:dyDescent="0.2">
      <c r="AA49" s="596" t="s">
        <v>1057</v>
      </c>
      <c r="AB49" s="596" t="s">
        <v>498</v>
      </c>
      <c r="AC49" s="546" t="s">
        <v>1153</v>
      </c>
      <c r="AD49" s="490" t="s">
        <v>1414</v>
      </c>
      <c r="AE49" s="490" t="s">
        <v>1417</v>
      </c>
      <c r="AF49" s="490" t="s">
        <v>1419</v>
      </c>
      <c r="AG49" s="490" t="s">
        <v>1421</v>
      </c>
      <c r="AH49" s="490" t="s">
        <v>1423</v>
      </c>
      <c r="AI49" s="490" t="s">
        <v>1425</v>
      </c>
      <c r="AJ49" s="490" t="s">
        <v>1426</v>
      </c>
    </row>
    <row r="50" spans="27:41" x14ac:dyDescent="0.2">
      <c r="AA50" s="596" t="s">
        <v>1058</v>
      </c>
      <c r="AB50" s="596"/>
      <c r="AC50" s="546" t="s">
        <v>1028</v>
      </c>
      <c r="AD50" s="490" t="s">
        <v>1429</v>
      </c>
      <c r="AE50" s="490" t="s">
        <v>1431</v>
      </c>
      <c r="AF50" s="490" t="s">
        <v>1433</v>
      </c>
      <c r="AG50" s="490" t="s">
        <v>1434</v>
      </c>
      <c r="AH50" s="490" t="s">
        <v>1436</v>
      </c>
      <c r="AI50" s="490" t="s">
        <v>1438</v>
      </c>
      <c r="AJ50" s="490" t="s">
        <v>1440</v>
      </c>
    </row>
    <row r="51" spans="27:41" x14ac:dyDescent="0.2">
      <c r="AA51" s="596" t="s">
        <v>1059</v>
      </c>
      <c r="AB51" s="596"/>
      <c r="AC51" s="546" t="s">
        <v>2643</v>
      </c>
      <c r="AD51" s="490" t="s">
        <v>1455</v>
      </c>
      <c r="AE51" s="490" t="s">
        <v>1456</v>
      </c>
      <c r="AF51" s="490" t="s">
        <v>1457</v>
      </c>
      <c r="AG51" s="490" t="s">
        <v>1458</v>
      </c>
      <c r="AH51" s="490" t="s">
        <v>1460</v>
      </c>
      <c r="AI51" s="490" t="s">
        <v>1461</v>
      </c>
      <c r="AJ51" s="490" t="s">
        <v>1463</v>
      </c>
      <c r="AK51" s="490" t="s">
        <v>1464</v>
      </c>
    </row>
    <row r="52" spans="27:41" x14ac:dyDescent="0.2">
      <c r="AA52" s="596" t="s">
        <v>1060</v>
      </c>
      <c r="AB52" s="596"/>
      <c r="AC52" s="546" t="s">
        <v>2644</v>
      </c>
      <c r="AD52" s="490" t="s">
        <v>1466</v>
      </c>
      <c r="AE52" s="490" t="s">
        <v>1467</v>
      </c>
      <c r="AF52" s="490" t="s">
        <v>1468</v>
      </c>
      <c r="AG52" s="490" t="s">
        <v>1469</v>
      </c>
      <c r="AH52" s="490" t="s">
        <v>1470</v>
      </c>
      <c r="AI52" s="490" t="s">
        <v>1472</v>
      </c>
      <c r="AJ52" s="490" t="s">
        <v>1473</v>
      </c>
      <c r="AK52" s="490" t="s">
        <v>1474</v>
      </c>
      <c r="AL52" s="490" t="s">
        <v>1475</v>
      </c>
    </row>
    <row r="53" spans="27:41" x14ac:dyDescent="0.2">
      <c r="AA53" s="596" t="s">
        <v>1061</v>
      </c>
      <c r="AB53" s="596"/>
      <c r="AC53" s="546" t="s">
        <v>1154</v>
      </c>
      <c r="AD53" s="490" t="s">
        <v>1479</v>
      </c>
      <c r="AE53" s="490" t="s">
        <v>1481</v>
      </c>
      <c r="AF53" s="490" t="s">
        <v>1482</v>
      </c>
      <c r="AG53" s="490" t="s">
        <v>1483</v>
      </c>
      <c r="AH53" s="490" t="s">
        <v>1484</v>
      </c>
      <c r="AI53" s="490" t="s">
        <v>1486</v>
      </c>
    </row>
    <row r="54" spans="27:41" x14ac:dyDescent="0.2">
      <c r="AA54" s="596" t="s">
        <v>1062</v>
      </c>
      <c r="AB54" s="596"/>
      <c r="AC54" s="546" t="s">
        <v>1155</v>
      </c>
      <c r="AD54" s="490" t="s">
        <v>1489</v>
      </c>
      <c r="AE54" s="490" t="s">
        <v>1491</v>
      </c>
      <c r="AF54" s="490" t="s">
        <v>1493</v>
      </c>
      <c r="AG54" s="490" t="s">
        <v>1495</v>
      </c>
      <c r="AH54" s="490" t="s">
        <v>1496</v>
      </c>
      <c r="AI54" s="490" t="s">
        <v>1498</v>
      </c>
    </row>
    <row r="55" spans="27:41" x14ac:dyDescent="0.2">
      <c r="AA55" s="596" t="s">
        <v>1063</v>
      </c>
      <c r="AB55" s="596"/>
      <c r="AC55" s="546" t="s">
        <v>1134</v>
      </c>
      <c r="AD55" s="490" t="s">
        <v>1501</v>
      </c>
      <c r="AE55" s="490" t="s">
        <v>1502</v>
      </c>
      <c r="AF55" s="490" t="s">
        <v>1503</v>
      </c>
      <c r="AG55" s="490" t="s">
        <v>1504</v>
      </c>
      <c r="AH55" s="490" t="s">
        <v>1505</v>
      </c>
      <c r="AI55" s="490" t="s">
        <v>1507</v>
      </c>
    </row>
    <row r="56" spans="27:41" x14ac:dyDescent="0.2">
      <c r="AA56" s="596" t="s">
        <v>1064</v>
      </c>
      <c r="AB56" s="596"/>
      <c r="AC56" s="546" t="s">
        <v>1135</v>
      </c>
      <c r="AD56" s="490" t="s">
        <v>1510</v>
      </c>
      <c r="AE56" s="490" t="s">
        <v>1511</v>
      </c>
      <c r="AF56" s="490" t="s">
        <v>1513</v>
      </c>
      <c r="AG56" s="490" t="s">
        <v>1515</v>
      </c>
      <c r="AH56" s="490" t="s">
        <v>1516</v>
      </c>
      <c r="AI56" s="490" t="s">
        <v>1517</v>
      </c>
    </row>
    <row r="57" spans="27:41" x14ac:dyDescent="0.2">
      <c r="AA57" s="596" t="s">
        <v>1065</v>
      </c>
      <c r="AB57" s="596"/>
      <c r="AC57" s="546" t="s">
        <v>1029</v>
      </c>
      <c r="AD57" s="490" t="s">
        <v>1519</v>
      </c>
      <c r="AE57" s="490" t="s">
        <v>1521</v>
      </c>
      <c r="AF57" s="490" t="s">
        <v>1523</v>
      </c>
      <c r="AG57" s="490" t="s">
        <v>1524</v>
      </c>
      <c r="AH57" s="490" t="s">
        <v>1525</v>
      </c>
    </row>
    <row r="58" spans="27:41" x14ac:dyDescent="0.2">
      <c r="AA58" s="596" t="s">
        <v>1066</v>
      </c>
      <c r="AB58" s="596"/>
      <c r="AC58" s="546" t="s">
        <v>1030</v>
      </c>
      <c r="AD58" s="490" t="s">
        <v>1528</v>
      </c>
      <c r="AE58" s="490" t="s">
        <v>1530</v>
      </c>
      <c r="AF58" s="490" t="s">
        <v>1532</v>
      </c>
      <c r="AG58" s="490" t="s">
        <v>1534</v>
      </c>
      <c r="AH58" s="490" t="s">
        <v>1536</v>
      </c>
    </row>
    <row r="59" spans="27:41" x14ac:dyDescent="0.2">
      <c r="AA59" s="596" t="s">
        <v>1067</v>
      </c>
      <c r="AB59" s="596" t="s">
        <v>498</v>
      </c>
      <c r="AC59" s="546" t="s">
        <v>2714</v>
      </c>
      <c r="AD59" s="490" t="s">
        <v>1545</v>
      </c>
      <c r="AE59" s="490" t="s">
        <v>1548</v>
      </c>
      <c r="AF59" s="490" t="s">
        <v>1550</v>
      </c>
      <c r="AG59" s="490" t="s">
        <v>1552</v>
      </c>
      <c r="AH59" s="490" t="s">
        <v>1555</v>
      </c>
      <c r="AI59" s="490" t="s">
        <v>1556</v>
      </c>
      <c r="AJ59" s="490" t="s">
        <v>1557</v>
      </c>
      <c r="AK59" s="490" t="s">
        <v>1558</v>
      </c>
      <c r="AL59" s="490" t="s">
        <v>1559</v>
      </c>
      <c r="AM59" s="490" t="s">
        <v>1561</v>
      </c>
      <c r="AN59" s="490" t="s">
        <v>1562</v>
      </c>
    </row>
    <row r="60" spans="27:41" x14ac:dyDescent="0.2">
      <c r="AA60" s="596" t="s">
        <v>1068</v>
      </c>
      <c r="AB60" s="596"/>
      <c r="AC60" s="546" t="s">
        <v>2695</v>
      </c>
      <c r="AD60" s="490" t="s">
        <v>1564</v>
      </c>
      <c r="AE60" s="490" t="s">
        <v>1565</v>
      </c>
      <c r="AF60" s="490" t="s">
        <v>1566</v>
      </c>
      <c r="AG60" s="490" t="s">
        <v>1568</v>
      </c>
      <c r="AH60" s="490" t="s">
        <v>1569</v>
      </c>
      <c r="AI60" s="490" t="s">
        <v>1572</v>
      </c>
      <c r="AJ60" s="490" t="s">
        <v>1575</v>
      </c>
      <c r="AK60" s="490" t="s">
        <v>1578</v>
      </c>
      <c r="AL60" s="490" t="s">
        <v>1581</v>
      </c>
      <c r="AM60" s="490" t="s">
        <v>1584</v>
      </c>
      <c r="AN60" s="490" t="s">
        <v>1586</v>
      </c>
      <c r="AO60" s="490" t="s">
        <v>1588</v>
      </c>
    </row>
    <row r="61" spans="27:41" x14ac:dyDescent="0.2">
      <c r="AA61" s="596" t="s">
        <v>1069</v>
      </c>
      <c r="AB61" s="596"/>
      <c r="AC61" s="546" t="s">
        <v>2636</v>
      </c>
      <c r="AD61" s="490" t="s">
        <v>1590</v>
      </c>
      <c r="AE61" s="490" t="s">
        <v>1592</v>
      </c>
      <c r="AF61" s="490" t="s">
        <v>1594</v>
      </c>
      <c r="AG61" s="490" t="s">
        <v>1596</v>
      </c>
      <c r="AH61" s="490" t="s">
        <v>1597</v>
      </c>
      <c r="AI61" s="490" t="s">
        <v>1599</v>
      </c>
      <c r="AJ61" s="490" t="s">
        <v>1602</v>
      </c>
      <c r="AK61" s="490" t="s">
        <v>1603</v>
      </c>
      <c r="AL61" s="490" t="s">
        <v>1605</v>
      </c>
      <c r="AM61" s="490" t="s">
        <v>1607</v>
      </c>
    </row>
    <row r="62" spans="27:41" x14ac:dyDescent="0.2">
      <c r="AA62" s="596" t="s">
        <v>1070</v>
      </c>
      <c r="AB62" s="596"/>
      <c r="AC62" s="546" t="s">
        <v>2645</v>
      </c>
      <c r="AD62" s="490" t="s">
        <v>1609</v>
      </c>
      <c r="AE62" s="490" t="s">
        <v>1611</v>
      </c>
      <c r="AF62" s="490" t="s">
        <v>1613</v>
      </c>
      <c r="AG62" s="490" t="s">
        <v>1615</v>
      </c>
      <c r="AH62" s="490" t="s">
        <v>1616</v>
      </c>
      <c r="AI62" s="490" t="s">
        <v>1618</v>
      </c>
    </row>
    <row r="63" spans="27:41" x14ac:dyDescent="0.2">
      <c r="AA63" s="597" t="s">
        <v>1071</v>
      </c>
      <c r="AB63" s="597"/>
      <c r="AC63" s="549" t="s">
        <v>2646</v>
      </c>
      <c r="AD63" s="490" t="s">
        <v>1620</v>
      </c>
      <c r="AE63" s="490" t="s">
        <v>1622</v>
      </c>
      <c r="AF63" s="490" t="s">
        <v>1624</v>
      </c>
      <c r="AG63" s="490" t="s">
        <v>1626</v>
      </c>
      <c r="AH63" s="490" t="s">
        <v>1628</v>
      </c>
    </row>
    <row r="64" spans="27:41" x14ac:dyDescent="0.2">
      <c r="AA64" s="596" t="s">
        <v>1072</v>
      </c>
      <c r="AB64" s="596"/>
      <c r="AC64" s="546" t="s">
        <v>2668</v>
      </c>
      <c r="AD64" s="490" t="s">
        <v>1630</v>
      </c>
      <c r="AE64" s="490" t="s">
        <v>1632</v>
      </c>
      <c r="AF64" s="490" t="s">
        <v>1634</v>
      </c>
      <c r="AG64" s="490" t="s">
        <v>1636</v>
      </c>
      <c r="AH64" s="490" t="s">
        <v>1638</v>
      </c>
      <c r="AI64" s="490" t="s">
        <v>1640</v>
      </c>
      <c r="AJ64" s="490" t="s">
        <v>1642</v>
      </c>
      <c r="AK64" s="490" t="s">
        <v>1643</v>
      </c>
    </row>
    <row r="65" spans="27:37" x14ac:dyDescent="0.2">
      <c r="AA65" s="597" t="s">
        <v>1073</v>
      </c>
      <c r="AB65" s="597"/>
      <c r="AC65" s="549" t="s">
        <v>2671</v>
      </c>
      <c r="AD65" s="490" t="s">
        <v>1645</v>
      </c>
      <c r="AE65" s="490" t="s">
        <v>1647</v>
      </c>
      <c r="AF65" s="490" t="s">
        <v>1649</v>
      </c>
      <c r="AG65" s="490" t="s">
        <v>1651</v>
      </c>
      <c r="AH65" s="490" t="s">
        <v>1653</v>
      </c>
      <c r="AI65" s="490" t="s">
        <v>1655</v>
      </c>
      <c r="AJ65" s="490" t="s">
        <v>1657</v>
      </c>
    </row>
    <row r="66" spans="27:37" x14ac:dyDescent="0.2">
      <c r="AA66" s="597" t="s">
        <v>1074</v>
      </c>
      <c r="AB66" s="597"/>
      <c r="AC66" s="549" t="s">
        <v>2696</v>
      </c>
      <c r="AD66" s="490" t="s">
        <v>1659</v>
      </c>
      <c r="AE66" s="490" t="s">
        <v>1661</v>
      </c>
      <c r="AF66" s="490" t="s">
        <v>1663</v>
      </c>
      <c r="AG66" s="490" t="s">
        <v>1665</v>
      </c>
      <c r="AH66" s="490" t="s">
        <v>1667</v>
      </c>
      <c r="AI66" s="490" t="s">
        <v>1669</v>
      </c>
    </row>
    <row r="67" spans="27:37" x14ac:dyDescent="0.2">
      <c r="AA67" s="596" t="s">
        <v>1075</v>
      </c>
      <c r="AB67" s="596"/>
      <c r="AC67" s="546" t="s">
        <v>2641</v>
      </c>
      <c r="AD67" s="490" t="s">
        <v>1671</v>
      </c>
      <c r="AE67" s="490" t="s">
        <v>1673</v>
      </c>
      <c r="AF67" s="490" t="s">
        <v>1675</v>
      </c>
      <c r="AG67" s="490" t="s">
        <v>1677</v>
      </c>
      <c r="AH67" s="490" t="s">
        <v>1679</v>
      </c>
      <c r="AI67" s="490" t="s">
        <v>1681</v>
      </c>
      <c r="AJ67" s="490" t="s">
        <v>1683</v>
      </c>
    </row>
    <row r="68" spans="27:37" x14ac:dyDescent="0.2">
      <c r="AA68" s="596" t="s">
        <v>1076</v>
      </c>
      <c r="AB68" s="596"/>
      <c r="AC68" s="546" t="s">
        <v>2672</v>
      </c>
      <c r="AD68" s="490" t="s">
        <v>1705</v>
      </c>
      <c r="AE68" s="490" t="s">
        <v>1708</v>
      </c>
      <c r="AF68" s="490" t="s">
        <v>1710</v>
      </c>
      <c r="AG68" s="490" t="s">
        <v>1712</v>
      </c>
      <c r="AH68" s="490" t="s">
        <v>1714</v>
      </c>
      <c r="AI68" s="490" t="s">
        <v>1715</v>
      </c>
    </row>
    <row r="69" spans="27:37" x14ac:dyDescent="0.2">
      <c r="AA69" s="597" t="s">
        <v>1077</v>
      </c>
      <c r="AB69" s="597"/>
      <c r="AC69" s="549" t="s">
        <v>2682</v>
      </c>
      <c r="AD69" s="490" t="s">
        <v>1717</v>
      </c>
      <c r="AE69" s="490" t="s">
        <v>1718</v>
      </c>
      <c r="AF69" s="490" t="s">
        <v>1719</v>
      </c>
      <c r="AG69" s="490" t="s">
        <v>1721</v>
      </c>
      <c r="AH69" s="490" t="s">
        <v>1722</v>
      </c>
      <c r="AI69" s="490" t="s">
        <v>1723</v>
      </c>
    </row>
    <row r="70" spans="27:37" x14ac:dyDescent="0.2">
      <c r="AA70" s="597" t="s">
        <v>1078</v>
      </c>
      <c r="AB70" s="596" t="s">
        <v>498</v>
      </c>
      <c r="AC70" s="549" t="s">
        <v>2716</v>
      </c>
      <c r="AD70" s="490" t="s">
        <v>1725</v>
      </c>
      <c r="AE70" s="490" t="s">
        <v>1727</v>
      </c>
      <c r="AF70" s="490" t="s">
        <v>1729</v>
      </c>
      <c r="AG70" s="490" t="s">
        <v>1731</v>
      </c>
      <c r="AH70" s="490" t="s">
        <v>1733</v>
      </c>
      <c r="AI70" s="490" t="s">
        <v>1735</v>
      </c>
    </row>
    <row r="71" spans="27:37" x14ac:dyDescent="0.2">
      <c r="AA71" s="597" t="s">
        <v>1079</v>
      </c>
      <c r="AB71" s="597"/>
      <c r="AC71" s="549" t="s">
        <v>2683</v>
      </c>
      <c r="AD71" s="490" t="s">
        <v>1737</v>
      </c>
      <c r="AE71" s="490" t="s">
        <v>1739</v>
      </c>
      <c r="AF71" s="490" t="s">
        <v>1741</v>
      </c>
      <c r="AG71" s="490" t="s">
        <v>1743</v>
      </c>
      <c r="AH71" s="490" t="s">
        <v>1745</v>
      </c>
    </row>
    <row r="72" spans="27:37" x14ac:dyDescent="0.2">
      <c r="AA72" s="597" t="s">
        <v>1080</v>
      </c>
      <c r="AB72" s="596" t="s">
        <v>498</v>
      </c>
      <c r="AC72" s="549" t="s">
        <v>2717</v>
      </c>
      <c r="AD72" s="490" t="s">
        <v>1747</v>
      </c>
      <c r="AE72" s="490" t="s">
        <v>1749</v>
      </c>
      <c r="AF72" s="490" t="s">
        <v>1751</v>
      </c>
      <c r="AG72" s="490" t="s">
        <v>1753</v>
      </c>
      <c r="AH72" s="490" t="s">
        <v>1755</v>
      </c>
      <c r="AI72" s="490" t="s">
        <v>1757</v>
      </c>
    </row>
    <row r="73" spans="27:37" x14ac:dyDescent="0.2">
      <c r="AA73" s="596" t="s">
        <v>1081</v>
      </c>
      <c r="AB73" s="596"/>
      <c r="AC73" s="546" t="s">
        <v>2684</v>
      </c>
      <c r="AD73" s="490" t="s">
        <v>1759</v>
      </c>
      <c r="AE73" s="490" t="s">
        <v>1760</v>
      </c>
      <c r="AF73" s="490" t="s">
        <v>1761</v>
      </c>
      <c r="AG73" s="490" t="s">
        <v>1763</v>
      </c>
      <c r="AH73" s="490" t="s">
        <v>1764</v>
      </c>
      <c r="AI73" s="490" t="s">
        <v>1766</v>
      </c>
    </row>
    <row r="74" spans="27:37" x14ac:dyDescent="0.2">
      <c r="AA74" s="596" t="s">
        <v>1082</v>
      </c>
      <c r="AB74" s="596"/>
      <c r="AC74" s="546" t="s">
        <v>2674</v>
      </c>
      <c r="AD74" s="490" t="s">
        <v>1767</v>
      </c>
      <c r="AE74" s="490" t="s">
        <v>1769</v>
      </c>
      <c r="AF74" s="490" t="s">
        <v>1771</v>
      </c>
      <c r="AG74" s="490" t="s">
        <v>1773</v>
      </c>
      <c r="AH74" s="490" t="s">
        <v>1775</v>
      </c>
      <c r="AI74" s="490" t="s">
        <v>1777</v>
      </c>
    </row>
    <row r="75" spans="27:37" x14ac:dyDescent="0.2">
      <c r="AA75" s="596" t="s">
        <v>1083</v>
      </c>
      <c r="AB75" s="596"/>
      <c r="AC75" s="546" t="s">
        <v>2675</v>
      </c>
      <c r="AD75" s="490" t="s">
        <v>1779</v>
      </c>
      <c r="AE75" s="490" t="s">
        <v>1780</v>
      </c>
      <c r="AF75" s="490" t="s">
        <v>1782</v>
      </c>
      <c r="AG75" s="490" t="s">
        <v>1784</v>
      </c>
      <c r="AH75" s="490" t="s">
        <v>1785</v>
      </c>
      <c r="AI75" s="490" t="s">
        <v>1787</v>
      </c>
    </row>
    <row r="76" spans="27:37" x14ac:dyDescent="0.2">
      <c r="AA76" s="597" t="s">
        <v>1084</v>
      </c>
      <c r="AB76" s="597"/>
      <c r="AC76" s="549" t="s">
        <v>2685</v>
      </c>
      <c r="AD76" s="490" t="s">
        <v>1789</v>
      </c>
      <c r="AE76" s="490" t="s">
        <v>1790</v>
      </c>
      <c r="AF76" s="490" t="s">
        <v>1791</v>
      </c>
      <c r="AG76" s="490" t="s">
        <v>1792</v>
      </c>
      <c r="AH76" s="490" t="s">
        <v>1793</v>
      </c>
      <c r="AI76" s="490" t="s">
        <v>1794</v>
      </c>
    </row>
    <row r="77" spans="27:37" x14ac:dyDescent="0.2">
      <c r="AA77" s="596" t="s">
        <v>1085</v>
      </c>
      <c r="AB77" s="596"/>
      <c r="AC77" s="546" t="s">
        <v>2623</v>
      </c>
      <c r="AD77" s="490" t="s">
        <v>1795</v>
      </c>
      <c r="AE77" s="490" t="s">
        <v>1797</v>
      </c>
      <c r="AF77" s="490" t="s">
        <v>1800</v>
      </c>
      <c r="AG77" s="490" t="s">
        <v>1803</v>
      </c>
      <c r="AH77" s="490" t="s">
        <v>1805</v>
      </c>
    </row>
    <row r="78" spans="27:37" x14ac:dyDescent="0.2">
      <c r="AA78" s="597" t="s">
        <v>1086</v>
      </c>
      <c r="AB78" s="597"/>
      <c r="AC78" s="549" t="s">
        <v>2686</v>
      </c>
      <c r="AD78" s="490" t="s">
        <v>1807</v>
      </c>
      <c r="AE78" s="490" t="s">
        <v>1809</v>
      </c>
      <c r="AF78" s="490" t="s">
        <v>1811</v>
      </c>
      <c r="AG78" s="490" t="s">
        <v>1813</v>
      </c>
      <c r="AH78" s="490" t="s">
        <v>1815</v>
      </c>
    </row>
    <row r="79" spans="27:37" x14ac:dyDescent="0.2">
      <c r="AA79" s="596" t="s">
        <v>1087</v>
      </c>
      <c r="AB79" s="596"/>
      <c r="AC79" s="546" t="s">
        <v>2653</v>
      </c>
      <c r="AD79" s="490" t="s">
        <v>1817</v>
      </c>
      <c r="AE79" s="490" t="s">
        <v>1818</v>
      </c>
      <c r="AF79" s="490" t="s">
        <v>1820</v>
      </c>
      <c r="AG79" s="490" t="s">
        <v>1822</v>
      </c>
      <c r="AH79" s="490" t="s">
        <v>1824</v>
      </c>
    </row>
    <row r="80" spans="27:37" x14ac:dyDescent="0.2">
      <c r="AA80" s="596" t="s">
        <v>1088</v>
      </c>
      <c r="AB80" s="596" t="s">
        <v>498</v>
      </c>
      <c r="AC80" s="546" t="s">
        <v>2626</v>
      </c>
      <c r="AD80" s="490" t="s">
        <v>1826</v>
      </c>
      <c r="AE80" s="490" t="s">
        <v>1829</v>
      </c>
      <c r="AF80" s="490" t="s">
        <v>1831</v>
      </c>
      <c r="AG80" s="490" t="s">
        <v>1833</v>
      </c>
      <c r="AH80" s="490" t="s">
        <v>1836</v>
      </c>
      <c r="AI80" s="490" t="s">
        <v>1838</v>
      </c>
      <c r="AJ80" s="490" t="s">
        <v>1840</v>
      </c>
      <c r="AK80" s="490" t="s">
        <v>1842</v>
      </c>
    </row>
    <row r="81" spans="27:38" x14ac:dyDescent="0.2">
      <c r="AA81" s="597" t="s">
        <v>1089</v>
      </c>
      <c r="AB81" s="597"/>
      <c r="AC81" s="549" t="s">
        <v>2676</v>
      </c>
      <c r="AD81" s="490" t="s">
        <v>1843</v>
      </c>
      <c r="AE81" s="490" t="s">
        <v>1845</v>
      </c>
      <c r="AF81" s="490" t="s">
        <v>1847</v>
      </c>
      <c r="AG81" s="490" t="s">
        <v>1848</v>
      </c>
      <c r="AH81" s="490" t="s">
        <v>1850</v>
      </c>
      <c r="AI81" s="490" t="s">
        <v>1851</v>
      </c>
      <c r="AJ81" s="490" t="s">
        <v>1853</v>
      </c>
    </row>
    <row r="82" spans="27:38" x14ac:dyDescent="0.2">
      <c r="AA82" s="597" t="s">
        <v>1090</v>
      </c>
      <c r="AB82" s="597"/>
      <c r="AC82" s="549" t="s">
        <v>2687</v>
      </c>
      <c r="AD82" s="490" t="s">
        <v>1855</v>
      </c>
      <c r="AE82" s="490" t="s">
        <v>1856</v>
      </c>
      <c r="AF82" s="490" t="s">
        <v>1858</v>
      </c>
      <c r="AG82" s="490" t="s">
        <v>1860</v>
      </c>
      <c r="AH82" s="490" t="s">
        <v>1863</v>
      </c>
      <c r="AI82" s="490" t="s">
        <v>1865</v>
      </c>
      <c r="AJ82" s="490" t="s">
        <v>1866</v>
      </c>
    </row>
    <row r="83" spans="27:38" x14ac:dyDescent="0.2">
      <c r="AA83" s="597" t="s">
        <v>1091</v>
      </c>
      <c r="AB83" s="596" t="s">
        <v>498</v>
      </c>
      <c r="AC83" s="549" t="s">
        <v>2657</v>
      </c>
      <c r="AD83" s="490" t="s">
        <v>1868</v>
      </c>
      <c r="AE83" s="490" t="s">
        <v>1870</v>
      </c>
      <c r="AF83" s="490" t="s">
        <v>1872</v>
      </c>
      <c r="AG83" s="490" t="s">
        <v>1874</v>
      </c>
      <c r="AH83" s="490" t="s">
        <v>1876</v>
      </c>
      <c r="AI83" s="490" t="s">
        <v>1878</v>
      </c>
      <c r="AJ83" s="490" t="s">
        <v>1880</v>
      </c>
      <c r="AK83" s="490" t="s">
        <v>1883</v>
      </c>
      <c r="AL83" s="490" t="s">
        <v>1885</v>
      </c>
    </row>
    <row r="84" spans="27:38" x14ac:dyDescent="0.2">
      <c r="AA84" s="596" t="s">
        <v>1092</v>
      </c>
      <c r="AB84" s="596"/>
      <c r="AC84" s="546" t="s">
        <v>2677</v>
      </c>
      <c r="AD84" s="490" t="s">
        <v>1886</v>
      </c>
      <c r="AE84" s="490" t="s">
        <v>1888</v>
      </c>
      <c r="AF84" s="490" t="s">
        <v>1890</v>
      </c>
      <c r="AG84" s="490" t="s">
        <v>1892</v>
      </c>
      <c r="AH84" s="490" t="s">
        <v>1893</v>
      </c>
      <c r="AI84" s="490" t="s">
        <v>1894</v>
      </c>
      <c r="AJ84" s="490" t="s">
        <v>1896</v>
      </c>
    </row>
    <row r="85" spans="27:38" x14ac:dyDescent="0.2">
      <c r="AA85" s="596" t="s">
        <v>1093</v>
      </c>
      <c r="AB85" s="596"/>
      <c r="AC85" s="546" t="s">
        <v>2650</v>
      </c>
      <c r="AD85" s="490" t="s">
        <v>1898</v>
      </c>
      <c r="AE85" s="490" t="s">
        <v>1900</v>
      </c>
      <c r="AF85" s="490" t="s">
        <v>1902</v>
      </c>
      <c r="AG85" s="490" t="s">
        <v>1904</v>
      </c>
      <c r="AH85" s="490" t="s">
        <v>1906</v>
      </c>
    </row>
    <row r="86" spans="27:38" x14ac:dyDescent="0.2">
      <c r="AA86" s="596" t="s">
        <v>1094</v>
      </c>
      <c r="AB86" s="596" t="s">
        <v>498</v>
      </c>
      <c r="AC86" s="546" t="s">
        <v>2715</v>
      </c>
      <c r="AD86" s="490" t="s">
        <v>1907</v>
      </c>
      <c r="AE86" s="490" t="s">
        <v>1908</v>
      </c>
      <c r="AF86" s="490" t="s">
        <v>1910</v>
      </c>
      <c r="AG86" s="490" t="s">
        <v>1911</v>
      </c>
      <c r="AH86" s="490" t="s">
        <v>1912</v>
      </c>
      <c r="AI86" s="490" t="s">
        <v>1913</v>
      </c>
      <c r="AJ86" s="490" t="s">
        <v>1914</v>
      </c>
      <c r="AK86" s="490" t="s">
        <v>1917</v>
      </c>
      <c r="AL86" s="490" t="s">
        <v>1920</v>
      </c>
    </row>
    <row r="87" spans="27:38" x14ac:dyDescent="0.2">
      <c r="AA87" s="597" t="s">
        <v>1095</v>
      </c>
      <c r="AB87" s="597"/>
      <c r="AC87" s="549" t="s">
        <v>2688</v>
      </c>
      <c r="AD87" s="490" t="s">
        <v>1921</v>
      </c>
      <c r="AE87" s="490" t="s">
        <v>1922</v>
      </c>
      <c r="AF87" s="490" t="s">
        <v>1923</v>
      </c>
      <c r="AG87" s="490" t="s">
        <v>1925</v>
      </c>
      <c r="AH87" s="490" t="s">
        <v>1928</v>
      </c>
      <c r="AI87" s="490" t="s">
        <v>1930</v>
      </c>
      <c r="AJ87" s="490" t="s">
        <v>1933</v>
      </c>
    </row>
    <row r="88" spans="27:38" x14ac:dyDescent="0.2">
      <c r="AA88" s="596" t="s">
        <v>1096</v>
      </c>
      <c r="AB88" s="596" t="s">
        <v>498</v>
      </c>
      <c r="AC88" s="546" t="s">
        <v>2658</v>
      </c>
      <c r="AD88" s="490" t="s">
        <v>1936</v>
      </c>
      <c r="AE88" s="490" t="s">
        <v>1939</v>
      </c>
      <c r="AF88" s="490" t="s">
        <v>1940</v>
      </c>
      <c r="AG88" s="490" t="s">
        <v>1941</v>
      </c>
      <c r="AH88" s="490" t="s">
        <v>1944</v>
      </c>
      <c r="AI88" s="490" t="s">
        <v>1946</v>
      </c>
      <c r="AJ88" s="490" t="s">
        <v>1948</v>
      </c>
      <c r="AK88" s="490" t="s">
        <v>1949</v>
      </c>
      <c r="AL88" s="490" t="s">
        <v>1950</v>
      </c>
    </row>
    <row r="89" spans="27:38" x14ac:dyDescent="0.2">
      <c r="AA89" s="597" t="s">
        <v>1097</v>
      </c>
      <c r="AB89" s="596" t="s">
        <v>498</v>
      </c>
      <c r="AC89" s="549" t="s">
        <v>2627</v>
      </c>
      <c r="AD89" s="490" t="s">
        <v>1952</v>
      </c>
      <c r="AE89" s="490" t="s">
        <v>1955</v>
      </c>
      <c r="AF89" s="490" t="s">
        <v>1956</v>
      </c>
      <c r="AG89" s="490" t="s">
        <v>1958</v>
      </c>
      <c r="AH89" s="490" t="s">
        <v>1959</v>
      </c>
      <c r="AI89" s="490" t="s">
        <v>1960</v>
      </c>
      <c r="AJ89" s="490" t="s">
        <v>1962</v>
      </c>
      <c r="AK89" s="490" t="s">
        <v>1964</v>
      </c>
      <c r="AL89" s="490" t="s">
        <v>1966</v>
      </c>
    </row>
    <row r="90" spans="27:38" x14ac:dyDescent="0.2">
      <c r="AA90" s="597" t="s">
        <v>1098</v>
      </c>
      <c r="AB90" s="597"/>
      <c r="AC90" s="549" t="s">
        <v>2689</v>
      </c>
      <c r="AD90" s="490" t="s">
        <v>1969</v>
      </c>
      <c r="AE90" s="490" t="s">
        <v>1971</v>
      </c>
      <c r="AF90" s="490" t="s">
        <v>1973</v>
      </c>
      <c r="AG90" s="490" t="s">
        <v>1975</v>
      </c>
      <c r="AH90" s="490" t="s">
        <v>1976</v>
      </c>
      <c r="AI90" s="490" t="s">
        <v>1979</v>
      </c>
    </row>
    <row r="91" spans="27:38" x14ac:dyDescent="0.2">
      <c r="AA91" s="597" t="s">
        <v>1099</v>
      </c>
      <c r="AB91" s="596" t="s">
        <v>498</v>
      </c>
      <c r="AC91" s="549" t="s">
        <v>2720</v>
      </c>
      <c r="AD91" s="490" t="s">
        <v>1982</v>
      </c>
      <c r="AE91" s="490" t="s">
        <v>1984</v>
      </c>
      <c r="AF91" s="490" t="s">
        <v>1986</v>
      </c>
      <c r="AG91" s="490" t="s">
        <v>1988</v>
      </c>
      <c r="AH91" s="490" t="s">
        <v>1991</v>
      </c>
      <c r="AI91" s="490" t="s">
        <v>1993</v>
      </c>
      <c r="AJ91" s="490" t="s">
        <v>1995</v>
      </c>
      <c r="AK91" s="490" t="s">
        <v>1998</v>
      </c>
      <c r="AL91" s="490" t="s">
        <v>2000</v>
      </c>
    </row>
    <row r="92" spans="27:38" x14ac:dyDescent="0.2">
      <c r="AA92" s="596" t="s">
        <v>1100</v>
      </c>
      <c r="AB92" s="596"/>
      <c r="AC92" s="546" t="s">
        <v>2678</v>
      </c>
      <c r="AD92" s="490" t="s">
        <v>2002</v>
      </c>
      <c r="AE92" s="490" t="s">
        <v>2004</v>
      </c>
      <c r="AF92" s="490" t="s">
        <v>2006</v>
      </c>
      <c r="AG92" s="490" t="s">
        <v>2008</v>
      </c>
      <c r="AH92" s="490" t="s">
        <v>2010</v>
      </c>
      <c r="AI92" s="490" t="s">
        <v>2012</v>
      </c>
      <c r="AJ92" s="490" t="s">
        <v>2014</v>
      </c>
      <c r="AK92" s="490" t="s">
        <v>2016</v>
      </c>
    </row>
    <row r="93" spans="27:38" x14ac:dyDescent="0.2">
      <c r="AA93" s="597" t="s">
        <v>1101</v>
      </c>
      <c r="AB93" s="597"/>
      <c r="AC93" s="549" t="s">
        <v>2690</v>
      </c>
      <c r="AD93" s="490" t="s">
        <v>2018</v>
      </c>
      <c r="AE93" s="490" t="s">
        <v>2020</v>
      </c>
      <c r="AF93" s="490" t="s">
        <v>2022</v>
      </c>
      <c r="AG93" s="490" t="s">
        <v>2024</v>
      </c>
      <c r="AH93" s="490" t="s">
        <v>2026</v>
      </c>
      <c r="AI93" s="490" t="s">
        <v>2028</v>
      </c>
      <c r="AJ93" s="490" t="s">
        <v>2030</v>
      </c>
    </row>
    <row r="94" spans="27:38" x14ac:dyDescent="0.2">
      <c r="AA94" s="596" t="s">
        <v>1102</v>
      </c>
      <c r="AB94" s="596" t="s">
        <v>498</v>
      </c>
      <c r="AC94" s="546" t="s">
        <v>2721</v>
      </c>
      <c r="AD94" s="490" t="s">
        <v>2033</v>
      </c>
      <c r="AE94" s="490" t="s">
        <v>2035</v>
      </c>
      <c r="AF94" s="490" t="s">
        <v>2036</v>
      </c>
      <c r="AG94" s="490" t="s">
        <v>2037</v>
      </c>
      <c r="AH94" s="490" t="s">
        <v>2039</v>
      </c>
      <c r="AI94" s="490" t="s">
        <v>2042</v>
      </c>
      <c r="AJ94" s="490" t="s">
        <v>2045</v>
      </c>
      <c r="AK94" s="490" t="s">
        <v>2048</v>
      </c>
      <c r="AL94" s="490" t="s">
        <v>2051</v>
      </c>
    </row>
    <row r="95" spans="27:38" x14ac:dyDescent="0.2">
      <c r="AA95" s="597" t="s">
        <v>1103</v>
      </c>
      <c r="AB95" s="597"/>
      <c r="AC95" s="549" t="s">
        <v>2691</v>
      </c>
      <c r="AD95" s="490" t="s">
        <v>2053</v>
      </c>
      <c r="AE95" s="490" t="s">
        <v>2054</v>
      </c>
      <c r="AF95" s="490" t="s">
        <v>2056</v>
      </c>
      <c r="AG95" s="490" t="s">
        <v>2058</v>
      </c>
      <c r="AH95" s="490" t="s">
        <v>2059</v>
      </c>
      <c r="AI95" s="490" t="s">
        <v>2061</v>
      </c>
      <c r="AJ95" s="490" t="s">
        <v>2064</v>
      </c>
      <c r="AK95" s="490" t="s">
        <v>2067</v>
      </c>
    </row>
    <row r="96" spans="27:38" x14ac:dyDescent="0.2">
      <c r="AA96" s="596" t="s">
        <v>1104</v>
      </c>
      <c r="AB96" s="596" t="s">
        <v>498</v>
      </c>
      <c r="AC96" s="546" t="s">
        <v>2718</v>
      </c>
      <c r="AD96" s="490" t="s">
        <v>2070</v>
      </c>
      <c r="AE96" s="490" t="s">
        <v>2072</v>
      </c>
      <c r="AF96" s="490" t="s">
        <v>2074</v>
      </c>
      <c r="AG96" s="490" t="s">
        <v>2076</v>
      </c>
      <c r="AH96" s="490" t="s">
        <v>2079</v>
      </c>
      <c r="AI96" s="490" t="s">
        <v>2082</v>
      </c>
      <c r="AJ96" s="490" t="s">
        <v>2085</v>
      </c>
      <c r="AK96" s="490" t="s">
        <v>2088</v>
      </c>
    </row>
    <row r="97" spans="27:39" x14ac:dyDescent="0.2">
      <c r="AA97" s="597" t="s">
        <v>1105</v>
      </c>
      <c r="AB97" s="597"/>
      <c r="AC97" s="549" t="s">
        <v>2647</v>
      </c>
      <c r="AD97" s="490" t="s">
        <v>2091</v>
      </c>
      <c r="AE97" s="490" t="s">
        <v>2093</v>
      </c>
      <c r="AF97" s="490" t="s">
        <v>2095</v>
      </c>
      <c r="AG97" s="490" t="s">
        <v>2097</v>
      </c>
      <c r="AH97" s="490" t="s">
        <v>2099</v>
      </c>
    </row>
    <row r="98" spans="27:39" x14ac:dyDescent="0.2">
      <c r="AA98" s="597" t="s">
        <v>1106</v>
      </c>
      <c r="AB98" s="597"/>
      <c r="AC98" s="549" t="s">
        <v>2648</v>
      </c>
      <c r="AD98" s="490" t="s">
        <v>2100</v>
      </c>
      <c r="AE98" s="490" t="s">
        <v>2101</v>
      </c>
      <c r="AF98" s="490" t="s">
        <v>2103</v>
      </c>
      <c r="AG98" s="490" t="s">
        <v>2105</v>
      </c>
      <c r="AH98" s="490" t="s">
        <v>2107</v>
      </c>
      <c r="AI98" s="490" t="s">
        <v>2109</v>
      </c>
    </row>
    <row r="99" spans="27:39" x14ac:dyDescent="0.2">
      <c r="AA99" s="596" t="s">
        <v>1107</v>
      </c>
      <c r="AB99" s="596" t="s">
        <v>498</v>
      </c>
      <c r="AC99" s="546" t="s">
        <v>2628</v>
      </c>
      <c r="AD99" s="490" t="s">
        <v>2130</v>
      </c>
      <c r="AE99" s="490" t="s">
        <v>2133</v>
      </c>
      <c r="AF99" s="490" t="s">
        <v>2135</v>
      </c>
      <c r="AG99" s="490" t="s">
        <v>2137</v>
      </c>
      <c r="AH99" s="490" t="s">
        <v>2139</v>
      </c>
      <c r="AI99" s="490" t="s">
        <v>2141</v>
      </c>
      <c r="AJ99" s="490" t="s">
        <v>2143</v>
      </c>
      <c r="AK99" s="490" t="s">
        <v>2145</v>
      </c>
      <c r="AL99" s="490" t="s">
        <v>2146</v>
      </c>
      <c r="AM99" s="490" t="s">
        <v>2149</v>
      </c>
    </row>
    <row r="100" spans="27:39" x14ac:dyDescent="0.2">
      <c r="AA100" s="596" t="s">
        <v>1108</v>
      </c>
      <c r="AB100" s="596" t="s">
        <v>498</v>
      </c>
      <c r="AC100" s="546" t="s">
        <v>2629</v>
      </c>
      <c r="AD100" s="490" t="s">
        <v>2151</v>
      </c>
      <c r="AE100" s="490" t="s">
        <v>2153</v>
      </c>
      <c r="AF100" s="490" t="s">
        <v>2155</v>
      </c>
      <c r="AG100" s="490" t="s">
        <v>2157</v>
      </c>
      <c r="AH100" s="490" t="s">
        <v>2159</v>
      </c>
      <c r="AI100" s="490" t="s">
        <v>2161</v>
      </c>
      <c r="AJ100" s="490" t="s">
        <v>2163</v>
      </c>
      <c r="AK100" s="490" t="s">
        <v>2165</v>
      </c>
    </row>
    <row r="101" spans="27:39" x14ac:dyDescent="0.2">
      <c r="AA101" s="596" t="s">
        <v>1109</v>
      </c>
      <c r="AB101" s="596"/>
      <c r="AC101" s="546" t="s">
        <v>1140</v>
      </c>
      <c r="AD101" s="490" t="s">
        <v>2168</v>
      </c>
      <c r="AE101" s="490" t="s">
        <v>2170</v>
      </c>
      <c r="AF101" s="490" t="s">
        <v>2172</v>
      </c>
      <c r="AG101" s="490" t="s">
        <v>2174</v>
      </c>
      <c r="AH101" s="490" t="s">
        <v>2176</v>
      </c>
      <c r="AI101" s="490" t="s">
        <v>2178</v>
      </c>
      <c r="AJ101" s="490" t="s">
        <v>2181</v>
      </c>
    </row>
    <row r="102" spans="27:39" x14ac:dyDescent="0.2">
      <c r="AA102" s="596" t="s">
        <v>1110</v>
      </c>
      <c r="AB102" s="596"/>
      <c r="AC102" s="546" t="s">
        <v>1141</v>
      </c>
      <c r="AD102" s="490" t="s">
        <v>2183</v>
      </c>
      <c r="AE102" s="490" t="s">
        <v>2185</v>
      </c>
      <c r="AF102" s="490" t="s">
        <v>2187</v>
      </c>
      <c r="AG102" s="490" t="s">
        <v>2189</v>
      </c>
      <c r="AH102" s="490" t="s">
        <v>2192</v>
      </c>
      <c r="AI102" s="490" t="s">
        <v>2195</v>
      </c>
    </row>
    <row r="103" spans="27:39" x14ac:dyDescent="0.2">
      <c r="AA103" s="596" t="s">
        <v>1111</v>
      </c>
      <c r="AB103" s="596"/>
      <c r="AC103" s="546" t="s">
        <v>1147</v>
      </c>
      <c r="AD103" s="490" t="s">
        <v>2198</v>
      </c>
      <c r="AE103" s="490" t="s">
        <v>2201</v>
      </c>
      <c r="AF103" s="490" t="s">
        <v>2203</v>
      </c>
      <c r="AG103" s="490" t="s">
        <v>2205</v>
      </c>
      <c r="AH103" s="490" t="s">
        <v>2206</v>
      </c>
      <c r="AI103" s="490" t="s">
        <v>2208</v>
      </c>
      <c r="AJ103" s="490" t="s">
        <v>2210</v>
      </c>
    </row>
    <row r="104" spans="27:39" x14ac:dyDescent="0.2">
      <c r="AA104" s="596" t="s">
        <v>1112</v>
      </c>
      <c r="AB104" s="596"/>
      <c r="AC104" s="546" t="s">
        <v>2697</v>
      </c>
      <c r="AD104" s="490" t="s">
        <v>2212</v>
      </c>
      <c r="AE104" s="490" t="s">
        <v>2214</v>
      </c>
      <c r="AF104" s="490" t="s">
        <v>2216</v>
      </c>
      <c r="AG104" s="490" t="s">
        <v>2218</v>
      </c>
      <c r="AH104" s="490" t="s">
        <v>2220</v>
      </c>
      <c r="AI104" s="490" t="s">
        <v>2221</v>
      </c>
      <c r="AJ104" s="490" t="s">
        <v>2223</v>
      </c>
    </row>
    <row r="105" spans="27:39" x14ac:dyDescent="0.2">
      <c r="AA105" s="596" t="s">
        <v>1113</v>
      </c>
      <c r="AB105" s="596"/>
      <c r="AC105" s="546" t="s">
        <v>1148</v>
      </c>
      <c r="AD105" s="490" t="s">
        <v>2224</v>
      </c>
      <c r="AE105" s="490" t="s">
        <v>2225</v>
      </c>
      <c r="AF105" s="490" t="s">
        <v>2226</v>
      </c>
      <c r="AG105" s="490" t="s">
        <v>2227</v>
      </c>
      <c r="AH105" s="490" t="s">
        <v>2228</v>
      </c>
      <c r="AI105" s="490" t="s">
        <v>2229</v>
      </c>
    </row>
    <row r="106" spans="27:39" x14ac:dyDescent="0.2">
      <c r="AA106" s="596" t="s">
        <v>1114</v>
      </c>
      <c r="AB106" s="596"/>
      <c r="AC106" s="546" t="s">
        <v>2698</v>
      </c>
      <c r="AD106" s="490" t="s">
        <v>2231</v>
      </c>
      <c r="AE106" s="490" t="s">
        <v>2233</v>
      </c>
      <c r="AF106" s="490" t="s">
        <v>2236</v>
      </c>
      <c r="AG106" s="490" t="s">
        <v>2238</v>
      </c>
      <c r="AH106" s="490" t="s">
        <v>2240</v>
      </c>
    </row>
    <row r="107" spans="27:39" x14ac:dyDescent="0.2">
      <c r="AA107" s="596" t="s">
        <v>1115</v>
      </c>
      <c r="AB107" s="596"/>
      <c r="AC107" s="546" t="s">
        <v>1149</v>
      </c>
      <c r="AD107" s="490" t="s">
        <v>2241</v>
      </c>
      <c r="AE107" s="490" t="s">
        <v>2242</v>
      </c>
      <c r="AF107" s="490" t="s">
        <v>2244</v>
      </c>
      <c r="AG107" s="490" t="s">
        <v>2246</v>
      </c>
      <c r="AH107" s="490" t="s">
        <v>2247</v>
      </c>
      <c r="AI107" s="490" t="s">
        <v>2250</v>
      </c>
      <c r="AJ107" s="490" t="s">
        <v>2252</v>
      </c>
      <c r="AK107" s="490" t="s">
        <v>2254</v>
      </c>
    </row>
    <row r="108" spans="27:39" x14ac:dyDescent="0.2">
      <c r="AA108" s="596" t="s">
        <v>1116</v>
      </c>
      <c r="AB108" s="596"/>
      <c r="AC108" s="546" t="s">
        <v>1142</v>
      </c>
      <c r="AD108" s="490" t="s">
        <v>2257</v>
      </c>
      <c r="AE108" s="490" t="s">
        <v>2260</v>
      </c>
      <c r="AF108" s="490" t="s">
        <v>2262</v>
      </c>
      <c r="AG108" s="490" t="s">
        <v>2264</v>
      </c>
      <c r="AH108" s="490" t="s">
        <v>2265</v>
      </c>
      <c r="AI108" s="490" t="s">
        <v>2267</v>
      </c>
      <c r="AJ108" s="490" t="s">
        <v>2268</v>
      </c>
      <c r="AK108" s="490" t="s">
        <v>2270</v>
      </c>
    </row>
    <row r="109" spans="27:39" x14ac:dyDescent="0.2">
      <c r="AA109" s="596" t="s">
        <v>1117</v>
      </c>
      <c r="AB109" s="596" t="s">
        <v>498</v>
      </c>
      <c r="AC109" s="546" t="s">
        <v>2630</v>
      </c>
      <c r="AD109" s="490" t="s">
        <v>2272</v>
      </c>
      <c r="AE109" s="490" t="s">
        <v>2275</v>
      </c>
      <c r="AF109" s="490" t="s">
        <v>2278</v>
      </c>
      <c r="AG109" s="490" t="s">
        <v>2279</v>
      </c>
      <c r="AH109" s="490" t="s">
        <v>2281</v>
      </c>
      <c r="AI109" s="490" t="s">
        <v>2283</v>
      </c>
      <c r="AJ109" s="490" t="s">
        <v>2285</v>
      </c>
      <c r="AK109" s="490" t="s">
        <v>2286</v>
      </c>
      <c r="AL109" s="490" t="s">
        <v>2289</v>
      </c>
      <c r="AM109" s="490" t="s">
        <v>2291</v>
      </c>
    </row>
    <row r="110" spans="27:39" x14ac:dyDescent="0.2">
      <c r="AA110" s="596" t="s">
        <v>1118</v>
      </c>
      <c r="AB110" s="596" t="s">
        <v>498</v>
      </c>
      <c r="AC110" s="546" t="s">
        <v>2631</v>
      </c>
      <c r="AD110" s="490" t="s">
        <v>2294</v>
      </c>
      <c r="AE110" s="490" t="s">
        <v>2296</v>
      </c>
      <c r="AF110" s="490" t="s">
        <v>2298</v>
      </c>
      <c r="AG110" s="490" t="s">
        <v>2300</v>
      </c>
      <c r="AH110" s="490" t="s">
        <v>2302</v>
      </c>
      <c r="AI110" s="490" t="s">
        <v>2304</v>
      </c>
      <c r="AJ110" s="490" t="s">
        <v>2305</v>
      </c>
      <c r="AK110" s="490" t="s">
        <v>2306</v>
      </c>
    </row>
    <row r="111" spans="27:39" x14ac:dyDescent="0.2">
      <c r="AA111" s="596" t="s">
        <v>1119</v>
      </c>
      <c r="AB111" s="596" t="s">
        <v>498</v>
      </c>
      <c r="AC111" s="546" t="s">
        <v>2632</v>
      </c>
      <c r="AD111" s="490" t="s">
        <v>2308</v>
      </c>
      <c r="AE111" s="490" t="s">
        <v>2309</v>
      </c>
      <c r="AF111" s="490" t="s">
        <v>2310</v>
      </c>
      <c r="AG111" s="490" t="s">
        <v>2311</v>
      </c>
      <c r="AH111" s="490" t="s">
        <v>2313</v>
      </c>
      <c r="AI111" s="490" t="s">
        <v>2315</v>
      </c>
      <c r="AJ111" s="490" t="s">
        <v>2318</v>
      </c>
    </row>
    <row r="112" spans="27:39" x14ac:dyDescent="0.2">
      <c r="AA112" s="597" t="s">
        <v>1120</v>
      </c>
      <c r="AB112" s="597"/>
      <c r="AC112" s="549" t="s">
        <v>2692</v>
      </c>
      <c r="AD112" s="490" t="s">
        <v>2320</v>
      </c>
      <c r="AE112" s="490" t="s">
        <v>2323</v>
      </c>
      <c r="AF112" s="490" t="s">
        <v>2326</v>
      </c>
      <c r="AG112" s="490" t="s">
        <v>2328</v>
      </c>
      <c r="AH112" s="490" t="s">
        <v>2330</v>
      </c>
      <c r="AI112" s="490" t="s">
        <v>2333</v>
      </c>
      <c r="AJ112" s="490" t="s">
        <v>2336</v>
      </c>
    </row>
    <row r="113" spans="27:38" x14ac:dyDescent="0.2">
      <c r="AA113" s="597" t="s">
        <v>1121</v>
      </c>
      <c r="AB113" s="597"/>
      <c r="AC113" s="549" t="s">
        <v>2649</v>
      </c>
      <c r="AD113" s="490" t="s">
        <v>2339</v>
      </c>
      <c r="AE113" s="490" t="s">
        <v>2341</v>
      </c>
      <c r="AF113" s="490" t="s">
        <v>2343</v>
      </c>
      <c r="AG113" s="490" t="s">
        <v>2344</v>
      </c>
      <c r="AH113" s="490" t="s">
        <v>2346</v>
      </c>
    </row>
    <row r="114" spans="27:38" x14ac:dyDescent="0.2">
      <c r="AA114" s="597" t="s">
        <v>1122</v>
      </c>
      <c r="AB114" s="597"/>
      <c r="AC114" s="549" t="s">
        <v>2693</v>
      </c>
      <c r="AD114" s="490" t="s">
        <v>2348</v>
      </c>
      <c r="AE114" s="490" t="s">
        <v>2351</v>
      </c>
      <c r="AF114" s="490" t="s">
        <v>2353</v>
      </c>
      <c r="AG114" s="490" t="s">
        <v>2355</v>
      </c>
      <c r="AH114" s="490" t="s">
        <v>2357</v>
      </c>
      <c r="AI114" s="490" t="s">
        <v>2359</v>
      </c>
      <c r="AJ114" s="490" t="s">
        <v>2361</v>
      </c>
      <c r="AK114" s="490" t="s">
        <v>2363</v>
      </c>
    </row>
    <row r="115" spans="27:38" x14ac:dyDescent="0.2">
      <c r="AA115" s="597" t="s">
        <v>1123</v>
      </c>
      <c r="AB115" s="597"/>
      <c r="AC115" s="549" t="s">
        <v>2694</v>
      </c>
      <c r="AD115" s="490" t="s">
        <v>2365</v>
      </c>
      <c r="AE115" s="490" t="s">
        <v>2368</v>
      </c>
      <c r="AF115" s="490" t="s">
        <v>2370</v>
      </c>
      <c r="AG115" s="490" t="s">
        <v>2372</v>
      </c>
      <c r="AH115" s="490" t="s">
        <v>2374</v>
      </c>
      <c r="AI115" s="490" t="s">
        <v>2376</v>
      </c>
      <c r="AJ115" s="490" t="s">
        <v>2378</v>
      </c>
      <c r="AK115" s="490" t="s">
        <v>2381</v>
      </c>
      <c r="AL115" s="490" t="s">
        <v>2383</v>
      </c>
    </row>
    <row r="116" spans="27:38" x14ac:dyDescent="0.2">
      <c r="AA116" s="597" t="s">
        <v>1124</v>
      </c>
      <c r="AB116" s="597"/>
      <c r="AC116" s="549" t="s">
        <v>2679</v>
      </c>
      <c r="AD116" s="490" t="s">
        <v>2386</v>
      </c>
      <c r="AE116" s="490" t="s">
        <v>2388</v>
      </c>
      <c r="AF116" s="490" t="s">
        <v>2391</v>
      </c>
      <c r="AG116" s="490" t="s">
        <v>2392</v>
      </c>
      <c r="AH116" s="490" t="s">
        <v>2394</v>
      </c>
      <c r="AI116" s="490" t="s">
        <v>2396</v>
      </c>
      <c r="AJ116" s="490" t="s">
        <v>2398</v>
      </c>
      <c r="AK116" s="490" t="s">
        <v>2400</v>
      </c>
    </row>
    <row r="117" spans="27:38" x14ac:dyDescent="0.2">
      <c r="AA117" s="597" t="s">
        <v>1125</v>
      </c>
      <c r="AB117" s="597"/>
      <c r="AC117" s="549" t="s">
        <v>2652</v>
      </c>
      <c r="AD117" s="490" t="s">
        <v>2403</v>
      </c>
      <c r="AE117" s="490" t="s">
        <v>2406</v>
      </c>
      <c r="AF117" s="490" t="s">
        <v>2408</v>
      </c>
      <c r="AG117" s="490" t="s">
        <v>2410</v>
      </c>
      <c r="AH117" s="490" t="s">
        <v>2412</v>
      </c>
    </row>
    <row r="118" spans="27:38" x14ac:dyDescent="0.2">
      <c r="AA118" s="597" t="s">
        <v>1126</v>
      </c>
      <c r="AB118" s="597"/>
      <c r="AC118" s="549" t="s">
        <v>2680</v>
      </c>
      <c r="AD118" s="490" t="s">
        <v>2414</v>
      </c>
      <c r="AE118" s="490" t="s">
        <v>2417</v>
      </c>
      <c r="AF118" s="490" t="s">
        <v>2418</v>
      </c>
      <c r="AG118" s="490" t="s">
        <v>2420</v>
      </c>
      <c r="AH118" s="490" t="s">
        <v>2422</v>
      </c>
    </row>
    <row r="119" spans="27:38" x14ac:dyDescent="0.2">
      <c r="AA119" s="596" t="s">
        <v>1127</v>
      </c>
      <c r="AB119" s="596" t="s">
        <v>498</v>
      </c>
      <c r="AC119" s="546" t="s">
        <v>2719</v>
      </c>
      <c r="AD119" s="490" t="s">
        <v>2423</v>
      </c>
      <c r="AE119" s="490" t="s">
        <v>2426</v>
      </c>
      <c r="AF119" s="490" t="s">
        <v>2428</v>
      </c>
      <c r="AG119" s="490" t="s">
        <v>2430</v>
      </c>
      <c r="AH119" s="490" t="s">
        <v>2432</v>
      </c>
      <c r="AI119" s="490" t="s">
        <v>2434</v>
      </c>
      <c r="AJ119" s="490" t="s">
        <v>2436</v>
      </c>
      <c r="AK119" s="490" t="s">
        <v>2439</v>
      </c>
      <c r="AL119" s="490" t="s">
        <v>2442</v>
      </c>
    </row>
    <row r="120" spans="27:38" x14ac:dyDescent="0.2">
      <c r="AA120" s="598" t="s">
        <v>1128</v>
      </c>
      <c r="AB120" s="596" t="s">
        <v>498</v>
      </c>
      <c r="AC120" s="549" t="s">
        <v>2722</v>
      </c>
      <c r="AD120" s="490" t="s">
        <v>2445</v>
      </c>
      <c r="AE120" s="490" t="s">
        <v>2447</v>
      </c>
      <c r="AF120" s="490" t="s">
        <v>2449</v>
      </c>
      <c r="AG120" s="490" t="s">
        <v>2451</v>
      </c>
      <c r="AH120" s="490" t="s">
        <v>2452</v>
      </c>
      <c r="AI120" s="490" t="s">
        <v>2454</v>
      </c>
      <c r="AJ120" s="490" t="s">
        <v>2456</v>
      </c>
      <c r="AK120" s="490" t="s">
        <v>2458</v>
      </c>
    </row>
  </sheetData>
  <sheetProtection autoFilter="0"/>
  <autoFilter ref="B4:M4" xr:uid="{00000000-0009-0000-0000-000004000000}">
    <filterColumn colId="4" showButton="0"/>
  </autoFilter>
  <customSheetViews>
    <customSheetView guid="{8AF28843-E91A-4B21-A4FE-1EF7FC4B25A2}">
      <pane ySplit="4" topLeftCell="A5" activePane="bottomLeft" state="frozen"/>
      <selection pane="bottomLeft" activeCell="D10" sqref="D10"/>
      <pageMargins left="0.78740157499999996" right="0.78740157499999996" top="0.984251969" bottom="0.984251969" header="0.49212598499999999" footer="0.49212598499999999"/>
      <pageSetup paperSize="9" orientation="portrait" r:id="rId1"/>
      <headerFooter alignWithMargins="0"/>
    </customSheetView>
  </customSheetViews>
  <mergeCells count="15">
    <mergeCell ref="E24:G24"/>
    <mergeCell ref="H24:M24"/>
    <mergeCell ref="K2:M2"/>
    <mergeCell ref="K3:M3"/>
    <mergeCell ref="E23:G23"/>
    <mergeCell ref="H23:M23"/>
    <mergeCell ref="H22:M22"/>
    <mergeCell ref="F4:G4"/>
    <mergeCell ref="E22:G22"/>
    <mergeCell ref="B21:M21"/>
    <mergeCell ref="G2:J2"/>
    <mergeCell ref="G3:J3"/>
    <mergeCell ref="E2:F2"/>
    <mergeCell ref="E3:F3"/>
    <mergeCell ref="C3:D3"/>
  </mergeCells>
  <phoneticPr fontId="4" type="noConversion"/>
  <conditionalFormatting sqref="B3">
    <cfRule type="containsText" dxfId="60" priority="2" operator="containsText" text="RS">
      <formula>NOT(ISERROR(SEARCH("RS",B3)))</formula>
    </cfRule>
    <cfRule type="containsText" dxfId="59" priority="3" operator="containsText" text="UNIÃO">
      <formula>NOT(ISERROR(SEARCH("UNIÃO",B3)))</formula>
    </cfRule>
    <cfRule type="containsText" dxfId="58" priority="4" operator="containsText" text="RECORD">
      <formula>NOT(ISERROR(SEARCH("RECORD",B3)))</formula>
    </cfRule>
    <cfRule type="containsText" dxfId="57" priority="5" operator="containsText" text="REBES">
      <formula>NOT(ISERROR(SEARCH("REBES",B3)))</formula>
    </cfRule>
    <cfRule type="containsText" dxfId="56" priority="6" operator="containsText" text="TORRES">
      <formula>NOT(ISERROR(SEARCH("TORRES",B3)))</formula>
    </cfRule>
    <cfRule type="notContainsBlanks" dxfId="55" priority="7">
      <formula>LEN(TRIM(B3))&gt;0</formula>
    </cfRule>
  </conditionalFormatting>
  <dataValidations count="1">
    <dataValidation type="list" allowBlank="1" showInputMessage="1" showErrorMessage="1" sqref="C3:D3" xr:uid="{00000000-0002-0000-0400-000001000000}">
      <formula1>INDIRECT($B$3)</formula1>
    </dataValidation>
  </dataValidations>
  <hyperlinks>
    <hyperlink ref="AA5" r:id="rId2" display="01 - 11 - Municipal de Pedrante - IMPERIAL Viação.xlsx" xr:uid="{00000000-0004-0000-0400-000000000000}"/>
    <hyperlink ref="AA43" r:id="rId3" xr:uid="{00000000-0004-0000-0400-000001000000}"/>
    <hyperlink ref="AA45" r:id="rId4" xr:uid="{00000000-0004-0000-0400-000002000000}"/>
    <hyperlink ref="AA6" r:id="rId5" display="01 - 12 - Municipal de Nova Xingu - Transportes UNIÃO.xlsx" xr:uid="{00000000-0004-0000-0400-000003000000}"/>
    <hyperlink ref="AA7" r:id="rId6" display="01 - 13 - Municipal de Padre Anchieta - Via RIO Transportes.xlsx" xr:uid="{00000000-0004-0000-0400-000004000000}"/>
    <hyperlink ref="AA8" r:id="rId7" display="01 - 14 - Municipal de Sabará do Sul - TRANSCOL Viação.xlsx" xr:uid="{00000000-0004-0000-0400-000005000000}"/>
    <hyperlink ref="AA51" r:id="rId8" xr:uid="{00000000-0004-0000-0400-000006000000}"/>
    <hyperlink ref="AA52" r:id="rId9" xr:uid="{00000000-0004-0000-0400-000007000000}"/>
    <hyperlink ref="AA53" r:id="rId10" xr:uid="{00000000-0004-0000-0400-000008000000}"/>
    <hyperlink ref="AA54" r:id="rId11" xr:uid="{00000000-0004-0000-0400-000009000000}"/>
    <hyperlink ref="AA55" r:id="rId12" xr:uid="{00000000-0004-0000-0400-00000A000000}"/>
    <hyperlink ref="AA56" r:id="rId13" xr:uid="{00000000-0004-0000-0400-00000B000000}"/>
    <hyperlink ref="AA57" r:id="rId14" xr:uid="{00000000-0004-0000-0400-00000C000000}"/>
    <hyperlink ref="AA58" r:id="rId15" xr:uid="{00000000-0004-0000-0400-00000D000000}"/>
    <hyperlink ref="AA9" r:id="rId16" display="01 - 15 - Municipal de Leopoldina - Transportes UNIÃO.xlsx" xr:uid="{00000000-0004-0000-0400-00000E000000}"/>
    <hyperlink ref="AA10" r:id="rId17" display="01 - 16 - Municipal de Pedroso - Expresso CAMBARÁ.xlsx" xr:uid="{00000000-0004-0000-0400-00000F000000}"/>
    <hyperlink ref="AA11" r:id="rId18" display="01 - 17 - Municipal de Campo Verde - IMPERIAL Viação.xlsx" xr:uid="{00000000-0004-0000-0400-000010000000}"/>
    <hyperlink ref="AA12" r:id="rId19" display="01 - 18 - Municipal de Canaviais - Expresso CAMBARÁ.xlsx" xr:uid="{00000000-0004-0000-0400-000011000000}"/>
    <hyperlink ref="AA13" r:id="rId20" display="01 - 19 - Municipal de Pedra Nova - Via RIO Transportes.xlsx" xr:uid="{00000000-0004-0000-0400-000012000000}"/>
    <hyperlink ref="AA14" r:id="rId21" display="01 - 20 - Municipal de Florilândia - TRANSCOL Viação.xlsx" xr:uid="{00000000-0004-0000-0400-000013000000}"/>
    <hyperlink ref="AA39" r:id="rId22" xr:uid="{00000000-0004-0000-0400-000014000000}"/>
    <hyperlink ref="AA40" r:id="rId23" xr:uid="{00000000-0004-0000-0400-000015000000}"/>
    <hyperlink ref="AA41" r:id="rId24" xr:uid="{00000000-0004-0000-0400-000016000000}"/>
    <hyperlink ref="AA42" r:id="rId25" xr:uid="{00000000-0004-0000-0400-000017000000}"/>
    <hyperlink ref="AA44" r:id="rId26" xr:uid="{00000000-0004-0000-0400-000018000000}"/>
    <hyperlink ref="AA46" r:id="rId27" xr:uid="{00000000-0004-0000-0400-000019000000}"/>
    <hyperlink ref="AA47" r:id="rId28" xr:uid="{00000000-0004-0000-0400-00001A000000}"/>
    <hyperlink ref="AA48" r:id="rId29" xr:uid="{00000000-0004-0000-0400-00001B000000}"/>
    <hyperlink ref="AA49" r:id="rId30" xr:uid="{00000000-0004-0000-0400-00001C000000}"/>
    <hyperlink ref="AA50" r:id="rId31" xr:uid="{00000000-0004-0000-0400-00001D000000}"/>
    <hyperlink ref="AA99" r:id="rId32" xr:uid="{00000000-0004-0000-0400-00001E000000}"/>
    <hyperlink ref="AA100" r:id="rId33" xr:uid="{00000000-0004-0000-0400-00001F000000}"/>
    <hyperlink ref="AA101" r:id="rId34" xr:uid="{00000000-0004-0000-0400-000020000000}"/>
    <hyperlink ref="AA102" r:id="rId35" xr:uid="{00000000-0004-0000-0400-000021000000}"/>
    <hyperlink ref="AA103" r:id="rId36" xr:uid="{00000000-0004-0000-0400-000022000000}"/>
    <hyperlink ref="AA104" r:id="rId37" xr:uid="{00000000-0004-0000-0400-000023000000}"/>
    <hyperlink ref="AA105" r:id="rId38" xr:uid="{00000000-0004-0000-0400-000024000000}"/>
    <hyperlink ref="AA106" r:id="rId39" xr:uid="{00000000-0004-0000-0400-000025000000}"/>
    <hyperlink ref="AA107" r:id="rId40" xr:uid="{00000000-0004-0000-0400-000026000000}"/>
    <hyperlink ref="AA108" r:id="rId41" xr:uid="{00000000-0004-0000-0400-000027000000}"/>
    <hyperlink ref="AA109" r:id="rId42" xr:uid="{00000000-0004-0000-0400-000028000000}"/>
    <hyperlink ref="AA110" r:id="rId43" xr:uid="{00000000-0004-0000-0400-000029000000}"/>
    <hyperlink ref="AA111" r:id="rId44" xr:uid="{00000000-0004-0000-0400-00002A000000}"/>
    <hyperlink ref="AA15" r:id="rId45" display="01 - 21 - Municipal de Santa Marta - Consórcio AUTOBUS.xlsx" xr:uid="{00000000-0004-0000-0400-00002B000000}"/>
    <hyperlink ref="AA16" r:id="rId46" display="01 - 22 - Municipal de Romana - SANTA ISABEL Transportes.xlsx" xr:uid="{00000000-0004-0000-0400-00002C000000}"/>
    <hyperlink ref="AA17" r:id="rId47" display="01 - 23 - Municipal de Candido Isidório - Viação REDENTOR.xlsx" xr:uid="{00000000-0004-0000-0400-00002D000000}"/>
    <hyperlink ref="AA18" r:id="rId48" display="01 - 24 - Municipal de Taiacupeba - Auto RANGELINO Viação.xlsx" xr:uid="{00000000-0004-0000-0400-00002E000000}"/>
    <hyperlink ref="AA19" r:id="rId49" display="01 - 25 - Municipal de São Lucas - AO PENHA SÃO MIGUEL.xlsx" xr:uid="{00000000-0004-0000-0400-00002F000000}"/>
    <hyperlink ref="AA20" r:id="rId50" display="01 - 26 - Municipal de Graciosa - AO PENHA SÃO MIGUEL.xlsx" xr:uid="{00000000-0004-0000-0400-000030000000}"/>
    <hyperlink ref="AA21" r:id="rId51" display="01 - 27 - Municipal de Santa Ifigênia - AO PARADA INGLESA.xlsx" xr:uid="{00000000-0004-0000-0400-000031000000}"/>
    <hyperlink ref="AA22" r:id="rId52" display="01 - 28 - Municipal de Rondon - AV Nações UNIDAS.xlsx" xr:uid="{00000000-0004-0000-0400-000032000000}"/>
    <hyperlink ref="AA23" r:id="rId53" xr:uid="{00000000-0004-0000-0400-000033000000}"/>
    <hyperlink ref="AA31" r:id="rId54" xr:uid="{00000000-0004-0000-0400-000034000000}"/>
    <hyperlink ref="AA65" r:id="rId55" xr:uid="{00000000-0004-0000-0400-000035000000}"/>
    <hyperlink ref="AA71" r:id="rId56" xr:uid="{00000000-0004-0000-0400-000036000000}"/>
    <hyperlink ref="AA76" r:id="rId57" xr:uid="{00000000-0004-0000-0400-000037000000}"/>
    <hyperlink ref="AA97" r:id="rId58" xr:uid="{00000000-0004-0000-0400-000038000000}"/>
    <hyperlink ref="AA91" r:id="rId59" xr:uid="{00000000-0004-0000-0400-000039000000}"/>
    <hyperlink ref="AA82" r:id="rId60" xr:uid="{00000000-0004-0000-0400-00003A000000}"/>
    <hyperlink ref="AA78" r:id="rId61" xr:uid="{00000000-0004-0000-0400-00003B000000}"/>
    <hyperlink ref="AA112" r:id="rId62" xr:uid="{00000000-0004-0000-0400-00003C000000}"/>
    <hyperlink ref="AA114" r:id="rId63" xr:uid="{00000000-0004-0000-0400-00003D000000}"/>
    <hyperlink ref="AA115" r:id="rId64" xr:uid="{00000000-0004-0000-0400-00003E000000}"/>
    <hyperlink ref="AA120" r:id="rId65" xr:uid="{00000000-0004-0000-0400-00003F000000}"/>
    <hyperlink ref="AA60" r:id="rId66" xr:uid="{00000000-0004-0000-0400-000040000000}"/>
    <hyperlink ref="AA64" r:id="rId67" xr:uid="{00000000-0004-0000-0400-000041000000}"/>
    <hyperlink ref="AA68" r:id="rId68" xr:uid="{00000000-0004-0000-0400-000042000000}"/>
    <hyperlink ref="AA73" r:id="rId69" xr:uid="{00000000-0004-0000-0400-000043000000}"/>
    <hyperlink ref="AA80" r:id="rId70" xr:uid="{00000000-0004-0000-0400-000044000000}"/>
    <hyperlink ref="AA86" r:id="rId71" xr:uid="{00000000-0004-0000-0400-000045000000}"/>
    <hyperlink ref="AA88" r:id="rId72" xr:uid="{00000000-0004-0000-0400-000046000000}"/>
    <hyperlink ref="AA119" r:id="rId73" xr:uid="{00000000-0004-0000-0400-000047000000}"/>
    <hyperlink ref="AA33" r:id="rId74" xr:uid="{00000000-0004-0000-0400-000048000000}"/>
    <hyperlink ref="AA37" r:id="rId75" xr:uid="{00000000-0004-0000-0400-000049000000}"/>
    <hyperlink ref="AA66" r:id="rId76" xr:uid="{00000000-0004-0000-0400-00004A000000}"/>
    <hyperlink ref="AA94" r:id="rId77" xr:uid="{00000000-0004-0000-0400-00004B000000}"/>
    <hyperlink ref="AA84" r:id="rId78" xr:uid="{00000000-0004-0000-0400-00004C000000}"/>
    <hyperlink ref="AA92" r:id="rId79" xr:uid="{00000000-0004-0000-0400-00004D000000}"/>
    <hyperlink ref="AA96" r:id="rId80" xr:uid="{00000000-0004-0000-0400-00004E000000}"/>
    <hyperlink ref="AA25" r:id="rId81" xr:uid="{00000000-0004-0000-0400-00004F000000}"/>
    <hyperlink ref="AA35" r:id="rId82" xr:uid="{00000000-0004-0000-0400-000050000000}"/>
    <hyperlink ref="AA36" r:id="rId83" xr:uid="{00000000-0004-0000-0400-000051000000}"/>
    <hyperlink ref="AA38" r:id="rId84" xr:uid="{00000000-0004-0000-0400-000052000000}"/>
    <hyperlink ref="AA70" r:id="rId85" xr:uid="{00000000-0004-0000-0400-000053000000}"/>
    <hyperlink ref="AA72" r:id="rId86" xr:uid="{00000000-0004-0000-0400-000054000000}"/>
    <hyperlink ref="AA81" r:id="rId87" xr:uid="{00000000-0004-0000-0400-000055000000}"/>
    <hyperlink ref="AA83" r:id="rId88" xr:uid="{00000000-0004-0000-0400-000056000000}"/>
    <hyperlink ref="AA89" r:id="rId89" xr:uid="{00000000-0004-0000-0400-000057000000}"/>
    <hyperlink ref="AA113" r:id="rId90" xr:uid="{00000000-0004-0000-0400-000058000000}"/>
    <hyperlink ref="AA116" r:id="rId91" xr:uid="{00000000-0004-0000-0400-000059000000}"/>
    <hyperlink ref="AA117" r:id="rId92" xr:uid="{00000000-0004-0000-0400-00005A000000}"/>
    <hyperlink ref="AA118" r:id="rId93" xr:uid="{00000000-0004-0000-0400-00005B000000}"/>
    <hyperlink ref="AA61" r:id="rId94" xr:uid="{00000000-0004-0000-0400-00005C000000}"/>
    <hyperlink ref="AA63" r:id="rId95" xr:uid="{00000000-0004-0000-0400-00005D000000}"/>
    <hyperlink ref="AA69" r:id="rId96" xr:uid="{00000000-0004-0000-0400-00005E000000}"/>
    <hyperlink ref="AA95" r:id="rId97" xr:uid="{00000000-0004-0000-0400-00005F000000}"/>
    <hyperlink ref="AA67" r:id="rId98" xr:uid="{00000000-0004-0000-0400-000060000000}"/>
    <hyperlink ref="AA74" r:id="rId99" xr:uid="{00000000-0004-0000-0400-000061000000}"/>
    <hyperlink ref="AA85" r:id="rId100" xr:uid="{00000000-0004-0000-0400-000062000000}"/>
    <hyperlink ref="AA75" r:id="rId101" xr:uid="{00000000-0004-0000-0400-000063000000}"/>
    <hyperlink ref="AA77" r:id="rId102" xr:uid="{00000000-0004-0000-0400-000064000000}"/>
    <hyperlink ref="AA79" r:id="rId103" xr:uid="{00000000-0004-0000-0400-000065000000}"/>
    <hyperlink ref="AA90" r:id="rId104" xr:uid="{00000000-0004-0000-0400-000066000000}"/>
    <hyperlink ref="AA93" r:id="rId105" xr:uid="{00000000-0004-0000-0400-000067000000}"/>
    <hyperlink ref="AA98" r:id="rId106" xr:uid="{00000000-0004-0000-0400-000068000000}"/>
    <hyperlink ref="AA32" r:id="rId107" xr:uid="{00000000-0004-0000-0400-000069000000}"/>
    <hyperlink ref="AA34" r:id="rId108" xr:uid="{00000000-0004-0000-0400-00006A000000}"/>
    <hyperlink ref="AA28" r:id="rId109" xr:uid="{00000000-0004-0000-0400-00006B000000}"/>
    <hyperlink ref="AA30" r:id="rId110" xr:uid="{00000000-0004-0000-0400-00006C000000}"/>
    <hyperlink ref="AA26" r:id="rId111" xr:uid="{00000000-0004-0000-0400-00006D000000}"/>
    <hyperlink ref="AA29" r:id="rId112" xr:uid="{00000000-0004-0000-0400-00006E000000}"/>
    <hyperlink ref="AA24" r:id="rId113" xr:uid="{00000000-0004-0000-0400-00006F000000}"/>
    <hyperlink ref="AA59" r:id="rId114" xr:uid="{00000000-0004-0000-0400-000070000000}"/>
    <hyperlink ref="AA27" r:id="rId115" xr:uid="{00000000-0004-0000-0400-000071000000}"/>
    <hyperlink ref="AA62" r:id="rId116" xr:uid="{00000000-0004-0000-0400-000072000000}"/>
    <hyperlink ref="AA87" r:id="rId117" xr:uid="{00000000-0004-0000-0400-000073000000}"/>
  </hyperlinks>
  <pageMargins left="0.78740157499999996" right="0.78740157499999996" top="0.984251969" bottom="0.984251969" header="0.49212598499999999" footer="0.49212598499999999"/>
  <pageSetup paperSize="9" orientation="portrait" r:id="rId118"/>
  <headerFooter alignWithMargins="0"/>
  <tableParts count="1">
    <tablePart r:id="rId119"/>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BD_EMP!$D$3:$K$3</xm:f>
          </x14:formula1>
          <xm:sqref>B3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2">
    <tabColor theme="1" tint="4.9989318521683403E-2"/>
  </sheetPr>
  <dimension ref="A1:CC306"/>
  <sheetViews>
    <sheetView zoomScale="80" zoomScaleNormal="80" zoomScaleSheetLayoutView="75" workbookViewId="0">
      <pane ySplit="5" topLeftCell="A6" activePane="bottomLeft" state="frozen"/>
      <selection pane="bottomLeft" activeCell="B3" sqref="B3:F3"/>
    </sheetView>
  </sheetViews>
  <sheetFormatPr defaultColWidth="9.140625" defaultRowHeight="35.25" customHeight="1" x14ac:dyDescent="0.2"/>
  <cols>
    <col min="1" max="1" width="1.85546875" style="253" customWidth="1"/>
    <col min="2" max="2" width="17.85546875" style="255" customWidth="1"/>
    <col min="3" max="3" width="12.85546875" style="255" customWidth="1"/>
    <col min="4" max="4" width="9.28515625" style="255" customWidth="1"/>
    <col min="5" max="5" width="13.5703125" style="255" customWidth="1"/>
    <col min="6" max="6" width="5.7109375" style="255" customWidth="1"/>
    <col min="7" max="7" width="5.7109375" style="253" customWidth="1"/>
    <col min="8" max="10" width="5.7109375" style="365" customWidth="1"/>
    <col min="11" max="13" width="5.7109375" style="253" customWidth="1"/>
    <col min="14" max="19" width="5.5703125" style="253" customWidth="1"/>
    <col min="20" max="27" width="5.7109375" style="253" customWidth="1"/>
    <col min="28" max="28" width="15.7109375" style="253" customWidth="1"/>
    <col min="29" max="29" width="5.7109375" style="253" customWidth="1"/>
    <col min="30" max="30" width="15.7109375" style="253" customWidth="1"/>
    <col min="31" max="31" width="5.7109375" style="253" customWidth="1"/>
    <col min="32" max="32" width="15.5703125" style="253" customWidth="1"/>
    <col min="33" max="33" width="5.7109375" style="253" customWidth="1"/>
    <col min="34" max="34" width="15.7109375" style="253" customWidth="1"/>
    <col min="35" max="35" width="37.7109375" style="367" customWidth="1"/>
    <col min="36" max="36" width="9.140625" style="489"/>
    <col min="37" max="37" width="10.140625" style="489" customWidth="1"/>
    <col min="38" max="38" width="10" style="489" customWidth="1"/>
    <col min="39" max="39" width="9.140625" style="489"/>
    <col min="40" max="40" width="11.140625" style="489" customWidth="1"/>
    <col min="41" max="41" width="9.140625" style="489"/>
    <col min="42" max="42" width="10.7109375" style="489" customWidth="1"/>
    <col min="43" max="43" width="30.42578125" style="367" customWidth="1"/>
    <col min="44" max="44" width="10.85546875" style="367" customWidth="1"/>
    <col min="45" max="45" width="27" style="367" customWidth="1"/>
    <col min="46" max="46" width="25.140625" style="367" customWidth="1"/>
    <col min="47" max="47" width="9.140625" style="367"/>
    <col min="48" max="48" width="28.140625" style="367" customWidth="1"/>
    <col min="49" max="50" width="9.140625" style="367"/>
    <col min="51" max="53" width="17.140625" style="368" customWidth="1"/>
    <col min="54" max="54" width="13.85546875" style="368" customWidth="1"/>
    <col min="55" max="55" width="8.42578125" style="368" customWidth="1"/>
    <col min="56" max="56" width="15" style="368" customWidth="1"/>
    <col min="57" max="57" width="15.5703125" style="368" customWidth="1"/>
    <col min="58" max="58" width="14.5703125" style="368" customWidth="1"/>
    <col min="59" max="59" width="10.140625" style="368" customWidth="1"/>
    <col min="60" max="60" width="15.140625" style="368" customWidth="1"/>
    <col min="61" max="61" width="17.85546875" style="368" customWidth="1"/>
    <col min="62" max="63" width="17.85546875" style="367" customWidth="1"/>
    <col min="64" max="64" width="15.28515625" style="367" customWidth="1"/>
    <col min="65" max="65" width="24.5703125" style="367" bestFit="1" customWidth="1"/>
    <col min="66" max="66" width="32.7109375" style="367" bestFit="1" customWidth="1"/>
    <col min="67" max="69" width="15.28515625" style="367" customWidth="1"/>
    <col min="70" max="70" width="25.140625" style="367" bestFit="1" customWidth="1"/>
    <col min="71" max="71" width="14.28515625" style="367" customWidth="1"/>
    <col min="72" max="73" width="17.42578125" style="367" customWidth="1"/>
    <col min="74" max="76" width="9.140625" style="367"/>
    <col min="77" max="77" width="45" style="367" customWidth="1"/>
    <col min="78" max="78" width="48" style="367" customWidth="1"/>
    <col min="79" max="79" width="63.85546875" style="367" customWidth="1"/>
    <col min="80" max="80" width="14.28515625" style="368" customWidth="1"/>
    <col min="81" max="81" width="14.28515625" style="367" customWidth="1"/>
    <col min="82" max="16384" width="9.140625" style="367"/>
  </cols>
  <sheetData>
    <row r="1" spans="2:81" ht="30" customHeight="1" x14ac:dyDescent="0.2">
      <c r="B1" s="707" t="s">
        <v>2724</v>
      </c>
      <c r="C1" s="708"/>
      <c r="D1" s="708"/>
      <c r="E1" s="708"/>
      <c r="F1" s="708"/>
      <c r="G1" s="708"/>
      <c r="H1" s="708"/>
      <c r="I1" s="708"/>
      <c r="J1" s="708"/>
      <c r="K1" s="708"/>
      <c r="L1" s="708"/>
      <c r="M1" s="708"/>
      <c r="N1" s="708"/>
      <c r="O1" s="708"/>
      <c r="P1" s="708"/>
      <c r="Q1" s="588"/>
      <c r="R1" s="705" t="s">
        <v>2706</v>
      </c>
      <c r="S1" s="705"/>
      <c r="T1" s="705"/>
      <c r="U1" s="705"/>
      <c r="V1" s="705"/>
      <c r="W1" s="705"/>
      <c r="X1" s="705"/>
      <c r="Y1" s="705"/>
      <c r="Z1" s="713" t="str">
        <f>IF(SUBTOTAL(3,Z6:Z305)=0,"",IF(BN21&gt;0,"SIM","NÃO"))</f>
        <v/>
      </c>
      <c r="AA1" s="714"/>
      <c r="AB1" s="669" t="s">
        <v>5</v>
      </c>
      <c r="AC1" s="669"/>
      <c r="AD1" s="648" t="s">
        <v>2700</v>
      </c>
      <c r="AE1" s="648"/>
      <c r="AF1" s="648"/>
      <c r="AG1" s="646" t="s">
        <v>6</v>
      </c>
      <c r="AH1" s="646"/>
      <c r="AR1" s="367" t="s">
        <v>224</v>
      </c>
      <c r="AS1" s="367" t="s">
        <v>9</v>
      </c>
    </row>
    <row r="2" spans="2:81" ht="30" customHeight="1" thickBot="1" x14ac:dyDescent="0.25">
      <c r="B2" s="709"/>
      <c r="C2" s="710"/>
      <c r="D2" s="710"/>
      <c r="E2" s="710"/>
      <c r="F2" s="710"/>
      <c r="G2" s="710"/>
      <c r="H2" s="710"/>
      <c r="I2" s="710"/>
      <c r="J2" s="710"/>
      <c r="K2" s="710"/>
      <c r="L2" s="710"/>
      <c r="M2" s="710"/>
      <c r="N2" s="710"/>
      <c r="O2" s="710"/>
      <c r="P2" s="710"/>
      <c r="Q2" s="589"/>
      <c r="R2" s="706" t="s">
        <v>2705</v>
      </c>
      <c r="S2" s="706"/>
      <c r="T2" s="706"/>
      <c r="U2" s="706"/>
      <c r="V2" s="706"/>
      <c r="W2" s="706"/>
      <c r="X2" s="706"/>
      <c r="Y2" s="706"/>
      <c r="Z2" s="711" t="str">
        <f>IF(SUBTOTAL(3,Z6:Z305)=0,"",IF(AVERAGE(Z6:Z306)&lt;BM14,"SIM","NÃO"))</f>
        <v/>
      </c>
      <c r="AA2" s="712"/>
      <c r="AB2" s="670" t="str">
        <f>IF(Y6="","",ROUNDDOWN(AVERAGE(Z6:Z11110),0))</f>
        <v/>
      </c>
      <c r="AC2" s="670"/>
      <c r="AD2" s="647" t="str">
        <f>IF(SUBTOTAL(3,Z6:Z305)=0,"",IF(COUNTIF(Z6:Z305,MIN(Z6:Z305))=1,CONCATENATE(COUNTIF(Z6:Z305,MIN(Z6:Z305))," carro ",MIN(Z6:Z305)),CONCATENATE(COUNTIF(Z6:Z305,MIN(Z6:Z305))," carros ",MIN(Z6:Z305))))</f>
        <v/>
      </c>
      <c r="AE2" s="647"/>
      <c r="AF2" s="647"/>
      <c r="AG2" s="645" t="str">
        <f>IF(SUBTOTAL(3,Z6:Z305)=0,"",SUBTOTAL(3,Z6:Z305))</f>
        <v/>
      </c>
      <c r="AH2" s="645"/>
      <c r="AR2" s="367" t="s">
        <v>225</v>
      </c>
      <c r="AS2" s="367" t="s">
        <v>10</v>
      </c>
    </row>
    <row r="3" spans="2:81" ht="30.75" customHeight="1" thickBot="1" x14ac:dyDescent="0.25">
      <c r="B3" s="680" t="s">
        <v>19</v>
      </c>
      <c r="C3" s="681"/>
      <c r="D3" s="681"/>
      <c r="E3" s="681"/>
      <c r="F3" s="682"/>
      <c r="G3" s="701" t="str">
        <f>IF(PERFIL!C3="","",PERFIL!C3)</f>
        <v/>
      </c>
      <c r="H3" s="702"/>
      <c r="I3" s="702"/>
      <c r="J3" s="702"/>
      <c r="K3" s="702"/>
      <c r="L3" s="702"/>
      <c r="M3" s="702"/>
      <c r="N3" s="702"/>
      <c r="O3" s="702"/>
      <c r="P3" s="702"/>
      <c r="Q3" s="702"/>
      <c r="R3" s="702"/>
      <c r="S3" s="702"/>
      <c r="T3" s="694" t="s">
        <v>7</v>
      </c>
      <c r="U3" s="694"/>
      <c r="V3" s="694"/>
      <c r="W3" s="694"/>
      <c r="X3" s="694"/>
      <c r="Y3" s="694"/>
      <c r="Z3" s="694"/>
      <c r="AA3" s="694"/>
      <c r="AB3" s="694"/>
      <c r="AC3" s="695"/>
      <c r="AD3" s="673" t="str">
        <f>IF(PERFIL!E3="","",PERFIL!E3)</f>
        <v/>
      </c>
      <c r="AE3" s="674"/>
      <c r="AF3" s="674"/>
      <c r="AG3" s="674"/>
      <c r="AH3" s="675"/>
      <c r="AS3" s="367" t="s">
        <v>220</v>
      </c>
      <c r="AT3" s="367" t="str">
        <f>T4</f>
        <v/>
      </c>
    </row>
    <row r="4" spans="2:81" ht="30.75" customHeight="1" thickBot="1" x14ac:dyDescent="0.25">
      <c r="B4" s="683" t="s">
        <v>241</v>
      </c>
      <c r="C4" s="684"/>
      <c r="D4" s="684"/>
      <c r="E4" s="684"/>
      <c r="F4" s="685"/>
      <c r="G4" s="699" t="str">
        <f>IF(G3="","",VLOOKUP(G3,BZ5:CB160,2,0))</f>
        <v/>
      </c>
      <c r="H4" s="700"/>
      <c r="I4" s="700"/>
      <c r="J4" s="700"/>
      <c r="K4" s="700"/>
      <c r="L4" s="700"/>
      <c r="M4" s="700"/>
      <c r="N4" s="700"/>
      <c r="O4" s="700"/>
      <c r="P4" s="700"/>
      <c r="Q4" s="700"/>
      <c r="R4" s="700"/>
      <c r="S4" s="700"/>
      <c r="T4" s="703" t="str">
        <f>IF(G4="","",CONCATENATE("Situação:  ",VLOOKUP(G4,CA5:CC121,3,0)))</f>
        <v/>
      </c>
      <c r="U4" s="703"/>
      <c r="V4" s="703"/>
      <c r="W4" s="703"/>
      <c r="X4" s="704"/>
      <c r="Y4" s="676" t="s">
        <v>8</v>
      </c>
      <c r="Z4" s="677"/>
      <c r="AA4" s="678"/>
      <c r="AB4" s="679"/>
      <c r="AC4" s="690" t="str">
        <f>IF(G3="","",VLOOKUP(G3,BZ5:CB160,3,0))</f>
        <v/>
      </c>
      <c r="AD4" s="691"/>
      <c r="AE4" s="691"/>
      <c r="AF4" s="692" t="s">
        <v>219</v>
      </c>
      <c r="AG4" s="693"/>
      <c r="AH4" s="226" t="str">
        <f>IF(AC4="","",IF(AG2="","",AC4-AG2))</f>
        <v/>
      </c>
    </row>
    <row r="5" spans="2:81" ht="43.5" customHeight="1" thickBot="1" x14ac:dyDescent="0.25">
      <c r="B5" s="322" t="s">
        <v>18</v>
      </c>
      <c r="C5" s="60" t="s">
        <v>25</v>
      </c>
      <c r="D5" s="448" t="s">
        <v>2498</v>
      </c>
      <c r="E5" s="61" t="s">
        <v>230</v>
      </c>
      <c r="F5" s="671" t="s">
        <v>11</v>
      </c>
      <c r="G5" s="672"/>
      <c r="H5" s="696" t="s">
        <v>12</v>
      </c>
      <c r="I5" s="697"/>
      <c r="J5" s="698"/>
      <c r="K5" s="666" t="s">
        <v>13</v>
      </c>
      <c r="L5" s="667"/>
      <c r="M5" s="668"/>
      <c r="N5" s="666" t="s">
        <v>14</v>
      </c>
      <c r="O5" s="667"/>
      <c r="P5" s="667"/>
      <c r="Q5" s="668"/>
      <c r="R5" s="657" t="s">
        <v>15</v>
      </c>
      <c r="S5" s="658"/>
      <c r="T5" s="657" t="s">
        <v>14</v>
      </c>
      <c r="U5" s="658"/>
      <c r="V5" s="657" t="s">
        <v>223</v>
      </c>
      <c r="W5" s="659"/>
      <c r="X5" s="658"/>
      <c r="Y5" s="62" t="s">
        <v>16</v>
      </c>
      <c r="Z5" s="516" t="s">
        <v>17</v>
      </c>
      <c r="AA5" s="686" t="s">
        <v>481</v>
      </c>
      <c r="AB5" s="687"/>
      <c r="AC5" s="688" t="s">
        <v>231</v>
      </c>
      <c r="AD5" s="689"/>
      <c r="AE5" s="688" t="s">
        <v>232</v>
      </c>
      <c r="AF5" s="689"/>
      <c r="AG5" s="688" t="s">
        <v>233</v>
      </c>
      <c r="AH5" s="689"/>
      <c r="AJ5" s="490" t="s">
        <v>293</v>
      </c>
      <c r="AK5" s="490" t="s">
        <v>2491</v>
      </c>
      <c r="AL5" s="490" t="s">
        <v>2492</v>
      </c>
      <c r="AM5" s="490" t="s">
        <v>294</v>
      </c>
      <c r="AN5" s="490" t="s">
        <v>301</v>
      </c>
      <c r="AO5" s="490" t="s">
        <v>2493</v>
      </c>
      <c r="AP5" s="490" t="s">
        <v>2494</v>
      </c>
      <c r="BI5" s="369" t="s">
        <v>235</v>
      </c>
      <c r="BJ5" s="369" t="s">
        <v>236</v>
      </c>
      <c r="BK5" s="369" t="s">
        <v>237</v>
      </c>
      <c r="BM5" s="644" t="s">
        <v>2701</v>
      </c>
      <c r="BN5" s="644"/>
      <c r="BQ5" s="367" t="s">
        <v>17</v>
      </c>
      <c r="BR5" s="367" t="s">
        <v>244</v>
      </c>
      <c r="BU5" s="367" t="s">
        <v>300</v>
      </c>
      <c r="BV5" s="367" t="s">
        <v>451</v>
      </c>
      <c r="BY5" s="367" t="s">
        <v>72</v>
      </c>
      <c r="BZ5" s="367" t="s">
        <v>71</v>
      </c>
      <c r="CA5" s="367" t="s">
        <v>312</v>
      </c>
      <c r="CB5" s="367" t="s">
        <v>53</v>
      </c>
      <c r="CC5" s="367" t="s">
        <v>2508</v>
      </c>
    </row>
    <row r="6" spans="2:81" ht="33.75" customHeight="1" x14ac:dyDescent="0.2">
      <c r="B6" s="551"/>
      <c r="C6" s="517"/>
      <c r="D6" s="503" t="str">
        <f>IF(C6="","",VLOOKUP(C6,'REL LINHAS'!$B$2:$K$2205,5,0))</f>
        <v/>
      </c>
      <c r="E6" s="321" t="str">
        <f t="shared" ref="E6:E69" si="0">IF($C6="","",IF($C6="LINHA","",IF(VLOOKUP($C6,$AX$6:$BA$21,2,0)=$H6,"ATENDE",IF(VLOOKUP($C6,$AX$6:$BA$21,3,0)=$H6,"ATENDE",IF(VLOOKUP($C6,$AX$6:$BA$21,4,0)=$H6,"ATENDE","NÃO ATENDE")))))</f>
        <v/>
      </c>
      <c r="F6" s="592"/>
      <c r="G6" s="593"/>
      <c r="H6" s="663"/>
      <c r="I6" s="664"/>
      <c r="J6" s="665"/>
      <c r="K6" s="660"/>
      <c r="L6" s="662"/>
      <c r="M6" s="661"/>
      <c r="N6" s="660"/>
      <c r="O6" s="662"/>
      <c r="P6" s="662"/>
      <c r="Q6" s="661"/>
      <c r="R6" s="660"/>
      <c r="S6" s="661"/>
      <c r="T6" s="660"/>
      <c r="U6" s="661"/>
      <c r="V6" s="660"/>
      <c r="W6" s="662"/>
      <c r="X6" s="661"/>
      <c r="Y6" s="594"/>
      <c r="Z6" s="595"/>
      <c r="AA6" s="63" t="s">
        <v>224</v>
      </c>
      <c r="AB6" s="497" t="s">
        <v>2505</v>
      </c>
      <c r="AC6" s="63" t="s">
        <v>224</v>
      </c>
      <c r="AD6" s="497" t="s">
        <v>2506</v>
      </c>
      <c r="AE6" s="63" t="s">
        <v>224</v>
      </c>
      <c r="AF6" s="497" t="s">
        <v>2507</v>
      </c>
      <c r="AG6" s="63" t="s">
        <v>224</v>
      </c>
      <c r="AH6" s="498" t="s">
        <v>441</v>
      </c>
      <c r="AJ6" s="490" t="str">
        <f>IF($B6="","",IF($R6=AJ$5,(SUM($D6*VLOOKUP($C6,ESCALA!$B$3:$O$19,14,0)+10)*2)*27,""))</f>
        <v/>
      </c>
      <c r="AK6" s="490" t="str">
        <f>IF($B6="","",IF($R6=AK$5,(SUM($D6*VLOOKUP($C6,ESCALA!$B$3:$O$19,14,0)+10)*2)*27,""))</f>
        <v/>
      </c>
      <c r="AL6" s="490" t="str">
        <f>IF($B6="","",IF($R6=AL$5,(SUM($D6*VLOOKUP($C6,ESCALA!$B$3:$O$19,14,0)+10)*2)*27,""))</f>
        <v/>
      </c>
      <c r="AM6" s="490" t="str">
        <f>IF($B6="","",IF($R6=AM$5,(SUM($D6*VLOOKUP($C6,ESCALA!$B$3:$O$19,14,0)+10)*2)*27,""))</f>
        <v/>
      </c>
      <c r="AN6" s="490" t="str">
        <f>IF($B6="","",IF($R6=AN$5,(SUM($D6*VLOOKUP($C6,ESCALA!$B$3:$O$19,14,0)+10)*2)*27,""))</f>
        <v/>
      </c>
      <c r="AO6" s="490" t="str">
        <f>IF($B6="","",IF($R6=AO$5,(SUM($D6*VLOOKUP($C6,ESCALA!$B$3:$O$19,14,0)+10)*2)*27,""))</f>
        <v/>
      </c>
      <c r="AP6" s="490" t="str">
        <f>IF($B6="","",IF($R6=AP$5,(SUM($D6*VLOOKUP($C6,ESCALA!$B$3:$O$19,14,0)+10)*2)*27,""))</f>
        <v/>
      </c>
      <c r="AS6" s="367" t="s">
        <v>25</v>
      </c>
      <c r="AX6" s="368" t="str">
        <f>IF(PERFIL!B5="","",PERFIL!B5)</f>
        <v/>
      </c>
      <c r="AY6" s="368" t="str">
        <f>IF(PERFIL!E5="","",PERFIL!E5)</f>
        <v/>
      </c>
      <c r="AZ6" s="368" t="str">
        <f>IF($AY6="","",VLOOKUP($AY6,$BI$5:$BK$14,2,0))</f>
        <v/>
      </c>
      <c r="BA6" s="368" t="str">
        <f>IF($AY6="","",VLOOKUP($AY6,$BI$5:$BK$14,3,0))</f>
        <v/>
      </c>
      <c r="BI6" s="370" t="s">
        <v>192</v>
      </c>
      <c r="BJ6" s="371" t="s">
        <v>222</v>
      </c>
      <c r="BK6" s="371" t="s">
        <v>222</v>
      </c>
      <c r="BM6" s="367" t="s">
        <v>2702</v>
      </c>
      <c r="BN6" s="368">
        <f>SUBTOTAL(3,$Z$6:$Z$305)</f>
        <v>0</v>
      </c>
      <c r="BQ6" s="491">
        <f ca="1">RECEBÍVEIS!AA11</f>
        <v>2026</v>
      </c>
      <c r="BR6" s="492">
        <f>RECEBÍVEIS!AB11</f>
        <v>5</v>
      </c>
      <c r="BU6" s="367" t="s">
        <v>297</v>
      </c>
      <c r="BV6" s="367" t="s">
        <v>443</v>
      </c>
      <c r="BY6" s="367" t="s">
        <v>498</v>
      </c>
      <c r="BZ6" s="367" t="s">
        <v>1150</v>
      </c>
      <c r="CA6" s="367" t="s">
        <v>757</v>
      </c>
      <c r="CB6" s="367">
        <v>250</v>
      </c>
      <c r="CC6" s="368" t="s">
        <v>220</v>
      </c>
    </row>
    <row r="7" spans="2:81" ht="33.75" customHeight="1" x14ac:dyDescent="0.2">
      <c r="B7" s="551"/>
      <c r="C7" s="517"/>
      <c r="D7" s="503" t="str">
        <f>IF(C7="","",VLOOKUP(C7,'REL LINHAS'!$B$2:$K$2205,5,0))</f>
        <v/>
      </c>
      <c r="E7" s="321" t="str">
        <f t="shared" si="0"/>
        <v/>
      </c>
      <c r="F7" s="493"/>
      <c r="G7" s="494"/>
      <c r="H7" s="649"/>
      <c r="I7" s="650"/>
      <c r="J7" s="651"/>
      <c r="K7" s="652"/>
      <c r="L7" s="653"/>
      <c r="M7" s="654"/>
      <c r="N7" s="652"/>
      <c r="O7" s="653"/>
      <c r="P7" s="653"/>
      <c r="Q7" s="654"/>
      <c r="R7" s="655"/>
      <c r="S7" s="656"/>
      <c r="T7" s="652"/>
      <c r="U7" s="654"/>
      <c r="V7" s="652"/>
      <c r="W7" s="653"/>
      <c r="X7" s="654"/>
      <c r="Y7" s="495"/>
      <c r="Z7" s="496"/>
      <c r="AA7" s="63"/>
      <c r="AB7" s="497" t="s">
        <v>2505</v>
      </c>
      <c r="AC7" s="63"/>
      <c r="AD7" s="497" t="s">
        <v>2506</v>
      </c>
      <c r="AE7" s="63"/>
      <c r="AF7" s="497" t="s">
        <v>2507</v>
      </c>
      <c r="AG7" s="63"/>
      <c r="AH7" s="498" t="s">
        <v>441</v>
      </c>
      <c r="AJ7" s="490" t="str">
        <f>IF($B7="","",IF($R7=AJ$5,(SUM($D7*VLOOKUP($C7,ESCALA!$B$3:$O$19,14,0)+10)*2)*27,""))</f>
        <v/>
      </c>
      <c r="AK7" s="490" t="str">
        <f>IF($B7="","",IF($R7=AK$5,(SUM($D7*VLOOKUP($C7,ESCALA!$B$3:$O$19,14,0)+10)*2)*27,""))</f>
        <v/>
      </c>
      <c r="AL7" s="490" t="str">
        <f>IF($B7="","",IF($R7=AL$5,(SUM($D7*VLOOKUP($C7,ESCALA!$B$3:$O$19,14,0)+10)*2)*27,""))</f>
        <v/>
      </c>
      <c r="AM7" s="490" t="str">
        <f>IF($B7="","",IF($R7=AM$5,(SUM($D7*VLOOKUP($C7,ESCALA!$B$3:$O$19,14,0)+10)*2)*27,""))</f>
        <v/>
      </c>
      <c r="AN7" s="490" t="str">
        <f>IF($B7="","",IF($R7=AN$5,(SUM($D7*VLOOKUP($C7,ESCALA!$B$3:$O$19,14,0)+10)*2)*27,""))</f>
        <v/>
      </c>
      <c r="AO7" s="490" t="str">
        <f>IF($B7="","",IF($R7=AO$5,(SUM($D7*VLOOKUP($C7,ESCALA!$B$3:$O$19,14,0)+10)*2)*27,""))</f>
        <v/>
      </c>
      <c r="AP7" s="490" t="str">
        <f>IF($B7="","",IF($R7=AP$5,(SUM($D7*VLOOKUP($C7,ESCALA!$B$3:$O$19,14,0)+10)*2)*27,""))</f>
        <v/>
      </c>
      <c r="AQ7" s="372"/>
      <c r="AS7" s="367" t="str">
        <f>IF(PERFIL!B5="","",PERFIL!B5)</f>
        <v/>
      </c>
      <c r="AT7" s="373" t="s">
        <v>178</v>
      </c>
      <c r="AU7" s="373" t="s">
        <v>53</v>
      </c>
      <c r="AV7" s="374" t="s">
        <v>191</v>
      </c>
      <c r="AX7" s="368" t="str">
        <f>IF(PERFIL!B6="","",PERFIL!B6)</f>
        <v/>
      </c>
      <c r="AY7" s="368" t="str">
        <f>IF(PERFIL!E6="","",PERFIL!E6)</f>
        <v/>
      </c>
      <c r="AZ7" s="368" t="str">
        <f t="shared" ref="AZ7:AZ21" si="1">IF($AY7="","",VLOOKUP($AY7,$BI$5:$BK$14,2,0))</f>
        <v/>
      </c>
      <c r="BA7" s="368" t="str">
        <f t="shared" ref="BA7:BA21" si="2">IF($AY7="","",VLOOKUP($AY7,$BI$5:$BK$14,3,0))</f>
        <v/>
      </c>
      <c r="BI7" s="370" t="s">
        <v>179</v>
      </c>
      <c r="BJ7" s="370" t="s">
        <v>192</v>
      </c>
      <c r="BK7" s="371" t="s">
        <v>222</v>
      </c>
      <c r="BM7" s="367">
        <f ca="1">RECEBÍVEIS!AA11</f>
        <v>2026</v>
      </c>
      <c r="BN7" s="368">
        <f ca="1">COUNTIF($Z$6:$Z$305,BM7)</f>
        <v>0</v>
      </c>
      <c r="BQ7" s="491">
        <f ca="1">RECEBÍVEIS!AA12</f>
        <v>2025</v>
      </c>
      <c r="BR7" s="492">
        <f>RECEBÍVEIS!AB12</f>
        <v>4.88</v>
      </c>
      <c r="BU7" s="367" t="s">
        <v>298</v>
      </c>
      <c r="BV7" s="367" t="s">
        <v>445</v>
      </c>
      <c r="BZ7" s="367" t="s">
        <v>1156</v>
      </c>
      <c r="CA7" s="367" t="s">
        <v>758</v>
      </c>
      <c r="CB7" s="367">
        <v>150</v>
      </c>
      <c r="CC7" s="368" t="s">
        <v>10</v>
      </c>
    </row>
    <row r="8" spans="2:81" ht="33.75" customHeight="1" x14ac:dyDescent="0.2">
      <c r="B8" s="551"/>
      <c r="C8" s="517"/>
      <c r="D8" s="503" t="str">
        <f>IF(C8="","",VLOOKUP(C8,'REL LINHAS'!$B$2:$K$2205,5,0))</f>
        <v/>
      </c>
      <c r="E8" s="321" t="str">
        <f t="shared" si="0"/>
        <v/>
      </c>
      <c r="F8" s="493"/>
      <c r="G8" s="494"/>
      <c r="H8" s="649"/>
      <c r="I8" s="650"/>
      <c r="J8" s="651"/>
      <c r="K8" s="652"/>
      <c r="L8" s="653"/>
      <c r="M8" s="654"/>
      <c r="N8" s="652"/>
      <c r="O8" s="653"/>
      <c r="P8" s="653"/>
      <c r="Q8" s="654"/>
      <c r="R8" s="655"/>
      <c r="S8" s="656"/>
      <c r="T8" s="652"/>
      <c r="U8" s="654"/>
      <c r="V8" s="652"/>
      <c r="W8" s="653"/>
      <c r="X8" s="654"/>
      <c r="Y8" s="495"/>
      <c r="Z8" s="496"/>
      <c r="AA8" s="63"/>
      <c r="AB8" s="497" t="s">
        <v>2505</v>
      </c>
      <c r="AC8" s="63"/>
      <c r="AD8" s="497" t="s">
        <v>2506</v>
      </c>
      <c r="AE8" s="63"/>
      <c r="AF8" s="497" t="s">
        <v>2507</v>
      </c>
      <c r="AG8" s="63"/>
      <c r="AH8" s="498" t="s">
        <v>441</v>
      </c>
      <c r="AJ8" s="490" t="str">
        <f>IF($B8="","",IF($R8=AJ$5,(SUM($D8*VLOOKUP($C8,ESCALA!$B$3:$O$19,14,0)+10)*2)*27,""))</f>
        <v/>
      </c>
      <c r="AK8" s="490" t="str">
        <f>IF($B8="","",IF($R8=AK$5,(SUM($D8*VLOOKUP($C8,ESCALA!$B$3:$O$19,14,0)+10)*2)*27,""))</f>
        <v/>
      </c>
      <c r="AL8" s="490" t="str">
        <f>IF($B8="","",IF($R8=AL$5,(SUM($D8*VLOOKUP($C8,ESCALA!$B$3:$O$19,14,0)+10)*2)*27,""))</f>
        <v/>
      </c>
      <c r="AM8" s="490" t="str">
        <f>IF($B8="","",IF($R8=AM$5,(SUM($D8*VLOOKUP($C8,ESCALA!$B$3:$O$19,14,0)+10)*2)*27,""))</f>
        <v/>
      </c>
      <c r="AN8" s="490" t="str">
        <f>IF($B8="","",IF($R8=AN$5,(SUM($D8*VLOOKUP($C8,ESCALA!$B$3:$O$19,14,0)+10)*2)*27,""))</f>
        <v/>
      </c>
      <c r="AO8" s="490" t="str">
        <f>IF($B8="","",IF($R8=AO$5,(SUM($D8*VLOOKUP($C8,ESCALA!$B$3:$O$19,14,0)+10)*2)*27,""))</f>
        <v/>
      </c>
      <c r="AP8" s="490" t="str">
        <f>IF($B8="","",IF($R8=AP$5,(SUM($D8*VLOOKUP($C8,ESCALA!$B$3:$O$19,14,0)+10)*2)*27,""))</f>
        <v/>
      </c>
      <c r="AQ8" s="372"/>
      <c r="AS8" s="367" t="str">
        <f>IF(PERFIL!B6="","",PERFIL!B6)</f>
        <v/>
      </c>
      <c r="AT8" s="370" t="s">
        <v>192</v>
      </c>
      <c r="AU8" s="370">
        <v>22</v>
      </c>
      <c r="AV8" s="375" t="s">
        <v>193</v>
      </c>
      <c r="AX8" s="368" t="str">
        <f>IF(PERFIL!B7="","",PERFIL!B7)</f>
        <v/>
      </c>
      <c r="AY8" s="368" t="str">
        <f>IF(PERFIL!E7="","",PERFIL!E7)</f>
        <v/>
      </c>
      <c r="AZ8" s="368" t="str">
        <f t="shared" si="1"/>
        <v/>
      </c>
      <c r="BA8" s="368" t="str">
        <f t="shared" si="2"/>
        <v/>
      </c>
      <c r="BI8" s="370" t="s">
        <v>265</v>
      </c>
      <c r="BJ8" s="370" t="s">
        <v>179</v>
      </c>
      <c r="BK8" s="370" t="s">
        <v>192</v>
      </c>
      <c r="BM8" s="367">
        <f ca="1">RECEBÍVEIS!AA12</f>
        <v>2025</v>
      </c>
      <c r="BN8" s="368">
        <f t="shared" ref="BN8:BN20" ca="1" si="3">COUNTIF($Z$6:$Z$305,BM8)</f>
        <v>0</v>
      </c>
      <c r="BQ8" s="491">
        <f ca="1">RECEBÍVEIS!AA13</f>
        <v>2024</v>
      </c>
      <c r="BR8" s="492">
        <f>RECEBÍVEIS!AB13</f>
        <v>4.76</v>
      </c>
      <c r="BU8" s="367" t="s">
        <v>293</v>
      </c>
      <c r="BV8" s="367" t="s">
        <v>448</v>
      </c>
      <c r="BZ8" s="367" t="s">
        <v>1025</v>
      </c>
      <c r="CA8" s="367" t="s">
        <v>759</v>
      </c>
      <c r="CB8" s="367">
        <v>200</v>
      </c>
      <c r="CC8" s="368" t="s">
        <v>220</v>
      </c>
    </row>
    <row r="9" spans="2:81" ht="33.75" customHeight="1" x14ac:dyDescent="0.2">
      <c r="B9" s="551"/>
      <c r="C9" s="517"/>
      <c r="D9" s="503" t="str">
        <f>IF(C9="","",VLOOKUP(C9,'REL LINHAS'!$B$2:$K$2205,5,0))</f>
        <v/>
      </c>
      <c r="E9" s="321" t="str">
        <f t="shared" si="0"/>
        <v/>
      </c>
      <c r="F9" s="493"/>
      <c r="G9" s="494"/>
      <c r="H9" s="649"/>
      <c r="I9" s="650"/>
      <c r="J9" s="651"/>
      <c r="K9" s="652"/>
      <c r="L9" s="653"/>
      <c r="M9" s="654"/>
      <c r="N9" s="652"/>
      <c r="O9" s="653"/>
      <c r="P9" s="653"/>
      <c r="Q9" s="654"/>
      <c r="R9" s="655"/>
      <c r="S9" s="656"/>
      <c r="T9" s="652"/>
      <c r="U9" s="654"/>
      <c r="V9" s="652"/>
      <c r="W9" s="653"/>
      <c r="X9" s="654"/>
      <c r="Y9" s="495"/>
      <c r="Z9" s="496"/>
      <c r="AA9" s="63"/>
      <c r="AB9" s="497" t="s">
        <v>2505</v>
      </c>
      <c r="AC9" s="63"/>
      <c r="AD9" s="497" t="s">
        <v>2506</v>
      </c>
      <c r="AE9" s="63"/>
      <c r="AF9" s="497" t="s">
        <v>2507</v>
      </c>
      <c r="AG9" s="63"/>
      <c r="AH9" s="498" t="s">
        <v>441</v>
      </c>
      <c r="AJ9" s="490" t="str">
        <f>IF($B9="","",IF($R9=AJ$5,(SUM($D9*VLOOKUP($C9,ESCALA!$B$3:$O$19,14,0)+10)*2)*27,""))</f>
        <v/>
      </c>
      <c r="AK9" s="490" t="str">
        <f>IF($B9="","",IF($R9=AK$5,(SUM($D9*VLOOKUP($C9,ESCALA!$B$3:$O$19,14,0)+10)*2)*27,""))</f>
        <v/>
      </c>
      <c r="AL9" s="490" t="str">
        <f>IF($B9="","",IF($R9=AL$5,(SUM($D9*VLOOKUP($C9,ESCALA!$B$3:$O$19,14,0)+10)*2)*27,""))</f>
        <v/>
      </c>
      <c r="AM9" s="490" t="str">
        <f>IF($B9="","",IF($R9=AM$5,(SUM($D9*VLOOKUP($C9,ESCALA!$B$3:$O$19,14,0)+10)*2)*27,""))</f>
        <v/>
      </c>
      <c r="AN9" s="490" t="str">
        <f>IF($B9="","",IF($R9=AN$5,(SUM($D9*VLOOKUP($C9,ESCALA!$B$3:$O$19,14,0)+10)*2)*27,""))</f>
        <v/>
      </c>
      <c r="AO9" s="490" t="str">
        <f>IF($B9="","",IF($R9=AO$5,(SUM($D9*VLOOKUP($C9,ESCALA!$B$3:$O$19,14,0)+10)*2)*27,""))</f>
        <v/>
      </c>
      <c r="AP9" s="490" t="str">
        <f>IF($B9="","",IF($R9=AP$5,(SUM($D9*VLOOKUP($C9,ESCALA!$B$3:$O$19,14,0)+10)*2)*27,""))</f>
        <v/>
      </c>
      <c r="AQ9" s="372" t="s">
        <v>4</v>
      </c>
      <c r="AS9" s="367" t="str">
        <f>IF(PERFIL!B7="","",PERFIL!B7)</f>
        <v/>
      </c>
      <c r="AT9" s="370" t="s">
        <v>179</v>
      </c>
      <c r="AU9" s="370">
        <v>32</v>
      </c>
      <c r="AV9" s="376" t="s">
        <v>194</v>
      </c>
      <c r="AX9" s="368" t="str">
        <f>IF(PERFIL!B8="","",PERFIL!B8)</f>
        <v/>
      </c>
      <c r="AY9" s="368" t="str">
        <f>IF(PERFIL!E8="","",PERFIL!E8)</f>
        <v/>
      </c>
      <c r="AZ9" s="368" t="str">
        <f t="shared" si="1"/>
        <v/>
      </c>
      <c r="BA9" s="368" t="str">
        <f t="shared" si="2"/>
        <v/>
      </c>
      <c r="BI9" s="370" t="s">
        <v>55</v>
      </c>
      <c r="BJ9" s="370" t="s">
        <v>265</v>
      </c>
      <c r="BK9" s="370" t="s">
        <v>179</v>
      </c>
      <c r="BM9" s="367">
        <f ca="1">RECEBÍVEIS!AA13</f>
        <v>2024</v>
      </c>
      <c r="BN9" s="368">
        <f t="shared" ca="1" si="3"/>
        <v>0</v>
      </c>
      <c r="BQ9" s="491">
        <f ca="1">RECEBÍVEIS!AA14</f>
        <v>2023</v>
      </c>
      <c r="BR9" s="492">
        <f>RECEBÍVEIS!AB14</f>
        <v>4.6399999999999997</v>
      </c>
      <c r="BU9" s="367" t="s">
        <v>295</v>
      </c>
      <c r="BV9" s="367" t="s">
        <v>1018</v>
      </c>
      <c r="BY9" s="367" t="s">
        <v>573</v>
      </c>
      <c r="BZ9" s="367" t="s">
        <v>1145</v>
      </c>
      <c r="CA9" s="447" t="s">
        <v>760</v>
      </c>
      <c r="CB9" s="367">
        <v>150</v>
      </c>
      <c r="CC9" s="368" t="s">
        <v>220</v>
      </c>
    </row>
    <row r="10" spans="2:81" ht="33.75" customHeight="1" x14ac:dyDescent="0.2">
      <c r="B10" s="551"/>
      <c r="C10" s="517"/>
      <c r="D10" s="503" t="str">
        <f>IF(C10="","",VLOOKUP(C10,'REL LINHAS'!$B$2:$K$2205,5,0))</f>
        <v/>
      </c>
      <c r="E10" s="321" t="str">
        <f t="shared" si="0"/>
        <v/>
      </c>
      <c r="F10" s="493"/>
      <c r="G10" s="494"/>
      <c r="H10" s="649"/>
      <c r="I10" s="650"/>
      <c r="J10" s="651"/>
      <c r="K10" s="652"/>
      <c r="L10" s="653"/>
      <c r="M10" s="654"/>
      <c r="N10" s="652"/>
      <c r="O10" s="653"/>
      <c r="P10" s="653"/>
      <c r="Q10" s="654"/>
      <c r="R10" s="655"/>
      <c r="S10" s="656"/>
      <c r="T10" s="652"/>
      <c r="U10" s="654"/>
      <c r="V10" s="652"/>
      <c r="W10" s="653"/>
      <c r="X10" s="654"/>
      <c r="Y10" s="495"/>
      <c r="Z10" s="496"/>
      <c r="AA10" s="63"/>
      <c r="AB10" s="497" t="s">
        <v>2505</v>
      </c>
      <c r="AC10" s="63"/>
      <c r="AD10" s="497" t="s">
        <v>2506</v>
      </c>
      <c r="AE10" s="63"/>
      <c r="AF10" s="497" t="s">
        <v>2507</v>
      </c>
      <c r="AG10" s="63"/>
      <c r="AH10" s="498" t="s">
        <v>441</v>
      </c>
      <c r="AJ10" s="490" t="str">
        <f>IF($B10="","",IF($R10=AJ$5,(SUM($D10*VLOOKUP($C10,ESCALA!$B$3:$O$19,14,0)+10)*2)*27,""))</f>
        <v/>
      </c>
      <c r="AK10" s="490" t="str">
        <f>IF($B10="","",IF($R10=AK$5,(SUM($D10*VLOOKUP($C10,ESCALA!$B$3:$O$19,14,0)+10)*2)*27,""))</f>
        <v/>
      </c>
      <c r="AL10" s="490" t="str">
        <f>IF($B10="","",IF($R10=AL$5,(SUM($D10*VLOOKUP($C10,ESCALA!$B$3:$O$19,14,0)+10)*2)*27,""))</f>
        <v/>
      </c>
      <c r="AM10" s="490" t="str">
        <f>IF($B10="","",IF($R10=AM$5,(SUM($D10*VLOOKUP($C10,ESCALA!$B$3:$O$19,14,0)+10)*2)*27,""))</f>
        <v/>
      </c>
      <c r="AN10" s="490" t="str">
        <f>IF($B10="","",IF($R10=AN$5,(SUM($D10*VLOOKUP($C10,ESCALA!$B$3:$O$19,14,0)+10)*2)*27,""))</f>
        <v/>
      </c>
      <c r="AO10" s="490" t="str">
        <f>IF($B10="","",IF($R10=AO$5,(SUM($D10*VLOOKUP($C10,ESCALA!$B$3:$O$19,14,0)+10)*2)*27,""))</f>
        <v/>
      </c>
      <c r="AP10" s="490" t="str">
        <f>IF($B10="","",IF($R10=AP$5,(SUM($D10*VLOOKUP($C10,ESCALA!$B$3:$O$19,14,0)+10)*2)*27,""))</f>
        <v/>
      </c>
      <c r="AQ10" s="372"/>
      <c r="AS10" s="367" t="str">
        <f>IF(PERFIL!B8="","",PERFIL!B8)</f>
        <v/>
      </c>
      <c r="AT10" s="370" t="s">
        <v>265</v>
      </c>
      <c r="AU10" s="370">
        <v>67</v>
      </c>
      <c r="AV10" s="376" t="s">
        <v>197</v>
      </c>
      <c r="AX10" s="368" t="str">
        <f>IF(PERFIL!B9="","",PERFIL!B9)</f>
        <v/>
      </c>
      <c r="AY10" s="368" t="str">
        <f>IF(PERFIL!E9="","",PERFIL!E9)</f>
        <v/>
      </c>
      <c r="AZ10" s="368" t="str">
        <f t="shared" si="1"/>
        <v/>
      </c>
      <c r="BA10" s="368" t="str">
        <f t="shared" si="2"/>
        <v/>
      </c>
      <c r="BI10" s="370" t="s">
        <v>180</v>
      </c>
      <c r="BJ10" s="370" t="s">
        <v>55</v>
      </c>
      <c r="BK10" s="370" t="s">
        <v>265</v>
      </c>
      <c r="BM10" s="367">
        <f ca="1">RECEBÍVEIS!AA14</f>
        <v>2023</v>
      </c>
      <c r="BN10" s="368">
        <f t="shared" ca="1" si="3"/>
        <v>0</v>
      </c>
      <c r="BQ10" s="491">
        <f ca="1">RECEBÍVEIS!AA15</f>
        <v>2022</v>
      </c>
      <c r="BR10" s="492">
        <f>RECEBÍVEIS!AB15</f>
        <v>4.5199999999999996</v>
      </c>
      <c r="BU10" s="367" t="s">
        <v>294</v>
      </c>
      <c r="BV10" s="367" t="s">
        <v>446</v>
      </c>
      <c r="BZ10" s="367" t="s">
        <v>1157</v>
      </c>
      <c r="CA10" s="367" t="s">
        <v>761</v>
      </c>
      <c r="CB10" s="367">
        <v>150</v>
      </c>
      <c r="CC10" s="368" t="s">
        <v>10</v>
      </c>
    </row>
    <row r="11" spans="2:81" ht="33.75" customHeight="1" x14ac:dyDescent="0.2">
      <c r="B11" s="551"/>
      <c r="C11" s="517"/>
      <c r="D11" s="503" t="str">
        <f>IF(C11="","",VLOOKUP(C11,'REL LINHAS'!$B$2:$K$2205,5,0))</f>
        <v/>
      </c>
      <c r="E11" s="321" t="str">
        <f t="shared" si="0"/>
        <v/>
      </c>
      <c r="F11" s="493"/>
      <c r="G11" s="494"/>
      <c r="H11" s="649"/>
      <c r="I11" s="650"/>
      <c r="J11" s="651"/>
      <c r="K11" s="652"/>
      <c r="L11" s="653"/>
      <c r="M11" s="654"/>
      <c r="N11" s="652"/>
      <c r="O11" s="653"/>
      <c r="P11" s="653"/>
      <c r="Q11" s="654"/>
      <c r="R11" s="655"/>
      <c r="S11" s="656"/>
      <c r="T11" s="652"/>
      <c r="U11" s="654"/>
      <c r="V11" s="652"/>
      <c r="W11" s="653"/>
      <c r="X11" s="654"/>
      <c r="Y11" s="495"/>
      <c r="Z11" s="496"/>
      <c r="AA11" s="63"/>
      <c r="AB11" s="497" t="s">
        <v>2505</v>
      </c>
      <c r="AC11" s="63"/>
      <c r="AD11" s="497" t="s">
        <v>2506</v>
      </c>
      <c r="AE11" s="63"/>
      <c r="AF11" s="497" t="s">
        <v>2507</v>
      </c>
      <c r="AG11" s="63"/>
      <c r="AH11" s="498" t="s">
        <v>441</v>
      </c>
      <c r="AJ11" s="490" t="str">
        <f>IF($B11="","",IF($R11=AJ$5,(SUM($D11*VLOOKUP($C11,ESCALA!$B$3:$O$19,14,0)+10)*2)*27,""))</f>
        <v/>
      </c>
      <c r="AK11" s="490" t="str">
        <f>IF($B11="","",IF($R11=AK$5,(SUM($D11*VLOOKUP($C11,ESCALA!$B$3:$O$19,14,0)+10)*2)*27,""))</f>
        <v/>
      </c>
      <c r="AL11" s="490" t="str">
        <f>IF($B11="","",IF($R11=AL$5,(SUM($D11*VLOOKUP($C11,ESCALA!$B$3:$O$19,14,0)+10)*2)*27,""))</f>
        <v/>
      </c>
      <c r="AM11" s="490" t="str">
        <f>IF($B11="","",IF($R11=AM$5,(SUM($D11*VLOOKUP($C11,ESCALA!$B$3:$O$19,14,0)+10)*2)*27,""))</f>
        <v/>
      </c>
      <c r="AN11" s="490" t="str">
        <f>IF($B11="","",IF($R11=AN$5,(SUM($D11*VLOOKUP($C11,ESCALA!$B$3:$O$19,14,0)+10)*2)*27,""))</f>
        <v/>
      </c>
      <c r="AO11" s="490" t="str">
        <f>IF($B11="","",IF($R11=AO$5,(SUM($D11*VLOOKUP($C11,ESCALA!$B$3:$O$19,14,0)+10)*2)*27,""))</f>
        <v/>
      </c>
      <c r="AP11" s="490" t="str">
        <f>IF($B11="","",IF($R11=AP$5,(SUM($D11*VLOOKUP($C11,ESCALA!$B$3:$O$19,14,0)+10)*2)*27,""))</f>
        <v/>
      </c>
      <c r="AQ11" s="372"/>
      <c r="AS11" s="367" t="str">
        <f>IF(PERFIL!B9="","",PERFIL!B9)</f>
        <v/>
      </c>
      <c r="AT11" s="370" t="s">
        <v>55</v>
      </c>
      <c r="AU11" s="370">
        <v>90</v>
      </c>
      <c r="AV11" s="376" t="s">
        <v>198</v>
      </c>
      <c r="AX11" s="368" t="str">
        <f>IF(PERFIL!B10="","",PERFIL!B10)</f>
        <v/>
      </c>
      <c r="AY11" s="368" t="str">
        <f>IF(PERFIL!E10="","",PERFIL!E10)</f>
        <v/>
      </c>
      <c r="AZ11" s="368" t="str">
        <f t="shared" si="1"/>
        <v/>
      </c>
      <c r="BA11" s="368" t="str">
        <f t="shared" si="2"/>
        <v/>
      </c>
      <c r="BI11" s="370" t="s">
        <v>56</v>
      </c>
      <c r="BJ11" s="370" t="s">
        <v>180</v>
      </c>
      <c r="BK11" s="370" t="s">
        <v>55</v>
      </c>
      <c r="BM11" s="367">
        <f ca="1">RECEBÍVEIS!AA15</f>
        <v>2022</v>
      </c>
      <c r="BN11" s="368">
        <f t="shared" ca="1" si="3"/>
        <v>0</v>
      </c>
      <c r="BQ11" s="491">
        <f ca="1">RECEBÍVEIS!AA16</f>
        <v>2021</v>
      </c>
      <c r="BR11" s="492">
        <f>RECEBÍVEIS!AB16</f>
        <v>4.3999999999999995</v>
      </c>
      <c r="BU11" s="367" t="s">
        <v>301</v>
      </c>
      <c r="BV11" s="367" t="s">
        <v>449</v>
      </c>
      <c r="BZ11" s="367" t="s">
        <v>1136</v>
      </c>
      <c r="CA11" s="367" t="s">
        <v>762</v>
      </c>
      <c r="CB11" s="367">
        <v>150</v>
      </c>
      <c r="CC11" s="368" t="s">
        <v>10</v>
      </c>
    </row>
    <row r="12" spans="2:81" ht="33.75" customHeight="1" x14ac:dyDescent="0.2">
      <c r="B12" s="551"/>
      <c r="C12" s="517"/>
      <c r="D12" s="503" t="str">
        <f>IF(C12="","",VLOOKUP(C12,'REL LINHAS'!$B$2:$K$2205,5,0))</f>
        <v/>
      </c>
      <c r="E12" s="321" t="str">
        <f t="shared" si="0"/>
        <v/>
      </c>
      <c r="F12" s="493"/>
      <c r="G12" s="494"/>
      <c r="H12" s="649"/>
      <c r="I12" s="650"/>
      <c r="J12" s="651"/>
      <c r="K12" s="652"/>
      <c r="L12" s="653"/>
      <c r="M12" s="654"/>
      <c r="N12" s="652"/>
      <c r="O12" s="653"/>
      <c r="P12" s="653"/>
      <c r="Q12" s="654"/>
      <c r="R12" s="655"/>
      <c r="S12" s="656"/>
      <c r="T12" s="652"/>
      <c r="U12" s="654"/>
      <c r="V12" s="652"/>
      <c r="W12" s="653"/>
      <c r="X12" s="654"/>
      <c r="Y12" s="495"/>
      <c r="Z12" s="496"/>
      <c r="AA12" s="63"/>
      <c r="AB12" s="497" t="s">
        <v>2505</v>
      </c>
      <c r="AC12" s="63"/>
      <c r="AD12" s="497" t="s">
        <v>2506</v>
      </c>
      <c r="AE12" s="63"/>
      <c r="AF12" s="497" t="s">
        <v>2507</v>
      </c>
      <c r="AG12" s="63"/>
      <c r="AH12" s="498" t="s">
        <v>441</v>
      </c>
      <c r="AJ12" s="490" t="str">
        <f>IF($B12="","",IF($R12=AJ$5,(SUM($D12*VLOOKUP($C12,ESCALA!$B$3:$O$19,14,0)+10)*2)*27,""))</f>
        <v/>
      </c>
      <c r="AK12" s="490" t="str">
        <f>IF($B12="","",IF($R12=AK$5,(SUM($D12*VLOOKUP($C12,ESCALA!$B$3:$O$19,14,0)+10)*2)*27,""))</f>
        <v/>
      </c>
      <c r="AL12" s="490" t="str">
        <f>IF($B12="","",IF($R12=AL$5,(SUM($D12*VLOOKUP($C12,ESCALA!$B$3:$O$19,14,0)+10)*2)*27,""))</f>
        <v/>
      </c>
      <c r="AM12" s="490" t="str">
        <f>IF($B12="","",IF($R12=AM$5,(SUM($D12*VLOOKUP($C12,ESCALA!$B$3:$O$19,14,0)+10)*2)*27,""))</f>
        <v/>
      </c>
      <c r="AN12" s="490" t="str">
        <f>IF($B12="","",IF($R12=AN$5,(SUM($D12*VLOOKUP($C12,ESCALA!$B$3:$O$19,14,0)+10)*2)*27,""))</f>
        <v/>
      </c>
      <c r="AO12" s="490" t="str">
        <f>IF($B12="","",IF($R12=AO$5,(SUM($D12*VLOOKUP($C12,ESCALA!$B$3:$O$19,14,0)+10)*2)*27,""))</f>
        <v/>
      </c>
      <c r="AP12" s="490" t="str">
        <f>IF($B12="","",IF($R12=AP$5,(SUM($D12*VLOOKUP($C12,ESCALA!$B$3:$O$19,14,0)+10)*2)*27,""))</f>
        <v/>
      </c>
      <c r="AQ12" s="372"/>
      <c r="AS12" s="367" t="str">
        <f>IF(PERFIL!B10="","",PERFIL!B10)</f>
        <v/>
      </c>
      <c r="AT12" s="370" t="s">
        <v>180</v>
      </c>
      <c r="AU12" s="370">
        <v>105</v>
      </c>
      <c r="AV12" s="376" t="s">
        <v>199</v>
      </c>
      <c r="AX12" s="368" t="str">
        <f>IF(PERFIL!B11="","",PERFIL!B11)</f>
        <v/>
      </c>
      <c r="AY12" s="368" t="str">
        <f>IF(PERFIL!E11="","",PERFIL!E11)</f>
        <v/>
      </c>
      <c r="AZ12" s="368" t="str">
        <f t="shared" si="1"/>
        <v/>
      </c>
      <c r="BA12" s="368" t="str">
        <f t="shared" si="2"/>
        <v/>
      </c>
      <c r="BI12" s="370" t="s">
        <v>181</v>
      </c>
      <c r="BJ12" s="370" t="s">
        <v>56</v>
      </c>
      <c r="BK12" s="370" t="s">
        <v>180</v>
      </c>
      <c r="BM12" s="367">
        <f ca="1">RECEBÍVEIS!AA16</f>
        <v>2021</v>
      </c>
      <c r="BN12" s="368">
        <f t="shared" ca="1" si="3"/>
        <v>0</v>
      </c>
      <c r="BQ12" s="491">
        <f ca="1">RECEBÍVEIS!AA17</f>
        <v>2020</v>
      </c>
      <c r="BR12" s="492">
        <f>RECEBÍVEIS!AB17</f>
        <v>4.2799999999999994</v>
      </c>
      <c r="BU12" s="367" t="s">
        <v>296</v>
      </c>
      <c r="BV12" s="367" t="s">
        <v>444</v>
      </c>
      <c r="BY12" s="367" t="s">
        <v>498</v>
      </c>
      <c r="BZ12" s="367" t="s">
        <v>1151</v>
      </c>
      <c r="CA12" s="367" t="s">
        <v>763</v>
      </c>
      <c r="CB12" s="367">
        <v>250</v>
      </c>
      <c r="CC12" s="368" t="s">
        <v>10</v>
      </c>
    </row>
    <row r="13" spans="2:81" ht="33.75" customHeight="1" x14ac:dyDescent="0.2">
      <c r="B13" s="551"/>
      <c r="C13" s="517"/>
      <c r="D13" s="503" t="str">
        <f>IF(C13="","",VLOOKUP(C13,'REL LINHAS'!$B$2:$K$2205,5,0))</f>
        <v/>
      </c>
      <c r="E13" s="321" t="str">
        <f t="shared" si="0"/>
        <v/>
      </c>
      <c r="F13" s="493"/>
      <c r="G13" s="494"/>
      <c r="H13" s="649"/>
      <c r="I13" s="650"/>
      <c r="J13" s="651"/>
      <c r="K13" s="652"/>
      <c r="L13" s="653"/>
      <c r="M13" s="654"/>
      <c r="N13" s="652"/>
      <c r="O13" s="653"/>
      <c r="P13" s="653"/>
      <c r="Q13" s="654"/>
      <c r="R13" s="655"/>
      <c r="S13" s="656"/>
      <c r="T13" s="652"/>
      <c r="U13" s="654"/>
      <c r="V13" s="652"/>
      <c r="W13" s="653"/>
      <c r="X13" s="654"/>
      <c r="Y13" s="495"/>
      <c r="Z13" s="496"/>
      <c r="AA13" s="63"/>
      <c r="AB13" s="497" t="s">
        <v>2505</v>
      </c>
      <c r="AC13" s="63"/>
      <c r="AD13" s="497" t="s">
        <v>2506</v>
      </c>
      <c r="AE13" s="63"/>
      <c r="AF13" s="497" t="s">
        <v>2507</v>
      </c>
      <c r="AG13" s="63"/>
      <c r="AH13" s="498" t="s">
        <v>441</v>
      </c>
      <c r="AJ13" s="490" t="str">
        <f>IF($B13="","",IF($R13=AJ$5,(SUM($D13*VLOOKUP($C13,ESCALA!$B$3:$O$19,14,0)+10)*2)*27,""))</f>
        <v/>
      </c>
      <c r="AK13" s="490" t="str">
        <f>IF($B13="","",IF($R13=AK$5,(SUM($D13*VLOOKUP($C13,ESCALA!$B$3:$O$19,14,0)+10)*2)*27,""))</f>
        <v/>
      </c>
      <c r="AL13" s="490" t="str">
        <f>IF($B13="","",IF($R13=AL$5,(SUM($D13*VLOOKUP($C13,ESCALA!$B$3:$O$19,14,0)+10)*2)*27,""))</f>
        <v/>
      </c>
      <c r="AM13" s="490" t="str">
        <f>IF($B13="","",IF($R13=AM$5,(SUM($D13*VLOOKUP($C13,ESCALA!$B$3:$O$19,14,0)+10)*2)*27,""))</f>
        <v/>
      </c>
      <c r="AN13" s="490" t="str">
        <f>IF($B13="","",IF($R13=AN$5,(SUM($D13*VLOOKUP($C13,ESCALA!$B$3:$O$19,14,0)+10)*2)*27,""))</f>
        <v/>
      </c>
      <c r="AO13" s="490" t="str">
        <f>IF($B13="","",IF($R13=AO$5,(SUM($D13*VLOOKUP($C13,ESCALA!$B$3:$O$19,14,0)+10)*2)*27,""))</f>
        <v/>
      </c>
      <c r="AP13" s="490" t="str">
        <f>IF($B13="","",IF($R13=AP$5,(SUM($D13*VLOOKUP($C13,ESCALA!$B$3:$O$19,14,0)+10)*2)*27,""))</f>
        <v/>
      </c>
      <c r="AQ13" s="372"/>
      <c r="AS13" s="367" t="str">
        <f>IF(PERFIL!B11="","",PERFIL!B11)</f>
        <v/>
      </c>
      <c r="AT13" s="370" t="s">
        <v>56</v>
      </c>
      <c r="AU13" s="370">
        <v>145</v>
      </c>
      <c r="AV13" s="376" t="s">
        <v>200</v>
      </c>
      <c r="AX13" s="368" t="str">
        <f>IF(PERFIL!B12="","",PERFIL!B12)</f>
        <v/>
      </c>
      <c r="AY13" s="368" t="str">
        <f>IF(PERFIL!E12="","",PERFIL!E12)</f>
        <v/>
      </c>
      <c r="AZ13" s="368" t="str">
        <f t="shared" si="1"/>
        <v/>
      </c>
      <c r="BA13" s="368" t="str">
        <f t="shared" si="2"/>
        <v/>
      </c>
      <c r="BI13" s="370" t="s">
        <v>57</v>
      </c>
      <c r="BJ13" s="370" t="s">
        <v>181</v>
      </c>
      <c r="BK13" s="370" t="s">
        <v>56</v>
      </c>
      <c r="BM13" s="367">
        <f ca="1">RECEBÍVEIS!AA17</f>
        <v>2020</v>
      </c>
      <c r="BN13" s="368">
        <f t="shared" ca="1" si="3"/>
        <v>0</v>
      </c>
      <c r="BQ13" s="491">
        <f ca="1">RECEBÍVEIS!AA18</f>
        <v>2019</v>
      </c>
      <c r="BR13" s="492">
        <f>RECEBÍVEIS!AB18</f>
        <v>4.1599999999999993</v>
      </c>
      <c r="BZ13" s="367" t="s">
        <v>1137</v>
      </c>
      <c r="CA13" s="367" t="s">
        <v>764</v>
      </c>
      <c r="CB13" s="367">
        <v>150</v>
      </c>
      <c r="CC13" s="368" t="s">
        <v>10</v>
      </c>
    </row>
    <row r="14" spans="2:81" ht="33.75" customHeight="1" x14ac:dyDescent="0.2">
      <c r="B14" s="551"/>
      <c r="C14" s="517"/>
      <c r="D14" s="503" t="str">
        <f>IF(C14="","",VLOOKUP(C14,'REL LINHAS'!$B$2:$K$2205,5,0))</f>
        <v/>
      </c>
      <c r="E14" s="321" t="str">
        <f t="shared" si="0"/>
        <v/>
      </c>
      <c r="F14" s="493"/>
      <c r="G14" s="494"/>
      <c r="H14" s="649"/>
      <c r="I14" s="650"/>
      <c r="J14" s="651"/>
      <c r="K14" s="652"/>
      <c r="L14" s="653"/>
      <c r="M14" s="654"/>
      <c r="N14" s="652"/>
      <c r="O14" s="653"/>
      <c r="P14" s="653"/>
      <c r="Q14" s="654"/>
      <c r="R14" s="655"/>
      <c r="S14" s="656"/>
      <c r="T14" s="652"/>
      <c r="U14" s="654"/>
      <c r="V14" s="652"/>
      <c r="W14" s="653"/>
      <c r="X14" s="654"/>
      <c r="Y14" s="495"/>
      <c r="Z14" s="496"/>
      <c r="AA14" s="63"/>
      <c r="AB14" s="497" t="s">
        <v>2505</v>
      </c>
      <c r="AC14" s="63"/>
      <c r="AD14" s="497" t="s">
        <v>2506</v>
      </c>
      <c r="AE14" s="63"/>
      <c r="AF14" s="497" t="s">
        <v>2507</v>
      </c>
      <c r="AG14" s="63"/>
      <c r="AH14" s="498" t="s">
        <v>441</v>
      </c>
      <c r="AJ14" s="490" t="str">
        <f>IF($B14="","",IF($R14=AJ$5,(SUM($D14*VLOOKUP($C14,ESCALA!$B$3:$O$19,14,0)+10)*2)*27,""))</f>
        <v/>
      </c>
      <c r="AK14" s="490" t="str">
        <f>IF($B14="","",IF($R14=AK$5,(SUM($D14*VLOOKUP($C14,ESCALA!$B$3:$O$19,14,0)+10)*2)*27,""))</f>
        <v/>
      </c>
      <c r="AL14" s="490" t="str">
        <f>IF($B14="","",IF($R14=AL$5,(SUM($D14*VLOOKUP($C14,ESCALA!$B$3:$O$19,14,0)+10)*2)*27,""))</f>
        <v/>
      </c>
      <c r="AM14" s="490" t="str">
        <f>IF($B14="","",IF($R14=AM$5,(SUM($D14*VLOOKUP($C14,ESCALA!$B$3:$O$19,14,0)+10)*2)*27,""))</f>
        <v/>
      </c>
      <c r="AN14" s="490" t="str">
        <f>IF($B14="","",IF($R14=AN$5,(SUM($D14*VLOOKUP($C14,ESCALA!$B$3:$O$19,14,0)+10)*2)*27,""))</f>
        <v/>
      </c>
      <c r="AO14" s="490" t="str">
        <f>IF($B14="","",IF($R14=AO$5,(SUM($D14*VLOOKUP($C14,ESCALA!$B$3:$O$19,14,0)+10)*2)*27,""))</f>
        <v/>
      </c>
      <c r="AP14" s="490" t="str">
        <f>IF($B14="","",IF($R14=AP$5,(SUM($D14*VLOOKUP($C14,ESCALA!$B$3:$O$19,14,0)+10)*2)*27,""))</f>
        <v/>
      </c>
      <c r="AQ14" s="372"/>
      <c r="AS14" s="367" t="str">
        <f>IF(PERFIL!B12="","",PERFIL!B12)</f>
        <v/>
      </c>
      <c r="AT14" s="370" t="s">
        <v>181</v>
      </c>
      <c r="AU14" s="370">
        <v>195</v>
      </c>
      <c r="AV14" s="376" t="s">
        <v>201</v>
      </c>
      <c r="AX14" s="368" t="str">
        <f>IF(PERFIL!B13="","",PERFIL!B13)</f>
        <v/>
      </c>
      <c r="AY14" s="368" t="str">
        <f>IF(PERFIL!E13="","",PERFIL!E13)</f>
        <v/>
      </c>
      <c r="AZ14" s="368" t="str">
        <f t="shared" si="1"/>
        <v/>
      </c>
      <c r="BA14" s="368" t="str">
        <f t="shared" si="2"/>
        <v/>
      </c>
      <c r="BI14" s="370" t="s">
        <v>1019</v>
      </c>
      <c r="BJ14" s="370" t="s">
        <v>401</v>
      </c>
      <c r="BK14" s="378" t="s">
        <v>1022</v>
      </c>
      <c r="BM14" s="367">
        <f ca="1">RECEBÍVEIS!AA18</f>
        <v>2019</v>
      </c>
      <c r="BN14" s="368">
        <f t="shared" ca="1" si="3"/>
        <v>0</v>
      </c>
      <c r="BQ14" s="491">
        <f ca="1">RECEBÍVEIS!AA19</f>
        <v>2018</v>
      </c>
      <c r="BR14" s="492">
        <f>RECEBÍVEIS!AB19</f>
        <v>4.0399999999999991</v>
      </c>
      <c r="BZ14" s="367" t="s">
        <v>1026</v>
      </c>
      <c r="CA14" s="367" t="s">
        <v>765</v>
      </c>
      <c r="CB14" s="367">
        <v>300</v>
      </c>
      <c r="CC14" s="368" t="s">
        <v>220</v>
      </c>
    </row>
    <row r="15" spans="2:81" ht="33.75" customHeight="1" x14ac:dyDescent="0.2">
      <c r="B15" s="551"/>
      <c r="C15" s="517"/>
      <c r="D15" s="503" t="str">
        <f>IF(C15="","",VLOOKUP(C15,'REL LINHAS'!$B$2:$K$2205,5,0))</f>
        <v/>
      </c>
      <c r="E15" s="321" t="str">
        <f t="shared" si="0"/>
        <v/>
      </c>
      <c r="F15" s="493"/>
      <c r="G15" s="494"/>
      <c r="H15" s="649"/>
      <c r="I15" s="650"/>
      <c r="J15" s="651"/>
      <c r="K15" s="652"/>
      <c r="L15" s="653"/>
      <c r="M15" s="654"/>
      <c r="N15" s="652"/>
      <c r="O15" s="653"/>
      <c r="P15" s="653"/>
      <c r="Q15" s="654"/>
      <c r="R15" s="655"/>
      <c r="S15" s="656"/>
      <c r="T15" s="652"/>
      <c r="U15" s="654"/>
      <c r="V15" s="652"/>
      <c r="W15" s="653"/>
      <c r="X15" s="654"/>
      <c r="Y15" s="495"/>
      <c r="Z15" s="496"/>
      <c r="AA15" s="63"/>
      <c r="AB15" s="497" t="s">
        <v>2505</v>
      </c>
      <c r="AC15" s="63"/>
      <c r="AD15" s="497" t="s">
        <v>2506</v>
      </c>
      <c r="AE15" s="63"/>
      <c r="AF15" s="497" t="s">
        <v>2507</v>
      </c>
      <c r="AG15" s="63"/>
      <c r="AH15" s="498" t="s">
        <v>441</v>
      </c>
      <c r="AJ15" s="490" t="str">
        <f>IF($B15="","",IF($R15=AJ$5,(SUM($D15*VLOOKUP($C15,ESCALA!$B$3:$O$19,14,0)+10)*2)*27,""))</f>
        <v/>
      </c>
      <c r="AK15" s="490" t="str">
        <f>IF($B15="","",IF($R15=AK$5,(SUM($D15*VLOOKUP($C15,ESCALA!$B$3:$O$19,14,0)+10)*2)*27,""))</f>
        <v/>
      </c>
      <c r="AL15" s="490" t="str">
        <f>IF($B15="","",IF($R15=AL$5,(SUM($D15*VLOOKUP($C15,ESCALA!$B$3:$O$19,14,0)+10)*2)*27,""))</f>
        <v/>
      </c>
      <c r="AM15" s="490" t="str">
        <f>IF($B15="","",IF($R15=AM$5,(SUM($D15*VLOOKUP($C15,ESCALA!$B$3:$O$19,14,0)+10)*2)*27,""))</f>
        <v/>
      </c>
      <c r="AN15" s="490" t="str">
        <f>IF($B15="","",IF($R15=AN$5,(SUM($D15*VLOOKUP($C15,ESCALA!$B$3:$O$19,14,0)+10)*2)*27,""))</f>
        <v/>
      </c>
      <c r="AO15" s="490" t="str">
        <f>IF($B15="","",IF($R15=AO$5,(SUM($D15*VLOOKUP($C15,ESCALA!$B$3:$O$19,14,0)+10)*2)*27,""))</f>
        <v/>
      </c>
      <c r="AP15" s="490" t="str">
        <f>IF($B15="","",IF($R15=AP$5,(SUM($D15*VLOOKUP($C15,ESCALA!$B$3:$O$19,14,0)+10)*2)*27,""))</f>
        <v/>
      </c>
      <c r="AQ15" s="372"/>
      <c r="AS15" s="367" t="str">
        <f>IF(PERFIL!B13="","",PERFIL!B13)</f>
        <v/>
      </c>
      <c r="AT15" s="370" t="s">
        <v>57</v>
      </c>
      <c r="AU15" s="370">
        <v>250</v>
      </c>
      <c r="AV15" s="376" t="s">
        <v>202</v>
      </c>
      <c r="AX15" s="368" t="str">
        <f>IF(PERFIL!B14="","",PERFIL!B14)</f>
        <v/>
      </c>
      <c r="AY15" s="368" t="str">
        <f>IF(PERFIL!E14="","",PERFIL!E14)</f>
        <v/>
      </c>
      <c r="AZ15" s="368" t="str">
        <f t="shared" si="1"/>
        <v/>
      </c>
      <c r="BA15" s="368" t="str">
        <f t="shared" si="2"/>
        <v/>
      </c>
      <c r="BM15" s="367">
        <f ca="1">RECEBÍVEIS!AA19</f>
        <v>2018</v>
      </c>
      <c r="BN15" s="368">
        <f t="shared" ca="1" si="3"/>
        <v>0</v>
      </c>
      <c r="BQ15" s="491">
        <f ca="1">RECEBÍVEIS!AA20</f>
        <v>2017</v>
      </c>
      <c r="BR15" s="492">
        <f>RECEBÍVEIS!AB20</f>
        <v>3.919999999999999</v>
      </c>
      <c r="BY15" s="367" t="s">
        <v>573</v>
      </c>
      <c r="BZ15" s="367" t="s">
        <v>1146</v>
      </c>
      <c r="CA15" s="367" t="s">
        <v>938</v>
      </c>
      <c r="CB15" s="367">
        <v>250</v>
      </c>
      <c r="CC15" s="368" t="s">
        <v>220</v>
      </c>
    </row>
    <row r="16" spans="2:81" ht="33.75" customHeight="1" x14ac:dyDescent="0.2">
      <c r="B16" s="551"/>
      <c r="C16" s="517"/>
      <c r="D16" s="503" t="str">
        <f>IF(C16="","",VLOOKUP(C16,'REL LINHAS'!$B$2:$K$2205,5,0))</f>
        <v/>
      </c>
      <c r="E16" s="321" t="str">
        <f t="shared" si="0"/>
        <v/>
      </c>
      <c r="F16" s="493"/>
      <c r="G16" s="494"/>
      <c r="H16" s="649"/>
      <c r="I16" s="650"/>
      <c r="J16" s="651"/>
      <c r="K16" s="652"/>
      <c r="L16" s="653"/>
      <c r="M16" s="654"/>
      <c r="N16" s="652"/>
      <c r="O16" s="653"/>
      <c r="P16" s="653"/>
      <c r="Q16" s="654"/>
      <c r="R16" s="655"/>
      <c r="S16" s="656"/>
      <c r="T16" s="652"/>
      <c r="U16" s="654"/>
      <c r="V16" s="652"/>
      <c r="W16" s="653"/>
      <c r="X16" s="654"/>
      <c r="Y16" s="495"/>
      <c r="Z16" s="496"/>
      <c r="AA16" s="63"/>
      <c r="AB16" s="497" t="s">
        <v>2505</v>
      </c>
      <c r="AC16" s="63"/>
      <c r="AD16" s="497" t="s">
        <v>2506</v>
      </c>
      <c r="AE16" s="63"/>
      <c r="AF16" s="497" t="s">
        <v>2507</v>
      </c>
      <c r="AG16" s="63"/>
      <c r="AH16" s="498" t="s">
        <v>441</v>
      </c>
      <c r="AJ16" s="490" t="str">
        <f>IF($B16="","",IF($R16=AJ$5,(SUM($D16*VLOOKUP($C16,ESCALA!$B$3:$O$19,14,0)+10)*2)*27,""))</f>
        <v/>
      </c>
      <c r="AK16" s="490" t="str">
        <f>IF($B16="","",IF($R16=AK$5,(SUM($D16*VLOOKUP($C16,ESCALA!$B$3:$O$19,14,0)+10)*2)*27,""))</f>
        <v/>
      </c>
      <c r="AL16" s="490" t="str">
        <f>IF($B16="","",IF($R16=AL$5,(SUM($D16*VLOOKUP($C16,ESCALA!$B$3:$O$19,14,0)+10)*2)*27,""))</f>
        <v/>
      </c>
      <c r="AM16" s="490" t="str">
        <f>IF($B16="","",IF($R16=AM$5,(SUM($D16*VLOOKUP($C16,ESCALA!$B$3:$O$19,14,0)+10)*2)*27,""))</f>
        <v/>
      </c>
      <c r="AN16" s="490" t="str">
        <f>IF($B16="","",IF($R16=AN$5,(SUM($D16*VLOOKUP($C16,ESCALA!$B$3:$O$19,14,0)+10)*2)*27,""))</f>
        <v/>
      </c>
      <c r="AO16" s="490" t="str">
        <f>IF($B16="","",IF($R16=AO$5,(SUM($D16*VLOOKUP($C16,ESCALA!$B$3:$O$19,14,0)+10)*2)*27,""))</f>
        <v/>
      </c>
      <c r="AP16" s="490" t="str">
        <f>IF($B16="","",IF($R16=AP$5,(SUM($D16*VLOOKUP($C16,ESCALA!$B$3:$O$19,14,0)+10)*2)*27,""))</f>
        <v/>
      </c>
      <c r="AQ16" s="372"/>
      <c r="AS16" s="367" t="str">
        <f>IF(PERFIL!B14="","",PERFIL!B14)</f>
        <v/>
      </c>
      <c r="AT16" s="377" t="s">
        <v>1019</v>
      </c>
      <c r="AU16" s="370">
        <v>45</v>
      </c>
      <c r="AV16" s="376" t="s">
        <v>203</v>
      </c>
      <c r="AX16" s="368" t="str">
        <f>IF(PERFIL!B15="","",PERFIL!B15)</f>
        <v/>
      </c>
      <c r="AY16" s="368" t="str">
        <f>IF(PERFIL!E15="","",PERFIL!E15)</f>
        <v/>
      </c>
      <c r="AZ16" s="368" t="str">
        <f t="shared" si="1"/>
        <v/>
      </c>
      <c r="BA16" s="368" t="str">
        <f t="shared" si="2"/>
        <v/>
      </c>
      <c r="BM16" s="367">
        <f ca="1">RECEBÍVEIS!AA20</f>
        <v>2017</v>
      </c>
      <c r="BN16" s="368">
        <f t="shared" ca="1" si="3"/>
        <v>0</v>
      </c>
      <c r="BQ16" s="491">
        <f ca="1">RECEBÍVEIS!AA21</f>
        <v>2016</v>
      </c>
      <c r="BR16" s="492">
        <f>RECEBÍVEIS!AB21</f>
        <v>3.7999999999999989</v>
      </c>
      <c r="BY16" s="367" t="s">
        <v>573</v>
      </c>
      <c r="BZ16" s="367" t="s">
        <v>2651</v>
      </c>
      <c r="CA16" s="367" t="s">
        <v>766</v>
      </c>
      <c r="CB16" s="367">
        <v>125</v>
      </c>
      <c r="CC16" s="368" t="s">
        <v>220</v>
      </c>
    </row>
    <row r="17" spans="2:81" ht="33.75" customHeight="1" x14ac:dyDescent="0.2">
      <c r="B17" s="551"/>
      <c r="C17" s="517"/>
      <c r="D17" s="503" t="str">
        <f>IF(C17="","",VLOOKUP(C17,'REL LINHAS'!$B$2:$K$2205,5,0))</f>
        <v/>
      </c>
      <c r="E17" s="321" t="str">
        <f t="shared" si="0"/>
        <v/>
      </c>
      <c r="F17" s="493"/>
      <c r="G17" s="494"/>
      <c r="H17" s="649"/>
      <c r="I17" s="650"/>
      <c r="J17" s="651"/>
      <c r="K17" s="652"/>
      <c r="L17" s="653"/>
      <c r="M17" s="654"/>
      <c r="N17" s="652"/>
      <c r="O17" s="653"/>
      <c r="P17" s="653"/>
      <c r="Q17" s="654"/>
      <c r="R17" s="655"/>
      <c r="S17" s="656"/>
      <c r="T17" s="652"/>
      <c r="U17" s="654"/>
      <c r="V17" s="652"/>
      <c r="W17" s="653"/>
      <c r="X17" s="654"/>
      <c r="Y17" s="495"/>
      <c r="Z17" s="496"/>
      <c r="AA17" s="63"/>
      <c r="AB17" s="497" t="s">
        <v>2505</v>
      </c>
      <c r="AC17" s="63"/>
      <c r="AD17" s="497" t="s">
        <v>2506</v>
      </c>
      <c r="AE17" s="63"/>
      <c r="AF17" s="497" t="s">
        <v>2507</v>
      </c>
      <c r="AG17" s="63"/>
      <c r="AH17" s="498" t="s">
        <v>441</v>
      </c>
      <c r="AJ17" s="490" t="str">
        <f>IF($B17="","",IF($R17=AJ$5,(SUM($D17*VLOOKUP($C17,ESCALA!$B$3:$O$19,14,0)+10)*2)*27,""))</f>
        <v/>
      </c>
      <c r="AK17" s="490" t="str">
        <f>IF($B17="","",IF($R17=AK$5,(SUM($D17*VLOOKUP($C17,ESCALA!$B$3:$O$19,14,0)+10)*2)*27,""))</f>
        <v/>
      </c>
      <c r="AL17" s="490" t="str">
        <f>IF($B17="","",IF($R17=AL$5,(SUM($D17*VLOOKUP($C17,ESCALA!$B$3:$O$19,14,0)+10)*2)*27,""))</f>
        <v/>
      </c>
      <c r="AM17" s="490" t="str">
        <f>IF($B17="","",IF($R17=AM$5,(SUM($D17*VLOOKUP($C17,ESCALA!$B$3:$O$19,14,0)+10)*2)*27,""))</f>
        <v/>
      </c>
      <c r="AN17" s="490" t="str">
        <f>IF($B17="","",IF($R17=AN$5,(SUM($D17*VLOOKUP($C17,ESCALA!$B$3:$O$19,14,0)+10)*2)*27,""))</f>
        <v/>
      </c>
      <c r="AO17" s="490" t="str">
        <f>IF($B17="","",IF($R17=AO$5,(SUM($D17*VLOOKUP($C17,ESCALA!$B$3:$O$19,14,0)+10)*2)*27,""))</f>
        <v/>
      </c>
      <c r="AP17" s="490" t="str">
        <f>IF($B17="","",IF($R17=AP$5,(SUM($D17*VLOOKUP($C17,ESCALA!$B$3:$O$19,14,0)+10)*2)*27,""))</f>
        <v/>
      </c>
      <c r="AQ17" s="372"/>
      <c r="AS17" s="367" t="str">
        <f>IF(PERFIL!B15="","",PERFIL!B15)</f>
        <v/>
      </c>
      <c r="AT17" s="377" t="s">
        <v>401</v>
      </c>
      <c r="AU17" s="370">
        <v>40</v>
      </c>
      <c r="AV17" s="376" t="s">
        <v>203</v>
      </c>
      <c r="AX17" s="368" t="str">
        <f>IF(PERFIL!B16="","",PERFIL!B16)</f>
        <v/>
      </c>
      <c r="AY17" s="368" t="str">
        <f>IF(PERFIL!E16="","",PERFIL!E16)</f>
        <v/>
      </c>
      <c r="AZ17" s="368" t="str">
        <f t="shared" si="1"/>
        <v/>
      </c>
      <c r="BA17" s="368" t="str">
        <f t="shared" si="2"/>
        <v/>
      </c>
      <c r="BM17" s="367">
        <f ca="1">RECEBÍVEIS!AA21</f>
        <v>2016</v>
      </c>
      <c r="BN17" s="368">
        <f t="shared" ca="1" si="3"/>
        <v>0</v>
      </c>
      <c r="BQ17" s="491">
        <f ca="1">RECEBÍVEIS!AA22</f>
        <v>2015</v>
      </c>
      <c r="BR17" s="492">
        <f>RECEBÍVEIS!AB22</f>
        <v>3.6799999999999988</v>
      </c>
      <c r="BZ17" s="367" t="s">
        <v>2638</v>
      </c>
      <c r="CA17" s="367" t="s">
        <v>939</v>
      </c>
      <c r="CB17" s="367">
        <v>125</v>
      </c>
      <c r="CC17" s="368" t="s">
        <v>10</v>
      </c>
    </row>
    <row r="18" spans="2:81" ht="33.75" customHeight="1" x14ac:dyDescent="0.2">
      <c r="B18" s="551"/>
      <c r="C18" s="517"/>
      <c r="D18" s="503" t="str">
        <f>IF(C18="","",VLOOKUP(C18,'REL LINHAS'!$B$2:$K$2205,5,0))</f>
        <v/>
      </c>
      <c r="E18" s="321" t="str">
        <f t="shared" si="0"/>
        <v/>
      </c>
      <c r="F18" s="493"/>
      <c r="G18" s="494"/>
      <c r="H18" s="649"/>
      <c r="I18" s="650"/>
      <c r="J18" s="651"/>
      <c r="K18" s="652"/>
      <c r="L18" s="653"/>
      <c r="M18" s="654"/>
      <c r="N18" s="652"/>
      <c r="O18" s="653"/>
      <c r="P18" s="653"/>
      <c r="Q18" s="654"/>
      <c r="R18" s="655"/>
      <c r="S18" s="656"/>
      <c r="T18" s="652"/>
      <c r="U18" s="654"/>
      <c r="V18" s="652"/>
      <c r="W18" s="653"/>
      <c r="X18" s="654"/>
      <c r="Y18" s="495"/>
      <c r="Z18" s="496"/>
      <c r="AA18" s="63"/>
      <c r="AB18" s="497" t="s">
        <v>2505</v>
      </c>
      <c r="AC18" s="63"/>
      <c r="AD18" s="497" t="s">
        <v>2506</v>
      </c>
      <c r="AE18" s="63"/>
      <c r="AF18" s="497" t="s">
        <v>2507</v>
      </c>
      <c r="AG18" s="63"/>
      <c r="AH18" s="498" t="s">
        <v>441</v>
      </c>
      <c r="AJ18" s="490" t="str">
        <f>IF($B18="","",IF($R18=AJ$5,(SUM($D18*VLOOKUP($C18,ESCALA!$B$3:$O$19,14,0)+10)*2)*27,""))</f>
        <v/>
      </c>
      <c r="AK18" s="490" t="str">
        <f>IF($B18="","",IF($R18=AK$5,(SUM($D18*VLOOKUP($C18,ESCALA!$B$3:$O$19,14,0)+10)*2)*27,""))</f>
        <v/>
      </c>
      <c r="AL18" s="490" t="str">
        <f>IF($B18="","",IF($R18=AL$5,(SUM($D18*VLOOKUP($C18,ESCALA!$B$3:$O$19,14,0)+10)*2)*27,""))</f>
        <v/>
      </c>
      <c r="AM18" s="490" t="str">
        <f>IF($B18="","",IF($R18=AM$5,(SUM($D18*VLOOKUP($C18,ESCALA!$B$3:$O$19,14,0)+10)*2)*27,""))</f>
        <v/>
      </c>
      <c r="AN18" s="490" t="str">
        <f>IF($B18="","",IF($R18=AN$5,(SUM($D18*VLOOKUP($C18,ESCALA!$B$3:$O$19,14,0)+10)*2)*27,""))</f>
        <v/>
      </c>
      <c r="AO18" s="490" t="str">
        <f>IF($B18="","",IF($R18=AO$5,(SUM($D18*VLOOKUP($C18,ESCALA!$B$3:$O$19,14,0)+10)*2)*27,""))</f>
        <v/>
      </c>
      <c r="AP18" s="490" t="str">
        <f>IF($B18="","",IF($R18=AP$5,(SUM($D18*VLOOKUP($C18,ESCALA!$B$3:$O$19,14,0)+10)*2)*27,""))</f>
        <v/>
      </c>
      <c r="AQ18" s="372"/>
      <c r="AS18" s="367" t="str">
        <f>IF(PERFIL!B16="","",PERFIL!B16)</f>
        <v/>
      </c>
      <c r="AT18" s="377" t="s">
        <v>1022</v>
      </c>
      <c r="AU18" s="370">
        <v>45</v>
      </c>
      <c r="AV18" s="376" t="s">
        <v>203</v>
      </c>
      <c r="AX18" s="368" t="str">
        <f>IF(PERFIL!B17="","",PERFIL!B17)</f>
        <v/>
      </c>
      <c r="AY18" s="368" t="str">
        <f>IF(PERFIL!E17="","",PERFIL!E17)</f>
        <v/>
      </c>
      <c r="AZ18" s="368" t="str">
        <f t="shared" si="1"/>
        <v/>
      </c>
      <c r="BA18" s="368" t="str">
        <f t="shared" si="2"/>
        <v/>
      </c>
      <c r="BM18" s="367">
        <f ca="1">RECEBÍVEIS!AA22</f>
        <v>2015</v>
      </c>
      <c r="BN18" s="368">
        <f t="shared" ca="1" si="3"/>
        <v>0</v>
      </c>
      <c r="BQ18" s="491">
        <f ca="1">RECEBÍVEIS!AA23</f>
        <v>2014</v>
      </c>
      <c r="BR18" s="492">
        <f>RECEBÍVEIS!AB23</f>
        <v>3.5599999999999987</v>
      </c>
      <c r="BZ18" s="367" t="s">
        <v>2681</v>
      </c>
      <c r="CA18" s="367" t="s">
        <v>940</v>
      </c>
      <c r="CB18" s="367">
        <v>100</v>
      </c>
      <c r="CC18" s="368" t="s">
        <v>10</v>
      </c>
    </row>
    <row r="19" spans="2:81" ht="33.75" customHeight="1" x14ac:dyDescent="0.2">
      <c r="B19" s="551"/>
      <c r="C19" s="517"/>
      <c r="D19" s="503" t="str">
        <f>IF(C19="","",VLOOKUP(C19,'REL LINHAS'!$B$2:$K$2205,5,0))</f>
        <v/>
      </c>
      <c r="E19" s="321" t="str">
        <f t="shared" si="0"/>
        <v/>
      </c>
      <c r="F19" s="493"/>
      <c r="G19" s="494"/>
      <c r="H19" s="649"/>
      <c r="I19" s="650"/>
      <c r="J19" s="651"/>
      <c r="K19" s="652"/>
      <c r="L19" s="653"/>
      <c r="M19" s="654"/>
      <c r="N19" s="652"/>
      <c r="O19" s="653"/>
      <c r="P19" s="653"/>
      <c r="Q19" s="654"/>
      <c r="R19" s="655"/>
      <c r="S19" s="656"/>
      <c r="T19" s="652"/>
      <c r="U19" s="654"/>
      <c r="V19" s="652"/>
      <c r="W19" s="653"/>
      <c r="X19" s="654"/>
      <c r="Y19" s="495"/>
      <c r="Z19" s="496"/>
      <c r="AA19" s="63"/>
      <c r="AB19" s="497" t="s">
        <v>2505</v>
      </c>
      <c r="AC19" s="63"/>
      <c r="AD19" s="497" t="s">
        <v>2506</v>
      </c>
      <c r="AE19" s="63"/>
      <c r="AF19" s="497" t="s">
        <v>2507</v>
      </c>
      <c r="AG19" s="63"/>
      <c r="AH19" s="498" t="s">
        <v>441</v>
      </c>
      <c r="AJ19" s="490" t="str">
        <f>IF($B19="","",IF($R19=AJ$5,(SUM($D19*VLOOKUP($C19,ESCALA!$B$3:$O$19,14,0)+10)*2)*27,""))</f>
        <v/>
      </c>
      <c r="AK19" s="490" t="str">
        <f>IF($B19="","",IF($R19=AK$5,(SUM($D19*VLOOKUP($C19,ESCALA!$B$3:$O$19,14,0)+10)*2)*27,""))</f>
        <v/>
      </c>
      <c r="AL19" s="490" t="str">
        <f>IF($B19="","",IF($R19=AL$5,(SUM($D19*VLOOKUP($C19,ESCALA!$B$3:$O$19,14,0)+10)*2)*27,""))</f>
        <v/>
      </c>
      <c r="AM19" s="490" t="str">
        <f>IF($B19="","",IF($R19=AM$5,(SUM($D19*VLOOKUP($C19,ESCALA!$B$3:$O$19,14,0)+10)*2)*27,""))</f>
        <v/>
      </c>
      <c r="AN19" s="490" t="str">
        <f>IF($B19="","",IF($R19=AN$5,(SUM($D19*VLOOKUP($C19,ESCALA!$B$3:$O$19,14,0)+10)*2)*27,""))</f>
        <v/>
      </c>
      <c r="AO19" s="490" t="str">
        <f>IF($B19="","",IF($R19=AO$5,(SUM($D19*VLOOKUP($C19,ESCALA!$B$3:$O$19,14,0)+10)*2)*27,""))</f>
        <v/>
      </c>
      <c r="AP19" s="490" t="str">
        <f>IF($B19="","",IF($R19=AP$5,(SUM($D19*VLOOKUP($C19,ESCALA!$B$3:$O$19,14,0)+10)*2)*27,""))</f>
        <v/>
      </c>
      <c r="AQ19" s="372"/>
      <c r="AS19" s="367" t="str">
        <f>IF(PERFIL!B17="","",PERFIL!B17)</f>
        <v/>
      </c>
      <c r="AT19" s="377"/>
      <c r="AU19" s="370"/>
      <c r="AV19" s="376"/>
      <c r="AX19" s="368" t="str">
        <f>IF(PERFIL!B18="","",PERFIL!B18)</f>
        <v/>
      </c>
      <c r="AY19" s="368" t="str">
        <f>IF(PERFIL!E18="","",PERFIL!E18)</f>
        <v/>
      </c>
      <c r="AZ19" s="368" t="str">
        <f t="shared" si="1"/>
        <v/>
      </c>
      <c r="BA19" s="368" t="str">
        <f t="shared" si="2"/>
        <v/>
      </c>
      <c r="BM19" s="367">
        <f ca="1">RECEBÍVEIS!AA23</f>
        <v>2014</v>
      </c>
      <c r="BN19" s="368">
        <f t="shared" ca="1" si="3"/>
        <v>0</v>
      </c>
      <c r="BQ19" s="491">
        <f ca="1">RECEBÍVEIS!AA24</f>
        <v>2013</v>
      </c>
      <c r="BR19" s="492">
        <f>RECEBÍVEIS!AB24</f>
        <v>3.4999999999999987</v>
      </c>
      <c r="BZ19" s="367" t="s">
        <v>2669</v>
      </c>
      <c r="CA19" s="367" t="s">
        <v>933</v>
      </c>
      <c r="CB19" s="367">
        <v>100</v>
      </c>
      <c r="CC19" s="368" t="s">
        <v>10</v>
      </c>
    </row>
    <row r="20" spans="2:81" ht="33.75" customHeight="1" x14ac:dyDescent="0.2">
      <c r="B20" s="551"/>
      <c r="C20" s="517"/>
      <c r="D20" s="503" t="str">
        <f>IF(C20="","",VLOOKUP(C20,'REL LINHAS'!$B$2:$K$2205,5,0))</f>
        <v/>
      </c>
      <c r="E20" s="321" t="str">
        <f t="shared" si="0"/>
        <v/>
      </c>
      <c r="F20" s="493"/>
      <c r="G20" s="494"/>
      <c r="H20" s="649"/>
      <c r="I20" s="650"/>
      <c r="J20" s="651"/>
      <c r="K20" s="652"/>
      <c r="L20" s="653"/>
      <c r="M20" s="654"/>
      <c r="N20" s="652"/>
      <c r="O20" s="653"/>
      <c r="P20" s="653"/>
      <c r="Q20" s="654"/>
      <c r="R20" s="655"/>
      <c r="S20" s="656"/>
      <c r="T20" s="652"/>
      <c r="U20" s="654"/>
      <c r="V20" s="652"/>
      <c r="W20" s="653"/>
      <c r="X20" s="654"/>
      <c r="Y20" s="495"/>
      <c r="Z20" s="496"/>
      <c r="AA20" s="63"/>
      <c r="AB20" s="497" t="s">
        <v>2505</v>
      </c>
      <c r="AC20" s="63"/>
      <c r="AD20" s="497" t="s">
        <v>2506</v>
      </c>
      <c r="AE20" s="63"/>
      <c r="AF20" s="497" t="s">
        <v>2507</v>
      </c>
      <c r="AG20" s="63"/>
      <c r="AH20" s="498" t="s">
        <v>441</v>
      </c>
      <c r="AJ20" s="490" t="str">
        <f>IF($B20="","",IF($R20=AJ$5,(SUM($D20*VLOOKUP($C20,ESCALA!$B$3:$O$19,14,0)+10)*2)*27,""))</f>
        <v/>
      </c>
      <c r="AK20" s="490" t="str">
        <f>IF($B20="","",IF($R20=AK$5,(SUM($D20*VLOOKUP($C20,ESCALA!$B$3:$O$19,14,0)+10)*2)*27,""))</f>
        <v/>
      </c>
      <c r="AL20" s="490" t="str">
        <f>IF($B20="","",IF($R20=AL$5,(SUM($D20*VLOOKUP($C20,ESCALA!$B$3:$O$19,14,0)+10)*2)*27,""))</f>
        <v/>
      </c>
      <c r="AM20" s="490" t="str">
        <f>IF($B20="","",IF($R20=AM$5,(SUM($D20*VLOOKUP($C20,ESCALA!$B$3:$O$19,14,0)+10)*2)*27,""))</f>
        <v/>
      </c>
      <c r="AN20" s="490" t="str">
        <f>IF($B20="","",IF($R20=AN$5,(SUM($D20*VLOOKUP($C20,ESCALA!$B$3:$O$19,14,0)+10)*2)*27,""))</f>
        <v/>
      </c>
      <c r="AO20" s="490" t="str">
        <f>IF($B20="","",IF($R20=AO$5,(SUM($D20*VLOOKUP($C20,ESCALA!$B$3:$O$19,14,0)+10)*2)*27,""))</f>
        <v/>
      </c>
      <c r="AP20" s="490" t="str">
        <f>IF($B20="","",IF($R20=AP$5,(SUM($D20*VLOOKUP($C20,ESCALA!$B$3:$O$19,14,0)+10)*2)*27,""))</f>
        <v/>
      </c>
      <c r="AQ20" s="372"/>
      <c r="AS20" s="367" t="str">
        <f>IF(PERFIL!B18="","",PERFIL!B18)</f>
        <v/>
      </c>
      <c r="AT20" s="377"/>
      <c r="AU20" s="370"/>
      <c r="AV20" s="376"/>
      <c r="AX20" s="368" t="str">
        <f>IF(PERFIL!B19="","",PERFIL!B19)</f>
        <v/>
      </c>
      <c r="AY20" s="368" t="str">
        <f>IF(PERFIL!E19="","",PERFIL!E19)</f>
        <v/>
      </c>
      <c r="AZ20" s="368" t="str">
        <f t="shared" si="1"/>
        <v/>
      </c>
      <c r="BA20" s="368" t="str">
        <f t="shared" si="2"/>
        <v/>
      </c>
      <c r="BM20" s="367">
        <f ca="1">RECEBÍVEIS!AA24</f>
        <v>2013</v>
      </c>
      <c r="BN20" s="368">
        <f t="shared" ca="1" si="3"/>
        <v>0</v>
      </c>
      <c r="BQ20" s="491">
        <f ca="1">RECEBÍVEIS!AA25</f>
        <v>2012</v>
      </c>
      <c r="BR20" s="492">
        <f>RECEBÍVEIS!AB25</f>
        <v>3.4399999999999986</v>
      </c>
      <c r="BZ20" s="367" t="s">
        <v>2670</v>
      </c>
      <c r="CA20" s="367" t="s">
        <v>934</v>
      </c>
      <c r="CB20" s="367">
        <v>100</v>
      </c>
      <c r="CC20" s="368" t="s">
        <v>10</v>
      </c>
    </row>
    <row r="21" spans="2:81" ht="33.75" customHeight="1" x14ac:dyDescent="0.2">
      <c r="B21" s="551"/>
      <c r="C21" s="517"/>
      <c r="D21" s="503" t="str">
        <f>IF(C21="","",VLOOKUP(C21,'REL LINHAS'!$B$2:$K$2205,5,0))</f>
        <v/>
      </c>
      <c r="E21" s="321" t="str">
        <f t="shared" si="0"/>
        <v/>
      </c>
      <c r="F21" s="493"/>
      <c r="G21" s="494"/>
      <c r="H21" s="649"/>
      <c r="I21" s="650"/>
      <c r="J21" s="651"/>
      <c r="K21" s="652"/>
      <c r="L21" s="653"/>
      <c r="M21" s="654"/>
      <c r="N21" s="652"/>
      <c r="O21" s="653"/>
      <c r="P21" s="653"/>
      <c r="Q21" s="654"/>
      <c r="R21" s="655"/>
      <c r="S21" s="656"/>
      <c r="T21" s="652"/>
      <c r="U21" s="654"/>
      <c r="V21" s="652"/>
      <c r="W21" s="653"/>
      <c r="X21" s="654"/>
      <c r="Y21" s="495"/>
      <c r="Z21" s="496"/>
      <c r="AA21" s="63"/>
      <c r="AB21" s="497" t="s">
        <v>2505</v>
      </c>
      <c r="AC21" s="63"/>
      <c r="AD21" s="497" t="s">
        <v>2506</v>
      </c>
      <c r="AE21" s="63"/>
      <c r="AF21" s="497" t="s">
        <v>2507</v>
      </c>
      <c r="AG21" s="63"/>
      <c r="AH21" s="498" t="s">
        <v>441</v>
      </c>
      <c r="AJ21" s="490" t="str">
        <f>IF($B21="","",IF($R21=AJ$5,(SUM($D21*VLOOKUP($C21,ESCALA!$B$3:$O$19,14,0)+10)*2)*27,""))</f>
        <v/>
      </c>
      <c r="AK21" s="490" t="str">
        <f>IF($B21="","",IF($R21=AK$5,(SUM($D21*VLOOKUP($C21,ESCALA!$B$3:$O$19,14,0)+10)*2)*27,""))</f>
        <v/>
      </c>
      <c r="AL21" s="490" t="str">
        <f>IF($B21="","",IF($R21=AL$5,(SUM($D21*VLOOKUP($C21,ESCALA!$B$3:$O$19,14,0)+10)*2)*27,""))</f>
        <v/>
      </c>
      <c r="AM21" s="490" t="str">
        <f>IF($B21="","",IF($R21=AM$5,(SUM($D21*VLOOKUP($C21,ESCALA!$B$3:$O$19,14,0)+10)*2)*27,""))</f>
        <v/>
      </c>
      <c r="AN21" s="490" t="str">
        <f>IF($B21="","",IF($R21=AN$5,(SUM($D21*VLOOKUP($C21,ESCALA!$B$3:$O$19,14,0)+10)*2)*27,""))</f>
        <v/>
      </c>
      <c r="AO21" s="490" t="str">
        <f>IF($B21="","",IF($R21=AO$5,(SUM($D21*VLOOKUP($C21,ESCALA!$B$3:$O$19,14,0)+10)*2)*27,""))</f>
        <v/>
      </c>
      <c r="AP21" s="490" t="str">
        <f>IF($B21="","",IF($R21=AP$5,(SUM($D21*VLOOKUP($C21,ESCALA!$B$3:$O$19,14,0)+10)*2)*27,""))</f>
        <v/>
      </c>
      <c r="AQ21" s="372"/>
      <c r="AS21" s="367" t="str">
        <f>IF(PERFIL!B19="","",PERFIL!B19)</f>
        <v/>
      </c>
      <c r="AX21" s="368" t="str">
        <f>IF(PERFIL!B20="","",PERFIL!B20)</f>
        <v/>
      </c>
      <c r="AY21" s="368" t="str">
        <f>IF(PERFIL!E20="","",PERFIL!E20)</f>
        <v/>
      </c>
      <c r="AZ21" s="368" t="str">
        <f t="shared" si="1"/>
        <v/>
      </c>
      <c r="BA21" s="368" t="str">
        <f t="shared" si="2"/>
        <v/>
      </c>
      <c r="BM21" s="590" t="str">
        <f ca="1">CONCATENATE("Carros abaixo  de ",BM20)</f>
        <v>Carros abaixo  de 2013</v>
      </c>
      <c r="BN21" s="368">
        <f ca="1">BN6-SUM(BN7:BN20)</f>
        <v>0</v>
      </c>
      <c r="BQ21" s="491">
        <f ca="1">RECEBÍVEIS!AA26</f>
        <v>2011</v>
      </c>
      <c r="BR21" s="492">
        <f>RECEBÍVEIS!AB26</f>
        <v>3.3799999999999986</v>
      </c>
      <c r="BY21" s="367" t="s">
        <v>573</v>
      </c>
      <c r="BZ21" s="367" t="s">
        <v>2625</v>
      </c>
      <c r="CA21" s="367" t="s">
        <v>935</v>
      </c>
      <c r="CB21" s="367">
        <v>100</v>
      </c>
      <c r="CC21" s="368" t="s">
        <v>10</v>
      </c>
    </row>
    <row r="22" spans="2:81" ht="33.75" customHeight="1" x14ac:dyDescent="0.2">
      <c r="B22" s="551"/>
      <c r="C22" s="517"/>
      <c r="D22" s="503" t="str">
        <f>IF(C22="","",VLOOKUP(C22,'REL LINHAS'!$B$2:$K$2205,5,0))</f>
        <v/>
      </c>
      <c r="E22" s="321" t="str">
        <f t="shared" si="0"/>
        <v/>
      </c>
      <c r="F22" s="493"/>
      <c r="G22" s="494"/>
      <c r="H22" s="649"/>
      <c r="I22" s="650"/>
      <c r="J22" s="651"/>
      <c r="K22" s="652"/>
      <c r="L22" s="653"/>
      <c r="M22" s="654"/>
      <c r="N22" s="652"/>
      <c r="O22" s="653"/>
      <c r="P22" s="653"/>
      <c r="Q22" s="654"/>
      <c r="R22" s="655"/>
      <c r="S22" s="656"/>
      <c r="T22" s="652"/>
      <c r="U22" s="654"/>
      <c r="V22" s="652"/>
      <c r="W22" s="653"/>
      <c r="X22" s="654"/>
      <c r="Y22" s="495"/>
      <c r="Z22" s="496"/>
      <c r="AA22" s="63"/>
      <c r="AB22" s="497" t="s">
        <v>2505</v>
      </c>
      <c r="AC22" s="63"/>
      <c r="AD22" s="497" t="s">
        <v>2506</v>
      </c>
      <c r="AE22" s="63"/>
      <c r="AF22" s="497" t="s">
        <v>2507</v>
      </c>
      <c r="AG22" s="63"/>
      <c r="AH22" s="498" t="s">
        <v>441</v>
      </c>
      <c r="AJ22" s="490" t="str">
        <f>IF($B22="","",IF($R22=AJ$5,(SUM($D22*VLOOKUP($C22,ESCALA!$B$3:$O$19,14,0)+10)*2)*27,""))</f>
        <v/>
      </c>
      <c r="AK22" s="490" t="str">
        <f>IF($B22="","",IF($R22=AK$5,(SUM($D22*VLOOKUP($C22,ESCALA!$B$3:$O$19,14,0)+10)*2)*27,""))</f>
        <v/>
      </c>
      <c r="AL22" s="490" t="str">
        <f>IF($B22="","",IF($R22=AL$5,(SUM($D22*VLOOKUP($C22,ESCALA!$B$3:$O$19,14,0)+10)*2)*27,""))</f>
        <v/>
      </c>
      <c r="AM22" s="490" t="str">
        <f>IF($B22="","",IF($R22=AM$5,(SUM($D22*VLOOKUP($C22,ESCALA!$B$3:$O$19,14,0)+10)*2)*27,""))</f>
        <v/>
      </c>
      <c r="AN22" s="490" t="str">
        <f>IF($B22="","",IF($R22=AN$5,(SUM($D22*VLOOKUP($C22,ESCALA!$B$3:$O$19,14,0)+10)*2)*27,""))</f>
        <v/>
      </c>
      <c r="AO22" s="490" t="str">
        <f>IF($B22="","",IF($R22=AO$5,(SUM($D22*VLOOKUP($C22,ESCALA!$B$3:$O$19,14,0)+10)*2)*27,""))</f>
        <v/>
      </c>
      <c r="AP22" s="490" t="str">
        <f>IF($B22="","",IF($R22=AP$5,(SUM($D22*VLOOKUP($C22,ESCALA!$B$3:$O$19,14,0)+10)*2)*27,""))</f>
        <v/>
      </c>
      <c r="AQ22" s="372"/>
      <c r="AS22" s="367" t="str">
        <f>IF(PERFIL!B20="","",PERFIL!B20)</f>
        <v/>
      </c>
      <c r="AY22" s="368" t="str">
        <f>IF(PERFIL!E21="","",PERFIL!E21)</f>
        <v/>
      </c>
      <c r="AZ22" s="368" t="str">
        <f>IF($AY22="","",VLOOKUP($AY22,$BI$5:$BK$13,2,0))</f>
        <v/>
      </c>
      <c r="BA22" s="368" t="str">
        <f>IF($AY22="","",VLOOKUP($AY22,$BI$5:$BK$13,3,0))</f>
        <v/>
      </c>
      <c r="BQ22" s="491">
        <f ca="1">RECEBÍVEIS!AA27</f>
        <v>2010</v>
      </c>
      <c r="BR22" s="492">
        <f>RECEBÍVEIS!AB27</f>
        <v>3.3199999999999985</v>
      </c>
      <c r="BZ22" s="367" t="s">
        <v>2673</v>
      </c>
      <c r="CA22" s="367" t="s">
        <v>936</v>
      </c>
      <c r="CB22" s="367">
        <v>125</v>
      </c>
      <c r="CC22" s="368" t="s">
        <v>10</v>
      </c>
    </row>
    <row r="23" spans="2:81" ht="33.75" customHeight="1" x14ac:dyDescent="0.2">
      <c r="B23" s="551"/>
      <c r="C23" s="517"/>
      <c r="D23" s="503" t="str">
        <f>IF(C23="","",VLOOKUP(C23,'REL LINHAS'!$B$2:$K$2205,5,0))</f>
        <v/>
      </c>
      <c r="E23" s="321" t="str">
        <f t="shared" si="0"/>
        <v/>
      </c>
      <c r="F23" s="493"/>
      <c r="G23" s="494"/>
      <c r="H23" s="649"/>
      <c r="I23" s="650"/>
      <c r="J23" s="651"/>
      <c r="K23" s="652"/>
      <c r="L23" s="653"/>
      <c r="M23" s="654"/>
      <c r="N23" s="652"/>
      <c r="O23" s="653"/>
      <c r="P23" s="653"/>
      <c r="Q23" s="654"/>
      <c r="R23" s="655"/>
      <c r="S23" s="656"/>
      <c r="T23" s="652"/>
      <c r="U23" s="654"/>
      <c r="V23" s="652"/>
      <c r="W23" s="653"/>
      <c r="X23" s="654"/>
      <c r="Y23" s="495"/>
      <c r="Z23" s="496"/>
      <c r="AA23" s="63"/>
      <c r="AB23" s="497" t="s">
        <v>2505</v>
      </c>
      <c r="AC23" s="63"/>
      <c r="AD23" s="497" t="s">
        <v>2506</v>
      </c>
      <c r="AE23" s="63"/>
      <c r="AF23" s="497" t="s">
        <v>2507</v>
      </c>
      <c r="AG23" s="63"/>
      <c r="AH23" s="498" t="s">
        <v>441</v>
      </c>
      <c r="AJ23" s="490" t="str">
        <f>IF($B23="","",IF($R23=AJ$5,(SUM($D23*VLOOKUP($C23,ESCALA!$B$3:$O$19,14,0)+10)*2)*27,""))</f>
        <v/>
      </c>
      <c r="AK23" s="490" t="str">
        <f>IF($B23="","",IF($R23=AK$5,(SUM($D23*VLOOKUP($C23,ESCALA!$B$3:$O$19,14,0)+10)*2)*27,""))</f>
        <v/>
      </c>
      <c r="AL23" s="490" t="str">
        <f>IF($B23="","",IF($R23=AL$5,(SUM($D23*VLOOKUP($C23,ESCALA!$B$3:$O$19,14,0)+10)*2)*27,""))</f>
        <v/>
      </c>
      <c r="AM23" s="490" t="str">
        <f>IF($B23="","",IF($R23=AM$5,(SUM($D23*VLOOKUP($C23,ESCALA!$B$3:$O$19,14,0)+10)*2)*27,""))</f>
        <v/>
      </c>
      <c r="AN23" s="490" t="str">
        <f>IF($B23="","",IF($R23=AN$5,(SUM($D23*VLOOKUP($C23,ESCALA!$B$3:$O$19,14,0)+10)*2)*27,""))</f>
        <v/>
      </c>
      <c r="AO23" s="490" t="str">
        <f>IF($B23="","",IF($R23=AO$5,(SUM($D23*VLOOKUP($C23,ESCALA!$B$3:$O$19,14,0)+10)*2)*27,""))</f>
        <v/>
      </c>
      <c r="AP23" s="490" t="str">
        <f>IF($B23="","",IF($R23=AP$5,(SUM($D23*VLOOKUP($C23,ESCALA!$B$3:$O$19,14,0)+10)*2)*27,""))</f>
        <v/>
      </c>
      <c r="AQ23" s="372"/>
      <c r="BQ23" s="491">
        <f ca="1">RECEBÍVEIS!AA28</f>
        <v>2009</v>
      </c>
      <c r="BR23" s="492">
        <f>RECEBÍVEIS!AB28</f>
        <v>3.2599999999999985</v>
      </c>
      <c r="BY23" s="367" t="s">
        <v>498</v>
      </c>
      <c r="BZ23" s="367" t="s">
        <v>2659</v>
      </c>
      <c r="CA23" s="367" t="s">
        <v>937</v>
      </c>
      <c r="CB23" s="367">
        <v>150</v>
      </c>
      <c r="CC23" s="368" t="s">
        <v>10</v>
      </c>
    </row>
    <row r="24" spans="2:81" ht="33.75" customHeight="1" x14ac:dyDescent="0.2">
      <c r="B24" s="551"/>
      <c r="C24" s="517"/>
      <c r="D24" s="503" t="str">
        <f>IF(C24="","",VLOOKUP(C24,'REL LINHAS'!$B$2:$K$2205,5,0))</f>
        <v/>
      </c>
      <c r="E24" s="321" t="str">
        <f t="shared" si="0"/>
        <v/>
      </c>
      <c r="F24" s="493"/>
      <c r="G24" s="494"/>
      <c r="H24" s="649"/>
      <c r="I24" s="650"/>
      <c r="J24" s="651"/>
      <c r="K24" s="652"/>
      <c r="L24" s="653"/>
      <c r="M24" s="654"/>
      <c r="N24" s="652"/>
      <c r="O24" s="653"/>
      <c r="P24" s="653"/>
      <c r="Q24" s="654"/>
      <c r="R24" s="655"/>
      <c r="S24" s="656"/>
      <c r="T24" s="652"/>
      <c r="U24" s="654"/>
      <c r="V24" s="652"/>
      <c r="W24" s="653"/>
      <c r="X24" s="654"/>
      <c r="Y24" s="495"/>
      <c r="Z24" s="496"/>
      <c r="AA24" s="63"/>
      <c r="AB24" s="497" t="s">
        <v>2505</v>
      </c>
      <c r="AC24" s="63"/>
      <c r="AD24" s="497" t="s">
        <v>2506</v>
      </c>
      <c r="AE24" s="63"/>
      <c r="AF24" s="497" t="s">
        <v>2507</v>
      </c>
      <c r="AG24" s="63"/>
      <c r="AH24" s="498" t="s">
        <v>441</v>
      </c>
      <c r="AJ24" s="490" t="str">
        <f>IF($B24="","",IF($R24=AJ$5,(SUM($D24*VLOOKUP($C24,ESCALA!$B$3:$O$19,14,0)+10)*2)*27,""))</f>
        <v/>
      </c>
      <c r="AK24" s="490" t="str">
        <f>IF($B24="","",IF($R24=AK$5,(SUM($D24*VLOOKUP($C24,ESCALA!$B$3:$O$19,14,0)+10)*2)*27,""))</f>
        <v/>
      </c>
      <c r="AL24" s="490" t="str">
        <f>IF($B24="","",IF($R24=AL$5,(SUM($D24*VLOOKUP($C24,ESCALA!$B$3:$O$19,14,0)+10)*2)*27,""))</f>
        <v/>
      </c>
      <c r="AM24" s="490" t="str">
        <f>IF($B24="","",IF($R24=AM$5,(SUM($D24*VLOOKUP($C24,ESCALA!$B$3:$O$19,14,0)+10)*2)*27,""))</f>
        <v/>
      </c>
      <c r="AN24" s="490" t="str">
        <f>IF($B24="","",IF($R24=AN$5,(SUM($D24*VLOOKUP($C24,ESCALA!$B$3:$O$19,14,0)+10)*2)*27,""))</f>
        <v/>
      </c>
      <c r="AO24" s="490" t="str">
        <f>IF($B24="","",IF($R24=AO$5,(SUM($D24*VLOOKUP($C24,ESCALA!$B$3:$O$19,14,0)+10)*2)*27,""))</f>
        <v/>
      </c>
      <c r="AP24" s="490" t="str">
        <f>IF($B24="","",IF($R24=AP$5,(SUM($D24*VLOOKUP($C24,ESCALA!$B$3:$O$19,14,0)+10)*2)*27,""))</f>
        <v/>
      </c>
      <c r="AQ24" s="372"/>
      <c r="AY24" s="368" t="str">
        <f>IF(PERFIL!E23="","",PERFIL!E23)</f>
        <v>TOTAL DE VEÍCULOS</v>
      </c>
      <c r="AZ24" s="368" t="e">
        <f t="shared" ref="AZ24:AZ55" si="4">IF($AY24="","",VLOOKUP($AY24,$BI$5:$BK$13,2,0))</f>
        <v>#N/A</v>
      </c>
      <c r="BA24" s="368" t="e">
        <f t="shared" ref="BA24:BA55" si="5">IF($AY24="","",VLOOKUP($AY24,$BI$5:$BK$13,3,0))</f>
        <v>#N/A</v>
      </c>
      <c r="BQ24" s="491">
        <f ca="1">RECEBÍVEIS!AA29</f>
        <v>2008</v>
      </c>
      <c r="BR24" s="492">
        <f>RECEBÍVEIS!AB29</f>
        <v>3.1999999999999984</v>
      </c>
      <c r="BY24" s="367" t="s">
        <v>498</v>
      </c>
      <c r="BZ24" s="367" t="s">
        <v>2654</v>
      </c>
      <c r="CA24" s="367" t="s">
        <v>941</v>
      </c>
      <c r="CB24" s="367">
        <v>275</v>
      </c>
      <c r="CC24" s="368" t="s">
        <v>10</v>
      </c>
    </row>
    <row r="25" spans="2:81" ht="33.75" customHeight="1" x14ac:dyDescent="0.2">
      <c r="B25" s="551"/>
      <c r="C25" s="517"/>
      <c r="D25" s="503" t="str">
        <f>IF(C25="","",VLOOKUP(C25,'REL LINHAS'!$B$2:$K$2205,5,0))</f>
        <v/>
      </c>
      <c r="E25" s="321" t="str">
        <f t="shared" si="0"/>
        <v/>
      </c>
      <c r="F25" s="493"/>
      <c r="G25" s="494"/>
      <c r="H25" s="649"/>
      <c r="I25" s="650"/>
      <c r="J25" s="651"/>
      <c r="K25" s="652"/>
      <c r="L25" s="653"/>
      <c r="M25" s="654"/>
      <c r="N25" s="652"/>
      <c r="O25" s="653"/>
      <c r="P25" s="653"/>
      <c r="Q25" s="654"/>
      <c r="R25" s="655"/>
      <c r="S25" s="656"/>
      <c r="T25" s="652"/>
      <c r="U25" s="654"/>
      <c r="V25" s="652"/>
      <c r="W25" s="653"/>
      <c r="X25" s="654"/>
      <c r="Y25" s="495"/>
      <c r="Z25" s="496"/>
      <c r="AA25" s="63"/>
      <c r="AB25" s="497" t="s">
        <v>2505</v>
      </c>
      <c r="AC25" s="63"/>
      <c r="AD25" s="497" t="s">
        <v>2506</v>
      </c>
      <c r="AE25" s="63"/>
      <c r="AF25" s="497" t="s">
        <v>2507</v>
      </c>
      <c r="AG25" s="63"/>
      <c r="AH25" s="498" t="s">
        <v>441</v>
      </c>
      <c r="AJ25" s="490" t="str">
        <f>IF($B25="","",IF($R25=AJ$5,(SUM($D25*VLOOKUP($C25,ESCALA!$B$3:$O$19,14,0)+10)*2)*27,""))</f>
        <v/>
      </c>
      <c r="AK25" s="490" t="str">
        <f>IF($B25="","",IF($R25=AK$5,(SUM($D25*VLOOKUP($C25,ESCALA!$B$3:$O$19,14,0)+10)*2)*27,""))</f>
        <v/>
      </c>
      <c r="AL25" s="490" t="str">
        <f>IF($B25="","",IF($R25=AL$5,(SUM($D25*VLOOKUP($C25,ESCALA!$B$3:$O$19,14,0)+10)*2)*27,""))</f>
        <v/>
      </c>
      <c r="AM25" s="490" t="str">
        <f>IF($B25="","",IF($R25=AM$5,(SUM($D25*VLOOKUP($C25,ESCALA!$B$3:$O$19,14,0)+10)*2)*27,""))</f>
        <v/>
      </c>
      <c r="AN25" s="490" t="str">
        <f>IF($B25="","",IF($R25=AN$5,(SUM($D25*VLOOKUP($C25,ESCALA!$B$3:$O$19,14,0)+10)*2)*27,""))</f>
        <v/>
      </c>
      <c r="AO25" s="490" t="str">
        <f>IF($B25="","",IF($R25=AO$5,(SUM($D25*VLOOKUP($C25,ESCALA!$B$3:$O$19,14,0)+10)*2)*27,""))</f>
        <v/>
      </c>
      <c r="AP25" s="490" t="str">
        <f>IF($B25="","",IF($R25=AP$5,(SUM($D25*VLOOKUP($C25,ESCALA!$B$3:$O$19,14,0)+10)*2)*27,""))</f>
        <v/>
      </c>
      <c r="AQ25" s="372"/>
      <c r="AY25" s="368" t="str">
        <f>IF(PERFIL!E24="","",PERFIL!E24)</f>
        <v>TOTAL DE VEÍCULOS</v>
      </c>
      <c r="AZ25" s="368" t="e">
        <f t="shared" si="4"/>
        <v>#N/A</v>
      </c>
      <c r="BA25" s="368" t="e">
        <f t="shared" si="5"/>
        <v>#N/A</v>
      </c>
      <c r="BQ25" s="491">
        <f ca="1">RECEBÍVEIS!AA30</f>
        <v>2007</v>
      </c>
      <c r="BR25" s="492">
        <f>RECEBÍVEIS!AB30</f>
        <v>3.1399999999999983</v>
      </c>
      <c r="BY25" s="367" t="s">
        <v>573</v>
      </c>
      <c r="BZ25" s="367" t="s">
        <v>2637</v>
      </c>
      <c r="CA25" s="367" t="s">
        <v>942</v>
      </c>
      <c r="CB25" s="367">
        <v>175</v>
      </c>
      <c r="CC25" s="368" t="s">
        <v>220</v>
      </c>
    </row>
    <row r="26" spans="2:81" ht="33.75" customHeight="1" x14ac:dyDescent="0.2">
      <c r="B26" s="551"/>
      <c r="C26" s="517"/>
      <c r="D26" s="503" t="str">
        <f>IF(C26="","",VLOOKUP(C26,'REL LINHAS'!$B$2:$K$2205,5,0))</f>
        <v/>
      </c>
      <c r="E26" s="321" t="str">
        <f t="shared" si="0"/>
        <v/>
      </c>
      <c r="F26" s="493"/>
      <c r="G26" s="494"/>
      <c r="H26" s="649"/>
      <c r="I26" s="650"/>
      <c r="J26" s="651"/>
      <c r="K26" s="652"/>
      <c r="L26" s="653"/>
      <c r="M26" s="654"/>
      <c r="N26" s="652"/>
      <c r="O26" s="653"/>
      <c r="P26" s="653"/>
      <c r="Q26" s="654"/>
      <c r="R26" s="655"/>
      <c r="S26" s="656"/>
      <c r="T26" s="652"/>
      <c r="U26" s="654"/>
      <c r="V26" s="652"/>
      <c r="W26" s="653"/>
      <c r="X26" s="654"/>
      <c r="Y26" s="495"/>
      <c r="Z26" s="496"/>
      <c r="AA26" s="63"/>
      <c r="AB26" s="497" t="s">
        <v>2505</v>
      </c>
      <c r="AC26" s="63"/>
      <c r="AD26" s="497" t="s">
        <v>2506</v>
      </c>
      <c r="AE26" s="63"/>
      <c r="AF26" s="497" t="s">
        <v>2507</v>
      </c>
      <c r="AG26" s="63"/>
      <c r="AH26" s="498" t="s">
        <v>441</v>
      </c>
      <c r="AJ26" s="490" t="str">
        <f>IF($B26="","",IF($R26=AJ$5,(SUM($D26*VLOOKUP($C26,ESCALA!$B$3:$O$19,14,0)+10)*2)*27,""))</f>
        <v/>
      </c>
      <c r="AK26" s="490" t="str">
        <f>IF($B26="","",IF($R26=AK$5,(SUM($D26*VLOOKUP($C26,ESCALA!$B$3:$O$19,14,0)+10)*2)*27,""))</f>
        <v/>
      </c>
      <c r="AL26" s="490" t="str">
        <f>IF($B26="","",IF($R26=AL$5,(SUM($D26*VLOOKUP($C26,ESCALA!$B$3:$O$19,14,0)+10)*2)*27,""))</f>
        <v/>
      </c>
      <c r="AM26" s="490" t="str">
        <f>IF($B26="","",IF($R26=AM$5,(SUM($D26*VLOOKUP($C26,ESCALA!$B$3:$O$19,14,0)+10)*2)*27,""))</f>
        <v/>
      </c>
      <c r="AN26" s="490" t="str">
        <f>IF($B26="","",IF($R26=AN$5,(SUM($D26*VLOOKUP($C26,ESCALA!$B$3:$O$19,14,0)+10)*2)*27,""))</f>
        <v/>
      </c>
      <c r="AO26" s="490" t="str">
        <f>IF($B26="","",IF($R26=AO$5,(SUM($D26*VLOOKUP($C26,ESCALA!$B$3:$O$19,14,0)+10)*2)*27,""))</f>
        <v/>
      </c>
      <c r="AP26" s="490" t="str">
        <f>IF($B26="","",IF($R26=AP$5,(SUM($D26*VLOOKUP($C26,ESCALA!$B$3:$O$19,14,0)+10)*2)*27,""))</f>
        <v/>
      </c>
      <c r="AQ26" s="372"/>
      <c r="AY26" s="368" t="str">
        <f>IF(PERFIL!E25="","",PERFIL!E25)</f>
        <v/>
      </c>
      <c r="AZ26" s="368" t="str">
        <f t="shared" si="4"/>
        <v/>
      </c>
      <c r="BA26" s="368" t="str">
        <f t="shared" si="5"/>
        <v/>
      </c>
      <c r="BQ26" s="491">
        <f ca="1">RECEBÍVEIS!AA31</f>
        <v>2006</v>
      </c>
      <c r="BR26" s="492">
        <f>RECEBÍVEIS!AB31</f>
        <v>3.0799999999999983</v>
      </c>
      <c r="BY26" s="367" t="s">
        <v>498</v>
      </c>
      <c r="BZ26" s="367" t="s">
        <v>2710</v>
      </c>
      <c r="CA26" s="367" t="s">
        <v>943</v>
      </c>
      <c r="CB26" s="367">
        <v>200</v>
      </c>
      <c r="CC26" s="368" t="s">
        <v>10</v>
      </c>
    </row>
    <row r="27" spans="2:81" ht="33.75" customHeight="1" x14ac:dyDescent="0.2">
      <c r="B27" s="551"/>
      <c r="C27" s="517"/>
      <c r="D27" s="503" t="str">
        <f>IF(C27="","",VLOOKUP(C27,'REL LINHAS'!$B$2:$K$2205,5,0))</f>
        <v/>
      </c>
      <c r="E27" s="321" t="str">
        <f t="shared" si="0"/>
        <v/>
      </c>
      <c r="F27" s="493"/>
      <c r="G27" s="494"/>
      <c r="H27" s="649"/>
      <c r="I27" s="650"/>
      <c r="J27" s="651"/>
      <c r="K27" s="652"/>
      <c r="L27" s="653"/>
      <c r="M27" s="654"/>
      <c r="N27" s="652"/>
      <c r="O27" s="653"/>
      <c r="P27" s="653"/>
      <c r="Q27" s="654"/>
      <c r="R27" s="655"/>
      <c r="S27" s="656"/>
      <c r="T27" s="652"/>
      <c r="U27" s="654"/>
      <c r="V27" s="652"/>
      <c r="W27" s="653"/>
      <c r="X27" s="654"/>
      <c r="Y27" s="495"/>
      <c r="Z27" s="496"/>
      <c r="AA27" s="63"/>
      <c r="AB27" s="497" t="s">
        <v>2505</v>
      </c>
      <c r="AC27" s="63"/>
      <c r="AD27" s="497" t="s">
        <v>2506</v>
      </c>
      <c r="AE27" s="63"/>
      <c r="AF27" s="497" t="s">
        <v>2507</v>
      </c>
      <c r="AG27" s="63"/>
      <c r="AH27" s="498" t="s">
        <v>441</v>
      </c>
      <c r="AJ27" s="490" t="str">
        <f>IF($B27="","",IF($R27=AJ$5,(SUM($D27*VLOOKUP($C27,ESCALA!$B$3:$O$19,14,0)+10)*2)*27,""))</f>
        <v/>
      </c>
      <c r="AK27" s="490" t="str">
        <f>IF($B27="","",IF($R27=AK$5,(SUM($D27*VLOOKUP($C27,ESCALA!$B$3:$O$19,14,0)+10)*2)*27,""))</f>
        <v/>
      </c>
      <c r="AL27" s="490" t="str">
        <f>IF($B27="","",IF($R27=AL$5,(SUM($D27*VLOOKUP($C27,ESCALA!$B$3:$O$19,14,0)+10)*2)*27,""))</f>
        <v/>
      </c>
      <c r="AM27" s="490" t="str">
        <f>IF($B27="","",IF($R27=AM$5,(SUM($D27*VLOOKUP($C27,ESCALA!$B$3:$O$19,14,0)+10)*2)*27,""))</f>
        <v/>
      </c>
      <c r="AN27" s="490" t="str">
        <f>IF($B27="","",IF($R27=AN$5,(SUM($D27*VLOOKUP($C27,ESCALA!$B$3:$O$19,14,0)+10)*2)*27,""))</f>
        <v/>
      </c>
      <c r="AO27" s="490" t="str">
        <f>IF($B27="","",IF($R27=AO$5,(SUM($D27*VLOOKUP($C27,ESCALA!$B$3:$O$19,14,0)+10)*2)*27,""))</f>
        <v/>
      </c>
      <c r="AP27" s="490" t="str">
        <f>IF($B27="","",IF($R27=AP$5,(SUM($D27*VLOOKUP($C27,ESCALA!$B$3:$O$19,14,0)+10)*2)*27,""))</f>
        <v/>
      </c>
      <c r="AQ27" s="372"/>
      <c r="AY27" s="368" t="str">
        <f>IF(PERFIL!E26="","",PERFIL!E26)</f>
        <v/>
      </c>
      <c r="AZ27" s="368" t="str">
        <f t="shared" si="4"/>
        <v/>
      </c>
      <c r="BA27" s="368" t="str">
        <f t="shared" si="5"/>
        <v/>
      </c>
      <c r="BQ27" s="491">
        <f ca="1">RECEBÍVEIS!AA32</f>
        <v>2005</v>
      </c>
      <c r="BR27" s="492">
        <f>RECEBÍVEIS!AB32</f>
        <v>3.0199999999999982</v>
      </c>
      <c r="BZ27" s="367" t="s">
        <v>2661</v>
      </c>
      <c r="CA27" s="367" t="s">
        <v>944</v>
      </c>
      <c r="CB27" s="367">
        <v>150</v>
      </c>
      <c r="CC27" s="368" t="s">
        <v>10</v>
      </c>
    </row>
    <row r="28" spans="2:81" ht="33.75" customHeight="1" x14ac:dyDescent="0.2">
      <c r="B28" s="551"/>
      <c r="C28" s="517"/>
      <c r="D28" s="503" t="str">
        <f>IF(C28="","",VLOOKUP(C28,'REL LINHAS'!$B$2:$K$2205,5,0))</f>
        <v/>
      </c>
      <c r="E28" s="321" t="str">
        <f t="shared" si="0"/>
        <v/>
      </c>
      <c r="F28" s="493"/>
      <c r="G28" s="494"/>
      <c r="H28" s="649"/>
      <c r="I28" s="650"/>
      <c r="J28" s="651"/>
      <c r="K28" s="652"/>
      <c r="L28" s="653"/>
      <c r="M28" s="654"/>
      <c r="N28" s="652"/>
      <c r="O28" s="653"/>
      <c r="P28" s="653"/>
      <c r="Q28" s="654"/>
      <c r="R28" s="655"/>
      <c r="S28" s="656"/>
      <c r="T28" s="652"/>
      <c r="U28" s="654"/>
      <c r="V28" s="652"/>
      <c r="W28" s="653"/>
      <c r="X28" s="654"/>
      <c r="Y28" s="495"/>
      <c r="Z28" s="496"/>
      <c r="AA28" s="63"/>
      <c r="AB28" s="497" t="s">
        <v>2505</v>
      </c>
      <c r="AC28" s="63"/>
      <c r="AD28" s="497" t="s">
        <v>2506</v>
      </c>
      <c r="AE28" s="63"/>
      <c r="AF28" s="497" t="s">
        <v>2507</v>
      </c>
      <c r="AG28" s="63"/>
      <c r="AH28" s="498" t="s">
        <v>441</v>
      </c>
      <c r="AJ28" s="490" t="str">
        <f>IF($B28="","",IF($R28=AJ$5,(SUM($D28*VLOOKUP($C28,ESCALA!$B$3:$O$19,14,0)+10)*2)*27,""))</f>
        <v/>
      </c>
      <c r="AK28" s="490" t="str">
        <f>IF($B28="","",IF($R28=AK$5,(SUM($D28*VLOOKUP($C28,ESCALA!$B$3:$O$19,14,0)+10)*2)*27,""))</f>
        <v/>
      </c>
      <c r="AL28" s="490" t="str">
        <f>IF($B28="","",IF($R28=AL$5,(SUM($D28*VLOOKUP($C28,ESCALA!$B$3:$O$19,14,0)+10)*2)*27,""))</f>
        <v/>
      </c>
      <c r="AM28" s="490" t="str">
        <f>IF($B28="","",IF($R28=AM$5,(SUM($D28*VLOOKUP($C28,ESCALA!$B$3:$O$19,14,0)+10)*2)*27,""))</f>
        <v/>
      </c>
      <c r="AN28" s="490" t="str">
        <f>IF($B28="","",IF($R28=AN$5,(SUM($D28*VLOOKUP($C28,ESCALA!$B$3:$O$19,14,0)+10)*2)*27,""))</f>
        <v/>
      </c>
      <c r="AO28" s="490" t="str">
        <f>IF($B28="","",IF($R28=AO$5,(SUM($D28*VLOOKUP($C28,ESCALA!$B$3:$O$19,14,0)+10)*2)*27,""))</f>
        <v/>
      </c>
      <c r="AP28" s="490" t="str">
        <f>IF($B28="","",IF($R28=AP$5,(SUM($D28*VLOOKUP($C28,ESCALA!$B$3:$O$19,14,0)+10)*2)*27,""))</f>
        <v/>
      </c>
      <c r="AQ28" s="372"/>
      <c r="AY28" s="368" t="str">
        <f>IF(PERFIL!E27="","",PERFIL!E27)</f>
        <v/>
      </c>
      <c r="AZ28" s="368" t="str">
        <f t="shared" si="4"/>
        <v/>
      </c>
      <c r="BA28" s="368" t="str">
        <f t="shared" si="5"/>
        <v/>
      </c>
      <c r="BQ28" s="491">
        <f ca="1">RECEBÍVEIS!AA33</f>
        <v>2004</v>
      </c>
      <c r="BR28" s="492">
        <f>RECEBÍVEIS!AB33</f>
        <v>2.9599999999999982</v>
      </c>
      <c r="BY28" s="367" t="s">
        <v>498</v>
      </c>
      <c r="BZ28" s="367" t="s">
        <v>2655</v>
      </c>
      <c r="CA28" s="367" t="s">
        <v>945</v>
      </c>
      <c r="CB28" s="367">
        <v>250</v>
      </c>
      <c r="CC28" s="368" t="s">
        <v>10</v>
      </c>
    </row>
    <row r="29" spans="2:81" ht="33.75" customHeight="1" x14ac:dyDescent="0.2">
      <c r="B29" s="551"/>
      <c r="C29" s="517"/>
      <c r="D29" s="503" t="str">
        <f>IF(C29="","",VLOOKUP(C29,'REL LINHAS'!$B$2:$K$2205,5,0))</f>
        <v/>
      </c>
      <c r="E29" s="321" t="str">
        <f t="shared" si="0"/>
        <v/>
      </c>
      <c r="F29" s="493"/>
      <c r="G29" s="494"/>
      <c r="H29" s="649"/>
      <c r="I29" s="650"/>
      <c r="J29" s="651"/>
      <c r="K29" s="652"/>
      <c r="L29" s="653"/>
      <c r="M29" s="654"/>
      <c r="N29" s="652"/>
      <c r="O29" s="653"/>
      <c r="P29" s="653"/>
      <c r="Q29" s="654"/>
      <c r="R29" s="655"/>
      <c r="S29" s="656"/>
      <c r="T29" s="652"/>
      <c r="U29" s="654"/>
      <c r="V29" s="652"/>
      <c r="W29" s="653"/>
      <c r="X29" s="654"/>
      <c r="Y29" s="495"/>
      <c r="Z29" s="496"/>
      <c r="AA29" s="63"/>
      <c r="AB29" s="497" t="s">
        <v>2505</v>
      </c>
      <c r="AC29" s="63"/>
      <c r="AD29" s="497" t="s">
        <v>2506</v>
      </c>
      <c r="AE29" s="63"/>
      <c r="AF29" s="497" t="s">
        <v>2507</v>
      </c>
      <c r="AG29" s="63"/>
      <c r="AH29" s="498" t="s">
        <v>441</v>
      </c>
      <c r="AJ29" s="490" t="str">
        <f>IF($B29="","",IF($R29=AJ$5,(SUM($D29*VLOOKUP($C29,ESCALA!$B$3:$O$19,14,0)+10)*2)*27,""))</f>
        <v/>
      </c>
      <c r="AK29" s="490" t="str">
        <f>IF($B29="","",IF($R29=AK$5,(SUM($D29*VLOOKUP($C29,ESCALA!$B$3:$O$19,14,0)+10)*2)*27,""))</f>
        <v/>
      </c>
      <c r="AL29" s="490" t="str">
        <f>IF($B29="","",IF($R29=AL$5,(SUM($D29*VLOOKUP($C29,ESCALA!$B$3:$O$19,14,0)+10)*2)*27,""))</f>
        <v/>
      </c>
      <c r="AM29" s="490" t="str">
        <f>IF($B29="","",IF($R29=AM$5,(SUM($D29*VLOOKUP($C29,ESCALA!$B$3:$O$19,14,0)+10)*2)*27,""))</f>
        <v/>
      </c>
      <c r="AN29" s="490" t="str">
        <f>IF($B29="","",IF($R29=AN$5,(SUM($D29*VLOOKUP($C29,ESCALA!$B$3:$O$19,14,0)+10)*2)*27,""))</f>
        <v/>
      </c>
      <c r="AO29" s="490" t="str">
        <f>IF($B29="","",IF($R29=AO$5,(SUM($D29*VLOOKUP($C29,ESCALA!$B$3:$O$19,14,0)+10)*2)*27,""))</f>
        <v/>
      </c>
      <c r="AP29" s="490" t="str">
        <f>IF($B29="","",IF($R29=AP$5,(SUM($D29*VLOOKUP($C29,ESCALA!$B$3:$O$19,14,0)+10)*2)*27,""))</f>
        <v/>
      </c>
      <c r="AQ29" s="372"/>
      <c r="AY29" s="368" t="str">
        <f>IF(PERFIL!E28="","",PERFIL!E28)</f>
        <v>---</v>
      </c>
      <c r="AZ29" s="368" t="e">
        <f t="shared" si="4"/>
        <v>#N/A</v>
      </c>
      <c r="BA29" s="368" t="e">
        <f t="shared" si="5"/>
        <v>#N/A</v>
      </c>
      <c r="BQ29" s="491">
        <f ca="1">RECEBÍVEIS!AA34</f>
        <v>2003</v>
      </c>
      <c r="BR29" s="492">
        <f>RECEBÍVEIS!AB34</f>
        <v>2.8999999999999981</v>
      </c>
      <c r="BZ29" s="367" t="s">
        <v>2662</v>
      </c>
      <c r="CA29" s="367" t="s">
        <v>946</v>
      </c>
      <c r="CB29" s="367">
        <v>150</v>
      </c>
      <c r="CC29" s="368" t="s">
        <v>10</v>
      </c>
    </row>
    <row r="30" spans="2:81" ht="33.75" customHeight="1" x14ac:dyDescent="0.2">
      <c r="B30" s="551"/>
      <c r="C30" s="517"/>
      <c r="D30" s="503" t="str">
        <f>IF(C30="","",VLOOKUP(C30,'REL LINHAS'!$B$2:$K$2205,5,0))</f>
        <v/>
      </c>
      <c r="E30" s="321" t="str">
        <f t="shared" si="0"/>
        <v/>
      </c>
      <c r="F30" s="493"/>
      <c r="G30" s="494"/>
      <c r="H30" s="649"/>
      <c r="I30" s="650"/>
      <c r="J30" s="651"/>
      <c r="K30" s="652"/>
      <c r="L30" s="653"/>
      <c r="M30" s="654"/>
      <c r="N30" s="652"/>
      <c r="O30" s="653"/>
      <c r="P30" s="653"/>
      <c r="Q30" s="654"/>
      <c r="R30" s="655"/>
      <c r="S30" s="656"/>
      <c r="T30" s="652"/>
      <c r="U30" s="654"/>
      <c r="V30" s="652"/>
      <c r="W30" s="653"/>
      <c r="X30" s="654"/>
      <c r="Y30" s="495"/>
      <c r="Z30" s="496"/>
      <c r="AA30" s="63"/>
      <c r="AB30" s="497" t="s">
        <v>2505</v>
      </c>
      <c r="AC30" s="63"/>
      <c r="AD30" s="497" t="s">
        <v>2506</v>
      </c>
      <c r="AE30" s="63"/>
      <c r="AF30" s="497" t="s">
        <v>2507</v>
      </c>
      <c r="AG30" s="63"/>
      <c r="AH30" s="498" t="s">
        <v>441</v>
      </c>
      <c r="AJ30" s="490" t="str">
        <f>IF($B30="","",IF($R30=AJ$5,(SUM($D30*VLOOKUP($C30,ESCALA!$B$3:$O$19,14,0)+10)*2)*27,""))</f>
        <v/>
      </c>
      <c r="AK30" s="490" t="str">
        <f>IF($B30="","",IF($R30=AK$5,(SUM($D30*VLOOKUP($C30,ESCALA!$B$3:$O$19,14,0)+10)*2)*27,""))</f>
        <v/>
      </c>
      <c r="AL30" s="490" t="str">
        <f>IF($B30="","",IF($R30=AL$5,(SUM($D30*VLOOKUP($C30,ESCALA!$B$3:$O$19,14,0)+10)*2)*27,""))</f>
        <v/>
      </c>
      <c r="AM30" s="490" t="str">
        <f>IF($B30="","",IF($R30=AM$5,(SUM($D30*VLOOKUP($C30,ESCALA!$B$3:$O$19,14,0)+10)*2)*27,""))</f>
        <v/>
      </c>
      <c r="AN30" s="490" t="str">
        <f>IF($B30="","",IF($R30=AN$5,(SUM($D30*VLOOKUP($C30,ESCALA!$B$3:$O$19,14,0)+10)*2)*27,""))</f>
        <v/>
      </c>
      <c r="AO30" s="490" t="str">
        <f>IF($B30="","",IF($R30=AO$5,(SUM($D30*VLOOKUP($C30,ESCALA!$B$3:$O$19,14,0)+10)*2)*27,""))</f>
        <v/>
      </c>
      <c r="AP30" s="490" t="str">
        <f>IF($B30="","",IF($R30=AP$5,(SUM($D30*VLOOKUP($C30,ESCALA!$B$3:$O$19,14,0)+10)*2)*27,""))</f>
        <v/>
      </c>
      <c r="AQ30" s="372"/>
      <c r="AY30" s="368" t="str">
        <f>IF(PERFIL!E29="","",PERFIL!E29)</f>
        <v>1 - TURQUESA</v>
      </c>
      <c r="AZ30" s="368" t="e">
        <f t="shared" si="4"/>
        <v>#N/A</v>
      </c>
      <c r="BA30" s="368" t="e">
        <f t="shared" si="5"/>
        <v>#N/A</v>
      </c>
      <c r="BQ30" s="491">
        <f ca="1">RECEBÍVEIS!AA35</f>
        <v>2002</v>
      </c>
      <c r="BR30" s="492">
        <f>RECEBÍVEIS!AB35</f>
        <v>2.8399999999999981</v>
      </c>
      <c r="BY30" s="367" t="s">
        <v>498</v>
      </c>
      <c r="BZ30" s="367" t="s">
        <v>2518</v>
      </c>
      <c r="CA30" s="367" t="s">
        <v>947</v>
      </c>
      <c r="CB30" s="367">
        <v>200</v>
      </c>
      <c r="CC30" s="368" t="s">
        <v>10</v>
      </c>
    </row>
    <row r="31" spans="2:81" ht="33.75" customHeight="1" x14ac:dyDescent="0.2">
      <c r="B31" s="551"/>
      <c r="C31" s="517"/>
      <c r="D31" s="503" t="str">
        <f>IF(C31="","",VLOOKUP(C31,'REL LINHAS'!$B$2:$K$2205,5,0))</f>
        <v/>
      </c>
      <c r="E31" s="321" t="str">
        <f t="shared" si="0"/>
        <v/>
      </c>
      <c r="F31" s="493"/>
      <c r="G31" s="494"/>
      <c r="H31" s="649"/>
      <c r="I31" s="650"/>
      <c r="J31" s="651"/>
      <c r="K31" s="652"/>
      <c r="L31" s="653"/>
      <c r="M31" s="654"/>
      <c r="N31" s="652"/>
      <c r="O31" s="653"/>
      <c r="P31" s="653"/>
      <c r="Q31" s="654"/>
      <c r="R31" s="655"/>
      <c r="S31" s="656"/>
      <c r="T31" s="652"/>
      <c r="U31" s="654"/>
      <c r="V31" s="652"/>
      <c r="W31" s="653"/>
      <c r="X31" s="654"/>
      <c r="Y31" s="495"/>
      <c r="Z31" s="496"/>
      <c r="AA31" s="63"/>
      <c r="AB31" s="497" t="s">
        <v>2505</v>
      </c>
      <c r="AC31" s="63"/>
      <c r="AD31" s="497" t="s">
        <v>2506</v>
      </c>
      <c r="AE31" s="63"/>
      <c r="AF31" s="497" t="s">
        <v>2507</v>
      </c>
      <c r="AG31" s="63"/>
      <c r="AH31" s="498" t="s">
        <v>441</v>
      </c>
      <c r="AJ31" s="490" t="str">
        <f>IF($B31="","",IF($R31=AJ$5,(SUM($D31*VLOOKUP($C31,ESCALA!$B$3:$O$19,14,0)+10)*2)*27,""))</f>
        <v/>
      </c>
      <c r="AK31" s="490" t="str">
        <f>IF($B31="","",IF($R31=AK$5,(SUM($D31*VLOOKUP($C31,ESCALA!$B$3:$O$19,14,0)+10)*2)*27,""))</f>
        <v/>
      </c>
      <c r="AL31" s="490" t="str">
        <f>IF($B31="","",IF($R31=AL$5,(SUM($D31*VLOOKUP($C31,ESCALA!$B$3:$O$19,14,0)+10)*2)*27,""))</f>
        <v/>
      </c>
      <c r="AM31" s="490" t="str">
        <f>IF($B31="","",IF($R31=AM$5,(SUM($D31*VLOOKUP($C31,ESCALA!$B$3:$O$19,14,0)+10)*2)*27,""))</f>
        <v/>
      </c>
      <c r="AN31" s="490" t="str">
        <f>IF($B31="","",IF($R31=AN$5,(SUM($D31*VLOOKUP($C31,ESCALA!$B$3:$O$19,14,0)+10)*2)*27,""))</f>
        <v/>
      </c>
      <c r="AO31" s="490" t="str">
        <f>IF($B31="","",IF($R31=AO$5,(SUM($D31*VLOOKUP($C31,ESCALA!$B$3:$O$19,14,0)+10)*2)*27,""))</f>
        <v/>
      </c>
      <c r="AP31" s="490" t="str">
        <f>IF($B31="","",IF($R31=AP$5,(SUM($D31*VLOOKUP($C31,ESCALA!$B$3:$O$19,14,0)+10)*2)*27,""))</f>
        <v/>
      </c>
      <c r="AQ31" s="372"/>
      <c r="AY31" s="368" t="str">
        <f>IF(PERFIL!E30="","",PERFIL!E30)</f>
        <v>2 - SAFIRA</v>
      </c>
      <c r="AZ31" s="368" t="e">
        <f t="shared" si="4"/>
        <v>#N/A</v>
      </c>
      <c r="BA31" s="368" t="e">
        <f t="shared" si="5"/>
        <v>#N/A</v>
      </c>
      <c r="BQ31" s="491">
        <f ca="1">RECEBÍVEIS!AA36</f>
        <v>2001</v>
      </c>
      <c r="BR31" s="492">
        <f>RECEBÍVEIS!AB36</f>
        <v>2.779999999999998</v>
      </c>
      <c r="BZ31" s="367" t="s">
        <v>2663</v>
      </c>
      <c r="CA31" s="367" t="s">
        <v>948</v>
      </c>
      <c r="CB31" s="367">
        <v>125</v>
      </c>
      <c r="CC31" s="368" t="s">
        <v>10</v>
      </c>
    </row>
    <row r="32" spans="2:81" ht="33.75" customHeight="1" x14ac:dyDescent="0.2">
      <c r="B32" s="551"/>
      <c r="C32" s="517"/>
      <c r="D32" s="503" t="str">
        <f>IF(C32="","",VLOOKUP(C32,'REL LINHAS'!$B$2:$K$2205,5,0))</f>
        <v/>
      </c>
      <c r="E32" s="321" t="str">
        <f t="shared" si="0"/>
        <v/>
      </c>
      <c r="F32" s="493"/>
      <c r="G32" s="494"/>
      <c r="H32" s="649"/>
      <c r="I32" s="650"/>
      <c r="J32" s="651"/>
      <c r="K32" s="652"/>
      <c r="L32" s="653"/>
      <c r="M32" s="654"/>
      <c r="N32" s="652"/>
      <c r="O32" s="653"/>
      <c r="P32" s="653"/>
      <c r="Q32" s="654"/>
      <c r="R32" s="655"/>
      <c r="S32" s="656"/>
      <c r="T32" s="652"/>
      <c r="U32" s="654"/>
      <c r="V32" s="652"/>
      <c r="W32" s="653"/>
      <c r="X32" s="654"/>
      <c r="Y32" s="495"/>
      <c r="Z32" s="496"/>
      <c r="AA32" s="63"/>
      <c r="AB32" s="497" t="s">
        <v>2505</v>
      </c>
      <c r="AC32" s="63"/>
      <c r="AD32" s="497" t="s">
        <v>2506</v>
      </c>
      <c r="AE32" s="63"/>
      <c r="AF32" s="497" t="s">
        <v>2507</v>
      </c>
      <c r="AG32" s="63"/>
      <c r="AH32" s="498" t="s">
        <v>441</v>
      </c>
      <c r="AJ32" s="490" t="str">
        <f>IF($B32="","",IF($R32=AJ$5,(SUM($D32*VLOOKUP($C32,ESCALA!$B$3:$O$19,14,0)+10)*2)*27,""))</f>
        <v/>
      </c>
      <c r="AK32" s="490" t="str">
        <f>IF($B32="","",IF($R32=AK$5,(SUM($D32*VLOOKUP($C32,ESCALA!$B$3:$O$19,14,0)+10)*2)*27,""))</f>
        <v/>
      </c>
      <c r="AL32" s="490" t="str">
        <f>IF($B32="","",IF($R32=AL$5,(SUM($D32*VLOOKUP($C32,ESCALA!$B$3:$O$19,14,0)+10)*2)*27,""))</f>
        <v/>
      </c>
      <c r="AM32" s="490" t="str">
        <f>IF($B32="","",IF($R32=AM$5,(SUM($D32*VLOOKUP($C32,ESCALA!$B$3:$O$19,14,0)+10)*2)*27,""))</f>
        <v/>
      </c>
      <c r="AN32" s="490" t="str">
        <f>IF($B32="","",IF($R32=AN$5,(SUM($D32*VLOOKUP($C32,ESCALA!$B$3:$O$19,14,0)+10)*2)*27,""))</f>
        <v/>
      </c>
      <c r="AO32" s="490" t="str">
        <f>IF($B32="","",IF($R32=AO$5,(SUM($D32*VLOOKUP($C32,ESCALA!$B$3:$O$19,14,0)+10)*2)*27,""))</f>
        <v/>
      </c>
      <c r="AP32" s="490" t="str">
        <f>IF($B32="","",IF($R32=AP$5,(SUM($D32*VLOOKUP($C32,ESCALA!$B$3:$O$19,14,0)+10)*2)*27,""))</f>
        <v/>
      </c>
      <c r="AQ32" s="372"/>
      <c r="AY32" s="368" t="str">
        <f>IF(PERFIL!E31="","",PERFIL!E31)</f>
        <v>3 - OPALA</v>
      </c>
      <c r="AZ32" s="368" t="e">
        <f t="shared" si="4"/>
        <v>#N/A</v>
      </c>
      <c r="BA32" s="368" t="e">
        <f t="shared" si="5"/>
        <v>#N/A</v>
      </c>
      <c r="BQ32" s="491">
        <f ca="1">RECEBÍVEIS!AA37</f>
        <v>2000</v>
      </c>
      <c r="BR32" s="492">
        <f>RECEBÍVEIS!AB37</f>
        <v>2.719999999999998</v>
      </c>
      <c r="BY32" s="367" t="s">
        <v>498</v>
      </c>
      <c r="BZ32" s="367" t="s">
        <v>2519</v>
      </c>
      <c r="CA32" s="367" t="s">
        <v>949</v>
      </c>
      <c r="CB32" s="367">
        <v>175</v>
      </c>
      <c r="CC32" s="368" t="s">
        <v>10</v>
      </c>
    </row>
    <row r="33" spans="2:81" ht="33.75" customHeight="1" x14ac:dyDescent="0.2">
      <c r="B33" s="551"/>
      <c r="C33" s="517"/>
      <c r="D33" s="503" t="str">
        <f>IF(C33="","",VLOOKUP(C33,'REL LINHAS'!$B$2:$K$2205,5,0))</f>
        <v/>
      </c>
      <c r="E33" s="321" t="str">
        <f t="shared" si="0"/>
        <v/>
      </c>
      <c r="F33" s="493"/>
      <c r="G33" s="494"/>
      <c r="H33" s="649"/>
      <c r="I33" s="650"/>
      <c r="J33" s="651"/>
      <c r="K33" s="652"/>
      <c r="L33" s="653"/>
      <c r="M33" s="654"/>
      <c r="N33" s="652"/>
      <c r="O33" s="653"/>
      <c r="P33" s="653"/>
      <c r="Q33" s="654"/>
      <c r="R33" s="655"/>
      <c r="S33" s="656"/>
      <c r="T33" s="652"/>
      <c r="U33" s="654"/>
      <c r="V33" s="652"/>
      <c r="W33" s="653"/>
      <c r="X33" s="654"/>
      <c r="Y33" s="495"/>
      <c r="Z33" s="496"/>
      <c r="AA33" s="63"/>
      <c r="AB33" s="497" t="s">
        <v>2505</v>
      </c>
      <c r="AC33" s="63"/>
      <c r="AD33" s="497" t="s">
        <v>2506</v>
      </c>
      <c r="AE33" s="63"/>
      <c r="AF33" s="497" t="s">
        <v>2507</v>
      </c>
      <c r="AG33" s="63"/>
      <c r="AH33" s="498" t="s">
        <v>441</v>
      </c>
      <c r="AJ33" s="490" t="str">
        <f>IF($B33="","",IF($R33=AJ$5,(SUM($D33*VLOOKUP($C33,ESCALA!$B$3:$O$19,14,0)+10)*2)*27,""))</f>
        <v/>
      </c>
      <c r="AK33" s="490" t="str">
        <f>IF($B33="","",IF($R33=AK$5,(SUM($D33*VLOOKUP($C33,ESCALA!$B$3:$O$19,14,0)+10)*2)*27,""))</f>
        <v/>
      </c>
      <c r="AL33" s="490" t="str">
        <f>IF($B33="","",IF($R33=AL$5,(SUM($D33*VLOOKUP($C33,ESCALA!$B$3:$O$19,14,0)+10)*2)*27,""))</f>
        <v/>
      </c>
      <c r="AM33" s="490" t="str">
        <f>IF($B33="","",IF($R33=AM$5,(SUM($D33*VLOOKUP($C33,ESCALA!$B$3:$O$19,14,0)+10)*2)*27,""))</f>
        <v/>
      </c>
      <c r="AN33" s="490" t="str">
        <f>IF($B33="","",IF($R33=AN$5,(SUM($D33*VLOOKUP($C33,ESCALA!$B$3:$O$19,14,0)+10)*2)*27,""))</f>
        <v/>
      </c>
      <c r="AO33" s="490" t="str">
        <f>IF($B33="","",IF($R33=AO$5,(SUM($D33*VLOOKUP($C33,ESCALA!$B$3:$O$19,14,0)+10)*2)*27,""))</f>
        <v/>
      </c>
      <c r="AP33" s="490" t="str">
        <f>IF($B33="","",IF($R33=AP$5,(SUM($D33*VLOOKUP($C33,ESCALA!$B$3:$O$19,14,0)+10)*2)*27,""))</f>
        <v/>
      </c>
      <c r="AQ33" s="372"/>
      <c r="AY33" s="368" t="str">
        <f>IF(PERFIL!E32="","",PERFIL!E32)</f>
        <v>4 - TURMALINA</v>
      </c>
      <c r="AZ33" s="368" t="e">
        <f t="shared" si="4"/>
        <v>#N/A</v>
      </c>
      <c r="BA33" s="368" t="e">
        <f t="shared" si="5"/>
        <v>#N/A</v>
      </c>
      <c r="BQ33" s="491">
        <f ca="1">RECEBÍVEIS!AA38</f>
        <v>1999</v>
      </c>
      <c r="BR33" s="492">
        <f>RECEBÍVEIS!AB38</f>
        <v>2.6599999999999979</v>
      </c>
      <c r="BZ33" s="367" t="s">
        <v>2664</v>
      </c>
      <c r="CA33" s="367" t="s">
        <v>950</v>
      </c>
      <c r="CB33" s="367">
        <v>150</v>
      </c>
      <c r="CC33" s="368" t="s">
        <v>10</v>
      </c>
    </row>
    <row r="34" spans="2:81" ht="33.75" customHeight="1" x14ac:dyDescent="0.2">
      <c r="B34" s="551"/>
      <c r="C34" s="517"/>
      <c r="D34" s="503" t="str">
        <f>IF(C34="","",VLOOKUP(C34,'REL LINHAS'!$B$2:$K$2205,5,0))</f>
        <v/>
      </c>
      <c r="E34" s="321" t="str">
        <f t="shared" si="0"/>
        <v/>
      </c>
      <c r="F34" s="493"/>
      <c r="G34" s="494"/>
      <c r="H34" s="649"/>
      <c r="I34" s="650"/>
      <c r="J34" s="651"/>
      <c r="K34" s="652"/>
      <c r="L34" s="653"/>
      <c r="M34" s="654"/>
      <c r="N34" s="652"/>
      <c r="O34" s="653"/>
      <c r="P34" s="653"/>
      <c r="Q34" s="654"/>
      <c r="R34" s="655"/>
      <c r="S34" s="656"/>
      <c r="T34" s="652"/>
      <c r="U34" s="654"/>
      <c r="V34" s="652"/>
      <c r="W34" s="653"/>
      <c r="X34" s="654"/>
      <c r="Y34" s="495"/>
      <c r="Z34" s="496"/>
      <c r="AA34" s="63"/>
      <c r="AB34" s="497" t="s">
        <v>2505</v>
      </c>
      <c r="AC34" s="63"/>
      <c r="AD34" s="497" t="s">
        <v>2506</v>
      </c>
      <c r="AE34" s="63"/>
      <c r="AF34" s="497" t="s">
        <v>2507</v>
      </c>
      <c r="AG34" s="63"/>
      <c r="AH34" s="498" t="s">
        <v>441</v>
      </c>
      <c r="AJ34" s="490" t="str">
        <f>IF($B34="","",IF($R34=AJ$5,(SUM($D34*VLOOKUP($C34,ESCALA!$B$3:$O$19,14,0)+10)*2)*27,""))</f>
        <v/>
      </c>
      <c r="AK34" s="490" t="str">
        <f>IF($B34="","",IF($R34=AK$5,(SUM($D34*VLOOKUP($C34,ESCALA!$B$3:$O$19,14,0)+10)*2)*27,""))</f>
        <v/>
      </c>
      <c r="AL34" s="490" t="str">
        <f>IF($B34="","",IF($R34=AL$5,(SUM($D34*VLOOKUP($C34,ESCALA!$B$3:$O$19,14,0)+10)*2)*27,""))</f>
        <v/>
      </c>
      <c r="AM34" s="490" t="str">
        <f>IF($B34="","",IF($R34=AM$5,(SUM($D34*VLOOKUP($C34,ESCALA!$B$3:$O$19,14,0)+10)*2)*27,""))</f>
        <v/>
      </c>
      <c r="AN34" s="490" t="str">
        <f>IF($B34="","",IF($R34=AN$5,(SUM($D34*VLOOKUP($C34,ESCALA!$B$3:$O$19,14,0)+10)*2)*27,""))</f>
        <v/>
      </c>
      <c r="AO34" s="490" t="str">
        <f>IF($B34="","",IF($R34=AO$5,(SUM($D34*VLOOKUP($C34,ESCALA!$B$3:$O$19,14,0)+10)*2)*27,""))</f>
        <v/>
      </c>
      <c r="AP34" s="490" t="str">
        <f>IF($B34="","",IF($R34=AP$5,(SUM($D34*VLOOKUP($C34,ESCALA!$B$3:$O$19,14,0)+10)*2)*27,""))</f>
        <v/>
      </c>
      <c r="AQ34" s="372"/>
      <c r="AY34" s="368" t="str">
        <f>IF(PERFIL!E33="","",PERFIL!E33)</f>
        <v>5 - ESMERALDA</v>
      </c>
      <c r="AZ34" s="368" t="e">
        <f t="shared" si="4"/>
        <v>#N/A</v>
      </c>
      <c r="BA34" s="368" t="e">
        <f t="shared" si="5"/>
        <v>#N/A</v>
      </c>
      <c r="BQ34" s="491">
        <f ca="1">RECEBÍVEIS!AA39</f>
        <v>1998</v>
      </c>
      <c r="BR34" s="492">
        <f>RECEBÍVEIS!AB39</f>
        <v>2.5999999999999979</v>
      </c>
      <c r="BY34" s="367" t="s">
        <v>498</v>
      </c>
      <c r="BZ34" s="367" t="s">
        <v>2711</v>
      </c>
      <c r="CA34" s="367" t="s">
        <v>951</v>
      </c>
      <c r="CB34" s="367">
        <v>275</v>
      </c>
      <c r="CC34" s="368" t="s">
        <v>10</v>
      </c>
    </row>
    <row r="35" spans="2:81" ht="33.75" customHeight="1" x14ac:dyDescent="0.2">
      <c r="B35" s="551"/>
      <c r="C35" s="517"/>
      <c r="D35" s="503" t="str">
        <f>IF(C35="","",VLOOKUP(C35,'REL LINHAS'!$B$2:$K$2205,5,0))</f>
        <v/>
      </c>
      <c r="E35" s="321" t="str">
        <f t="shared" si="0"/>
        <v/>
      </c>
      <c r="F35" s="493"/>
      <c r="G35" s="494"/>
      <c r="H35" s="649"/>
      <c r="I35" s="650"/>
      <c r="J35" s="651"/>
      <c r="K35" s="652"/>
      <c r="L35" s="653"/>
      <c r="M35" s="654"/>
      <c r="N35" s="652"/>
      <c r="O35" s="653"/>
      <c r="P35" s="653"/>
      <c r="Q35" s="654"/>
      <c r="R35" s="655"/>
      <c r="S35" s="656"/>
      <c r="T35" s="652"/>
      <c r="U35" s="654"/>
      <c r="V35" s="652"/>
      <c r="W35" s="653"/>
      <c r="X35" s="654"/>
      <c r="Y35" s="495"/>
      <c r="Z35" s="496"/>
      <c r="AA35" s="63"/>
      <c r="AB35" s="497" t="s">
        <v>2505</v>
      </c>
      <c r="AC35" s="63"/>
      <c r="AD35" s="497" t="s">
        <v>2506</v>
      </c>
      <c r="AE35" s="63"/>
      <c r="AF35" s="497" t="s">
        <v>2507</v>
      </c>
      <c r="AG35" s="63"/>
      <c r="AH35" s="498" t="s">
        <v>441</v>
      </c>
      <c r="AJ35" s="490" t="str">
        <f>IF($B35="","",IF($R35=AJ$5,(SUM($D35*VLOOKUP($C35,ESCALA!$B$3:$O$19,14,0)+10)*2)*27,""))</f>
        <v/>
      </c>
      <c r="AK35" s="490" t="str">
        <f>IF($B35="","",IF($R35=AK$5,(SUM($D35*VLOOKUP($C35,ESCALA!$B$3:$O$19,14,0)+10)*2)*27,""))</f>
        <v/>
      </c>
      <c r="AL35" s="490" t="str">
        <f>IF($B35="","",IF($R35=AL$5,(SUM($D35*VLOOKUP($C35,ESCALA!$B$3:$O$19,14,0)+10)*2)*27,""))</f>
        <v/>
      </c>
      <c r="AM35" s="490" t="str">
        <f>IF($B35="","",IF($R35=AM$5,(SUM($D35*VLOOKUP($C35,ESCALA!$B$3:$O$19,14,0)+10)*2)*27,""))</f>
        <v/>
      </c>
      <c r="AN35" s="490" t="str">
        <f>IF($B35="","",IF($R35=AN$5,(SUM($D35*VLOOKUP($C35,ESCALA!$B$3:$O$19,14,0)+10)*2)*27,""))</f>
        <v/>
      </c>
      <c r="AO35" s="490" t="str">
        <f>IF($B35="","",IF($R35=AO$5,(SUM($D35*VLOOKUP($C35,ESCALA!$B$3:$O$19,14,0)+10)*2)*27,""))</f>
        <v/>
      </c>
      <c r="AP35" s="490" t="str">
        <f>IF($B35="","",IF($R35=AP$5,(SUM($D35*VLOOKUP($C35,ESCALA!$B$3:$O$19,14,0)+10)*2)*27,""))</f>
        <v/>
      </c>
      <c r="AQ35" s="372"/>
      <c r="AY35" s="368" t="str">
        <f>IF(PERFIL!E34="","",PERFIL!E34)</f>
        <v>6 - RUBI</v>
      </c>
      <c r="AZ35" s="368" t="e">
        <f t="shared" si="4"/>
        <v>#N/A</v>
      </c>
      <c r="BA35" s="368" t="e">
        <f t="shared" si="5"/>
        <v>#N/A</v>
      </c>
      <c r="BQ35" s="491">
        <f ca="1">RECEBÍVEIS!AA40</f>
        <v>1997</v>
      </c>
      <c r="BR35" s="492">
        <f>RECEBÍVEIS!AB40</f>
        <v>2.5399999999999978</v>
      </c>
      <c r="BZ35" s="367" t="s">
        <v>2665</v>
      </c>
      <c r="CA35" s="367" t="s">
        <v>952</v>
      </c>
      <c r="CB35" s="367">
        <v>150</v>
      </c>
      <c r="CC35" s="368" t="s">
        <v>10</v>
      </c>
    </row>
    <row r="36" spans="2:81" ht="33.75" customHeight="1" x14ac:dyDescent="0.2">
      <c r="B36" s="551"/>
      <c r="C36" s="517"/>
      <c r="D36" s="503" t="str">
        <f>IF(C36="","",VLOOKUP(C36,'REL LINHAS'!$B$2:$K$2205,5,0))</f>
        <v/>
      </c>
      <c r="E36" s="321" t="str">
        <f t="shared" si="0"/>
        <v/>
      </c>
      <c r="F36" s="493"/>
      <c r="G36" s="494"/>
      <c r="H36" s="649"/>
      <c r="I36" s="650"/>
      <c r="J36" s="651"/>
      <c r="K36" s="652"/>
      <c r="L36" s="653"/>
      <c r="M36" s="654"/>
      <c r="N36" s="652"/>
      <c r="O36" s="653"/>
      <c r="P36" s="653"/>
      <c r="Q36" s="654"/>
      <c r="R36" s="655"/>
      <c r="S36" s="656"/>
      <c r="T36" s="652"/>
      <c r="U36" s="654"/>
      <c r="V36" s="652"/>
      <c r="W36" s="653"/>
      <c r="X36" s="654"/>
      <c r="Y36" s="495"/>
      <c r="Z36" s="496"/>
      <c r="AA36" s="63"/>
      <c r="AB36" s="497" t="s">
        <v>2505</v>
      </c>
      <c r="AC36" s="63"/>
      <c r="AD36" s="497" t="s">
        <v>2506</v>
      </c>
      <c r="AE36" s="63"/>
      <c r="AF36" s="497" t="s">
        <v>2507</v>
      </c>
      <c r="AG36" s="63"/>
      <c r="AH36" s="498" t="s">
        <v>441</v>
      </c>
      <c r="AJ36" s="490" t="str">
        <f>IF($B36="","",IF($R36=AJ$5,(SUM($D36*VLOOKUP($C36,ESCALA!$B$3:$O$19,14,0)+10)*2)*27,""))</f>
        <v/>
      </c>
      <c r="AK36" s="490" t="str">
        <f>IF($B36="","",IF($R36=AK$5,(SUM($D36*VLOOKUP($C36,ESCALA!$B$3:$O$19,14,0)+10)*2)*27,""))</f>
        <v/>
      </c>
      <c r="AL36" s="490" t="str">
        <f>IF($B36="","",IF($R36=AL$5,(SUM($D36*VLOOKUP($C36,ESCALA!$B$3:$O$19,14,0)+10)*2)*27,""))</f>
        <v/>
      </c>
      <c r="AM36" s="490" t="str">
        <f>IF($B36="","",IF($R36=AM$5,(SUM($D36*VLOOKUP($C36,ESCALA!$B$3:$O$19,14,0)+10)*2)*27,""))</f>
        <v/>
      </c>
      <c r="AN36" s="490" t="str">
        <f>IF($B36="","",IF($R36=AN$5,(SUM($D36*VLOOKUP($C36,ESCALA!$B$3:$O$19,14,0)+10)*2)*27,""))</f>
        <v/>
      </c>
      <c r="AO36" s="490" t="str">
        <f>IF($B36="","",IF($R36=AO$5,(SUM($D36*VLOOKUP($C36,ESCALA!$B$3:$O$19,14,0)+10)*2)*27,""))</f>
        <v/>
      </c>
      <c r="AP36" s="490" t="str">
        <f>IF($B36="","",IF($R36=AP$5,(SUM($D36*VLOOKUP($C36,ESCALA!$B$3:$O$19,14,0)+10)*2)*27,""))</f>
        <v/>
      </c>
      <c r="AQ36" s="372"/>
      <c r="AY36" s="368" t="str">
        <f>IF(PERFIL!E35="","",PERFIL!E35)</f>
        <v>7 - DIAMANTE</v>
      </c>
      <c r="AZ36" s="368" t="e">
        <f t="shared" si="4"/>
        <v>#N/A</v>
      </c>
      <c r="BA36" s="368" t="e">
        <f t="shared" si="5"/>
        <v>#N/A</v>
      </c>
      <c r="BQ36" s="491">
        <f ca="1">RECEBÍVEIS!AA41</f>
        <v>1996</v>
      </c>
      <c r="BR36" s="492">
        <f>RECEBÍVEIS!AB41</f>
        <v>2.4799999999999978</v>
      </c>
      <c r="BZ36" s="367" t="s">
        <v>2666</v>
      </c>
      <c r="CA36" s="367" t="s">
        <v>953</v>
      </c>
      <c r="CB36" s="367">
        <v>125</v>
      </c>
      <c r="CC36" s="368" t="s">
        <v>10</v>
      </c>
    </row>
    <row r="37" spans="2:81" ht="33.75" customHeight="1" x14ac:dyDescent="0.2">
      <c r="B37" s="551"/>
      <c r="C37" s="517"/>
      <c r="D37" s="503" t="str">
        <f>IF(C37="","",VLOOKUP(C37,'REL LINHAS'!$B$2:$K$2205,5,0))</f>
        <v/>
      </c>
      <c r="E37" s="321" t="str">
        <f t="shared" si="0"/>
        <v/>
      </c>
      <c r="F37" s="493"/>
      <c r="G37" s="494"/>
      <c r="H37" s="649"/>
      <c r="I37" s="650"/>
      <c r="J37" s="651"/>
      <c r="K37" s="652"/>
      <c r="L37" s="653"/>
      <c r="M37" s="654"/>
      <c r="N37" s="652"/>
      <c r="O37" s="653"/>
      <c r="P37" s="653"/>
      <c r="Q37" s="654"/>
      <c r="R37" s="655"/>
      <c r="S37" s="656"/>
      <c r="T37" s="652"/>
      <c r="U37" s="654"/>
      <c r="V37" s="652"/>
      <c r="W37" s="653"/>
      <c r="X37" s="654"/>
      <c r="Y37" s="495"/>
      <c r="Z37" s="496"/>
      <c r="AA37" s="63"/>
      <c r="AB37" s="497" t="s">
        <v>2505</v>
      </c>
      <c r="AC37" s="63"/>
      <c r="AD37" s="497" t="s">
        <v>2506</v>
      </c>
      <c r="AE37" s="63"/>
      <c r="AF37" s="497" t="s">
        <v>2507</v>
      </c>
      <c r="AG37" s="63"/>
      <c r="AH37" s="498" t="s">
        <v>441</v>
      </c>
      <c r="AJ37" s="490" t="str">
        <f>IF($B37="","",IF($R37=AJ$5,(SUM($D37*VLOOKUP($C37,ESCALA!$B$3:$O$19,14,0)+10)*2)*27,""))</f>
        <v/>
      </c>
      <c r="AK37" s="490" t="str">
        <f>IF($B37="","",IF($R37=AK$5,(SUM($D37*VLOOKUP($C37,ESCALA!$B$3:$O$19,14,0)+10)*2)*27,""))</f>
        <v/>
      </c>
      <c r="AL37" s="490" t="str">
        <f>IF($B37="","",IF($R37=AL$5,(SUM($D37*VLOOKUP($C37,ESCALA!$B$3:$O$19,14,0)+10)*2)*27,""))</f>
        <v/>
      </c>
      <c r="AM37" s="490" t="str">
        <f>IF($B37="","",IF($R37=AM$5,(SUM($D37*VLOOKUP($C37,ESCALA!$B$3:$O$19,14,0)+10)*2)*27,""))</f>
        <v/>
      </c>
      <c r="AN37" s="490" t="str">
        <f>IF($B37="","",IF($R37=AN$5,(SUM($D37*VLOOKUP($C37,ESCALA!$B$3:$O$19,14,0)+10)*2)*27,""))</f>
        <v/>
      </c>
      <c r="AO37" s="490" t="str">
        <f>IF($B37="","",IF($R37=AO$5,(SUM($D37*VLOOKUP($C37,ESCALA!$B$3:$O$19,14,0)+10)*2)*27,""))</f>
        <v/>
      </c>
      <c r="AP37" s="490" t="str">
        <f>IF($B37="","",IF($R37=AP$5,(SUM($D37*VLOOKUP($C37,ESCALA!$B$3:$O$19,14,0)+10)*2)*27,""))</f>
        <v/>
      </c>
      <c r="AQ37" s="372"/>
      <c r="AY37" s="368" t="str">
        <f>IF(PERFIL!E36="","",PERFIL!E36)</f>
        <v/>
      </c>
      <c r="AZ37" s="368" t="str">
        <f t="shared" si="4"/>
        <v/>
      </c>
      <c r="BA37" s="368" t="str">
        <f t="shared" si="5"/>
        <v/>
      </c>
      <c r="BQ37" s="491">
        <f ca="1">RECEBÍVEIS!AA42</f>
        <v>1995</v>
      </c>
      <c r="BR37" s="492">
        <f>RECEBÍVEIS!AB42</f>
        <v>2.4199999999999977</v>
      </c>
      <c r="BZ37" s="367" t="s">
        <v>2667</v>
      </c>
      <c r="CA37" s="367" t="s">
        <v>954</v>
      </c>
      <c r="CB37" s="367">
        <v>125</v>
      </c>
      <c r="CC37" s="368" t="s">
        <v>10</v>
      </c>
    </row>
    <row r="38" spans="2:81" ht="33.75" customHeight="1" x14ac:dyDescent="0.2">
      <c r="B38" s="551"/>
      <c r="C38" s="517"/>
      <c r="D38" s="503" t="str">
        <f>IF(C38="","",VLOOKUP(C38,'REL LINHAS'!$B$2:$K$2205,5,0))</f>
        <v/>
      </c>
      <c r="E38" s="321" t="str">
        <f t="shared" si="0"/>
        <v/>
      </c>
      <c r="F38" s="493"/>
      <c r="G38" s="494"/>
      <c r="H38" s="649"/>
      <c r="I38" s="650"/>
      <c r="J38" s="651"/>
      <c r="K38" s="652"/>
      <c r="L38" s="653"/>
      <c r="M38" s="654"/>
      <c r="N38" s="652"/>
      <c r="O38" s="653"/>
      <c r="P38" s="653"/>
      <c r="Q38" s="654"/>
      <c r="R38" s="655"/>
      <c r="S38" s="656"/>
      <c r="T38" s="652"/>
      <c r="U38" s="654"/>
      <c r="V38" s="652"/>
      <c r="W38" s="653"/>
      <c r="X38" s="654"/>
      <c r="Y38" s="495"/>
      <c r="Z38" s="496"/>
      <c r="AA38" s="63"/>
      <c r="AB38" s="497" t="s">
        <v>2505</v>
      </c>
      <c r="AC38" s="63"/>
      <c r="AD38" s="497" t="s">
        <v>2506</v>
      </c>
      <c r="AE38" s="63"/>
      <c r="AF38" s="497" t="s">
        <v>2507</v>
      </c>
      <c r="AG38" s="63"/>
      <c r="AH38" s="498" t="s">
        <v>441</v>
      </c>
      <c r="AJ38" s="490" t="str">
        <f>IF($B38="","",IF($R38=AJ$5,(SUM($D38*VLOOKUP($C38,ESCALA!$B$3:$O$19,14,0)+10)*2)*27,""))</f>
        <v/>
      </c>
      <c r="AK38" s="490" t="str">
        <f>IF($B38="","",IF($R38=AK$5,(SUM($D38*VLOOKUP($C38,ESCALA!$B$3:$O$19,14,0)+10)*2)*27,""))</f>
        <v/>
      </c>
      <c r="AL38" s="490" t="str">
        <f>IF($B38="","",IF($R38=AL$5,(SUM($D38*VLOOKUP($C38,ESCALA!$B$3:$O$19,14,0)+10)*2)*27,""))</f>
        <v/>
      </c>
      <c r="AM38" s="490" t="str">
        <f>IF($B38="","",IF($R38=AM$5,(SUM($D38*VLOOKUP($C38,ESCALA!$B$3:$O$19,14,0)+10)*2)*27,""))</f>
        <v/>
      </c>
      <c r="AN38" s="490" t="str">
        <f>IF($B38="","",IF($R38=AN$5,(SUM($D38*VLOOKUP($C38,ESCALA!$B$3:$O$19,14,0)+10)*2)*27,""))</f>
        <v/>
      </c>
      <c r="AO38" s="490" t="str">
        <f>IF($B38="","",IF($R38=AO$5,(SUM($D38*VLOOKUP($C38,ESCALA!$B$3:$O$19,14,0)+10)*2)*27,""))</f>
        <v/>
      </c>
      <c r="AP38" s="490" t="str">
        <f>IF($B38="","",IF($R38=AP$5,(SUM($D38*VLOOKUP($C38,ESCALA!$B$3:$O$19,14,0)+10)*2)*27,""))</f>
        <v/>
      </c>
      <c r="AQ38" s="372"/>
      <c r="AY38" s="368" t="str">
        <f>IF(PERFIL!E37="","",PERFIL!E37)</f>
        <v/>
      </c>
      <c r="AZ38" s="368" t="str">
        <f t="shared" si="4"/>
        <v/>
      </c>
      <c r="BA38" s="368" t="str">
        <f t="shared" si="5"/>
        <v/>
      </c>
      <c r="BQ38" s="491">
        <f ca="1">RECEBÍVEIS!AA43</f>
        <v>1994</v>
      </c>
      <c r="BR38" s="492">
        <f>RECEBÍVEIS!AB43</f>
        <v>2.3599999999999977</v>
      </c>
      <c r="BY38" s="367" t="s">
        <v>498</v>
      </c>
      <c r="BZ38" s="367" t="s">
        <v>2656</v>
      </c>
      <c r="CA38" s="367" t="s">
        <v>955</v>
      </c>
      <c r="CB38" s="367">
        <v>200</v>
      </c>
      <c r="CC38" s="368" t="s">
        <v>10</v>
      </c>
    </row>
    <row r="39" spans="2:81" ht="33.75" customHeight="1" x14ac:dyDescent="0.2">
      <c r="B39" s="551"/>
      <c r="C39" s="517"/>
      <c r="D39" s="503" t="str">
        <f>IF(C39="","",VLOOKUP(C39,'REL LINHAS'!$B$2:$K$2205,5,0))</f>
        <v/>
      </c>
      <c r="E39" s="321" t="str">
        <f t="shared" si="0"/>
        <v/>
      </c>
      <c r="F39" s="493"/>
      <c r="G39" s="494"/>
      <c r="H39" s="649"/>
      <c r="I39" s="650"/>
      <c r="J39" s="651"/>
      <c r="K39" s="652"/>
      <c r="L39" s="653"/>
      <c r="M39" s="654"/>
      <c r="N39" s="652"/>
      <c r="O39" s="653"/>
      <c r="P39" s="653"/>
      <c r="Q39" s="654"/>
      <c r="R39" s="655"/>
      <c r="S39" s="656"/>
      <c r="T39" s="652"/>
      <c r="U39" s="654"/>
      <c r="V39" s="652"/>
      <c r="W39" s="653"/>
      <c r="X39" s="654"/>
      <c r="Y39" s="495"/>
      <c r="Z39" s="496"/>
      <c r="AA39" s="63"/>
      <c r="AB39" s="497" t="s">
        <v>2505</v>
      </c>
      <c r="AC39" s="63"/>
      <c r="AD39" s="497" t="s">
        <v>2506</v>
      </c>
      <c r="AE39" s="63"/>
      <c r="AF39" s="497" t="s">
        <v>2507</v>
      </c>
      <c r="AG39" s="63"/>
      <c r="AH39" s="498" t="s">
        <v>441</v>
      </c>
      <c r="AJ39" s="490" t="str">
        <f>IF($B39="","",IF($R39=AJ$5,(SUM($D39*VLOOKUP($C39,ESCALA!$B$3:$O$19,14,0)+10)*2)*27,""))</f>
        <v/>
      </c>
      <c r="AK39" s="490" t="str">
        <f>IF($B39="","",IF($R39=AK$5,(SUM($D39*VLOOKUP($C39,ESCALA!$B$3:$O$19,14,0)+10)*2)*27,""))</f>
        <v/>
      </c>
      <c r="AL39" s="490" t="str">
        <f>IF($B39="","",IF($R39=AL$5,(SUM($D39*VLOOKUP($C39,ESCALA!$B$3:$O$19,14,0)+10)*2)*27,""))</f>
        <v/>
      </c>
      <c r="AM39" s="490" t="str">
        <f>IF($B39="","",IF($R39=AM$5,(SUM($D39*VLOOKUP($C39,ESCALA!$B$3:$O$19,14,0)+10)*2)*27,""))</f>
        <v/>
      </c>
      <c r="AN39" s="490" t="str">
        <f>IF($B39="","",IF($R39=AN$5,(SUM($D39*VLOOKUP($C39,ESCALA!$B$3:$O$19,14,0)+10)*2)*27,""))</f>
        <v/>
      </c>
      <c r="AO39" s="490" t="str">
        <f>IF($B39="","",IF($R39=AO$5,(SUM($D39*VLOOKUP($C39,ESCALA!$B$3:$O$19,14,0)+10)*2)*27,""))</f>
        <v/>
      </c>
      <c r="AP39" s="490" t="str">
        <f>IF($B39="","",IF($R39=AP$5,(SUM($D39*VLOOKUP($C39,ESCALA!$B$3:$O$19,14,0)+10)*2)*27,""))</f>
        <v/>
      </c>
      <c r="AQ39" s="372"/>
      <c r="AY39" s="368" t="str">
        <f>IF(PERFIL!E38="","",PERFIL!E38)</f>
        <v/>
      </c>
      <c r="AZ39" s="368" t="str">
        <f t="shared" si="4"/>
        <v/>
      </c>
      <c r="BA39" s="368" t="str">
        <f t="shared" si="5"/>
        <v/>
      </c>
      <c r="BQ39" s="491">
        <f ca="1">RECEBÍVEIS!AA44</f>
        <v>1993</v>
      </c>
      <c r="BR39" s="492">
        <f>RECEBÍVEIS!AB44</f>
        <v>2.2999999999999976</v>
      </c>
      <c r="BY39" s="367" t="s">
        <v>573</v>
      </c>
      <c r="BZ39" s="367" t="s">
        <v>2642</v>
      </c>
      <c r="CA39" s="367" t="s">
        <v>956</v>
      </c>
      <c r="CB39" s="367">
        <v>125</v>
      </c>
      <c r="CC39" s="368" t="s">
        <v>220</v>
      </c>
    </row>
    <row r="40" spans="2:81" ht="33.75" customHeight="1" x14ac:dyDescent="0.2">
      <c r="B40" s="551"/>
      <c r="C40" s="517"/>
      <c r="D40" s="503" t="str">
        <f>IF(C40="","",VLOOKUP(C40,'REL LINHAS'!$B$2:$K$2205,5,0))</f>
        <v/>
      </c>
      <c r="E40" s="321" t="str">
        <f t="shared" si="0"/>
        <v/>
      </c>
      <c r="F40" s="493"/>
      <c r="G40" s="494"/>
      <c r="H40" s="649"/>
      <c r="I40" s="650"/>
      <c r="J40" s="651"/>
      <c r="K40" s="652"/>
      <c r="L40" s="653"/>
      <c r="M40" s="654"/>
      <c r="N40" s="652"/>
      <c r="O40" s="653"/>
      <c r="P40" s="653"/>
      <c r="Q40" s="654"/>
      <c r="R40" s="655"/>
      <c r="S40" s="656"/>
      <c r="T40" s="652"/>
      <c r="U40" s="654"/>
      <c r="V40" s="652"/>
      <c r="W40" s="653"/>
      <c r="X40" s="654"/>
      <c r="Y40" s="495"/>
      <c r="Z40" s="496"/>
      <c r="AA40" s="63"/>
      <c r="AB40" s="497" t="s">
        <v>2505</v>
      </c>
      <c r="AC40" s="63"/>
      <c r="AD40" s="497" t="s">
        <v>2506</v>
      </c>
      <c r="AE40" s="63"/>
      <c r="AF40" s="497" t="s">
        <v>2507</v>
      </c>
      <c r="AG40" s="63"/>
      <c r="AH40" s="498" t="s">
        <v>441</v>
      </c>
      <c r="AJ40" s="490" t="str">
        <f>IF($B40="","",IF($R40=AJ$5,(SUM($D40*VLOOKUP($C40,ESCALA!$B$3:$O$19,14,0)+10)*2)*27,""))</f>
        <v/>
      </c>
      <c r="AK40" s="490" t="str">
        <f>IF($B40="","",IF($R40=AK$5,(SUM($D40*VLOOKUP($C40,ESCALA!$B$3:$O$19,14,0)+10)*2)*27,""))</f>
        <v/>
      </c>
      <c r="AL40" s="490" t="str">
        <f>IF($B40="","",IF($R40=AL$5,(SUM($D40*VLOOKUP($C40,ESCALA!$B$3:$O$19,14,0)+10)*2)*27,""))</f>
        <v/>
      </c>
      <c r="AM40" s="490" t="str">
        <f>IF($B40="","",IF($R40=AM$5,(SUM($D40*VLOOKUP($C40,ESCALA!$B$3:$O$19,14,0)+10)*2)*27,""))</f>
        <v/>
      </c>
      <c r="AN40" s="490" t="str">
        <f>IF($B40="","",IF($R40=AN$5,(SUM($D40*VLOOKUP($C40,ESCALA!$B$3:$O$19,14,0)+10)*2)*27,""))</f>
        <v/>
      </c>
      <c r="AO40" s="490" t="str">
        <f>IF($B40="","",IF($R40=AO$5,(SUM($D40*VLOOKUP($C40,ESCALA!$B$3:$O$19,14,0)+10)*2)*27,""))</f>
        <v/>
      </c>
      <c r="AP40" s="490" t="str">
        <f>IF($B40="","",IF($R40=AP$5,(SUM($D40*VLOOKUP($C40,ESCALA!$B$3:$O$19,14,0)+10)*2)*27,""))</f>
        <v/>
      </c>
      <c r="AQ40" s="372"/>
      <c r="AY40" s="368" t="str">
        <f>IF(PERFIL!E39="","",PERFIL!E39)</f>
        <v/>
      </c>
      <c r="AZ40" s="368" t="str">
        <f t="shared" si="4"/>
        <v/>
      </c>
      <c r="BA40" s="368" t="str">
        <f t="shared" si="5"/>
        <v/>
      </c>
      <c r="BQ40" s="491">
        <f ca="1">RECEBÍVEIS!AA45</f>
        <v>1992</v>
      </c>
      <c r="BR40" s="492">
        <f>RECEBÍVEIS!AB45</f>
        <v>2.2399999999999975</v>
      </c>
      <c r="BY40" s="367" t="s">
        <v>573</v>
      </c>
      <c r="BZ40" s="367" t="s">
        <v>1143</v>
      </c>
      <c r="CA40" s="367" t="s">
        <v>957</v>
      </c>
      <c r="CB40" s="367">
        <v>150</v>
      </c>
      <c r="CC40" s="368" t="s">
        <v>220</v>
      </c>
    </row>
    <row r="41" spans="2:81" ht="33.75" customHeight="1" x14ac:dyDescent="0.2">
      <c r="B41" s="551"/>
      <c r="C41" s="517"/>
      <c r="D41" s="503" t="str">
        <f>IF(C41="","",VLOOKUP(C41,'REL LINHAS'!$B$2:$K$2205,5,0))</f>
        <v/>
      </c>
      <c r="E41" s="321" t="str">
        <f t="shared" si="0"/>
        <v/>
      </c>
      <c r="F41" s="493"/>
      <c r="G41" s="494"/>
      <c r="H41" s="649"/>
      <c r="I41" s="650"/>
      <c r="J41" s="651"/>
      <c r="K41" s="652"/>
      <c r="L41" s="653"/>
      <c r="M41" s="654"/>
      <c r="N41" s="652"/>
      <c r="O41" s="653"/>
      <c r="P41" s="653"/>
      <c r="Q41" s="654"/>
      <c r="R41" s="655"/>
      <c r="S41" s="656"/>
      <c r="T41" s="652"/>
      <c r="U41" s="654"/>
      <c r="V41" s="652"/>
      <c r="W41" s="653"/>
      <c r="X41" s="654"/>
      <c r="Y41" s="495"/>
      <c r="Z41" s="496"/>
      <c r="AA41" s="63"/>
      <c r="AB41" s="497" t="s">
        <v>2505</v>
      </c>
      <c r="AC41" s="63"/>
      <c r="AD41" s="497" t="s">
        <v>2506</v>
      </c>
      <c r="AE41" s="63"/>
      <c r="AF41" s="497" t="s">
        <v>2507</v>
      </c>
      <c r="AG41" s="63"/>
      <c r="AH41" s="498" t="s">
        <v>441</v>
      </c>
      <c r="AJ41" s="490" t="str">
        <f>IF($B41="","",IF($R41=AJ$5,(SUM($D41*VLOOKUP($C41,ESCALA!$B$3:$O$19,14,0)+10)*2)*27,""))</f>
        <v/>
      </c>
      <c r="AK41" s="490" t="str">
        <f>IF($B41="","",IF($R41=AK$5,(SUM($D41*VLOOKUP($C41,ESCALA!$B$3:$O$19,14,0)+10)*2)*27,""))</f>
        <v/>
      </c>
      <c r="AL41" s="490" t="str">
        <f>IF($B41="","",IF($R41=AL$5,(SUM($D41*VLOOKUP($C41,ESCALA!$B$3:$O$19,14,0)+10)*2)*27,""))</f>
        <v/>
      </c>
      <c r="AM41" s="490" t="str">
        <f>IF($B41="","",IF($R41=AM$5,(SUM($D41*VLOOKUP($C41,ESCALA!$B$3:$O$19,14,0)+10)*2)*27,""))</f>
        <v/>
      </c>
      <c r="AN41" s="490" t="str">
        <f>IF($B41="","",IF($R41=AN$5,(SUM($D41*VLOOKUP($C41,ESCALA!$B$3:$O$19,14,0)+10)*2)*27,""))</f>
        <v/>
      </c>
      <c r="AO41" s="490" t="str">
        <f>IF($B41="","",IF($R41=AO$5,(SUM($D41*VLOOKUP($C41,ESCALA!$B$3:$O$19,14,0)+10)*2)*27,""))</f>
        <v/>
      </c>
      <c r="AP41" s="490" t="str">
        <f>IF($B41="","",IF($R41=AP$5,(SUM($D41*VLOOKUP($C41,ESCALA!$B$3:$O$19,14,0)+10)*2)*27,""))</f>
        <v/>
      </c>
      <c r="AQ41" s="372"/>
      <c r="AY41" s="368" t="str">
        <f>IF(PERFIL!E40="","",PERFIL!E40)</f>
        <v/>
      </c>
      <c r="AZ41" s="368" t="str">
        <f t="shared" si="4"/>
        <v/>
      </c>
      <c r="BA41" s="368" t="str">
        <f t="shared" si="5"/>
        <v/>
      </c>
      <c r="BQ41" s="491">
        <f ca="1">RECEBÍVEIS!AA46</f>
        <v>1991</v>
      </c>
      <c r="BR41" s="492">
        <f>RECEBÍVEIS!AB46</f>
        <v>2.1799999999999975</v>
      </c>
      <c r="BZ41" s="367" t="s">
        <v>2639</v>
      </c>
      <c r="CA41" s="367" t="s">
        <v>767</v>
      </c>
      <c r="CB41" s="367">
        <v>200</v>
      </c>
      <c r="CC41" s="368" t="s">
        <v>10</v>
      </c>
    </row>
    <row r="42" spans="2:81" ht="33.75" customHeight="1" x14ac:dyDescent="0.2">
      <c r="B42" s="551"/>
      <c r="C42" s="517"/>
      <c r="D42" s="503" t="str">
        <f>IF(C42="","",VLOOKUP(C42,'REL LINHAS'!$B$2:$K$2205,5,0))</f>
        <v/>
      </c>
      <c r="E42" s="321" t="str">
        <f t="shared" si="0"/>
        <v/>
      </c>
      <c r="F42" s="493"/>
      <c r="G42" s="494"/>
      <c r="H42" s="649"/>
      <c r="I42" s="650"/>
      <c r="J42" s="651"/>
      <c r="K42" s="652"/>
      <c r="L42" s="653"/>
      <c r="M42" s="654"/>
      <c r="N42" s="652"/>
      <c r="O42" s="653"/>
      <c r="P42" s="653"/>
      <c r="Q42" s="654"/>
      <c r="R42" s="655"/>
      <c r="S42" s="656"/>
      <c r="T42" s="652"/>
      <c r="U42" s="654"/>
      <c r="V42" s="652"/>
      <c r="W42" s="653"/>
      <c r="X42" s="654"/>
      <c r="Y42" s="495"/>
      <c r="Z42" s="496"/>
      <c r="AA42" s="63"/>
      <c r="AB42" s="497" t="s">
        <v>2505</v>
      </c>
      <c r="AC42" s="63"/>
      <c r="AD42" s="497" t="s">
        <v>2506</v>
      </c>
      <c r="AE42" s="63"/>
      <c r="AF42" s="497" t="s">
        <v>2507</v>
      </c>
      <c r="AG42" s="63"/>
      <c r="AH42" s="498" t="s">
        <v>441</v>
      </c>
      <c r="AJ42" s="490" t="str">
        <f>IF($B42="","",IF($R42=AJ$5,(SUM($D42*VLOOKUP($C42,ESCALA!$B$3:$O$19,14,0)+10)*2)*27,""))</f>
        <v/>
      </c>
      <c r="AK42" s="490" t="str">
        <f>IF($B42="","",IF($R42=AK$5,(SUM($D42*VLOOKUP($C42,ESCALA!$B$3:$O$19,14,0)+10)*2)*27,""))</f>
        <v/>
      </c>
      <c r="AL42" s="490" t="str">
        <f>IF($B42="","",IF($R42=AL$5,(SUM($D42*VLOOKUP($C42,ESCALA!$B$3:$O$19,14,0)+10)*2)*27,""))</f>
        <v/>
      </c>
      <c r="AM42" s="490" t="str">
        <f>IF($B42="","",IF($R42=AM$5,(SUM($D42*VLOOKUP($C42,ESCALA!$B$3:$O$19,14,0)+10)*2)*27,""))</f>
        <v/>
      </c>
      <c r="AN42" s="490" t="str">
        <f>IF($B42="","",IF($R42=AN$5,(SUM($D42*VLOOKUP($C42,ESCALA!$B$3:$O$19,14,0)+10)*2)*27,""))</f>
        <v/>
      </c>
      <c r="AO42" s="490" t="str">
        <f>IF($B42="","",IF($R42=AO$5,(SUM($D42*VLOOKUP($C42,ESCALA!$B$3:$O$19,14,0)+10)*2)*27,""))</f>
        <v/>
      </c>
      <c r="AP42" s="490" t="str">
        <f>IF($B42="","",IF($R42=AP$5,(SUM($D42*VLOOKUP($C42,ESCALA!$B$3:$O$19,14,0)+10)*2)*27,""))</f>
        <v/>
      </c>
      <c r="AQ42" s="372"/>
      <c r="AY42" s="368" t="str">
        <f>IF(PERFIL!E41="","",PERFIL!E41)</f>
        <v/>
      </c>
      <c r="AZ42" s="368" t="str">
        <f t="shared" si="4"/>
        <v/>
      </c>
      <c r="BA42" s="368" t="str">
        <f t="shared" si="5"/>
        <v/>
      </c>
      <c r="BQ42" s="491">
        <f ca="1">RECEBÍVEIS!AA47</f>
        <v>1990</v>
      </c>
      <c r="BR42" s="492">
        <f>RECEBÍVEIS!AB47</f>
        <v>2.1199999999999974</v>
      </c>
      <c r="BY42" s="367" t="s">
        <v>498</v>
      </c>
      <c r="BZ42" s="367" t="s">
        <v>2712</v>
      </c>
      <c r="CA42" s="367" t="s">
        <v>768</v>
      </c>
      <c r="CB42" s="367">
        <v>200</v>
      </c>
      <c r="CC42" s="368" t="s">
        <v>10</v>
      </c>
    </row>
    <row r="43" spans="2:81" ht="33.75" customHeight="1" x14ac:dyDescent="0.2">
      <c r="B43" s="551"/>
      <c r="C43" s="517"/>
      <c r="D43" s="503" t="str">
        <f>IF(C43="","",VLOOKUP(C43,'REL LINHAS'!$B$2:$K$2205,5,0))</f>
        <v/>
      </c>
      <c r="E43" s="321" t="str">
        <f t="shared" si="0"/>
        <v/>
      </c>
      <c r="F43" s="493"/>
      <c r="G43" s="494"/>
      <c r="H43" s="649"/>
      <c r="I43" s="650"/>
      <c r="J43" s="651"/>
      <c r="K43" s="652"/>
      <c r="L43" s="653"/>
      <c r="M43" s="654"/>
      <c r="N43" s="652"/>
      <c r="O43" s="653"/>
      <c r="P43" s="653"/>
      <c r="Q43" s="654"/>
      <c r="R43" s="655"/>
      <c r="S43" s="656"/>
      <c r="T43" s="652"/>
      <c r="U43" s="654"/>
      <c r="V43" s="652"/>
      <c r="W43" s="653"/>
      <c r="X43" s="654"/>
      <c r="Y43" s="495"/>
      <c r="Z43" s="496"/>
      <c r="AA43" s="63"/>
      <c r="AB43" s="497" t="s">
        <v>2505</v>
      </c>
      <c r="AC43" s="63"/>
      <c r="AD43" s="497" t="s">
        <v>2506</v>
      </c>
      <c r="AE43" s="63"/>
      <c r="AF43" s="497" t="s">
        <v>2507</v>
      </c>
      <c r="AG43" s="63"/>
      <c r="AH43" s="498" t="s">
        <v>441</v>
      </c>
      <c r="AJ43" s="490" t="str">
        <f>IF($B43="","",IF($R43=AJ$5,(SUM($D43*VLOOKUP($C43,ESCALA!$B$3:$O$19,14,0)+10)*2)*27,""))</f>
        <v/>
      </c>
      <c r="AK43" s="490" t="str">
        <f>IF($B43="","",IF($R43=AK$5,(SUM($D43*VLOOKUP($C43,ESCALA!$B$3:$O$19,14,0)+10)*2)*27,""))</f>
        <v/>
      </c>
      <c r="AL43" s="490" t="str">
        <f>IF($B43="","",IF($R43=AL$5,(SUM($D43*VLOOKUP($C43,ESCALA!$B$3:$O$19,14,0)+10)*2)*27,""))</f>
        <v/>
      </c>
      <c r="AM43" s="490" t="str">
        <f>IF($B43="","",IF($R43=AM$5,(SUM($D43*VLOOKUP($C43,ESCALA!$B$3:$O$19,14,0)+10)*2)*27,""))</f>
        <v/>
      </c>
      <c r="AN43" s="490" t="str">
        <f>IF($B43="","",IF($R43=AN$5,(SUM($D43*VLOOKUP($C43,ESCALA!$B$3:$O$19,14,0)+10)*2)*27,""))</f>
        <v/>
      </c>
      <c r="AO43" s="490" t="str">
        <f>IF($B43="","",IF($R43=AO$5,(SUM($D43*VLOOKUP($C43,ESCALA!$B$3:$O$19,14,0)+10)*2)*27,""))</f>
        <v/>
      </c>
      <c r="AP43" s="490" t="str">
        <f>IF($B43="","",IF($R43=AP$5,(SUM($D43*VLOOKUP($C43,ESCALA!$B$3:$O$19,14,0)+10)*2)*27,""))</f>
        <v/>
      </c>
      <c r="AQ43" s="372"/>
      <c r="AY43" s="368" t="str">
        <f>IF(PERFIL!E42="","",PERFIL!E42)</f>
        <v/>
      </c>
      <c r="AZ43" s="368" t="str">
        <f t="shared" si="4"/>
        <v/>
      </c>
      <c r="BA43" s="368" t="str">
        <f t="shared" si="5"/>
        <v/>
      </c>
      <c r="BQ43" s="491">
        <f ca="1">RECEBÍVEIS!AA48</f>
        <v>1989</v>
      </c>
      <c r="BR43" s="492">
        <f>RECEBÍVEIS!AB48</f>
        <v>2.0599999999999974</v>
      </c>
      <c r="BY43" s="367" t="s">
        <v>573</v>
      </c>
      <c r="BZ43" s="367" t="s">
        <v>1144</v>
      </c>
      <c r="CA43" s="367" t="s">
        <v>775</v>
      </c>
      <c r="CB43" s="367">
        <v>150</v>
      </c>
      <c r="CC43" s="368" t="s">
        <v>220</v>
      </c>
    </row>
    <row r="44" spans="2:81" ht="33.75" customHeight="1" x14ac:dyDescent="0.2">
      <c r="B44" s="551"/>
      <c r="C44" s="517"/>
      <c r="D44" s="503" t="str">
        <f>IF(C44="","",VLOOKUP(C44,'REL LINHAS'!$B$2:$K$2205,5,0))</f>
        <v/>
      </c>
      <c r="E44" s="321" t="str">
        <f t="shared" si="0"/>
        <v/>
      </c>
      <c r="F44" s="493"/>
      <c r="G44" s="494"/>
      <c r="H44" s="649"/>
      <c r="I44" s="650"/>
      <c r="J44" s="651"/>
      <c r="K44" s="652"/>
      <c r="L44" s="653"/>
      <c r="M44" s="654"/>
      <c r="N44" s="652"/>
      <c r="O44" s="653"/>
      <c r="P44" s="653"/>
      <c r="Q44" s="654"/>
      <c r="R44" s="655"/>
      <c r="S44" s="656"/>
      <c r="T44" s="652"/>
      <c r="U44" s="654"/>
      <c r="V44" s="652"/>
      <c r="W44" s="653"/>
      <c r="X44" s="654"/>
      <c r="Y44" s="495"/>
      <c r="Z44" s="496"/>
      <c r="AA44" s="63"/>
      <c r="AB44" s="497" t="s">
        <v>2505</v>
      </c>
      <c r="AC44" s="63"/>
      <c r="AD44" s="497" t="s">
        <v>2506</v>
      </c>
      <c r="AE44" s="63"/>
      <c r="AF44" s="497" t="s">
        <v>2507</v>
      </c>
      <c r="AG44" s="63"/>
      <c r="AH44" s="498" t="s">
        <v>441</v>
      </c>
      <c r="AJ44" s="490" t="str">
        <f>IF($B44="","",IF($R44=AJ$5,(SUM($D44*VLOOKUP($C44,ESCALA!$B$3:$O$19,14,0)+10)*2)*27,""))</f>
        <v/>
      </c>
      <c r="AK44" s="490" t="str">
        <f>IF($B44="","",IF($R44=AK$5,(SUM($D44*VLOOKUP($C44,ESCALA!$B$3:$O$19,14,0)+10)*2)*27,""))</f>
        <v/>
      </c>
      <c r="AL44" s="490" t="str">
        <f>IF($B44="","",IF($R44=AL$5,(SUM($D44*VLOOKUP($C44,ESCALA!$B$3:$O$19,14,0)+10)*2)*27,""))</f>
        <v/>
      </c>
      <c r="AM44" s="490" t="str">
        <f>IF($B44="","",IF($R44=AM$5,(SUM($D44*VLOOKUP($C44,ESCALA!$B$3:$O$19,14,0)+10)*2)*27,""))</f>
        <v/>
      </c>
      <c r="AN44" s="490" t="str">
        <f>IF($B44="","",IF($R44=AN$5,(SUM($D44*VLOOKUP($C44,ESCALA!$B$3:$O$19,14,0)+10)*2)*27,""))</f>
        <v/>
      </c>
      <c r="AO44" s="490" t="str">
        <f>IF($B44="","",IF($R44=AO$5,(SUM($D44*VLOOKUP($C44,ESCALA!$B$3:$O$19,14,0)+10)*2)*27,""))</f>
        <v/>
      </c>
      <c r="AP44" s="490" t="str">
        <f>IF($B44="","",IF($R44=AP$5,(SUM($D44*VLOOKUP($C44,ESCALA!$B$3:$O$19,14,0)+10)*2)*27,""))</f>
        <v/>
      </c>
      <c r="AQ44" s="372"/>
      <c r="AY44" s="368" t="str">
        <f>IF(PERFIL!E43="","",PERFIL!E43)</f>
        <v/>
      </c>
      <c r="AZ44" s="368" t="str">
        <f t="shared" si="4"/>
        <v/>
      </c>
      <c r="BA44" s="368" t="str">
        <f t="shared" si="5"/>
        <v/>
      </c>
      <c r="BQ44" s="491">
        <f ca="1">RECEBÍVEIS!AA49</f>
        <v>1988</v>
      </c>
      <c r="BR44" s="492">
        <f>RECEBÍVEIS!AB49</f>
        <v>1.9999999999999973</v>
      </c>
      <c r="BY44" s="367" t="s">
        <v>498</v>
      </c>
      <c r="BZ44" s="367" t="s">
        <v>2713</v>
      </c>
      <c r="CA44" s="367" t="s">
        <v>958</v>
      </c>
      <c r="CB44" s="367">
        <v>200</v>
      </c>
      <c r="CC44" s="368" t="s">
        <v>10</v>
      </c>
    </row>
    <row r="45" spans="2:81" ht="33.75" customHeight="1" x14ac:dyDescent="0.2">
      <c r="B45" s="551"/>
      <c r="C45" s="517"/>
      <c r="D45" s="503" t="str">
        <f>IF(C45="","",VLOOKUP(C45,'REL LINHAS'!$B$2:$K$2205,5,0))</f>
        <v/>
      </c>
      <c r="E45" s="321" t="str">
        <f t="shared" si="0"/>
        <v/>
      </c>
      <c r="F45" s="493"/>
      <c r="G45" s="494"/>
      <c r="H45" s="649"/>
      <c r="I45" s="650"/>
      <c r="J45" s="651"/>
      <c r="K45" s="652"/>
      <c r="L45" s="653"/>
      <c r="M45" s="654"/>
      <c r="N45" s="652"/>
      <c r="O45" s="653"/>
      <c r="P45" s="653"/>
      <c r="Q45" s="654"/>
      <c r="R45" s="655"/>
      <c r="S45" s="656"/>
      <c r="T45" s="652"/>
      <c r="U45" s="654"/>
      <c r="V45" s="652"/>
      <c r="W45" s="653"/>
      <c r="X45" s="654"/>
      <c r="Y45" s="495"/>
      <c r="Z45" s="496"/>
      <c r="AA45" s="63"/>
      <c r="AB45" s="497" t="s">
        <v>2505</v>
      </c>
      <c r="AC45" s="63"/>
      <c r="AD45" s="497" t="s">
        <v>2506</v>
      </c>
      <c r="AE45" s="63"/>
      <c r="AF45" s="497" t="s">
        <v>2507</v>
      </c>
      <c r="AG45" s="63"/>
      <c r="AH45" s="498" t="s">
        <v>441</v>
      </c>
      <c r="AJ45" s="490" t="str">
        <f>IF($B45="","",IF($R45=AJ$5,(SUM($D45*VLOOKUP($C45,ESCALA!$B$3:$O$19,14,0)+10)*2)*27,""))</f>
        <v/>
      </c>
      <c r="AK45" s="490" t="str">
        <f>IF($B45="","",IF($R45=AK$5,(SUM($D45*VLOOKUP($C45,ESCALA!$B$3:$O$19,14,0)+10)*2)*27,""))</f>
        <v/>
      </c>
      <c r="AL45" s="490" t="str">
        <f>IF($B45="","",IF($R45=AL$5,(SUM($D45*VLOOKUP($C45,ESCALA!$B$3:$O$19,14,0)+10)*2)*27,""))</f>
        <v/>
      </c>
      <c r="AM45" s="490" t="str">
        <f>IF($B45="","",IF($R45=AM$5,(SUM($D45*VLOOKUP($C45,ESCALA!$B$3:$O$19,14,0)+10)*2)*27,""))</f>
        <v/>
      </c>
      <c r="AN45" s="490" t="str">
        <f>IF($B45="","",IF($R45=AN$5,(SUM($D45*VLOOKUP($C45,ESCALA!$B$3:$O$19,14,0)+10)*2)*27,""))</f>
        <v/>
      </c>
      <c r="AO45" s="490" t="str">
        <f>IF($B45="","",IF($R45=AO$5,(SUM($D45*VLOOKUP($C45,ESCALA!$B$3:$O$19,14,0)+10)*2)*27,""))</f>
        <v/>
      </c>
      <c r="AP45" s="490" t="str">
        <f>IF($B45="","",IF($R45=AP$5,(SUM($D45*VLOOKUP($C45,ESCALA!$B$3:$O$19,14,0)+10)*2)*27,""))</f>
        <v/>
      </c>
      <c r="AQ45" s="372"/>
      <c r="AY45" s="368" t="str">
        <f>IF(PERFIL!E44="","",PERFIL!E44)</f>
        <v/>
      </c>
      <c r="AZ45" s="368" t="str">
        <f t="shared" si="4"/>
        <v/>
      </c>
      <c r="BA45" s="368" t="str">
        <f t="shared" si="5"/>
        <v/>
      </c>
      <c r="BQ45" s="491">
        <f ca="1">RECEBÍVEIS!AA50</f>
        <v>1987</v>
      </c>
      <c r="BR45" s="492">
        <f>RECEBÍVEIS!AB50</f>
        <v>1.9399999999999973</v>
      </c>
      <c r="BZ45" s="367" t="s">
        <v>2640</v>
      </c>
      <c r="CA45" s="367" t="s">
        <v>769</v>
      </c>
      <c r="CB45" s="367">
        <v>200</v>
      </c>
      <c r="CC45" s="368" t="s">
        <v>10</v>
      </c>
    </row>
    <row r="46" spans="2:81" ht="33.75" customHeight="1" x14ac:dyDescent="0.2">
      <c r="B46" s="551"/>
      <c r="C46" s="517"/>
      <c r="D46" s="503" t="str">
        <f>IF(C46="","",VLOOKUP(C46,'REL LINHAS'!$B$2:$K$2205,5,0))</f>
        <v/>
      </c>
      <c r="E46" s="321" t="str">
        <f t="shared" si="0"/>
        <v/>
      </c>
      <c r="F46" s="493"/>
      <c r="G46" s="494"/>
      <c r="H46" s="649"/>
      <c r="I46" s="650"/>
      <c r="J46" s="651"/>
      <c r="K46" s="652"/>
      <c r="L46" s="653"/>
      <c r="M46" s="654"/>
      <c r="N46" s="652"/>
      <c r="O46" s="653"/>
      <c r="P46" s="653"/>
      <c r="Q46" s="654"/>
      <c r="R46" s="655"/>
      <c r="S46" s="656"/>
      <c r="T46" s="652"/>
      <c r="U46" s="654"/>
      <c r="V46" s="652"/>
      <c r="W46" s="653"/>
      <c r="X46" s="654"/>
      <c r="Y46" s="495"/>
      <c r="Z46" s="496"/>
      <c r="AA46" s="63"/>
      <c r="AB46" s="497" t="s">
        <v>2505</v>
      </c>
      <c r="AC46" s="63"/>
      <c r="AD46" s="497" t="s">
        <v>2506</v>
      </c>
      <c r="AE46" s="63"/>
      <c r="AF46" s="497" t="s">
        <v>2507</v>
      </c>
      <c r="AG46" s="63"/>
      <c r="AH46" s="498" t="s">
        <v>441</v>
      </c>
      <c r="AJ46" s="490" t="str">
        <f>IF($B46="","",IF($R46=AJ$5,(SUM($D46*VLOOKUP($C46,ESCALA!$B$3:$O$19,14,0)+10)*2)*27,""))</f>
        <v/>
      </c>
      <c r="AK46" s="490" t="str">
        <f>IF($B46="","",IF($R46=AK$5,(SUM($D46*VLOOKUP($C46,ESCALA!$B$3:$O$19,14,0)+10)*2)*27,""))</f>
        <v/>
      </c>
      <c r="AL46" s="490" t="str">
        <f>IF($B46="","",IF($R46=AL$5,(SUM($D46*VLOOKUP($C46,ESCALA!$B$3:$O$19,14,0)+10)*2)*27,""))</f>
        <v/>
      </c>
      <c r="AM46" s="490" t="str">
        <f>IF($B46="","",IF($R46=AM$5,(SUM($D46*VLOOKUP($C46,ESCALA!$B$3:$O$19,14,0)+10)*2)*27,""))</f>
        <v/>
      </c>
      <c r="AN46" s="490" t="str">
        <f>IF($B46="","",IF($R46=AN$5,(SUM($D46*VLOOKUP($C46,ESCALA!$B$3:$O$19,14,0)+10)*2)*27,""))</f>
        <v/>
      </c>
      <c r="AO46" s="490" t="str">
        <f>IF($B46="","",IF($R46=AO$5,(SUM($D46*VLOOKUP($C46,ESCALA!$B$3:$O$19,14,0)+10)*2)*27,""))</f>
        <v/>
      </c>
      <c r="AP46" s="490" t="str">
        <f>IF($B46="","",IF($R46=AP$5,(SUM($D46*VLOOKUP($C46,ESCALA!$B$3:$O$19,14,0)+10)*2)*27,""))</f>
        <v/>
      </c>
      <c r="AQ46" s="372"/>
      <c r="AY46" s="368" t="str">
        <f>IF(PERFIL!E45="","",PERFIL!E45)</f>
        <v/>
      </c>
      <c r="AZ46" s="368" t="str">
        <f t="shared" si="4"/>
        <v/>
      </c>
      <c r="BA46" s="368" t="str">
        <f t="shared" si="5"/>
        <v/>
      </c>
      <c r="BQ46" s="491">
        <f ca="1">RECEBÍVEIS!AA51</f>
        <v>1986</v>
      </c>
      <c r="BR46" s="492">
        <f>RECEBÍVEIS!AB51</f>
        <v>1.8799999999999972</v>
      </c>
      <c r="BY46" s="367" t="s">
        <v>498</v>
      </c>
      <c r="BZ46" s="367" t="s">
        <v>1152</v>
      </c>
      <c r="CA46" s="367" t="s">
        <v>959</v>
      </c>
      <c r="CB46" s="367">
        <v>150</v>
      </c>
      <c r="CC46" s="368" t="s">
        <v>10</v>
      </c>
    </row>
    <row r="47" spans="2:81" ht="33.75" customHeight="1" x14ac:dyDescent="0.2">
      <c r="B47" s="551"/>
      <c r="C47" s="517"/>
      <c r="D47" s="503" t="str">
        <f>IF(C47="","",VLOOKUP(C47,'REL LINHAS'!$B$2:$K$2205,5,0))</f>
        <v/>
      </c>
      <c r="E47" s="321" t="str">
        <f t="shared" si="0"/>
        <v/>
      </c>
      <c r="F47" s="493"/>
      <c r="G47" s="494"/>
      <c r="H47" s="649"/>
      <c r="I47" s="650"/>
      <c r="J47" s="651"/>
      <c r="K47" s="652"/>
      <c r="L47" s="653"/>
      <c r="M47" s="654"/>
      <c r="N47" s="652"/>
      <c r="O47" s="653"/>
      <c r="P47" s="653"/>
      <c r="Q47" s="654"/>
      <c r="R47" s="655"/>
      <c r="S47" s="656"/>
      <c r="T47" s="652"/>
      <c r="U47" s="654"/>
      <c r="V47" s="652"/>
      <c r="W47" s="653"/>
      <c r="X47" s="654"/>
      <c r="Y47" s="495"/>
      <c r="Z47" s="496"/>
      <c r="AA47" s="63"/>
      <c r="AB47" s="497" t="s">
        <v>2505</v>
      </c>
      <c r="AC47" s="63"/>
      <c r="AD47" s="497" t="s">
        <v>2506</v>
      </c>
      <c r="AE47" s="63"/>
      <c r="AF47" s="497" t="s">
        <v>2507</v>
      </c>
      <c r="AG47" s="63"/>
      <c r="AH47" s="498" t="s">
        <v>441</v>
      </c>
      <c r="AJ47" s="490" t="str">
        <f>IF($B47="","",IF($R47=AJ$5,(SUM($D47*VLOOKUP($C47,ESCALA!$B$3:$O$19,14,0)+10)*2)*27,""))</f>
        <v/>
      </c>
      <c r="AK47" s="490" t="str">
        <f>IF($B47="","",IF($R47=AK$5,(SUM($D47*VLOOKUP($C47,ESCALA!$B$3:$O$19,14,0)+10)*2)*27,""))</f>
        <v/>
      </c>
      <c r="AL47" s="490" t="str">
        <f>IF($B47="","",IF($R47=AL$5,(SUM($D47*VLOOKUP($C47,ESCALA!$B$3:$O$19,14,0)+10)*2)*27,""))</f>
        <v/>
      </c>
      <c r="AM47" s="490" t="str">
        <f>IF($B47="","",IF($R47=AM$5,(SUM($D47*VLOOKUP($C47,ESCALA!$B$3:$O$19,14,0)+10)*2)*27,""))</f>
        <v/>
      </c>
      <c r="AN47" s="490" t="str">
        <f>IF($B47="","",IF($R47=AN$5,(SUM($D47*VLOOKUP($C47,ESCALA!$B$3:$O$19,14,0)+10)*2)*27,""))</f>
        <v/>
      </c>
      <c r="AO47" s="490" t="str">
        <f>IF($B47="","",IF($R47=AO$5,(SUM($D47*VLOOKUP($C47,ESCALA!$B$3:$O$19,14,0)+10)*2)*27,""))</f>
        <v/>
      </c>
      <c r="AP47" s="490" t="str">
        <f>IF($B47="","",IF($R47=AP$5,(SUM($D47*VLOOKUP($C47,ESCALA!$B$3:$O$19,14,0)+10)*2)*27,""))</f>
        <v/>
      </c>
      <c r="AQ47" s="372"/>
      <c r="AY47" s="368" t="str">
        <f>IF(PERFIL!E46="","",PERFIL!E46)</f>
        <v/>
      </c>
      <c r="AZ47" s="368" t="str">
        <f t="shared" si="4"/>
        <v/>
      </c>
      <c r="BA47" s="368" t="str">
        <f t="shared" si="5"/>
        <v/>
      </c>
      <c r="BQ47" s="491">
        <f ca="1">RECEBÍVEIS!AA52</f>
        <v>1985</v>
      </c>
      <c r="BR47" s="492">
        <f>RECEBÍVEIS!AB52</f>
        <v>1.8199999999999972</v>
      </c>
      <c r="BZ47" s="367" t="s">
        <v>1027</v>
      </c>
      <c r="CA47" s="367" t="s">
        <v>770</v>
      </c>
      <c r="CB47" s="367">
        <v>200</v>
      </c>
      <c r="CC47" s="368" t="s">
        <v>220</v>
      </c>
    </row>
    <row r="48" spans="2:81" ht="33.75" customHeight="1" x14ac:dyDescent="0.2">
      <c r="B48" s="551"/>
      <c r="C48" s="517"/>
      <c r="D48" s="503" t="str">
        <f>IF(C48="","",VLOOKUP(C48,'REL LINHAS'!$B$2:$K$2205,5,0))</f>
        <v/>
      </c>
      <c r="E48" s="321" t="str">
        <f t="shared" si="0"/>
        <v/>
      </c>
      <c r="F48" s="493"/>
      <c r="G48" s="494"/>
      <c r="H48" s="649"/>
      <c r="I48" s="650"/>
      <c r="J48" s="651"/>
      <c r="K48" s="652"/>
      <c r="L48" s="653"/>
      <c r="M48" s="654"/>
      <c r="N48" s="652"/>
      <c r="O48" s="653"/>
      <c r="P48" s="653"/>
      <c r="Q48" s="654"/>
      <c r="R48" s="655"/>
      <c r="S48" s="656"/>
      <c r="T48" s="652"/>
      <c r="U48" s="654"/>
      <c r="V48" s="652"/>
      <c r="W48" s="653"/>
      <c r="X48" s="654"/>
      <c r="Y48" s="495"/>
      <c r="Z48" s="496"/>
      <c r="AA48" s="63"/>
      <c r="AB48" s="497" t="s">
        <v>2505</v>
      </c>
      <c r="AC48" s="63"/>
      <c r="AD48" s="497" t="s">
        <v>2506</v>
      </c>
      <c r="AE48" s="63"/>
      <c r="AF48" s="497" t="s">
        <v>2507</v>
      </c>
      <c r="AG48" s="63"/>
      <c r="AH48" s="498" t="s">
        <v>441</v>
      </c>
      <c r="AJ48" s="490" t="str">
        <f>IF($B48="","",IF($R48=AJ$5,(SUM($D48*VLOOKUP($C48,ESCALA!$B$3:$O$19,14,0)+10)*2)*27,""))</f>
        <v/>
      </c>
      <c r="AK48" s="490" t="str">
        <f>IF($B48="","",IF($R48=AK$5,(SUM($D48*VLOOKUP($C48,ESCALA!$B$3:$O$19,14,0)+10)*2)*27,""))</f>
        <v/>
      </c>
      <c r="AL48" s="490" t="str">
        <f>IF($B48="","",IF($R48=AL$5,(SUM($D48*VLOOKUP($C48,ESCALA!$B$3:$O$19,14,0)+10)*2)*27,""))</f>
        <v/>
      </c>
      <c r="AM48" s="490" t="str">
        <f>IF($B48="","",IF($R48=AM$5,(SUM($D48*VLOOKUP($C48,ESCALA!$B$3:$O$19,14,0)+10)*2)*27,""))</f>
        <v/>
      </c>
      <c r="AN48" s="490" t="str">
        <f>IF($B48="","",IF($R48=AN$5,(SUM($D48*VLOOKUP($C48,ESCALA!$B$3:$O$19,14,0)+10)*2)*27,""))</f>
        <v/>
      </c>
      <c r="AO48" s="490" t="str">
        <f>IF($B48="","",IF($R48=AO$5,(SUM($D48*VLOOKUP($C48,ESCALA!$B$3:$O$19,14,0)+10)*2)*27,""))</f>
        <v/>
      </c>
      <c r="AP48" s="490" t="str">
        <f>IF($B48="","",IF($R48=AP$5,(SUM($D48*VLOOKUP($C48,ESCALA!$B$3:$O$19,14,0)+10)*2)*27,""))</f>
        <v/>
      </c>
      <c r="AQ48" s="372"/>
      <c r="AY48" s="368" t="str">
        <f>IF(PERFIL!E47="","",PERFIL!E47)</f>
        <v/>
      </c>
      <c r="AZ48" s="368" t="str">
        <f t="shared" si="4"/>
        <v/>
      </c>
      <c r="BA48" s="368" t="str">
        <f t="shared" si="5"/>
        <v/>
      </c>
      <c r="BQ48" s="491">
        <f ca="1">RECEBÍVEIS!AA53</f>
        <v>1984</v>
      </c>
      <c r="BR48" s="492">
        <f>RECEBÍVEIS!AB53</f>
        <v>1.7599999999999971</v>
      </c>
      <c r="BZ48" s="367" t="s">
        <v>1138</v>
      </c>
      <c r="CA48" s="367" t="s">
        <v>771</v>
      </c>
      <c r="CB48" s="367">
        <v>200</v>
      </c>
      <c r="CC48" s="368" t="s">
        <v>10</v>
      </c>
    </row>
    <row r="49" spans="2:81" ht="33.75" customHeight="1" x14ac:dyDescent="0.2">
      <c r="B49" s="551"/>
      <c r="C49" s="517"/>
      <c r="D49" s="503" t="str">
        <f>IF(C49="","",VLOOKUP(C49,'REL LINHAS'!$B$2:$K$2205,5,0))</f>
        <v/>
      </c>
      <c r="E49" s="321" t="str">
        <f t="shared" si="0"/>
        <v/>
      </c>
      <c r="F49" s="493"/>
      <c r="G49" s="494"/>
      <c r="H49" s="649"/>
      <c r="I49" s="650"/>
      <c r="J49" s="651"/>
      <c r="K49" s="652"/>
      <c r="L49" s="653"/>
      <c r="M49" s="654"/>
      <c r="N49" s="652"/>
      <c r="O49" s="653"/>
      <c r="P49" s="653"/>
      <c r="Q49" s="654"/>
      <c r="R49" s="655"/>
      <c r="S49" s="656"/>
      <c r="T49" s="652"/>
      <c r="U49" s="654"/>
      <c r="V49" s="652"/>
      <c r="W49" s="653"/>
      <c r="X49" s="654"/>
      <c r="Y49" s="495"/>
      <c r="Z49" s="496"/>
      <c r="AA49" s="63"/>
      <c r="AB49" s="497" t="s">
        <v>2505</v>
      </c>
      <c r="AC49" s="63"/>
      <c r="AD49" s="497" t="s">
        <v>2506</v>
      </c>
      <c r="AE49" s="63"/>
      <c r="AF49" s="497" t="s">
        <v>2507</v>
      </c>
      <c r="AG49" s="63"/>
      <c r="AH49" s="498" t="s">
        <v>441</v>
      </c>
      <c r="AJ49" s="490" t="str">
        <f>IF($B49="","",IF($R49=AJ$5,(SUM($D49*VLOOKUP($C49,ESCALA!$B$3:$O$19,14,0)+10)*2)*27,""))</f>
        <v/>
      </c>
      <c r="AK49" s="490" t="str">
        <f>IF($B49="","",IF($R49=AK$5,(SUM($D49*VLOOKUP($C49,ESCALA!$B$3:$O$19,14,0)+10)*2)*27,""))</f>
        <v/>
      </c>
      <c r="AL49" s="490" t="str">
        <f>IF($B49="","",IF($R49=AL$5,(SUM($D49*VLOOKUP($C49,ESCALA!$B$3:$O$19,14,0)+10)*2)*27,""))</f>
        <v/>
      </c>
      <c r="AM49" s="490" t="str">
        <f>IF($B49="","",IF($R49=AM$5,(SUM($D49*VLOOKUP($C49,ESCALA!$B$3:$O$19,14,0)+10)*2)*27,""))</f>
        <v/>
      </c>
      <c r="AN49" s="490" t="str">
        <f>IF($B49="","",IF($R49=AN$5,(SUM($D49*VLOOKUP($C49,ESCALA!$B$3:$O$19,14,0)+10)*2)*27,""))</f>
        <v/>
      </c>
      <c r="AO49" s="490" t="str">
        <f>IF($B49="","",IF($R49=AO$5,(SUM($D49*VLOOKUP($C49,ESCALA!$B$3:$O$19,14,0)+10)*2)*27,""))</f>
        <v/>
      </c>
      <c r="AP49" s="490" t="str">
        <f>IF($B49="","",IF($R49=AP$5,(SUM($D49*VLOOKUP($C49,ESCALA!$B$3:$O$19,14,0)+10)*2)*27,""))</f>
        <v/>
      </c>
      <c r="AQ49" s="372"/>
      <c r="AY49" s="368" t="str">
        <f>IF(PERFIL!E48="","",PERFIL!E48)</f>
        <v/>
      </c>
      <c r="AZ49" s="368" t="str">
        <f t="shared" si="4"/>
        <v/>
      </c>
      <c r="BA49" s="368" t="str">
        <f t="shared" si="5"/>
        <v/>
      </c>
      <c r="BQ49" s="491">
        <f ca="1">RECEBÍVEIS!AA54</f>
        <v>1983</v>
      </c>
      <c r="BR49" s="492">
        <f>RECEBÍVEIS!AB54</f>
        <v>1.6999999999999971</v>
      </c>
      <c r="BZ49" s="367" t="s">
        <v>1139</v>
      </c>
      <c r="CA49" s="367" t="s">
        <v>772</v>
      </c>
      <c r="CB49" s="367">
        <v>150</v>
      </c>
      <c r="CC49" s="368" t="s">
        <v>10</v>
      </c>
    </row>
    <row r="50" spans="2:81" ht="33.75" customHeight="1" x14ac:dyDescent="0.2">
      <c r="B50" s="551"/>
      <c r="C50" s="517"/>
      <c r="D50" s="503" t="str">
        <f>IF(C50="","",VLOOKUP(C50,'REL LINHAS'!$B$2:$K$2205,5,0))</f>
        <v/>
      </c>
      <c r="E50" s="321" t="str">
        <f t="shared" si="0"/>
        <v/>
      </c>
      <c r="F50" s="493"/>
      <c r="G50" s="494"/>
      <c r="H50" s="649"/>
      <c r="I50" s="650"/>
      <c r="J50" s="651"/>
      <c r="K50" s="652"/>
      <c r="L50" s="653"/>
      <c r="M50" s="654"/>
      <c r="N50" s="652"/>
      <c r="O50" s="653"/>
      <c r="P50" s="653"/>
      <c r="Q50" s="654"/>
      <c r="R50" s="655"/>
      <c r="S50" s="656"/>
      <c r="T50" s="652"/>
      <c r="U50" s="654"/>
      <c r="V50" s="652"/>
      <c r="W50" s="653"/>
      <c r="X50" s="654"/>
      <c r="Y50" s="495"/>
      <c r="Z50" s="496"/>
      <c r="AA50" s="63"/>
      <c r="AB50" s="497" t="s">
        <v>2505</v>
      </c>
      <c r="AC50" s="63"/>
      <c r="AD50" s="497" t="s">
        <v>2506</v>
      </c>
      <c r="AE50" s="63"/>
      <c r="AF50" s="497" t="s">
        <v>2507</v>
      </c>
      <c r="AG50" s="63"/>
      <c r="AH50" s="498" t="s">
        <v>441</v>
      </c>
      <c r="AJ50" s="490" t="str">
        <f>IF($B50="","",IF($R50=AJ$5,(SUM($D50*VLOOKUP($C50,ESCALA!$B$3:$O$19,14,0)+10)*2)*27,""))</f>
        <v/>
      </c>
      <c r="AK50" s="490" t="str">
        <f>IF($B50="","",IF($R50=AK$5,(SUM($D50*VLOOKUP($C50,ESCALA!$B$3:$O$19,14,0)+10)*2)*27,""))</f>
        <v/>
      </c>
      <c r="AL50" s="490" t="str">
        <f>IF($B50="","",IF($R50=AL$5,(SUM($D50*VLOOKUP($C50,ESCALA!$B$3:$O$19,14,0)+10)*2)*27,""))</f>
        <v/>
      </c>
      <c r="AM50" s="490" t="str">
        <f>IF($B50="","",IF($R50=AM$5,(SUM($D50*VLOOKUP($C50,ESCALA!$B$3:$O$19,14,0)+10)*2)*27,""))</f>
        <v/>
      </c>
      <c r="AN50" s="490" t="str">
        <f>IF($B50="","",IF($R50=AN$5,(SUM($D50*VLOOKUP($C50,ESCALA!$B$3:$O$19,14,0)+10)*2)*27,""))</f>
        <v/>
      </c>
      <c r="AO50" s="490" t="str">
        <f>IF($B50="","",IF($R50=AO$5,(SUM($D50*VLOOKUP($C50,ESCALA!$B$3:$O$19,14,0)+10)*2)*27,""))</f>
        <v/>
      </c>
      <c r="AP50" s="490" t="str">
        <f>IF($B50="","",IF($R50=AP$5,(SUM($D50*VLOOKUP($C50,ESCALA!$B$3:$O$19,14,0)+10)*2)*27,""))</f>
        <v/>
      </c>
      <c r="AQ50" s="372"/>
      <c r="AY50" s="368" t="str">
        <f>IF(PERFIL!E49="","",PERFIL!E49)</f>
        <v/>
      </c>
      <c r="AZ50" s="368" t="str">
        <f t="shared" si="4"/>
        <v/>
      </c>
      <c r="BA50" s="368" t="str">
        <f t="shared" si="5"/>
        <v/>
      </c>
      <c r="BY50" s="367" t="s">
        <v>498</v>
      </c>
      <c r="BZ50" s="367" t="s">
        <v>1153</v>
      </c>
      <c r="CA50" s="367" t="s">
        <v>774</v>
      </c>
      <c r="CB50" s="367">
        <v>200</v>
      </c>
      <c r="CC50" s="368" t="s">
        <v>10</v>
      </c>
    </row>
    <row r="51" spans="2:81" ht="33.75" customHeight="1" x14ac:dyDescent="0.2">
      <c r="B51" s="551"/>
      <c r="C51" s="517"/>
      <c r="D51" s="503" t="str">
        <f>IF(C51="","",VLOOKUP(C51,'REL LINHAS'!$B$2:$K$2205,5,0))</f>
        <v/>
      </c>
      <c r="E51" s="321" t="str">
        <f t="shared" si="0"/>
        <v/>
      </c>
      <c r="F51" s="493"/>
      <c r="G51" s="494"/>
      <c r="H51" s="649"/>
      <c r="I51" s="650"/>
      <c r="J51" s="651"/>
      <c r="K51" s="652"/>
      <c r="L51" s="653"/>
      <c r="M51" s="654"/>
      <c r="N51" s="652"/>
      <c r="O51" s="653"/>
      <c r="P51" s="653"/>
      <c r="Q51" s="654"/>
      <c r="R51" s="655"/>
      <c r="S51" s="656"/>
      <c r="T51" s="652"/>
      <c r="U51" s="654"/>
      <c r="V51" s="652"/>
      <c r="W51" s="653"/>
      <c r="X51" s="654"/>
      <c r="Y51" s="495"/>
      <c r="Z51" s="496"/>
      <c r="AA51" s="63"/>
      <c r="AB51" s="497" t="s">
        <v>2505</v>
      </c>
      <c r="AC51" s="63"/>
      <c r="AD51" s="497" t="s">
        <v>2506</v>
      </c>
      <c r="AE51" s="63"/>
      <c r="AF51" s="497" t="s">
        <v>2507</v>
      </c>
      <c r="AG51" s="63"/>
      <c r="AH51" s="498" t="s">
        <v>441</v>
      </c>
      <c r="AJ51" s="490" t="str">
        <f>IF($B51="","",IF($R51=AJ$5,(SUM($D51*VLOOKUP($C51,ESCALA!$B$3:$O$19,14,0)+10)*2)*27,""))</f>
        <v/>
      </c>
      <c r="AK51" s="490" t="str">
        <f>IF($B51="","",IF($R51=AK$5,(SUM($D51*VLOOKUP($C51,ESCALA!$B$3:$O$19,14,0)+10)*2)*27,""))</f>
        <v/>
      </c>
      <c r="AL51" s="490" t="str">
        <f>IF($B51="","",IF($R51=AL$5,(SUM($D51*VLOOKUP($C51,ESCALA!$B$3:$O$19,14,0)+10)*2)*27,""))</f>
        <v/>
      </c>
      <c r="AM51" s="490" t="str">
        <f>IF($B51="","",IF($R51=AM$5,(SUM($D51*VLOOKUP($C51,ESCALA!$B$3:$O$19,14,0)+10)*2)*27,""))</f>
        <v/>
      </c>
      <c r="AN51" s="490" t="str">
        <f>IF($B51="","",IF($R51=AN$5,(SUM($D51*VLOOKUP($C51,ESCALA!$B$3:$O$19,14,0)+10)*2)*27,""))</f>
        <v/>
      </c>
      <c r="AO51" s="490" t="str">
        <f>IF($B51="","",IF($R51=AO$5,(SUM($D51*VLOOKUP($C51,ESCALA!$B$3:$O$19,14,0)+10)*2)*27,""))</f>
        <v/>
      </c>
      <c r="AP51" s="490" t="str">
        <f>IF($B51="","",IF($R51=AP$5,(SUM($D51*VLOOKUP($C51,ESCALA!$B$3:$O$19,14,0)+10)*2)*27,""))</f>
        <v/>
      </c>
      <c r="AQ51" s="372"/>
      <c r="AY51" s="368" t="str">
        <f>IF(PERFIL!E50="","",PERFIL!E50)</f>
        <v/>
      </c>
      <c r="AZ51" s="368" t="str">
        <f t="shared" si="4"/>
        <v/>
      </c>
      <c r="BA51" s="368" t="str">
        <f t="shared" si="5"/>
        <v/>
      </c>
      <c r="BZ51" s="367" t="s">
        <v>1028</v>
      </c>
      <c r="CA51" s="367" t="s">
        <v>773</v>
      </c>
      <c r="CB51" s="367">
        <v>250</v>
      </c>
      <c r="CC51" s="368" t="s">
        <v>220</v>
      </c>
    </row>
    <row r="52" spans="2:81" ht="33.75" customHeight="1" x14ac:dyDescent="0.2">
      <c r="B52" s="551"/>
      <c r="C52" s="517"/>
      <c r="D52" s="503" t="str">
        <f>IF(C52="","",VLOOKUP(C52,'REL LINHAS'!$B$2:$K$2205,5,0))</f>
        <v/>
      </c>
      <c r="E52" s="321" t="str">
        <f t="shared" si="0"/>
        <v/>
      </c>
      <c r="F52" s="493"/>
      <c r="G52" s="494"/>
      <c r="H52" s="649"/>
      <c r="I52" s="650"/>
      <c r="J52" s="651"/>
      <c r="K52" s="652"/>
      <c r="L52" s="653"/>
      <c r="M52" s="654"/>
      <c r="N52" s="652"/>
      <c r="O52" s="653"/>
      <c r="P52" s="653"/>
      <c r="Q52" s="654"/>
      <c r="R52" s="655"/>
      <c r="S52" s="656"/>
      <c r="T52" s="652"/>
      <c r="U52" s="654"/>
      <c r="V52" s="652"/>
      <c r="W52" s="653"/>
      <c r="X52" s="654"/>
      <c r="Y52" s="495"/>
      <c r="Z52" s="496"/>
      <c r="AA52" s="63"/>
      <c r="AB52" s="497" t="s">
        <v>2505</v>
      </c>
      <c r="AC52" s="63"/>
      <c r="AD52" s="497" t="s">
        <v>2506</v>
      </c>
      <c r="AE52" s="63"/>
      <c r="AF52" s="497" t="s">
        <v>2507</v>
      </c>
      <c r="AG52" s="63"/>
      <c r="AH52" s="498" t="s">
        <v>441</v>
      </c>
      <c r="AJ52" s="490" t="str">
        <f>IF($B52="","",IF($R52=AJ$5,(SUM($D52*VLOOKUP($C52,ESCALA!$B$3:$O$19,14,0)+10)*2)*27,""))</f>
        <v/>
      </c>
      <c r="AK52" s="490" t="str">
        <f>IF($B52="","",IF($R52=AK$5,(SUM($D52*VLOOKUP($C52,ESCALA!$B$3:$O$19,14,0)+10)*2)*27,""))</f>
        <v/>
      </c>
      <c r="AL52" s="490" t="str">
        <f>IF($B52="","",IF($R52=AL$5,(SUM($D52*VLOOKUP($C52,ESCALA!$B$3:$O$19,14,0)+10)*2)*27,""))</f>
        <v/>
      </c>
      <c r="AM52" s="490" t="str">
        <f>IF($B52="","",IF($R52=AM$5,(SUM($D52*VLOOKUP($C52,ESCALA!$B$3:$O$19,14,0)+10)*2)*27,""))</f>
        <v/>
      </c>
      <c r="AN52" s="490" t="str">
        <f>IF($B52="","",IF($R52=AN$5,(SUM($D52*VLOOKUP($C52,ESCALA!$B$3:$O$19,14,0)+10)*2)*27,""))</f>
        <v/>
      </c>
      <c r="AO52" s="490" t="str">
        <f>IF($B52="","",IF($R52=AO$5,(SUM($D52*VLOOKUP($C52,ESCALA!$B$3:$O$19,14,0)+10)*2)*27,""))</f>
        <v/>
      </c>
      <c r="AP52" s="490" t="str">
        <f>IF($B52="","",IF($R52=AP$5,(SUM($D52*VLOOKUP($C52,ESCALA!$B$3:$O$19,14,0)+10)*2)*27,""))</f>
        <v/>
      </c>
      <c r="AQ52" s="372"/>
      <c r="AY52" s="368" t="str">
        <f>IF(PERFIL!E51="","",PERFIL!E51)</f>
        <v/>
      </c>
      <c r="AZ52" s="368" t="str">
        <f t="shared" si="4"/>
        <v/>
      </c>
      <c r="BA52" s="368" t="str">
        <f t="shared" si="5"/>
        <v/>
      </c>
      <c r="BY52" s="367" t="s">
        <v>573</v>
      </c>
      <c r="BZ52" s="367" t="s">
        <v>2643</v>
      </c>
      <c r="CA52" s="367" t="s">
        <v>960</v>
      </c>
      <c r="CB52" s="367">
        <v>150</v>
      </c>
      <c r="CC52" s="368" t="s">
        <v>220</v>
      </c>
    </row>
    <row r="53" spans="2:81" ht="33.75" customHeight="1" x14ac:dyDescent="0.2">
      <c r="B53" s="551"/>
      <c r="C53" s="517"/>
      <c r="D53" s="503" t="str">
        <f>IF(C53="","",VLOOKUP(C53,'REL LINHAS'!$B$2:$K$2205,5,0))</f>
        <v/>
      </c>
      <c r="E53" s="321" t="str">
        <f t="shared" si="0"/>
        <v/>
      </c>
      <c r="F53" s="493"/>
      <c r="G53" s="494"/>
      <c r="H53" s="649"/>
      <c r="I53" s="650"/>
      <c r="J53" s="651"/>
      <c r="K53" s="652"/>
      <c r="L53" s="653"/>
      <c r="M53" s="654"/>
      <c r="N53" s="652"/>
      <c r="O53" s="653"/>
      <c r="P53" s="653"/>
      <c r="Q53" s="654"/>
      <c r="R53" s="655"/>
      <c r="S53" s="656"/>
      <c r="T53" s="652"/>
      <c r="U53" s="654"/>
      <c r="V53" s="652"/>
      <c r="W53" s="653"/>
      <c r="X53" s="654"/>
      <c r="Y53" s="495"/>
      <c r="Z53" s="496"/>
      <c r="AA53" s="63"/>
      <c r="AB53" s="497" t="s">
        <v>2505</v>
      </c>
      <c r="AC53" s="63"/>
      <c r="AD53" s="497" t="s">
        <v>2506</v>
      </c>
      <c r="AE53" s="63"/>
      <c r="AF53" s="497" t="s">
        <v>2507</v>
      </c>
      <c r="AG53" s="63"/>
      <c r="AH53" s="498" t="s">
        <v>441</v>
      </c>
      <c r="AJ53" s="490" t="str">
        <f>IF($B53="","",IF($R53=AJ$5,(SUM($D53*VLOOKUP($C53,ESCALA!$B$3:$O$19,14,0)+10)*2)*27,""))</f>
        <v/>
      </c>
      <c r="AK53" s="490" t="str">
        <f>IF($B53="","",IF($R53=AK$5,(SUM($D53*VLOOKUP($C53,ESCALA!$B$3:$O$19,14,0)+10)*2)*27,""))</f>
        <v/>
      </c>
      <c r="AL53" s="490" t="str">
        <f>IF($B53="","",IF($R53=AL$5,(SUM($D53*VLOOKUP($C53,ESCALA!$B$3:$O$19,14,0)+10)*2)*27,""))</f>
        <v/>
      </c>
      <c r="AM53" s="490" t="str">
        <f>IF($B53="","",IF($R53=AM$5,(SUM($D53*VLOOKUP($C53,ESCALA!$B$3:$O$19,14,0)+10)*2)*27,""))</f>
        <v/>
      </c>
      <c r="AN53" s="490" t="str">
        <f>IF($B53="","",IF($R53=AN$5,(SUM($D53*VLOOKUP($C53,ESCALA!$B$3:$O$19,14,0)+10)*2)*27,""))</f>
        <v/>
      </c>
      <c r="AO53" s="490" t="str">
        <f>IF($B53="","",IF($R53=AO$5,(SUM($D53*VLOOKUP($C53,ESCALA!$B$3:$O$19,14,0)+10)*2)*27,""))</f>
        <v/>
      </c>
      <c r="AP53" s="490" t="str">
        <f>IF($B53="","",IF($R53=AP$5,(SUM($D53*VLOOKUP($C53,ESCALA!$B$3:$O$19,14,0)+10)*2)*27,""))</f>
        <v/>
      </c>
      <c r="AQ53" s="372"/>
      <c r="AY53" s="368" t="str">
        <f>IF(PERFIL!E52="","",PERFIL!E52)</f>
        <v/>
      </c>
      <c r="AZ53" s="368" t="str">
        <f t="shared" si="4"/>
        <v/>
      </c>
      <c r="BA53" s="368" t="str">
        <f t="shared" si="5"/>
        <v/>
      </c>
      <c r="BY53" s="367" t="s">
        <v>573</v>
      </c>
      <c r="BZ53" s="367" t="s">
        <v>2644</v>
      </c>
      <c r="CA53" s="367" t="s">
        <v>961</v>
      </c>
      <c r="CB53" s="367">
        <v>150</v>
      </c>
      <c r="CC53" s="368" t="s">
        <v>220</v>
      </c>
    </row>
    <row r="54" spans="2:81" ht="33.75" customHeight="1" x14ac:dyDescent="0.2">
      <c r="B54" s="551"/>
      <c r="C54" s="517"/>
      <c r="D54" s="503" t="str">
        <f>IF(C54="","",VLOOKUP(C54,'REL LINHAS'!$B$2:$K$2205,5,0))</f>
        <v/>
      </c>
      <c r="E54" s="321" t="str">
        <f t="shared" si="0"/>
        <v/>
      </c>
      <c r="F54" s="493"/>
      <c r="G54" s="494"/>
      <c r="H54" s="649"/>
      <c r="I54" s="650"/>
      <c r="J54" s="651"/>
      <c r="K54" s="652"/>
      <c r="L54" s="653"/>
      <c r="M54" s="654"/>
      <c r="N54" s="652"/>
      <c r="O54" s="653"/>
      <c r="P54" s="653"/>
      <c r="Q54" s="654"/>
      <c r="R54" s="655"/>
      <c r="S54" s="656"/>
      <c r="T54" s="652"/>
      <c r="U54" s="654"/>
      <c r="V54" s="652"/>
      <c r="W54" s="653"/>
      <c r="X54" s="654"/>
      <c r="Y54" s="495"/>
      <c r="Z54" s="496"/>
      <c r="AA54" s="63"/>
      <c r="AB54" s="497" t="s">
        <v>2505</v>
      </c>
      <c r="AC54" s="63"/>
      <c r="AD54" s="497" t="s">
        <v>2506</v>
      </c>
      <c r="AE54" s="63"/>
      <c r="AF54" s="497" t="s">
        <v>2507</v>
      </c>
      <c r="AG54" s="63"/>
      <c r="AH54" s="498" t="s">
        <v>441</v>
      </c>
      <c r="AJ54" s="490" t="str">
        <f>IF($B54="","",IF($R54=AJ$5,(SUM($D54*VLOOKUP($C54,ESCALA!$B$3:$O$19,14,0)+10)*2)*27,""))</f>
        <v/>
      </c>
      <c r="AK54" s="490" t="str">
        <f>IF($B54="","",IF($R54=AK$5,(SUM($D54*VLOOKUP($C54,ESCALA!$B$3:$O$19,14,0)+10)*2)*27,""))</f>
        <v/>
      </c>
      <c r="AL54" s="490" t="str">
        <f>IF($B54="","",IF($R54=AL$5,(SUM($D54*VLOOKUP($C54,ESCALA!$B$3:$O$19,14,0)+10)*2)*27,""))</f>
        <v/>
      </c>
      <c r="AM54" s="490" t="str">
        <f>IF($B54="","",IF($R54=AM$5,(SUM($D54*VLOOKUP($C54,ESCALA!$B$3:$O$19,14,0)+10)*2)*27,""))</f>
        <v/>
      </c>
      <c r="AN54" s="490" t="str">
        <f>IF($B54="","",IF($R54=AN$5,(SUM($D54*VLOOKUP($C54,ESCALA!$B$3:$O$19,14,0)+10)*2)*27,""))</f>
        <v/>
      </c>
      <c r="AO54" s="490" t="str">
        <f>IF($B54="","",IF($R54=AO$5,(SUM($D54*VLOOKUP($C54,ESCALA!$B$3:$O$19,14,0)+10)*2)*27,""))</f>
        <v/>
      </c>
      <c r="AP54" s="490" t="str">
        <f>IF($B54="","",IF($R54=AP$5,(SUM($D54*VLOOKUP($C54,ESCALA!$B$3:$O$19,14,0)+10)*2)*27,""))</f>
        <v/>
      </c>
      <c r="AQ54" s="372"/>
      <c r="AY54" s="368" t="str">
        <f>IF(PERFIL!E53="","",PERFIL!E53)</f>
        <v/>
      </c>
      <c r="AZ54" s="368" t="str">
        <f t="shared" si="4"/>
        <v/>
      </c>
      <c r="BA54" s="368" t="str">
        <f t="shared" si="5"/>
        <v/>
      </c>
      <c r="BZ54" s="367" t="s">
        <v>1154</v>
      </c>
      <c r="CA54" s="367" t="s">
        <v>962</v>
      </c>
      <c r="CB54" s="367">
        <v>100</v>
      </c>
      <c r="CC54" s="368" t="s">
        <v>10</v>
      </c>
    </row>
    <row r="55" spans="2:81" ht="33.75" customHeight="1" x14ac:dyDescent="0.2">
      <c r="B55" s="551"/>
      <c r="C55" s="517"/>
      <c r="D55" s="503" t="str">
        <f>IF(C55="","",VLOOKUP(C55,'REL LINHAS'!$B$2:$K$2205,5,0))</f>
        <v/>
      </c>
      <c r="E55" s="321" t="str">
        <f t="shared" si="0"/>
        <v/>
      </c>
      <c r="F55" s="493"/>
      <c r="G55" s="494"/>
      <c r="H55" s="649"/>
      <c r="I55" s="650"/>
      <c r="J55" s="651"/>
      <c r="K55" s="652"/>
      <c r="L55" s="653"/>
      <c r="M55" s="654"/>
      <c r="N55" s="652"/>
      <c r="O55" s="653"/>
      <c r="P55" s="653"/>
      <c r="Q55" s="654"/>
      <c r="R55" s="655"/>
      <c r="S55" s="656"/>
      <c r="T55" s="652"/>
      <c r="U55" s="654"/>
      <c r="V55" s="652"/>
      <c r="W55" s="653"/>
      <c r="X55" s="654"/>
      <c r="Y55" s="495"/>
      <c r="Z55" s="496"/>
      <c r="AA55" s="63"/>
      <c r="AB55" s="497" t="s">
        <v>2505</v>
      </c>
      <c r="AC55" s="63"/>
      <c r="AD55" s="497" t="s">
        <v>2506</v>
      </c>
      <c r="AE55" s="63"/>
      <c r="AF55" s="497" t="s">
        <v>2507</v>
      </c>
      <c r="AG55" s="63"/>
      <c r="AH55" s="498" t="s">
        <v>441</v>
      </c>
      <c r="AJ55" s="490" t="str">
        <f>IF($B55="","",IF($R55=AJ$5,(SUM($D55*VLOOKUP($C55,ESCALA!$B$3:$O$19,14,0)+10)*2)*27,""))</f>
        <v/>
      </c>
      <c r="AK55" s="490" t="str">
        <f>IF($B55="","",IF($R55=AK$5,(SUM($D55*VLOOKUP($C55,ESCALA!$B$3:$O$19,14,0)+10)*2)*27,""))</f>
        <v/>
      </c>
      <c r="AL55" s="490" t="str">
        <f>IF($B55="","",IF($R55=AL$5,(SUM($D55*VLOOKUP($C55,ESCALA!$B$3:$O$19,14,0)+10)*2)*27,""))</f>
        <v/>
      </c>
      <c r="AM55" s="490" t="str">
        <f>IF($B55="","",IF($R55=AM$5,(SUM($D55*VLOOKUP($C55,ESCALA!$B$3:$O$19,14,0)+10)*2)*27,""))</f>
        <v/>
      </c>
      <c r="AN55" s="490" t="str">
        <f>IF($B55="","",IF($R55=AN$5,(SUM($D55*VLOOKUP($C55,ESCALA!$B$3:$O$19,14,0)+10)*2)*27,""))</f>
        <v/>
      </c>
      <c r="AO55" s="490" t="str">
        <f>IF($B55="","",IF($R55=AO$5,(SUM($D55*VLOOKUP($C55,ESCALA!$B$3:$O$19,14,0)+10)*2)*27,""))</f>
        <v/>
      </c>
      <c r="AP55" s="490" t="str">
        <f>IF($B55="","",IF($R55=AP$5,(SUM($D55*VLOOKUP($C55,ESCALA!$B$3:$O$19,14,0)+10)*2)*27,""))</f>
        <v/>
      </c>
      <c r="AQ55" s="372"/>
      <c r="AY55" s="368" t="str">
        <f>IF(PERFIL!E54="","",PERFIL!E54)</f>
        <v/>
      </c>
      <c r="AZ55" s="368" t="str">
        <f t="shared" si="4"/>
        <v/>
      </c>
      <c r="BA55" s="368" t="str">
        <f t="shared" si="5"/>
        <v/>
      </c>
      <c r="BZ55" s="367" t="s">
        <v>1155</v>
      </c>
      <c r="CA55" s="367" t="s">
        <v>963</v>
      </c>
      <c r="CB55" s="367">
        <v>100</v>
      </c>
      <c r="CC55" s="368" t="s">
        <v>10</v>
      </c>
    </row>
    <row r="56" spans="2:81" ht="33.75" customHeight="1" x14ac:dyDescent="0.2">
      <c r="B56" s="551"/>
      <c r="C56" s="517"/>
      <c r="D56" s="503" t="str">
        <f>IF(C56="","",VLOOKUP(C56,'REL LINHAS'!$B$2:$K$2205,5,0))</f>
        <v/>
      </c>
      <c r="E56" s="321" t="str">
        <f t="shared" si="0"/>
        <v/>
      </c>
      <c r="F56" s="493"/>
      <c r="G56" s="494"/>
      <c r="H56" s="649"/>
      <c r="I56" s="650"/>
      <c r="J56" s="651"/>
      <c r="K56" s="652"/>
      <c r="L56" s="653"/>
      <c r="M56" s="654"/>
      <c r="N56" s="652"/>
      <c r="O56" s="653"/>
      <c r="P56" s="653"/>
      <c r="Q56" s="654"/>
      <c r="R56" s="655"/>
      <c r="S56" s="656"/>
      <c r="T56" s="652"/>
      <c r="U56" s="654"/>
      <c r="V56" s="652"/>
      <c r="W56" s="653"/>
      <c r="X56" s="654"/>
      <c r="Y56" s="495"/>
      <c r="Z56" s="496"/>
      <c r="AA56" s="63"/>
      <c r="AB56" s="497" t="s">
        <v>2505</v>
      </c>
      <c r="AC56" s="63"/>
      <c r="AD56" s="497" t="s">
        <v>2506</v>
      </c>
      <c r="AE56" s="63"/>
      <c r="AF56" s="497" t="s">
        <v>2507</v>
      </c>
      <c r="AG56" s="63"/>
      <c r="AH56" s="498" t="s">
        <v>441</v>
      </c>
      <c r="AJ56" s="490" t="str">
        <f>IF($B56="","",IF($R56=AJ$5,(SUM($D56*VLOOKUP($C56,ESCALA!$B$3:$O$19,14,0)+10)*2)*27,""))</f>
        <v/>
      </c>
      <c r="AK56" s="490" t="str">
        <f>IF($B56="","",IF($R56=AK$5,(SUM($D56*VLOOKUP($C56,ESCALA!$B$3:$O$19,14,0)+10)*2)*27,""))</f>
        <v/>
      </c>
      <c r="AL56" s="490" t="str">
        <f>IF($B56="","",IF($R56=AL$5,(SUM($D56*VLOOKUP($C56,ESCALA!$B$3:$O$19,14,0)+10)*2)*27,""))</f>
        <v/>
      </c>
      <c r="AM56" s="490" t="str">
        <f>IF($B56="","",IF($R56=AM$5,(SUM($D56*VLOOKUP($C56,ESCALA!$B$3:$O$19,14,0)+10)*2)*27,""))</f>
        <v/>
      </c>
      <c r="AN56" s="490" t="str">
        <f>IF($B56="","",IF($R56=AN$5,(SUM($D56*VLOOKUP($C56,ESCALA!$B$3:$O$19,14,0)+10)*2)*27,""))</f>
        <v/>
      </c>
      <c r="AO56" s="490" t="str">
        <f>IF($B56="","",IF($R56=AO$5,(SUM($D56*VLOOKUP($C56,ESCALA!$B$3:$O$19,14,0)+10)*2)*27,""))</f>
        <v/>
      </c>
      <c r="AP56" s="490" t="str">
        <f>IF($B56="","",IF($R56=AP$5,(SUM($D56*VLOOKUP($C56,ESCALA!$B$3:$O$19,14,0)+10)*2)*27,""))</f>
        <v/>
      </c>
      <c r="AQ56" s="372"/>
      <c r="AY56" s="368" t="str">
        <f>IF(PERFIL!E55="","",PERFIL!E55)</f>
        <v/>
      </c>
      <c r="AZ56" s="368" t="str">
        <f t="shared" ref="AZ56:AZ87" si="6">IF($AY56="","",VLOOKUP($AY56,$BI$5:$BK$13,2,0))</f>
        <v/>
      </c>
      <c r="BA56" s="368" t="str">
        <f t="shared" ref="BA56:BA87" si="7">IF($AY56="","",VLOOKUP($AY56,$BI$5:$BK$13,3,0))</f>
        <v/>
      </c>
      <c r="BZ56" s="367" t="s">
        <v>1134</v>
      </c>
      <c r="CA56" s="367" t="s">
        <v>964</v>
      </c>
      <c r="CB56" s="367">
        <v>100</v>
      </c>
      <c r="CC56" s="368" t="s">
        <v>10</v>
      </c>
    </row>
    <row r="57" spans="2:81" ht="33.75" customHeight="1" x14ac:dyDescent="0.2">
      <c r="B57" s="551"/>
      <c r="C57" s="517"/>
      <c r="D57" s="503" t="str">
        <f>IF(C57="","",VLOOKUP(C57,'REL LINHAS'!$B$2:$K$2205,5,0))</f>
        <v/>
      </c>
      <c r="E57" s="321" t="str">
        <f t="shared" si="0"/>
        <v/>
      </c>
      <c r="F57" s="493"/>
      <c r="G57" s="494"/>
      <c r="H57" s="649"/>
      <c r="I57" s="650"/>
      <c r="J57" s="651"/>
      <c r="K57" s="652"/>
      <c r="L57" s="653"/>
      <c r="M57" s="654"/>
      <c r="N57" s="652"/>
      <c r="O57" s="653"/>
      <c r="P57" s="653"/>
      <c r="Q57" s="654"/>
      <c r="R57" s="655"/>
      <c r="S57" s="656"/>
      <c r="T57" s="652"/>
      <c r="U57" s="654"/>
      <c r="V57" s="652"/>
      <c r="W57" s="653"/>
      <c r="X57" s="654"/>
      <c r="Y57" s="495"/>
      <c r="Z57" s="496"/>
      <c r="AA57" s="63"/>
      <c r="AB57" s="497" t="s">
        <v>2505</v>
      </c>
      <c r="AC57" s="63"/>
      <c r="AD57" s="497" t="s">
        <v>2506</v>
      </c>
      <c r="AE57" s="63"/>
      <c r="AF57" s="497" t="s">
        <v>2507</v>
      </c>
      <c r="AG57" s="63"/>
      <c r="AH57" s="498" t="s">
        <v>441</v>
      </c>
      <c r="AJ57" s="490" t="str">
        <f>IF($B57="","",IF($R57=AJ$5,(SUM($D57*VLOOKUP($C57,ESCALA!$B$3:$O$19,14,0)+10)*2)*27,""))</f>
        <v/>
      </c>
      <c r="AK57" s="490" t="str">
        <f>IF($B57="","",IF($R57=AK$5,(SUM($D57*VLOOKUP($C57,ESCALA!$B$3:$O$19,14,0)+10)*2)*27,""))</f>
        <v/>
      </c>
      <c r="AL57" s="490" t="str">
        <f>IF($B57="","",IF($R57=AL$5,(SUM($D57*VLOOKUP($C57,ESCALA!$B$3:$O$19,14,0)+10)*2)*27,""))</f>
        <v/>
      </c>
      <c r="AM57" s="490" t="str">
        <f>IF($B57="","",IF($R57=AM$5,(SUM($D57*VLOOKUP($C57,ESCALA!$B$3:$O$19,14,0)+10)*2)*27,""))</f>
        <v/>
      </c>
      <c r="AN57" s="490" t="str">
        <f>IF($B57="","",IF($R57=AN$5,(SUM($D57*VLOOKUP($C57,ESCALA!$B$3:$O$19,14,0)+10)*2)*27,""))</f>
        <v/>
      </c>
      <c r="AO57" s="490" t="str">
        <f>IF($B57="","",IF($R57=AO$5,(SUM($D57*VLOOKUP($C57,ESCALA!$B$3:$O$19,14,0)+10)*2)*27,""))</f>
        <v/>
      </c>
      <c r="AP57" s="490" t="str">
        <f>IF($B57="","",IF($R57=AP$5,(SUM($D57*VLOOKUP($C57,ESCALA!$B$3:$O$19,14,0)+10)*2)*27,""))</f>
        <v/>
      </c>
      <c r="AQ57" s="372"/>
      <c r="AY57" s="368" t="str">
        <f>IF(PERFIL!E56="","",PERFIL!E56)</f>
        <v/>
      </c>
      <c r="AZ57" s="368" t="str">
        <f t="shared" si="6"/>
        <v/>
      </c>
      <c r="BA57" s="368" t="str">
        <f t="shared" si="7"/>
        <v/>
      </c>
      <c r="BZ57" s="367" t="s">
        <v>1135</v>
      </c>
      <c r="CA57" s="367" t="s">
        <v>776</v>
      </c>
      <c r="CB57" s="367">
        <v>100</v>
      </c>
      <c r="CC57" s="368" t="s">
        <v>10</v>
      </c>
    </row>
    <row r="58" spans="2:81" ht="33.75" customHeight="1" x14ac:dyDescent="0.2">
      <c r="B58" s="551"/>
      <c r="C58" s="517"/>
      <c r="D58" s="503" t="str">
        <f>IF(C58="","",VLOOKUP(C58,'REL LINHAS'!$B$2:$K$2205,5,0))</f>
        <v/>
      </c>
      <c r="E58" s="321" t="str">
        <f t="shared" si="0"/>
        <v/>
      </c>
      <c r="F58" s="493"/>
      <c r="G58" s="494"/>
      <c r="H58" s="649"/>
      <c r="I58" s="650"/>
      <c r="J58" s="651"/>
      <c r="K58" s="652"/>
      <c r="L58" s="653"/>
      <c r="M58" s="654"/>
      <c r="N58" s="652"/>
      <c r="O58" s="653"/>
      <c r="P58" s="653"/>
      <c r="Q58" s="654"/>
      <c r="R58" s="655"/>
      <c r="S58" s="656"/>
      <c r="T58" s="652"/>
      <c r="U58" s="654"/>
      <c r="V58" s="652"/>
      <c r="W58" s="653"/>
      <c r="X58" s="654"/>
      <c r="Y58" s="495"/>
      <c r="Z58" s="496"/>
      <c r="AA58" s="63"/>
      <c r="AB58" s="497" t="s">
        <v>2505</v>
      </c>
      <c r="AC58" s="63"/>
      <c r="AD58" s="497" t="s">
        <v>2506</v>
      </c>
      <c r="AE58" s="63"/>
      <c r="AF58" s="497" t="s">
        <v>2507</v>
      </c>
      <c r="AG58" s="63"/>
      <c r="AH58" s="498" t="s">
        <v>441</v>
      </c>
      <c r="AJ58" s="490" t="str">
        <f>IF($B58="","",IF($R58=AJ$5,(SUM($D58*VLOOKUP($C58,ESCALA!$B$3:$O$19,14,0)+10)*2)*27,""))</f>
        <v/>
      </c>
      <c r="AK58" s="490" t="str">
        <f>IF($B58="","",IF($R58=AK$5,(SUM($D58*VLOOKUP($C58,ESCALA!$B$3:$O$19,14,0)+10)*2)*27,""))</f>
        <v/>
      </c>
      <c r="AL58" s="490" t="str">
        <f>IF($B58="","",IF($R58=AL$5,(SUM($D58*VLOOKUP($C58,ESCALA!$B$3:$O$19,14,0)+10)*2)*27,""))</f>
        <v/>
      </c>
      <c r="AM58" s="490" t="str">
        <f>IF($B58="","",IF($R58=AM$5,(SUM($D58*VLOOKUP($C58,ESCALA!$B$3:$O$19,14,0)+10)*2)*27,""))</f>
        <v/>
      </c>
      <c r="AN58" s="490" t="str">
        <f>IF($B58="","",IF($R58=AN$5,(SUM($D58*VLOOKUP($C58,ESCALA!$B$3:$O$19,14,0)+10)*2)*27,""))</f>
        <v/>
      </c>
      <c r="AO58" s="490" t="str">
        <f>IF($B58="","",IF($R58=AO$5,(SUM($D58*VLOOKUP($C58,ESCALA!$B$3:$O$19,14,0)+10)*2)*27,""))</f>
        <v/>
      </c>
      <c r="AP58" s="490" t="str">
        <f>IF($B58="","",IF($R58=AP$5,(SUM($D58*VLOOKUP($C58,ESCALA!$B$3:$O$19,14,0)+10)*2)*27,""))</f>
        <v/>
      </c>
      <c r="AQ58" s="372"/>
      <c r="AY58" s="368" t="str">
        <f>IF(PERFIL!E57="","",PERFIL!E57)</f>
        <v/>
      </c>
      <c r="AZ58" s="368" t="str">
        <f t="shared" si="6"/>
        <v/>
      </c>
      <c r="BA58" s="368" t="str">
        <f t="shared" si="7"/>
        <v/>
      </c>
      <c r="BZ58" s="367" t="s">
        <v>1029</v>
      </c>
      <c r="CA58" s="367" t="s">
        <v>777</v>
      </c>
      <c r="CB58" s="367">
        <v>100</v>
      </c>
      <c r="CC58" s="368" t="s">
        <v>10</v>
      </c>
    </row>
    <row r="59" spans="2:81" ht="33.75" customHeight="1" x14ac:dyDescent="0.2">
      <c r="B59" s="551"/>
      <c r="C59" s="517"/>
      <c r="D59" s="503" t="str">
        <f>IF(C59="","",VLOOKUP(C59,'REL LINHAS'!$B$2:$K$2205,5,0))</f>
        <v/>
      </c>
      <c r="E59" s="321" t="str">
        <f t="shared" si="0"/>
        <v/>
      </c>
      <c r="F59" s="493"/>
      <c r="G59" s="494"/>
      <c r="H59" s="649"/>
      <c r="I59" s="650"/>
      <c r="J59" s="651"/>
      <c r="K59" s="652"/>
      <c r="L59" s="653"/>
      <c r="M59" s="654"/>
      <c r="N59" s="652"/>
      <c r="O59" s="653"/>
      <c r="P59" s="653"/>
      <c r="Q59" s="654"/>
      <c r="R59" s="655"/>
      <c r="S59" s="656"/>
      <c r="T59" s="652"/>
      <c r="U59" s="654"/>
      <c r="V59" s="652"/>
      <c r="W59" s="653"/>
      <c r="X59" s="654"/>
      <c r="Y59" s="495"/>
      <c r="Z59" s="496"/>
      <c r="AA59" s="63"/>
      <c r="AB59" s="497" t="s">
        <v>2505</v>
      </c>
      <c r="AC59" s="63"/>
      <c r="AD59" s="497" t="s">
        <v>2506</v>
      </c>
      <c r="AE59" s="63"/>
      <c r="AF59" s="497" t="s">
        <v>2507</v>
      </c>
      <c r="AG59" s="63"/>
      <c r="AH59" s="498" t="s">
        <v>441</v>
      </c>
      <c r="AJ59" s="490" t="str">
        <f>IF($B59="","",IF($R59=AJ$5,(SUM($D59*VLOOKUP($C59,ESCALA!$B$3:$O$19,14,0)+10)*2)*27,""))</f>
        <v/>
      </c>
      <c r="AK59" s="490" t="str">
        <f>IF($B59="","",IF($R59=AK$5,(SUM($D59*VLOOKUP($C59,ESCALA!$B$3:$O$19,14,0)+10)*2)*27,""))</f>
        <v/>
      </c>
      <c r="AL59" s="490" t="str">
        <f>IF($B59="","",IF($R59=AL$5,(SUM($D59*VLOOKUP($C59,ESCALA!$B$3:$O$19,14,0)+10)*2)*27,""))</f>
        <v/>
      </c>
      <c r="AM59" s="490" t="str">
        <f>IF($B59="","",IF($R59=AM$5,(SUM($D59*VLOOKUP($C59,ESCALA!$B$3:$O$19,14,0)+10)*2)*27,""))</f>
        <v/>
      </c>
      <c r="AN59" s="490" t="str">
        <f>IF($B59="","",IF($R59=AN$5,(SUM($D59*VLOOKUP($C59,ESCALA!$B$3:$O$19,14,0)+10)*2)*27,""))</f>
        <v/>
      </c>
      <c r="AO59" s="490" t="str">
        <f>IF($B59="","",IF($R59=AO$5,(SUM($D59*VLOOKUP($C59,ESCALA!$B$3:$O$19,14,0)+10)*2)*27,""))</f>
        <v/>
      </c>
      <c r="AP59" s="490" t="str">
        <f>IF($B59="","",IF($R59=AP$5,(SUM($D59*VLOOKUP($C59,ESCALA!$B$3:$O$19,14,0)+10)*2)*27,""))</f>
        <v/>
      </c>
      <c r="AQ59" s="372"/>
      <c r="AY59" s="368" t="str">
        <f>IF(PERFIL!E58="","",PERFIL!E58)</f>
        <v/>
      </c>
      <c r="AZ59" s="368" t="str">
        <f t="shared" si="6"/>
        <v/>
      </c>
      <c r="BA59" s="368" t="str">
        <f t="shared" si="7"/>
        <v/>
      </c>
      <c r="BZ59" s="367" t="s">
        <v>1030</v>
      </c>
      <c r="CA59" s="367" t="s">
        <v>778</v>
      </c>
      <c r="CB59" s="367">
        <v>100</v>
      </c>
      <c r="CC59" s="368" t="s">
        <v>10</v>
      </c>
    </row>
    <row r="60" spans="2:81" ht="33.75" customHeight="1" x14ac:dyDescent="0.2">
      <c r="B60" s="551"/>
      <c r="C60" s="517"/>
      <c r="D60" s="503" t="str">
        <f>IF(C60="","",VLOOKUP(C60,'REL LINHAS'!$B$2:$K$2205,5,0))</f>
        <v/>
      </c>
      <c r="E60" s="321" t="str">
        <f t="shared" si="0"/>
        <v/>
      </c>
      <c r="F60" s="493"/>
      <c r="G60" s="494"/>
      <c r="H60" s="649"/>
      <c r="I60" s="650"/>
      <c r="J60" s="651"/>
      <c r="K60" s="652"/>
      <c r="L60" s="653"/>
      <c r="M60" s="654"/>
      <c r="N60" s="652"/>
      <c r="O60" s="653"/>
      <c r="P60" s="653"/>
      <c r="Q60" s="654"/>
      <c r="R60" s="655"/>
      <c r="S60" s="656"/>
      <c r="T60" s="652"/>
      <c r="U60" s="654"/>
      <c r="V60" s="652"/>
      <c r="W60" s="653"/>
      <c r="X60" s="654"/>
      <c r="Y60" s="495"/>
      <c r="Z60" s="496"/>
      <c r="AA60" s="63"/>
      <c r="AB60" s="497" t="s">
        <v>2505</v>
      </c>
      <c r="AC60" s="63"/>
      <c r="AD60" s="497" t="s">
        <v>2506</v>
      </c>
      <c r="AE60" s="63"/>
      <c r="AF60" s="497" t="s">
        <v>2507</v>
      </c>
      <c r="AG60" s="63"/>
      <c r="AH60" s="498" t="s">
        <v>441</v>
      </c>
      <c r="AJ60" s="490" t="str">
        <f>IF($B60="","",IF($R60=AJ$5,(SUM($D60*VLOOKUP($C60,ESCALA!$B$3:$O$19,14,0)+10)*2)*27,""))</f>
        <v/>
      </c>
      <c r="AK60" s="490" t="str">
        <f>IF($B60="","",IF($R60=AK$5,(SUM($D60*VLOOKUP($C60,ESCALA!$B$3:$O$19,14,0)+10)*2)*27,""))</f>
        <v/>
      </c>
      <c r="AL60" s="490" t="str">
        <f>IF($B60="","",IF($R60=AL$5,(SUM($D60*VLOOKUP($C60,ESCALA!$B$3:$O$19,14,0)+10)*2)*27,""))</f>
        <v/>
      </c>
      <c r="AM60" s="490" t="str">
        <f>IF($B60="","",IF($R60=AM$5,(SUM($D60*VLOOKUP($C60,ESCALA!$B$3:$O$19,14,0)+10)*2)*27,""))</f>
        <v/>
      </c>
      <c r="AN60" s="490" t="str">
        <f>IF($B60="","",IF($R60=AN$5,(SUM($D60*VLOOKUP($C60,ESCALA!$B$3:$O$19,14,0)+10)*2)*27,""))</f>
        <v/>
      </c>
      <c r="AO60" s="490" t="str">
        <f>IF($B60="","",IF($R60=AO$5,(SUM($D60*VLOOKUP($C60,ESCALA!$B$3:$O$19,14,0)+10)*2)*27,""))</f>
        <v/>
      </c>
      <c r="AP60" s="490" t="str">
        <f>IF($B60="","",IF($R60=AP$5,(SUM($D60*VLOOKUP($C60,ESCALA!$B$3:$O$19,14,0)+10)*2)*27,""))</f>
        <v/>
      </c>
      <c r="AQ60" s="372"/>
      <c r="AY60" s="368" t="str">
        <f>IF(PERFIL!E59="","",PERFIL!E59)</f>
        <v/>
      </c>
      <c r="AZ60" s="368" t="str">
        <f t="shared" si="6"/>
        <v/>
      </c>
      <c r="BA60" s="368" t="str">
        <f t="shared" si="7"/>
        <v/>
      </c>
      <c r="BY60" s="367" t="s">
        <v>498</v>
      </c>
      <c r="BZ60" s="367" t="s">
        <v>2714</v>
      </c>
      <c r="CA60" s="367" t="s">
        <v>965</v>
      </c>
      <c r="CB60" s="367">
        <v>250</v>
      </c>
      <c r="CC60" s="368" t="s">
        <v>10</v>
      </c>
    </row>
    <row r="61" spans="2:81" ht="33.75" customHeight="1" x14ac:dyDescent="0.2">
      <c r="B61" s="551"/>
      <c r="C61" s="517"/>
      <c r="D61" s="503" t="str">
        <f>IF(C61="","",VLOOKUP(C61,'REL LINHAS'!$B$2:$K$2205,5,0))</f>
        <v/>
      </c>
      <c r="E61" s="321" t="str">
        <f t="shared" si="0"/>
        <v/>
      </c>
      <c r="F61" s="493"/>
      <c r="G61" s="494"/>
      <c r="H61" s="649"/>
      <c r="I61" s="650"/>
      <c r="J61" s="651"/>
      <c r="K61" s="652"/>
      <c r="L61" s="653"/>
      <c r="M61" s="654"/>
      <c r="N61" s="652"/>
      <c r="O61" s="653"/>
      <c r="P61" s="653"/>
      <c r="Q61" s="654"/>
      <c r="R61" s="655"/>
      <c r="S61" s="656"/>
      <c r="T61" s="652"/>
      <c r="U61" s="654"/>
      <c r="V61" s="652"/>
      <c r="W61" s="653"/>
      <c r="X61" s="654"/>
      <c r="Y61" s="495"/>
      <c r="Z61" s="496"/>
      <c r="AA61" s="63"/>
      <c r="AB61" s="497" t="s">
        <v>2505</v>
      </c>
      <c r="AC61" s="63"/>
      <c r="AD61" s="497" t="s">
        <v>2506</v>
      </c>
      <c r="AE61" s="63"/>
      <c r="AF61" s="497" t="s">
        <v>2507</v>
      </c>
      <c r="AG61" s="63"/>
      <c r="AH61" s="498" t="s">
        <v>441</v>
      </c>
      <c r="AJ61" s="490" t="str">
        <f>IF($B61="","",IF($R61=AJ$5,(SUM($D61*VLOOKUP($C61,ESCALA!$B$3:$O$19,14,0)+10)*2)*27,""))</f>
        <v/>
      </c>
      <c r="AK61" s="490" t="str">
        <f>IF($B61="","",IF($R61=AK$5,(SUM($D61*VLOOKUP($C61,ESCALA!$B$3:$O$19,14,0)+10)*2)*27,""))</f>
        <v/>
      </c>
      <c r="AL61" s="490" t="str">
        <f>IF($B61="","",IF($R61=AL$5,(SUM($D61*VLOOKUP($C61,ESCALA!$B$3:$O$19,14,0)+10)*2)*27,""))</f>
        <v/>
      </c>
      <c r="AM61" s="490" t="str">
        <f>IF($B61="","",IF($R61=AM$5,(SUM($D61*VLOOKUP($C61,ESCALA!$B$3:$O$19,14,0)+10)*2)*27,""))</f>
        <v/>
      </c>
      <c r="AN61" s="490" t="str">
        <f>IF($B61="","",IF($R61=AN$5,(SUM($D61*VLOOKUP($C61,ESCALA!$B$3:$O$19,14,0)+10)*2)*27,""))</f>
        <v/>
      </c>
      <c r="AO61" s="490" t="str">
        <f>IF($B61="","",IF($R61=AO$5,(SUM($D61*VLOOKUP($C61,ESCALA!$B$3:$O$19,14,0)+10)*2)*27,""))</f>
        <v/>
      </c>
      <c r="AP61" s="490" t="str">
        <f>IF($B61="","",IF($R61=AP$5,(SUM($D61*VLOOKUP($C61,ESCALA!$B$3:$O$19,14,0)+10)*2)*27,""))</f>
        <v/>
      </c>
      <c r="AQ61" s="372"/>
      <c r="AY61" s="368" t="str">
        <f>IF(PERFIL!E60="","",PERFIL!E60)</f>
        <v/>
      </c>
      <c r="AZ61" s="368" t="str">
        <f t="shared" si="6"/>
        <v/>
      </c>
      <c r="BA61" s="368" t="str">
        <f t="shared" si="7"/>
        <v/>
      </c>
      <c r="BY61" s="367" t="s">
        <v>573</v>
      </c>
      <c r="BZ61" s="367" t="s">
        <v>2695</v>
      </c>
      <c r="CA61" s="367" t="s">
        <v>966</v>
      </c>
      <c r="CB61" s="367">
        <v>150</v>
      </c>
      <c r="CC61" s="368" t="s">
        <v>220</v>
      </c>
    </row>
    <row r="62" spans="2:81" ht="33.75" customHeight="1" x14ac:dyDescent="0.2">
      <c r="B62" s="551"/>
      <c r="C62" s="517"/>
      <c r="D62" s="503" t="str">
        <f>IF(C62="","",VLOOKUP(C62,'REL LINHAS'!$B$2:$K$2205,5,0))</f>
        <v/>
      </c>
      <c r="E62" s="321" t="str">
        <f t="shared" si="0"/>
        <v/>
      </c>
      <c r="F62" s="493"/>
      <c r="G62" s="494"/>
      <c r="H62" s="649"/>
      <c r="I62" s="650"/>
      <c r="J62" s="651"/>
      <c r="K62" s="652"/>
      <c r="L62" s="653"/>
      <c r="M62" s="654"/>
      <c r="N62" s="652"/>
      <c r="O62" s="653"/>
      <c r="P62" s="653"/>
      <c r="Q62" s="654"/>
      <c r="R62" s="655"/>
      <c r="S62" s="656"/>
      <c r="T62" s="652"/>
      <c r="U62" s="654"/>
      <c r="V62" s="652"/>
      <c r="W62" s="653"/>
      <c r="X62" s="654"/>
      <c r="Y62" s="495"/>
      <c r="Z62" s="496"/>
      <c r="AA62" s="63"/>
      <c r="AB62" s="497" t="s">
        <v>2505</v>
      </c>
      <c r="AC62" s="63"/>
      <c r="AD62" s="497" t="s">
        <v>2506</v>
      </c>
      <c r="AE62" s="63"/>
      <c r="AF62" s="497" t="s">
        <v>2507</v>
      </c>
      <c r="AG62" s="63"/>
      <c r="AH62" s="498" t="s">
        <v>441</v>
      </c>
      <c r="AJ62" s="490" t="str">
        <f>IF($B62="","",IF($R62=AJ$5,(SUM($D62*VLOOKUP($C62,ESCALA!$B$3:$O$19,14,0)+10)*2)*27,""))</f>
        <v/>
      </c>
      <c r="AK62" s="490" t="str">
        <f>IF($B62="","",IF($R62=AK$5,(SUM($D62*VLOOKUP($C62,ESCALA!$B$3:$O$19,14,0)+10)*2)*27,""))</f>
        <v/>
      </c>
      <c r="AL62" s="490" t="str">
        <f>IF($B62="","",IF($R62=AL$5,(SUM($D62*VLOOKUP($C62,ESCALA!$B$3:$O$19,14,0)+10)*2)*27,""))</f>
        <v/>
      </c>
      <c r="AM62" s="490" t="str">
        <f>IF($B62="","",IF($R62=AM$5,(SUM($D62*VLOOKUP($C62,ESCALA!$B$3:$O$19,14,0)+10)*2)*27,""))</f>
        <v/>
      </c>
      <c r="AN62" s="490" t="str">
        <f>IF($B62="","",IF($R62=AN$5,(SUM($D62*VLOOKUP($C62,ESCALA!$B$3:$O$19,14,0)+10)*2)*27,""))</f>
        <v/>
      </c>
      <c r="AO62" s="490" t="str">
        <f>IF($B62="","",IF($R62=AO$5,(SUM($D62*VLOOKUP($C62,ESCALA!$B$3:$O$19,14,0)+10)*2)*27,""))</f>
        <v/>
      </c>
      <c r="AP62" s="490" t="str">
        <f>IF($B62="","",IF($R62=AP$5,(SUM($D62*VLOOKUP($C62,ESCALA!$B$3:$O$19,14,0)+10)*2)*27,""))</f>
        <v/>
      </c>
      <c r="AQ62" s="372"/>
      <c r="AY62" s="368" t="str">
        <f>IF(PERFIL!E61="","",PERFIL!E61)</f>
        <v/>
      </c>
      <c r="AZ62" s="368" t="str">
        <f t="shared" si="6"/>
        <v/>
      </c>
      <c r="BA62" s="368" t="str">
        <f t="shared" si="7"/>
        <v/>
      </c>
      <c r="BY62" s="367" t="s">
        <v>573</v>
      </c>
      <c r="BZ62" s="367" t="s">
        <v>2636</v>
      </c>
      <c r="CA62" s="367" t="s">
        <v>967</v>
      </c>
      <c r="CB62" s="367">
        <v>100</v>
      </c>
      <c r="CC62" s="368" t="s">
        <v>220</v>
      </c>
    </row>
    <row r="63" spans="2:81" ht="33.75" customHeight="1" x14ac:dyDescent="0.2">
      <c r="B63" s="551"/>
      <c r="C63" s="517"/>
      <c r="D63" s="503" t="str">
        <f>IF(C63="","",VLOOKUP(C63,'REL LINHAS'!$B$2:$K$2205,5,0))</f>
        <v/>
      </c>
      <c r="E63" s="321" t="str">
        <f t="shared" si="0"/>
        <v/>
      </c>
      <c r="F63" s="493"/>
      <c r="G63" s="494"/>
      <c r="H63" s="649"/>
      <c r="I63" s="650"/>
      <c r="J63" s="651"/>
      <c r="K63" s="652"/>
      <c r="L63" s="653"/>
      <c r="M63" s="654"/>
      <c r="N63" s="652"/>
      <c r="O63" s="653"/>
      <c r="P63" s="653"/>
      <c r="Q63" s="654"/>
      <c r="R63" s="655"/>
      <c r="S63" s="656"/>
      <c r="T63" s="652"/>
      <c r="U63" s="654"/>
      <c r="V63" s="652"/>
      <c r="W63" s="653"/>
      <c r="X63" s="654"/>
      <c r="Y63" s="495"/>
      <c r="Z63" s="496"/>
      <c r="AA63" s="63"/>
      <c r="AB63" s="497" t="s">
        <v>2505</v>
      </c>
      <c r="AC63" s="63"/>
      <c r="AD63" s="497" t="s">
        <v>2506</v>
      </c>
      <c r="AE63" s="63"/>
      <c r="AF63" s="497" t="s">
        <v>2507</v>
      </c>
      <c r="AG63" s="63"/>
      <c r="AH63" s="498" t="s">
        <v>441</v>
      </c>
      <c r="AJ63" s="490" t="str">
        <f>IF($B63="","",IF($R63=AJ$5,(SUM($D63*VLOOKUP($C63,ESCALA!$B$3:$O$19,14,0)+10)*2)*27,""))</f>
        <v/>
      </c>
      <c r="AK63" s="490" t="str">
        <f>IF($B63="","",IF($R63=AK$5,(SUM($D63*VLOOKUP($C63,ESCALA!$B$3:$O$19,14,0)+10)*2)*27,""))</f>
        <v/>
      </c>
      <c r="AL63" s="490" t="str">
        <f>IF($B63="","",IF($R63=AL$5,(SUM($D63*VLOOKUP($C63,ESCALA!$B$3:$O$19,14,0)+10)*2)*27,""))</f>
        <v/>
      </c>
      <c r="AM63" s="490" t="str">
        <f>IF($B63="","",IF($R63=AM$5,(SUM($D63*VLOOKUP($C63,ESCALA!$B$3:$O$19,14,0)+10)*2)*27,""))</f>
        <v/>
      </c>
      <c r="AN63" s="490" t="str">
        <f>IF($B63="","",IF($R63=AN$5,(SUM($D63*VLOOKUP($C63,ESCALA!$B$3:$O$19,14,0)+10)*2)*27,""))</f>
        <v/>
      </c>
      <c r="AO63" s="490" t="str">
        <f>IF($B63="","",IF($R63=AO$5,(SUM($D63*VLOOKUP($C63,ESCALA!$B$3:$O$19,14,0)+10)*2)*27,""))</f>
        <v/>
      </c>
      <c r="AP63" s="490" t="str">
        <f>IF($B63="","",IF($R63=AP$5,(SUM($D63*VLOOKUP($C63,ESCALA!$B$3:$O$19,14,0)+10)*2)*27,""))</f>
        <v/>
      </c>
      <c r="AQ63" s="372"/>
      <c r="AY63" s="368" t="str">
        <f>IF(PERFIL!E62="","",PERFIL!E62)</f>
        <v/>
      </c>
      <c r="AZ63" s="368" t="str">
        <f t="shared" si="6"/>
        <v/>
      </c>
      <c r="BA63" s="368" t="str">
        <f t="shared" si="7"/>
        <v/>
      </c>
      <c r="BY63" s="367" t="s">
        <v>573</v>
      </c>
      <c r="BZ63" s="367" t="s">
        <v>2645</v>
      </c>
      <c r="CA63" s="367" t="s">
        <v>968</v>
      </c>
      <c r="CB63" s="367">
        <v>75</v>
      </c>
      <c r="CC63" s="368" t="s">
        <v>220</v>
      </c>
    </row>
    <row r="64" spans="2:81" ht="33.75" customHeight="1" x14ac:dyDescent="0.2">
      <c r="B64" s="551"/>
      <c r="C64" s="517"/>
      <c r="D64" s="503" t="str">
        <f>IF(C64="","",VLOOKUP(C64,'REL LINHAS'!$B$2:$K$2205,5,0))</f>
        <v/>
      </c>
      <c r="E64" s="321" t="str">
        <f t="shared" si="0"/>
        <v/>
      </c>
      <c r="F64" s="493"/>
      <c r="G64" s="494"/>
      <c r="H64" s="649"/>
      <c r="I64" s="650"/>
      <c r="J64" s="651"/>
      <c r="K64" s="652"/>
      <c r="L64" s="653"/>
      <c r="M64" s="654"/>
      <c r="N64" s="652"/>
      <c r="O64" s="653"/>
      <c r="P64" s="653"/>
      <c r="Q64" s="654"/>
      <c r="R64" s="655"/>
      <c r="S64" s="656"/>
      <c r="T64" s="652"/>
      <c r="U64" s="654"/>
      <c r="V64" s="652"/>
      <c r="W64" s="653"/>
      <c r="X64" s="654"/>
      <c r="Y64" s="495"/>
      <c r="Z64" s="496"/>
      <c r="AA64" s="63"/>
      <c r="AB64" s="497" t="s">
        <v>2505</v>
      </c>
      <c r="AC64" s="63"/>
      <c r="AD64" s="497" t="s">
        <v>2506</v>
      </c>
      <c r="AE64" s="63"/>
      <c r="AF64" s="497" t="s">
        <v>2507</v>
      </c>
      <c r="AG64" s="63"/>
      <c r="AH64" s="498" t="s">
        <v>441</v>
      </c>
      <c r="AJ64" s="490" t="str">
        <f>IF($B64="","",IF($R64=AJ$5,(SUM($D64*VLOOKUP($C64,ESCALA!$B$3:$O$19,14,0)+10)*2)*27,""))</f>
        <v/>
      </c>
      <c r="AK64" s="490" t="str">
        <f>IF($B64="","",IF($R64=AK$5,(SUM($D64*VLOOKUP($C64,ESCALA!$B$3:$O$19,14,0)+10)*2)*27,""))</f>
        <v/>
      </c>
      <c r="AL64" s="490" t="str">
        <f>IF($B64="","",IF($R64=AL$5,(SUM($D64*VLOOKUP($C64,ESCALA!$B$3:$O$19,14,0)+10)*2)*27,""))</f>
        <v/>
      </c>
      <c r="AM64" s="490" t="str">
        <f>IF($B64="","",IF($R64=AM$5,(SUM($D64*VLOOKUP($C64,ESCALA!$B$3:$O$19,14,0)+10)*2)*27,""))</f>
        <v/>
      </c>
      <c r="AN64" s="490" t="str">
        <f>IF($B64="","",IF($R64=AN$5,(SUM($D64*VLOOKUP($C64,ESCALA!$B$3:$O$19,14,0)+10)*2)*27,""))</f>
        <v/>
      </c>
      <c r="AO64" s="490" t="str">
        <f>IF($B64="","",IF($R64=AO$5,(SUM($D64*VLOOKUP($C64,ESCALA!$B$3:$O$19,14,0)+10)*2)*27,""))</f>
        <v/>
      </c>
      <c r="AP64" s="490" t="str">
        <f>IF($B64="","",IF($R64=AP$5,(SUM($D64*VLOOKUP($C64,ESCALA!$B$3:$O$19,14,0)+10)*2)*27,""))</f>
        <v/>
      </c>
      <c r="AQ64" s="372"/>
      <c r="AY64" s="368" t="str">
        <f>IF(PERFIL!E63="","",PERFIL!E63)</f>
        <v/>
      </c>
      <c r="AZ64" s="368" t="str">
        <f t="shared" si="6"/>
        <v/>
      </c>
      <c r="BA64" s="368" t="str">
        <f t="shared" si="7"/>
        <v/>
      </c>
      <c r="BY64" s="367" t="s">
        <v>573</v>
      </c>
      <c r="BZ64" s="367" t="s">
        <v>2646</v>
      </c>
      <c r="CA64" s="367" t="s">
        <v>969</v>
      </c>
      <c r="CB64" s="367">
        <v>75</v>
      </c>
      <c r="CC64" s="368" t="s">
        <v>220</v>
      </c>
    </row>
    <row r="65" spans="2:81" ht="33.75" customHeight="1" x14ac:dyDescent="0.2">
      <c r="B65" s="551"/>
      <c r="C65" s="517"/>
      <c r="D65" s="503" t="str">
        <f>IF(C65="","",VLOOKUP(C65,'REL LINHAS'!$B$2:$K$2205,5,0))</f>
        <v/>
      </c>
      <c r="E65" s="321" t="str">
        <f t="shared" si="0"/>
        <v/>
      </c>
      <c r="F65" s="493"/>
      <c r="G65" s="494"/>
      <c r="H65" s="649"/>
      <c r="I65" s="650"/>
      <c r="J65" s="651"/>
      <c r="K65" s="652"/>
      <c r="L65" s="653"/>
      <c r="M65" s="654"/>
      <c r="N65" s="652"/>
      <c r="O65" s="653"/>
      <c r="P65" s="653"/>
      <c r="Q65" s="654"/>
      <c r="R65" s="655"/>
      <c r="S65" s="656"/>
      <c r="T65" s="652"/>
      <c r="U65" s="654"/>
      <c r="V65" s="652"/>
      <c r="W65" s="653"/>
      <c r="X65" s="654"/>
      <c r="Y65" s="495"/>
      <c r="Z65" s="496"/>
      <c r="AA65" s="63"/>
      <c r="AB65" s="497" t="s">
        <v>2505</v>
      </c>
      <c r="AC65" s="63"/>
      <c r="AD65" s="497" t="s">
        <v>2506</v>
      </c>
      <c r="AE65" s="63"/>
      <c r="AF65" s="497" t="s">
        <v>2507</v>
      </c>
      <c r="AG65" s="63"/>
      <c r="AH65" s="498" t="s">
        <v>441</v>
      </c>
      <c r="AJ65" s="490" t="str">
        <f>IF($B65="","",IF($R65=AJ$5,(SUM($D65*VLOOKUP($C65,ESCALA!$B$3:$O$19,14,0)+10)*2)*27,""))</f>
        <v/>
      </c>
      <c r="AK65" s="490" t="str">
        <f>IF($B65="","",IF($R65=AK$5,(SUM($D65*VLOOKUP($C65,ESCALA!$B$3:$O$19,14,0)+10)*2)*27,""))</f>
        <v/>
      </c>
      <c r="AL65" s="490" t="str">
        <f>IF($B65="","",IF($R65=AL$5,(SUM($D65*VLOOKUP($C65,ESCALA!$B$3:$O$19,14,0)+10)*2)*27,""))</f>
        <v/>
      </c>
      <c r="AM65" s="490" t="str">
        <f>IF($B65="","",IF($R65=AM$5,(SUM($D65*VLOOKUP($C65,ESCALA!$B$3:$O$19,14,0)+10)*2)*27,""))</f>
        <v/>
      </c>
      <c r="AN65" s="490" t="str">
        <f>IF($B65="","",IF($R65=AN$5,(SUM($D65*VLOOKUP($C65,ESCALA!$B$3:$O$19,14,0)+10)*2)*27,""))</f>
        <v/>
      </c>
      <c r="AO65" s="490" t="str">
        <f>IF($B65="","",IF($R65=AO$5,(SUM($D65*VLOOKUP($C65,ESCALA!$B$3:$O$19,14,0)+10)*2)*27,""))</f>
        <v/>
      </c>
      <c r="AP65" s="490" t="str">
        <f>IF($B65="","",IF($R65=AP$5,(SUM($D65*VLOOKUP($C65,ESCALA!$B$3:$O$19,14,0)+10)*2)*27,""))</f>
        <v/>
      </c>
      <c r="AQ65" s="372"/>
      <c r="AY65" s="368" t="str">
        <f>IF(PERFIL!E64="","",PERFIL!E64)</f>
        <v/>
      </c>
      <c r="AZ65" s="368" t="str">
        <f t="shared" si="6"/>
        <v/>
      </c>
      <c r="BA65" s="368" t="str">
        <f t="shared" si="7"/>
        <v/>
      </c>
      <c r="BZ65" s="367" t="s">
        <v>2668</v>
      </c>
      <c r="CA65" s="367" t="s">
        <v>970</v>
      </c>
      <c r="CB65" s="367">
        <v>100</v>
      </c>
      <c r="CC65" s="368" t="s">
        <v>10</v>
      </c>
    </row>
    <row r="66" spans="2:81" ht="33.75" customHeight="1" x14ac:dyDescent="0.2">
      <c r="B66" s="551"/>
      <c r="C66" s="517"/>
      <c r="D66" s="503" t="str">
        <f>IF(C66="","",VLOOKUP(C66,'REL LINHAS'!$B$2:$K$2205,5,0))</f>
        <v/>
      </c>
      <c r="E66" s="321" t="str">
        <f t="shared" si="0"/>
        <v/>
      </c>
      <c r="F66" s="493"/>
      <c r="G66" s="494"/>
      <c r="H66" s="649"/>
      <c r="I66" s="650"/>
      <c r="J66" s="651"/>
      <c r="K66" s="652"/>
      <c r="L66" s="653"/>
      <c r="M66" s="654"/>
      <c r="N66" s="652"/>
      <c r="O66" s="653"/>
      <c r="P66" s="653"/>
      <c r="Q66" s="654"/>
      <c r="R66" s="655"/>
      <c r="S66" s="656"/>
      <c r="T66" s="652"/>
      <c r="U66" s="654"/>
      <c r="V66" s="652"/>
      <c r="W66" s="653"/>
      <c r="X66" s="654"/>
      <c r="Y66" s="495"/>
      <c r="Z66" s="496"/>
      <c r="AA66" s="63"/>
      <c r="AB66" s="497" t="s">
        <v>2505</v>
      </c>
      <c r="AC66" s="63"/>
      <c r="AD66" s="497" t="s">
        <v>2506</v>
      </c>
      <c r="AE66" s="63"/>
      <c r="AF66" s="497" t="s">
        <v>2507</v>
      </c>
      <c r="AG66" s="63"/>
      <c r="AH66" s="498" t="s">
        <v>441</v>
      </c>
      <c r="AJ66" s="490" t="str">
        <f>IF($B66="","",IF($R66=AJ$5,(SUM($D66*VLOOKUP($C66,ESCALA!$B$3:$O$19,14,0)+10)*2)*27,""))</f>
        <v/>
      </c>
      <c r="AK66" s="490" t="str">
        <f>IF($B66="","",IF($R66=AK$5,(SUM($D66*VLOOKUP($C66,ESCALA!$B$3:$O$19,14,0)+10)*2)*27,""))</f>
        <v/>
      </c>
      <c r="AL66" s="490" t="str">
        <f>IF($B66="","",IF($R66=AL$5,(SUM($D66*VLOOKUP($C66,ESCALA!$B$3:$O$19,14,0)+10)*2)*27,""))</f>
        <v/>
      </c>
      <c r="AM66" s="490" t="str">
        <f>IF($B66="","",IF($R66=AM$5,(SUM($D66*VLOOKUP($C66,ESCALA!$B$3:$O$19,14,0)+10)*2)*27,""))</f>
        <v/>
      </c>
      <c r="AN66" s="490" t="str">
        <f>IF($B66="","",IF($R66=AN$5,(SUM($D66*VLOOKUP($C66,ESCALA!$B$3:$O$19,14,0)+10)*2)*27,""))</f>
        <v/>
      </c>
      <c r="AO66" s="490" t="str">
        <f>IF($B66="","",IF($R66=AO$5,(SUM($D66*VLOOKUP($C66,ESCALA!$B$3:$O$19,14,0)+10)*2)*27,""))</f>
        <v/>
      </c>
      <c r="AP66" s="490" t="str">
        <f>IF($B66="","",IF($R66=AP$5,(SUM($D66*VLOOKUP($C66,ESCALA!$B$3:$O$19,14,0)+10)*2)*27,""))</f>
        <v/>
      </c>
      <c r="AQ66" s="372"/>
      <c r="AY66" s="368" t="str">
        <f>IF(PERFIL!E65="","",PERFIL!E65)</f>
        <v/>
      </c>
      <c r="AZ66" s="368" t="str">
        <f t="shared" si="6"/>
        <v/>
      </c>
      <c r="BA66" s="368" t="str">
        <f t="shared" si="7"/>
        <v/>
      </c>
      <c r="BZ66" s="367" t="s">
        <v>2671</v>
      </c>
      <c r="CA66" s="367" t="s">
        <v>971</v>
      </c>
      <c r="CB66" s="367">
        <v>100</v>
      </c>
      <c r="CC66" s="368" t="s">
        <v>10</v>
      </c>
    </row>
    <row r="67" spans="2:81" ht="33.75" customHeight="1" x14ac:dyDescent="0.2">
      <c r="B67" s="551"/>
      <c r="C67" s="517"/>
      <c r="D67" s="503" t="str">
        <f>IF(C67="","",VLOOKUP(C67,'REL LINHAS'!$B$2:$K$2205,5,0))</f>
        <v/>
      </c>
      <c r="E67" s="321" t="str">
        <f t="shared" si="0"/>
        <v/>
      </c>
      <c r="F67" s="493"/>
      <c r="G67" s="494"/>
      <c r="H67" s="649"/>
      <c r="I67" s="650"/>
      <c r="J67" s="651"/>
      <c r="K67" s="652"/>
      <c r="L67" s="653"/>
      <c r="M67" s="654"/>
      <c r="N67" s="652"/>
      <c r="O67" s="653"/>
      <c r="P67" s="653"/>
      <c r="Q67" s="654"/>
      <c r="R67" s="655"/>
      <c r="S67" s="656"/>
      <c r="T67" s="652"/>
      <c r="U67" s="654"/>
      <c r="V67" s="652"/>
      <c r="W67" s="653"/>
      <c r="X67" s="654"/>
      <c r="Y67" s="495"/>
      <c r="Z67" s="496"/>
      <c r="AA67" s="63"/>
      <c r="AB67" s="497" t="s">
        <v>2505</v>
      </c>
      <c r="AC67" s="63"/>
      <c r="AD67" s="497" t="s">
        <v>2506</v>
      </c>
      <c r="AE67" s="63"/>
      <c r="AF67" s="497" t="s">
        <v>2507</v>
      </c>
      <c r="AG67" s="63"/>
      <c r="AH67" s="498" t="s">
        <v>441</v>
      </c>
      <c r="AJ67" s="490" t="str">
        <f>IF($B67="","",IF($R67=AJ$5,(SUM($D67*VLOOKUP($C67,ESCALA!$B$3:$O$19,14,0)+10)*2)*27,""))</f>
        <v/>
      </c>
      <c r="AK67" s="490" t="str">
        <f>IF($B67="","",IF($R67=AK$5,(SUM($D67*VLOOKUP($C67,ESCALA!$B$3:$O$19,14,0)+10)*2)*27,""))</f>
        <v/>
      </c>
      <c r="AL67" s="490" t="str">
        <f>IF($B67="","",IF($R67=AL$5,(SUM($D67*VLOOKUP($C67,ESCALA!$B$3:$O$19,14,0)+10)*2)*27,""))</f>
        <v/>
      </c>
      <c r="AM67" s="490" t="str">
        <f>IF($B67="","",IF($R67=AM$5,(SUM($D67*VLOOKUP($C67,ESCALA!$B$3:$O$19,14,0)+10)*2)*27,""))</f>
        <v/>
      </c>
      <c r="AN67" s="490" t="str">
        <f>IF($B67="","",IF($R67=AN$5,(SUM($D67*VLOOKUP($C67,ESCALA!$B$3:$O$19,14,0)+10)*2)*27,""))</f>
        <v/>
      </c>
      <c r="AO67" s="490" t="str">
        <f>IF($B67="","",IF($R67=AO$5,(SUM($D67*VLOOKUP($C67,ESCALA!$B$3:$O$19,14,0)+10)*2)*27,""))</f>
        <v/>
      </c>
      <c r="AP67" s="490" t="str">
        <f>IF($B67="","",IF($R67=AP$5,(SUM($D67*VLOOKUP($C67,ESCALA!$B$3:$O$19,14,0)+10)*2)*27,""))</f>
        <v/>
      </c>
      <c r="AY67" s="368" t="str">
        <f>IF(PERFIL!E66="","",PERFIL!E66)</f>
        <v/>
      </c>
      <c r="AZ67" s="368" t="str">
        <f t="shared" si="6"/>
        <v/>
      </c>
      <c r="BA67" s="368" t="str">
        <f t="shared" si="7"/>
        <v/>
      </c>
      <c r="BZ67" s="367" t="s">
        <v>2696</v>
      </c>
      <c r="CA67" s="367" t="s">
        <v>972</v>
      </c>
      <c r="CB67" s="367">
        <v>75</v>
      </c>
      <c r="CC67" s="368" t="s">
        <v>10</v>
      </c>
    </row>
    <row r="68" spans="2:81" ht="33.75" customHeight="1" x14ac:dyDescent="0.2">
      <c r="B68" s="551"/>
      <c r="C68" s="517"/>
      <c r="D68" s="503" t="str">
        <f>IF(C68="","",VLOOKUP(C68,'REL LINHAS'!$B$2:$K$2205,5,0))</f>
        <v/>
      </c>
      <c r="E68" s="321" t="str">
        <f t="shared" si="0"/>
        <v/>
      </c>
      <c r="F68" s="493"/>
      <c r="G68" s="494"/>
      <c r="H68" s="649"/>
      <c r="I68" s="650"/>
      <c r="J68" s="651"/>
      <c r="K68" s="652"/>
      <c r="L68" s="653"/>
      <c r="M68" s="654"/>
      <c r="N68" s="652"/>
      <c r="O68" s="653"/>
      <c r="P68" s="653"/>
      <c r="Q68" s="654"/>
      <c r="R68" s="655"/>
      <c r="S68" s="656"/>
      <c r="T68" s="652"/>
      <c r="U68" s="654"/>
      <c r="V68" s="652"/>
      <c r="W68" s="653"/>
      <c r="X68" s="654"/>
      <c r="Y68" s="495"/>
      <c r="Z68" s="496"/>
      <c r="AA68" s="63"/>
      <c r="AB68" s="497" t="s">
        <v>2505</v>
      </c>
      <c r="AC68" s="63"/>
      <c r="AD68" s="497" t="s">
        <v>2506</v>
      </c>
      <c r="AE68" s="63"/>
      <c r="AF68" s="497" t="s">
        <v>2507</v>
      </c>
      <c r="AG68" s="63"/>
      <c r="AH68" s="498" t="s">
        <v>441</v>
      </c>
      <c r="AJ68" s="490" t="str">
        <f>IF($B68="","",IF($R68=AJ$5,(SUM($D68*VLOOKUP($C68,ESCALA!$B$3:$O$19,14,0)+10)*2)*27,""))</f>
        <v/>
      </c>
      <c r="AK68" s="490" t="str">
        <f>IF($B68="","",IF($R68=AK$5,(SUM($D68*VLOOKUP($C68,ESCALA!$B$3:$O$19,14,0)+10)*2)*27,""))</f>
        <v/>
      </c>
      <c r="AL68" s="490" t="str">
        <f>IF($B68="","",IF($R68=AL$5,(SUM($D68*VLOOKUP($C68,ESCALA!$B$3:$O$19,14,0)+10)*2)*27,""))</f>
        <v/>
      </c>
      <c r="AM68" s="490" t="str">
        <f>IF($B68="","",IF($R68=AM$5,(SUM($D68*VLOOKUP($C68,ESCALA!$B$3:$O$19,14,0)+10)*2)*27,""))</f>
        <v/>
      </c>
      <c r="AN68" s="490" t="str">
        <f>IF($B68="","",IF($R68=AN$5,(SUM($D68*VLOOKUP($C68,ESCALA!$B$3:$O$19,14,0)+10)*2)*27,""))</f>
        <v/>
      </c>
      <c r="AO68" s="490" t="str">
        <f>IF($B68="","",IF($R68=AO$5,(SUM($D68*VLOOKUP($C68,ESCALA!$B$3:$O$19,14,0)+10)*2)*27,""))</f>
        <v/>
      </c>
      <c r="AP68" s="490" t="str">
        <f>IF($B68="","",IF($R68=AP$5,(SUM($D68*VLOOKUP($C68,ESCALA!$B$3:$O$19,14,0)+10)*2)*27,""))</f>
        <v/>
      </c>
      <c r="AY68" s="368" t="str">
        <f>IF(PERFIL!E67="","",PERFIL!E67)</f>
        <v/>
      </c>
      <c r="AZ68" s="368" t="str">
        <f t="shared" si="6"/>
        <v/>
      </c>
      <c r="BA68" s="368" t="str">
        <f t="shared" si="7"/>
        <v/>
      </c>
      <c r="BZ68" s="367" t="s">
        <v>2641</v>
      </c>
      <c r="CA68" s="367" t="s">
        <v>973</v>
      </c>
      <c r="CB68" s="367">
        <v>75</v>
      </c>
      <c r="CC68" s="368" t="s">
        <v>10</v>
      </c>
    </row>
    <row r="69" spans="2:81" ht="33.75" customHeight="1" x14ac:dyDescent="0.2">
      <c r="B69" s="551"/>
      <c r="C69" s="517"/>
      <c r="D69" s="503" t="str">
        <f>IF(C69="","",VLOOKUP(C69,'REL LINHAS'!$B$2:$K$2205,5,0))</f>
        <v/>
      </c>
      <c r="E69" s="321" t="str">
        <f t="shared" si="0"/>
        <v/>
      </c>
      <c r="F69" s="493"/>
      <c r="G69" s="494"/>
      <c r="H69" s="649"/>
      <c r="I69" s="650"/>
      <c r="J69" s="651"/>
      <c r="K69" s="652"/>
      <c r="L69" s="653"/>
      <c r="M69" s="654"/>
      <c r="N69" s="652"/>
      <c r="O69" s="653"/>
      <c r="P69" s="653"/>
      <c r="Q69" s="654"/>
      <c r="R69" s="655"/>
      <c r="S69" s="656"/>
      <c r="T69" s="652"/>
      <c r="U69" s="654"/>
      <c r="V69" s="652"/>
      <c r="W69" s="653"/>
      <c r="X69" s="654"/>
      <c r="Y69" s="495"/>
      <c r="Z69" s="496"/>
      <c r="AA69" s="63"/>
      <c r="AB69" s="497" t="s">
        <v>2505</v>
      </c>
      <c r="AC69" s="63"/>
      <c r="AD69" s="497" t="s">
        <v>2506</v>
      </c>
      <c r="AE69" s="63"/>
      <c r="AF69" s="497" t="s">
        <v>2507</v>
      </c>
      <c r="AG69" s="63"/>
      <c r="AH69" s="498" t="s">
        <v>441</v>
      </c>
      <c r="AJ69" s="490" t="str">
        <f>IF($B69="","",IF($R69=AJ$5,(SUM($D69*VLOOKUP($C69,ESCALA!$B$3:$O$19,14,0)+10)*2)*27,""))</f>
        <v/>
      </c>
      <c r="AK69" s="490" t="str">
        <f>IF($B69="","",IF($R69=AK$5,(SUM($D69*VLOOKUP($C69,ESCALA!$B$3:$O$19,14,0)+10)*2)*27,""))</f>
        <v/>
      </c>
      <c r="AL69" s="490" t="str">
        <f>IF($B69="","",IF($R69=AL$5,(SUM($D69*VLOOKUP($C69,ESCALA!$B$3:$O$19,14,0)+10)*2)*27,""))</f>
        <v/>
      </c>
      <c r="AM69" s="490" t="str">
        <f>IF($B69="","",IF($R69=AM$5,(SUM($D69*VLOOKUP($C69,ESCALA!$B$3:$O$19,14,0)+10)*2)*27,""))</f>
        <v/>
      </c>
      <c r="AN69" s="490" t="str">
        <f>IF($B69="","",IF($R69=AN$5,(SUM($D69*VLOOKUP($C69,ESCALA!$B$3:$O$19,14,0)+10)*2)*27,""))</f>
        <v/>
      </c>
      <c r="AO69" s="490" t="str">
        <f>IF($B69="","",IF($R69=AO$5,(SUM($D69*VLOOKUP($C69,ESCALA!$B$3:$O$19,14,0)+10)*2)*27,""))</f>
        <v/>
      </c>
      <c r="AP69" s="490" t="str">
        <f>IF($B69="","",IF($R69=AP$5,(SUM($D69*VLOOKUP($C69,ESCALA!$B$3:$O$19,14,0)+10)*2)*27,""))</f>
        <v/>
      </c>
      <c r="AY69" s="368" t="str">
        <f>IF(PERFIL!E68="","",PERFIL!E68)</f>
        <v/>
      </c>
      <c r="AZ69" s="368" t="str">
        <f t="shared" si="6"/>
        <v/>
      </c>
      <c r="BA69" s="368" t="str">
        <f t="shared" si="7"/>
        <v/>
      </c>
      <c r="BZ69" s="367" t="s">
        <v>2672</v>
      </c>
      <c r="CA69" s="367" t="s">
        <v>974</v>
      </c>
      <c r="CB69" s="367">
        <v>100</v>
      </c>
      <c r="CC69" s="368" t="s">
        <v>10</v>
      </c>
    </row>
    <row r="70" spans="2:81" ht="33.75" customHeight="1" x14ac:dyDescent="0.2">
      <c r="B70" s="551"/>
      <c r="C70" s="517"/>
      <c r="D70" s="503" t="str">
        <f>IF(C70="","",VLOOKUP(C70,'REL LINHAS'!$B$2:$K$2205,5,0))</f>
        <v/>
      </c>
      <c r="E70" s="321" t="str">
        <f t="shared" ref="E70:E105" si="8">IF($C70="","",IF($C70="LINHA","",IF(VLOOKUP($C70,$AX$6:$BA$21,2,0)=$H70,"ATENDE",IF(VLOOKUP($C70,$AX$6:$BA$21,3,0)=$H70,"ATENDE",IF(VLOOKUP($C70,$AX$6:$BA$21,4,0)=$H70,"ATENDE","NÃO ATENDE")))))</f>
        <v/>
      </c>
      <c r="F70" s="493"/>
      <c r="G70" s="494"/>
      <c r="H70" s="649"/>
      <c r="I70" s="650"/>
      <c r="J70" s="651"/>
      <c r="K70" s="652"/>
      <c r="L70" s="653"/>
      <c r="M70" s="654"/>
      <c r="N70" s="652"/>
      <c r="O70" s="653"/>
      <c r="P70" s="653"/>
      <c r="Q70" s="654"/>
      <c r="R70" s="655"/>
      <c r="S70" s="656"/>
      <c r="T70" s="652"/>
      <c r="U70" s="654"/>
      <c r="V70" s="652"/>
      <c r="W70" s="653"/>
      <c r="X70" s="654"/>
      <c r="Y70" s="495"/>
      <c r="Z70" s="496"/>
      <c r="AA70" s="63"/>
      <c r="AB70" s="497" t="s">
        <v>2505</v>
      </c>
      <c r="AC70" s="63"/>
      <c r="AD70" s="497" t="s">
        <v>2506</v>
      </c>
      <c r="AE70" s="63"/>
      <c r="AF70" s="497" t="s">
        <v>2507</v>
      </c>
      <c r="AG70" s="63"/>
      <c r="AH70" s="498" t="s">
        <v>441</v>
      </c>
      <c r="AJ70" s="490" t="str">
        <f>IF($B70="","",IF($R70=AJ$5,(SUM($D70*VLOOKUP($C70,ESCALA!$B$3:$O$19,14,0)+10)*2)*27,""))</f>
        <v/>
      </c>
      <c r="AK70" s="490" t="str">
        <f>IF($B70="","",IF($R70=AK$5,(SUM($D70*VLOOKUP($C70,ESCALA!$B$3:$O$19,14,0)+10)*2)*27,""))</f>
        <v/>
      </c>
      <c r="AL70" s="490" t="str">
        <f>IF($B70="","",IF($R70=AL$5,(SUM($D70*VLOOKUP($C70,ESCALA!$B$3:$O$19,14,0)+10)*2)*27,""))</f>
        <v/>
      </c>
      <c r="AM70" s="490" t="str">
        <f>IF($B70="","",IF($R70=AM$5,(SUM($D70*VLOOKUP($C70,ESCALA!$B$3:$O$19,14,0)+10)*2)*27,""))</f>
        <v/>
      </c>
      <c r="AN70" s="490" t="str">
        <f>IF($B70="","",IF($R70=AN$5,(SUM($D70*VLOOKUP($C70,ESCALA!$B$3:$O$19,14,0)+10)*2)*27,""))</f>
        <v/>
      </c>
      <c r="AO70" s="490" t="str">
        <f>IF($B70="","",IF($R70=AO$5,(SUM($D70*VLOOKUP($C70,ESCALA!$B$3:$O$19,14,0)+10)*2)*27,""))</f>
        <v/>
      </c>
      <c r="AP70" s="490" t="str">
        <f>IF($B70="","",IF($R70=AP$5,(SUM($D70*VLOOKUP($C70,ESCALA!$B$3:$O$19,14,0)+10)*2)*27,""))</f>
        <v/>
      </c>
      <c r="AY70" s="368" t="str">
        <f>IF(PERFIL!E69="","",PERFIL!E69)</f>
        <v/>
      </c>
      <c r="AZ70" s="368" t="str">
        <f t="shared" si="6"/>
        <v/>
      </c>
      <c r="BA70" s="368" t="str">
        <f t="shared" si="7"/>
        <v/>
      </c>
      <c r="BZ70" s="367" t="s">
        <v>2682</v>
      </c>
      <c r="CA70" s="367" t="s">
        <v>975</v>
      </c>
      <c r="CB70" s="367">
        <v>100</v>
      </c>
      <c r="CC70" s="368" t="s">
        <v>10</v>
      </c>
    </row>
    <row r="71" spans="2:81" ht="33.75" customHeight="1" x14ac:dyDescent="0.2">
      <c r="B71" s="551"/>
      <c r="C71" s="517"/>
      <c r="D71" s="503" t="str">
        <f>IF(C71="","",VLOOKUP(C71,'REL LINHAS'!$B$2:$K$2205,5,0))</f>
        <v/>
      </c>
      <c r="E71" s="321" t="str">
        <f t="shared" si="8"/>
        <v/>
      </c>
      <c r="F71" s="493"/>
      <c r="G71" s="494"/>
      <c r="H71" s="649"/>
      <c r="I71" s="650"/>
      <c r="J71" s="651"/>
      <c r="K71" s="652"/>
      <c r="L71" s="653"/>
      <c r="M71" s="654"/>
      <c r="N71" s="652"/>
      <c r="O71" s="653"/>
      <c r="P71" s="653"/>
      <c r="Q71" s="654"/>
      <c r="R71" s="655"/>
      <c r="S71" s="656"/>
      <c r="T71" s="652"/>
      <c r="U71" s="654"/>
      <c r="V71" s="652"/>
      <c r="W71" s="653"/>
      <c r="X71" s="654"/>
      <c r="Y71" s="495"/>
      <c r="Z71" s="496"/>
      <c r="AA71" s="63"/>
      <c r="AB71" s="497" t="s">
        <v>2505</v>
      </c>
      <c r="AC71" s="63"/>
      <c r="AD71" s="497" t="s">
        <v>2506</v>
      </c>
      <c r="AE71" s="63"/>
      <c r="AF71" s="497" t="s">
        <v>2507</v>
      </c>
      <c r="AG71" s="63"/>
      <c r="AH71" s="498" t="s">
        <v>441</v>
      </c>
      <c r="AJ71" s="490" t="str">
        <f>IF($B71="","",IF($R71=AJ$5,(SUM($D71*VLOOKUP($C71,ESCALA!$B$3:$O$19,14,0)+10)*2)*27,""))</f>
        <v/>
      </c>
      <c r="AK71" s="490" t="str">
        <f>IF($B71="","",IF($R71=AK$5,(SUM($D71*VLOOKUP($C71,ESCALA!$B$3:$O$19,14,0)+10)*2)*27,""))</f>
        <v/>
      </c>
      <c r="AL71" s="490" t="str">
        <f>IF($B71="","",IF($R71=AL$5,(SUM($D71*VLOOKUP($C71,ESCALA!$B$3:$O$19,14,0)+10)*2)*27,""))</f>
        <v/>
      </c>
      <c r="AM71" s="490" t="str">
        <f>IF($B71="","",IF($R71=AM$5,(SUM($D71*VLOOKUP($C71,ESCALA!$B$3:$O$19,14,0)+10)*2)*27,""))</f>
        <v/>
      </c>
      <c r="AN71" s="490" t="str">
        <f>IF($B71="","",IF($R71=AN$5,(SUM($D71*VLOOKUP($C71,ESCALA!$B$3:$O$19,14,0)+10)*2)*27,""))</f>
        <v/>
      </c>
      <c r="AO71" s="490" t="str">
        <f>IF($B71="","",IF($R71=AO$5,(SUM($D71*VLOOKUP($C71,ESCALA!$B$3:$O$19,14,0)+10)*2)*27,""))</f>
        <v/>
      </c>
      <c r="AP71" s="490" t="str">
        <f>IF($B71="","",IF($R71=AP$5,(SUM($D71*VLOOKUP($C71,ESCALA!$B$3:$O$19,14,0)+10)*2)*27,""))</f>
        <v/>
      </c>
      <c r="AY71" s="368" t="str">
        <f>IF(PERFIL!E70="","",PERFIL!E70)</f>
        <v/>
      </c>
      <c r="AZ71" s="368" t="str">
        <f t="shared" si="6"/>
        <v/>
      </c>
      <c r="BA71" s="368" t="str">
        <f t="shared" si="7"/>
        <v/>
      </c>
      <c r="BY71" s="367" t="s">
        <v>498</v>
      </c>
      <c r="BZ71" s="367" t="s">
        <v>2716</v>
      </c>
      <c r="CA71" s="367" t="s">
        <v>976</v>
      </c>
      <c r="CB71" s="367">
        <v>125</v>
      </c>
      <c r="CC71" s="368" t="s">
        <v>10</v>
      </c>
    </row>
    <row r="72" spans="2:81" ht="33.75" customHeight="1" x14ac:dyDescent="0.2">
      <c r="B72" s="551"/>
      <c r="C72" s="517"/>
      <c r="D72" s="503" t="str">
        <f>IF(C72="","",VLOOKUP(C72,'REL LINHAS'!$B$2:$K$2205,5,0))</f>
        <v/>
      </c>
      <c r="E72" s="321" t="str">
        <f t="shared" si="8"/>
        <v/>
      </c>
      <c r="F72" s="493"/>
      <c r="G72" s="494"/>
      <c r="H72" s="649"/>
      <c r="I72" s="650"/>
      <c r="J72" s="651"/>
      <c r="K72" s="652"/>
      <c r="L72" s="653"/>
      <c r="M72" s="654"/>
      <c r="N72" s="652"/>
      <c r="O72" s="653"/>
      <c r="P72" s="653"/>
      <c r="Q72" s="654"/>
      <c r="R72" s="655"/>
      <c r="S72" s="656"/>
      <c r="T72" s="652"/>
      <c r="U72" s="654"/>
      <c r="V72" s="652"/>
      <c r="W72" s="653"/>
      <c r="X72" s="654"/>
      <c r="Y72" s="495"/>
      <c r="Z72" s="496"/>
      <c r="AA72" s="63"/>
      <c r="AB72" s="497" t="s">
        <v>2505</v>
      </c>
      <c r="AC72" s="63"/>
      <c r="AD72" s="497" t="s">
        <v>2506</v>
      </c>
      <c r="AE72" s="63"/>
      <c r="AF72" s="497" t="s">
        <v>2507</v>
      </c>
      <c r="AG72" s="63"/>
      <c r="AH72" s="498" t="s">
        <v>441</v>
      </c>
      <c r="AJ72" s="490" t="str">
        <f>IF($B72="","",IF($R72=AJ$5,(SUM($D72*VLOOKUP($C72,ESCALA!$B$3:$O$19,14,0)+10)*2)*27,""))</f>
        <v/>
      </c>
      <c r="AK72" s="490" t="str">
        <f>IF($B72="","",IF($R72=AK$5,(SUM($D72*VLOOKUP($C72,ESCALA!$B$3:$O$19,14,0)+10)*2)*27,""))</f>
        <v/>
      </c>
      <c r="AL72" s="490" t="str">
        <f>IF($B72="","",IF($R72=AL$5,(SUM($D72*VLOOKUP($C72,ESCALA!$B$3:$O$19,14,0)+10)*2)*27,""))</f>
        <v/>
      </c>
      <c r="AM72" s="490" t="str">
        <f>IF($B72="","",IF($R72=AM$5,(SUM($D72*VLOOKUP($C72,ESCALA!$B$3:$O$19,14,0)+10)*2)*27,""))</f>
        <v/>
      </c>
      <c r="AN72" s="490" t="str">
        <f>IF($B72="","",IF($R72=AN$5,(SUM($D72*VLOOKUP($C72,ESCALA!$B$3:$O$19,14,0)+10)*2)*27,""))</f>
        <v/>
      </c>
      <c r="AO72" s="490" t="str">
        <f>IF($B72="","",IF($R72=AO$5,(SUM($D72*VLOOKUP($C72,ESCALA!$B$3:$O$19,14,0)+10)*2)*27,""))</f>
        <v/>
      </c>
      <c r="AP72" s="490" t="str">
        <f>IF($B72="","",IF($R72=AP$5,(SUM($D72*VLOOKUP($C72,ESCALA!$B$3:$O$19,14,0)+10)*2)*27,""))</f>
        <v/>
      </c>
      <c r="AY72" s="368" t="str">
        <f>IF(PERFIL!E71="","",PERFIL!E71)</f>
        <v/>
      </c>
      <c r="AZ72" s="368" t="str">
        <f t="shared" si="6"/>
        <v/>
      </c>
      <c r="BA72" s="368" t="str">
        <f t="shared" si="7"/>
        <v/>
      </c>
      <c r="BZ72" s="367" t="s">
        <v>2683</v>
      </c>
      <c r="CA72" s="367" t="s">
        <v>977</v>
      </c>
      <c r="CB72" s="367">
        <v>100</v>
      </c>
      <c r="CC72" s="368" t="s">
        <v>10</v>
      </c>
    </row>
    <row r="73" spans="2:81" ht="33.75" customHeight="1" x14ac:dyDescent="0.2">
      <c r="B73" s="551"/>
      <c r="C73" s="517"/>
      <c r="D73" s="503" t="str">
        <f>IF(C73="","",VLOOKUP(C73,'REL LINHAS'!$B$2:$K$2205,5,0))</f>
        <v/>
      </c>
      <c r="E73" s="321" t="str">
        <f t="shared" si="8"/>
        <v/>
      </c>
      <c r="F73" s="493"/>
      <c r="G73" s="494"/>
      <c r="H73" s="649"/>
      <c r="I73" s="650"/>
      <c r="J73" s="651"/>
      <c r="K73" s="652"/>
      <c r="L73" s="653"/>
      <c r="M73" s="654"/>
      <c r="N73" s="652"/>
      <c r="O73" s="653"/>
      <c r="P73" s="653"/>
      <c r="Q73" s="654"/>
      <c r="R73" s="655"/>
      <c r="S73" s="656"/>
      <c r="T73" s="652"/>
      <c r="U73" s="654"/>
      <c r="V73" s="652"/>
      <c r="W73" s="653"/>
      <c r="X73" s="654"/>
      <c r="Y73" s="495"/>
      <c r="Z73" s="496"/>
      <c r="AA73" s="63"/>
      <c r="AB73" s="497" t="s">
        <v>2505</v>
      </c>
      <c r="AC73" s="63"/>
      <c r="AD73" s="497" t="s">
        <v>2506</v>
      </c>
      <c r="AE73" s="63"/>
      <c r="AF73" s="497" t="s">
        <v>2507</v>
      </c>
      <c r="AG73" s="63"/>
      <c r="AH73" s="498" t="s">
        <v>441</v>
      </c>
      <c r="AJ73" s="490" t="str">
        <f>IF($B73="","",IF($R73=AJ$5,(SUM($D73*VLOOKUP($C73,ESCALA!$B$3:$O$19,14,0)+10)*2)*27,""))</f>
        <v/>
      </c>
      <c r="AK73" s="490" t="str">
        <f>IF($B73="","",IF($R73=AK$5,(SUM($D73*VLOOKUP($C73,ESCALA!$B$3:$O$19,14,0)+10)*2)*27,""))</f>
        <v/>
      </c>
      <c r="AL73" s="490" t="str">
        <f>IF($B73="","",IF($R73=AL$5,(SUM($D73*VLOOKUP($C73,ESCALA!$B$3:$O$19,14,0)+10)*2)*27,""))</f>
        <v/>
      </c>
      <c r="AM73" s="490" t="str">
        <f>IF($B73="","",IF($R73=AM$5,(SUM($D73*VLOOKUP($C73,ESCALA!$B$3:$O$19,14,0)+10)*2)*27,""))</f>
        <v/>
      </c>
      <c r="AN73" s="490" t="str">
        <f>IF($B73="","",IF($R73=AN$5,(SUM($D73*VLOOKUP($C73,ESCALA!$B$3:$O$19,14,0)+10)*2)*27,""))</f>
        <v/>
      </c>
      <c r="AO73" s="490" t="str">
        <f>IF($B73="","",IF($R73=AO$5,(SUM($D73*VLOOKUP($C73,ESCALA!$B$3:$O$19,14,0)+10)*2)*27,""))</f>
        <v/>
      </c>
      <c r="AP73" s="490" t="str">
        <f>IF($B73="","",IF($R73=AP$5,(SUM($D73*VLOOKUP($C73,ESCALA!$B$3:$O$19,14,0)+10)*2)*27,""))</f>
        <v/>
      </c>
      <c r="AY73" s="368" t="str">
        <f>IF(PERFIL!E72="","",PERFIL!E72)</f>
        <v/>
      </c>
      <c r="AZ73" s="368" t="str">
        <f t="shared" si="6"/>
        <v/>
      </c>
      <c r="BA73" s="368" t="str">
        <f t="shared" si="7"/>
        <v/>
      </c>
      <c r="BY73" s="367" t="s">
        <v>498</v>
      </c>
      <c r="BZ73" s="367" t="s">
        <v>2717</v>
      </c>
      <c r="CA73" s="367" t="s">
        <v>978</v>
      </c>
      <c r="CB73" s="367">
        <v>100</v>
      </c>
      <c r="CC73" s="368" t="s">
        <v>10</v>
      </c>
    </row>
    <row r="74" spans="2:81" ht="33.75" customHeight="1" x14ac:dyDescent="0.2">
      <c r="B74" s="551"/>
      <c r="C74" s="517"/>
      <c r="D74" s="503" t="str">
        <f>IF(C74="","",VLOOKUP(C74,'REL LINHAS'!$B$2:$K$2205,5,0))</f>
        <v/>
      </c>
      <c r="E74" s="321" t="str">
        <f t="shared" si="8"/>
        <v/>
      </c>
      <c r="F74" s="493"/>
      <c r="G74" s="494"/>
      <c r="H74" s="649"/>
      <c r="I74" s="650"/>
      <c r="J74" s="651"/>
      <c r="K74" s="652"/>
      <c r="L74" s="653"/>
      <c r="M74" s="654"/>
      <c r="N74" s="652"/>
      <c r="O74" s="653"/>
      <c r="P74" s="653"/>
      <c r="Q74" s="654"/>
      <c r="R74" s="655"/>
      <c r="S74" s="656"/>
      <c r="T74" s="652"/>
      <c r="U74" s="654"/>
      <c r="V74" s="652"/>
      <c r="W74" s="653"/>
      <c r="X74" s="654"/>
      <c r="Y74" s="495"/>
      <c r="Z74" s="496"/>
      <c r="AA74" s="63"/>
      <c r="AB74" s="497" t="s">
        <v>2505</v>
      </c>
      <c r="AC74" s="63"/>
      <c r="AD74" s="497" t="s">
        <v>2506</v>
      </c>
      <c r="AE74" s="63"/>
      <c r="AF74" s="497" t="s">
        <v>2507</v>
      </c>
      <c r="AG74" s="63"/>
      <c r="AH74" s="498" t="s">
        <v>441</v>
      </c>
      <c r="AJ74" s="490" t="str">
        <f>IF($B74="","",IF($R74=AJ$5,(SUM($D74*VLOOKUP($C74,ESCALA!$B$3:$O$19,14,0)+10)*2)*27,""))</f>
        <v/>
      </c>
      <c r="AK74" s="490" t="str">
        <f>IF($B74="","",IF($R74=AK$5,(SUM($D74*VLOOKUP($C74,ESCALA!$B$3:$O$19,14,0)+10)*2)*27,""))</f>
        <v/>
      </c>
      <c r="AL74" s="490" t="str">
        <f>IF($B74="","",IF($R74=AL$5,(SUM($D74*VLOOKUP($C74,ESCALA!$B$3:$O$19,14,0)+10)*2)*27,""))</f>
        <v/>
      </c>
      <c r="AM74" s="490" t="str">
        <f>IF($B74="","",IF($R74=AM$5,(SUM($D74*VLOOKUP($C74,ESCALA!$B$3:$O$19,14,0)+10)*2)*27,""))</f>
        <v/>
      </c>
      <c r="AN74" s="490" t="str">
        <f>IF($B74="","",IF($R74=AN$5,(SUM($D74*VLOOKUP($C74,ESCALA!$B$3:$O$19,14,0)+10)*2)*27,""))</f>
        <v/>
      </c>
      <c r="AO74" s="490" t="str">
        <f>IF($B74="","",IF($R74=AO$5,(SUM($D74*VLOOKUP($C74,ESCALA!$B$3:$O$19,14,0)+10)*2)*27,""))</f>
        <v/>
      </c>
      <c r="AP74" s="490" t="str">
        <f>IF($B74="","",IF($R74=AP$5,(SUM($D74*VLOOKUP($C74,ESCALA!$B$3:$O$19,14,0)+10)*2)*27,""))</f>
        <v/>
      </c>
      <c r="AY74" s="368" t="str">
        <f>IF(PERFIL!E73="","",PERFIL!E73)</f>
        <v/>
      </c>
      <c r="AZ74" s="368" t="str">
        <f t="shared" si="6"/>
        <v/>
      </c>
      <c r="BA74" s="368" t="str">
        <f t="shared" si="7"/>
        <v/>
      </c>
      <c r="BZ74" s="367" t="s">
        <v>2684</v>
      </c>
      <c r="CA74" s="367" t="s">
        <v>979</v>
      </c>
      <c r="CB74" s="367">
        <v>100</v>
      </c>
      <c r="CC74" s="368" t="s">
        <v>10</v>
      </c>
    </row>
    <row r="75" spans="2:81" ht="33.75" customHeight="1" x14ac:dyDescent="0.2">
      <c r="B75" s="551"/>
      <c r="C75" s="517"/>
      <c r="D75" s="503" t="str">
        <f>IF(C75="","",VLOOKUP(C75,'REL LINHAS'!$B$2:$K$2205,5,0))</f>
        <v/>
      </c>
      <c r="E75" s="321" t="str">
        <f t="shared" si="8"/>
        <v/>
      </c>
      <c r="F75" s="493"/>
      <c r="G75" s="494"/>
      <c r="H75" s="649"/>
      <c r="I75" s="650"/>
      <c r="J75" s="651"/>
      <c r="K75" s="652"/>
      <c r="L75" s="653"/>
      <c r="M75" s="654"/>
      <c r="N75" s="652"/>
      <c r="O75" s="653"/>
      <c r="P75" s="653"/>
      <c r="Q75" s="654"/>
      <c r="R75" s="655"/>
      <c r="S75" s="656"/>
      <c r="T75" s="652"/>
      <c r="U75" s="654"/>
      <c r="V75" s="652"/>
      <c r="W75" s="653"/>
      <c r="X75" s="654"/>
      <c r="Y75" s="495"/>
      <c r="Z75" s="496"/>
      <c r="AA75" s="63"/>
      <c r="AB75" s="497" t="s">
        <v>2505</v>
      </c>
      <c r="AC75" s="63"/>
      <c r="AD75" s="497" t="s">
        <v>2506</v>
      </c>
      <c r="AE75" s="63"/>
      <c r="AF75" s="497" t="s">
        <v>2507</v>
      </c>
      <c r="AG75" s="63"/>
      <c r="AH75" s="498" t="s">
        <v>441</v>
      </c>
      <c r="AJ75" s="490" t="str">
        <f>IF($B75="","",IF($R75=AJ$5,(SUM($D75*VLOOKUP($C75,ESCALA!$B$3:$O$19,14,0)+10)*2)*27,""))</f>
        <v/>
      </c>
      <c r="AK75" s="490" t="str">
        <f>IF($B75="","",IF($R75=AK$5,(SUM($D75*VLOOKUP($C75,ESCALA!$B$3:$O$19,14,0)+10)*2)*27,""))</f>
        <v/>
      </c>
      <c r="AL75" s="490" t="str">
        <f>IF($B75="","",IF($R75=AL$5,(SUM($D75*VLOOKUP($C75,ESCALA!$B$3:$O$19,14,0)+10)*2)*27,""))</f>
        <v/>
      </c>
      <c r="AM75" s="490" t="str">
        <f>IF($B75="","",IF($R75=AM$5,(SUM($D75*VLOOKUP($C75,ESCALA!$B$3:$O$19,14,0)+10)*2)*27,""))</f>
        <v/>
      </c>
      <c r="AN75" s="490" t="str">
        <f>IF($B75="","",IF($R75=AN$5,(SUM($D75*VLOOKUP($C75,ESCALA!$B$3:$O$19,14,0)+10)*2)*27,""))</f>
        <v/>
      </c>
      <c r="AO75" s="490" t="str">
        <f>IF($B75="","",IF($R75=AO$5,(SUM($D75*VLOOKUP($C75,ESCALA!$B$3:$O$19,14,0)+10)*2)*27,""))</f>
        <v/>
      </c>
      <c r="AP75" s="490" t="str">
        <f>IF($B75="","",IF($R75=AP$5,(SUM($D75*VLOOKUP($C75,ESCALA!$B$3:$O$19,14,0)+10)*2)*27,""))</f>
        <v/>
      </c>
      <c r="AY75" s="368" t="str">
        <f>IF(PERFIL!E74="","",PERFIL!E74)</f>
        <v/>
      </c>
      <c r="AZ75" s="368" t="str">
        <f t="shared" si="6"/>
        <v/>
      </c>
      <c r="BA75" s="368" t="str">
        <f t="shared" si="7"/>
        <v/>
      </c>
      <c r="BZ75" s="367" t="s">
        <v>2674</v>
      </c>
      <c r="CA75" s="367" t="s">
        <v>980</v>
      </c>
      <c r="CB75" s="367">
        <v>100</v>
      </c>
      <c r="CC75" s="368" t="s">
        <v>10</v>
      </c>
    </row>
    <row r="76" spans="2:81" ht="33.75" customHeight="1" x14ac:dyDescent="0.2">
      <c r="B76" s="551"/>
      <c r="C76" s="517"/>
      <c r="D76" s="503" t="str">
        <f>IF(C76="","",VLOOKUP(C76,'REL LINHAS'!$B$2:$K$2205,5,0))</f>
        <v/>
      </c>
      <c r="E76" s="321" t="str">
        <f t="shared" si="8"/>
        <v/>
      </c>
      <c r="F76" s="493"/>
      <c r="G76" s="494"/>
      <c r="H76" s="649"/>
      <c r="I76" s="650"/>
      <c r="J76" s="651"/>
      <c r="K76" s="652"/>
      <c r="L76" s="653"/>
      <c r="M76" s="654"/>
      <c r="N76" s="652"/>
      <c r="O76" s="653"/>
      <c r="P76" s="653"/>
      <c r="Q76" s="654"/>
      <c r="R76" s="655"/>
      <c r="S76" s="656"/>
      <c r="T76" s="652"/>
      <c r="U76" s="654"/>
      <c r="V76" s="652"/>
      <c r="W76" s="653"/>
      <c r="X76" s="654"/>
      <c r="Y76" s="495"/>
      <c r="Z76" s="496"/>
      <c r="AA76" s="63"/>
      <c r="AB76" s="497" t="s">
        <v>2505</v>
      </c>
      <c r="AC76" s="63"/>
      <c r="AD76" s="497" t="s">
        <v>2506</v>
      </c>
      <c r="AE76" s="63"/>
      <c r="AF76" s="497" t="s">
        <v>2507</v>
      </c>
      <c r="AG76" s="63"/>
      <c r="AH76" s="498" t="s">
        <v>441</v>
      </c>
      <c r="AJ76" s="490" t="str">
        <f>IF($B76="","",IF($R76=AJ$5,(SUM($D76*VLOOKUP($C76,ESCALA!$B$3:$O$19,14,0)+10)*2)*27,""))</f>
        <v/>
      </c>
      <c r="AK76" s="490" t="str">
        <f>IF($B76="","",IF($R76=AK$5,(SUM($D76*VLOOKUP($C76,ESCALA!$B$3:$O$19,14,0)+10)*2)*27,""))</f>
        <v/>
      </c>
      <c r="AL76" s="490" t="str">
        <f>IF($B76="","",IF($R76=AL$5,(SUM($D76*VLOOKUP($C76,ESCALA!$B$3:$O$19,14,0)+10)*2)*27,""))</f>
        <v/>
      </c>
      <c r="AM76" s="490" t="str">
        <f>IF($B76="","",IF($R76=AM$5,(SUM($D76*VLOOKUP($C76,ESCALA!$B$3:$O$19,14,0)+10)*2)*27,""))</f>
        <v/>
      </c>
      <c r="AN76" s="490" t="str">
        <f>IF($B76="","",IF($R76=AN$5,(SUM($D76*VLOOKUP($C76,ESCALA!$B$3:$O$19,14,0)+10)*2)*27,""))</f>
        <v/>
      </c>
      <c r="AO76" s="490" t="str">
        <f>IF($B76="","",IF($R76=AO$5,(SUM($D76*VLOOKUP($C76,ESCALA!$B$3:$O$19,14,0)+10)*2)*27,""))</f>
        <v/>
      </c>
      <c r="AP76" s="490" t="str">
        <f>IF($B76="","",IF($R76=AP$5,(SUM($D76*VLOOKUP($C76,ESCALA!$B$3:$O$19,14,0)+10)*2)*27,""))</f>
        <v/>
      </c>
      <c r="AY76" s="368" t="str">
        <f>IF(PERFIL!E75="","",PERFIL!E75)</f>
        <v/>
      </c>
      <c r="AZ76" s="368" t="str">
        <f t="shared" si="6"/>
        <v/>
      </c>
      <c r="BA76" s="368" t="str">
        <f t="shared" si="7"/>
        <v/>
      </c>
      <c r="BZ76" s="367" t="s">
        <v>2675</v>
      </c>
      <c r="CA76" s="367" t="s">
        <v>981</v>
      </c>
      <c r="CB76" s="367">
        <v>100</v>
      </c>
      <c r="CC76" s="368" t="s">
        <v>10</v>
      </c>
    </row>
    <row r="77" spans="2:81" ht="33.75" customHeight="1" x14ac:dyDescent="0.2">
      <c r="B77" s="551"/>
      <c r="C77" s="517"/>
      <c r="D77" s="503" t="str">
        <f>IF(C77="","",VLOOKUP(C77,'REL LINHAS'!$B$2:$K$2205,5,0))</f>
        <v/>
      </c>
      <c r="E77" s="321" t="str">
        <f t="shared" si="8"/>
        <v/>
      </c>
      <c r="F77" s="493"/>
      <c r="G77" s="494"/>
      <c r="H77" s="649"/>
      <c r="I77" s="650"/>
      <c r="J77" s="651"/>
      <c r="K77" s="652"/>
      <c r="L77" s="653"/>
      <c r="M77" s="654"/>
      <c r="N77" s="652"/>
      <c r="O77" s="653"/>
      <c r="P77" s="653"/>
      <c r="Q77" s="654"/>
      <c r="R77" s="655"/>
      <c r="S77" s="656"/>
      <c r="T77" s="652"/>
      <c r="U77" s="654"/>
      <c r="V77" s="652"/>
      <c r="W77" s="653"/>
      <c r="X77" s="654"/>
      <c r="Y77" s="495"/>
      <c r="Z77" s="496"/>
      <c r="AA77" s="63"/>
      <c r="AB77" s="497" t="s">
        <v>2505</v>
      </c>
      <c r="AC77" s="63"/>
      <c r="AD77" s="497" t="s">
        <v>2506</v>
      </c>
      <c r="AE77" s="63"/>
      <c r="AF77" s="497" t="s">
        <v>2507</v>
      </c>
      <c r="AG77" s="63"/>
      <c r="AH77" s="498" t="s">
        <v>441</v>
      </c>
      <c r="AJ77" s="490" t="str">
        <f>IF($B77="","",IF($R77=AJ$5,(SUM($D77*VLOOKUP($C77,ESCALA!$B$3:$O$19,14,0)+10)*2)*27,""))</f>
        <v/>
      </c>
      <c r="AK77" s="490" t="str">
        <f>IF($B77="","",IF($R77=AK$5,(SUM($D77*VLOOKUP($C77,ESCALA!$B$3:$O$19,14,0)+10)*2)*27,""))</f>
        <v/>
      </c>
      <c r="AL77" s="490" t="str">
        <f>IF($B77="","",IF($R77=AL$5,(SUM($D77*VLOOKUP($C77,ESCALA!$B$3:$O$19,14,0)+10)*2)*27,""))</f>
        <v/>
      </c>
      <c r="AM77" s="490" t="str">
        <f>IF($B77="","",IF($R77=AM$5,(SUM($D77*VLOOKUP($C77,ESCALA!$B$3:$O$19,14,0)+10)*2)*27,""))</f>
        <v/>
      </c>
      <c r="AN77" s="490" t="str">
        <f>IF($B77="","",IF($R77=AN$5,(SUM($D77*VLOOKUP($C77,ESCALA!$B$3:$O$19,14,0)+10)*2)*27,""))</f>
        <v/>
      </c>
      <c r="AO77" s="490" t="str">
        <f>IF($B77="","",IF($R77=AO$5,(SUM($D77*VLOOKUP($C77,ESCALA!$B$3:$O$19,14,0)+10)*2)*27,""))</f>
        <v/>
      </c>
      <c r="AP77" s="490" t="str">
        <f>IF($B77="","",IF($R77=AP$5,(SUM($D77*VLOOKUP($C77,ESCALA!$B$3:$O$19,14,0)+10)*2)*27,""))</f>
        <v/>
      </c>
      <c r="AY77" s="368" t="str">
        <f>IF(PERFIL!E76="","",PERFIL!E76)</f>
        <v/>
      </c>
      <c r="AZ77" s="368" t="str">
        <f t="shared" si="6"/>
        <v/>
      </c>
      <c r="BA77" s="368" t="str">
        <f t="shared" si="7"/>
        <v/>
      </c>
      <c r="BZ77" s="367" t="s">
        <v>2685</v>
      </c>
      <c r="CA77" s="367" t="s">
        <v>982</v>
      </c>
      <c r="CB77" s="367">
        <v>100</v>
      </c>
      <c r="CC77" s="368" t="s">
        <v>10</v>
      </c>
    </row>
    <row r="78" spans="2:81" ht="33.75" customHeight="1" x14ac:dyDescent="0.2">
      <c r="B78" s="551"/>
      <c r="C78" s="517"/>
      <c r="D78" s="503" t="str">
        <f>IF(C78="","",VLOOKUP(C78,'REL LINHAS'!$B$2:$K$2205,5,0))</f>
        <v/>
      </c>
      <c r="E78" s="321" t="str">
        <f t="shared" si="8"/>
        <v/>
      </c>
      <c r="F78" s="493"/>
      <c r="G78" s="494"/>
      <c r="H78" s="649"/>
      <c r="I78" s="650"/>
      <c r="J78" s="651"/>
      <c r="K78" s="652"/>
      <c r="L78" s="653"/>
      <c r="M78" s="654"/>
      <c r="N78" s="652"/>
      <c r="O78" s="653"/>
      <c r="P78" s="653"/>
      <c r="Q78" s="654"/>
      <c r="R78" s="655"/>
      <c r="S78" s="656"/>
      <c r="T78" s="652"/>
      <c r="U78" s="654"/>
      <c r="V78" s="652"/>
      <c r="W78" s="653"/>
      <c r="X78" s="654"/>
      <c r="Y78" s="495"/>
      <c r="Z78" s="496"/>
      <c r="AA78" s="63"/>
      <c r="AB78" s="497" t="s">
        <v>2505</v>
      </c>
      <c r="AC78" s="63"/>
      <c r="AD78" s="497" t="s">
        <v>2506</v>
      </c>
      <c r="AE78" s="63"/>
      <c r="AF78" s="497" t="s">
        <v>2507</v>
      </c>
      <c r="AG78" s="63"/>
      <c r="AH78" s="498" t="s">
        <v>441</v>
      </c>
      <c r="AJ78" s="490" t="str">
        <f>IF($B78="","",IF($R78=AJ$5,(SUM($D78*VLOOKUP($C78,ESCALA!$B$3:$O$19,14,0)+10)*2)*27,""))</f>
        <v/>
      </c>
      <c r="AK78" s="490" t="str">
        <f>IF($B78="","",IF($R78=AK$5,(SUM($D78*VLOOKUP($C78,ESCALA!$B$3:$O$19,14,0)+10)*2)*27,""))</f>
        <v/>
      </c>
      <c r="AL78" s="490" t="str">
        <f>IF($B78="","",IF($R78=AL$5,(SUM($D78*VLOOKUP($C78,ESCALA!$B$3:$O$19,14,0)+10)*2)*27,""))</f>
        <v/>
      </c>
      <c r="AM78" s="490" t="str">
        <f>IF($B78="","",IF($R78=AM$5,(SUM($D78*VLOOKUP($C78,ESCALA!$B$3:$O$19,14,0)+10)*2)*27,""))</f>
        <v/>
      </c>
      <c r="AN78" s="490" t="str">
        <f>IF($B78="","",IF($R78=AN$5,(SUM($D78*VLOOKUP($C78,ESCALA!$B$3:$O$19,14,0)+10)*2)*27,""))</f>
        <v/>
      </c>
      <c r="AO78" s="490" t="str">
        <f>IF($B78="","",IF($R78=AO$5,(SUM($D78*VLOOKUP($C78,ESCALA!$B$3:$O$19,14,0)+10)*2)*27,""))</f>
        <v/>
      </c>
      <c r="AP78" s="490" t="str">
        <f>IF($B78="","",IF($R78=AP$5,(SUM($D78*VLOOKUP($C78,ESCALA!$B$3:$O$19,14,0)+10)*2)*27,""))</f>
        <v/>
      </c>
      <c r="AY78" s="368" t="str">
        <f>IF(PERFIL!E77="","",PERFIL!E77)</f>
        <v/>
      </c>
      <c r="AZ78" s="368" t="str">
        <f t="shared" si="6"/>
        <v/>
      </c>
      <c r="BA78" s="368" t="str">
        <f t="shared" si="7"/>
        <v/>
      </c>
      <c r="BZ78" s="367" t="s">
        <v>2623</v>
      </c>
      <c r="CA78" s="367" t="s">
        <v>983</v>
      </c>
      <c r="CB78" s="367">
        <v>100</v>
      </c>
      <c r="CC78" s="368" t="s">
        <v>10</v>
      </c>
    </row>
    <row r="79" spans="2:81" ht="33.75" customHeight="1" x14ac:dyDescent="0.2">
      <c r="B79" s="551"/>
      <c r="C79" s="517"/>
      <c r="D79" s="503" t="str">
        <f>IF(C79="","",VLOOKUP(C79,'REL LINHAS'!$B$2:$K$2205,5,0))</f>
        <v/>
      </c>
      <c r="E79" s="321" t="str">
        <f t="shared" si="8"/>
        <v/>
      </c>
      <c r="F79" s="493"/>
      <c r="G79" s="494"/>
      <c r="H79" s="649"/>
      <c r="I79" s="650"/>
      <c r="J79" s="651"/>
      <c r="K79" s="652"/>
      <c r="L79" s="653"/>
      <c r="M79" s="654"/>
      <c r="N79" s="652"/>
      <c r="O79" s="653"/>
      <c r="P79" s="653"/>
      <c r="Q79" s="654"/>
      <c r="R79" s="655"/>
      <c r="S79" s="656"/>
      <c r="T79" s="652"/>
      <c r="U79" s="654"/>
      <c r="V79" s="652"/>
      <c r="W79" s="653"/>
      <c r="X79" s="654"/>
      <c r="Y79" s="495"/>
      <c r="Z79" s="496"/>
      <c r="AA79" s="63"/>
      <c r="AB79" s="497" t="s">
        <v>2505</v>
      </c>
      <c r="AC79" s="63"/>
      <c r="AD79" s="497" t="s">
        <v>2506</v>
      </c>
      <c r="AE79" s="63"/>
      <c r="AF79" s="497" t="s">
        <v>2507</v>
      </c>
      <c r="AG79" s="63"/>
      <c r="AH79" s="498" t="s">
        <v>441</v>
      </c>
      <c r="AJ79" s="490" t="str">
        <f>IF($B79="","",IF($R79=AJ$5,(SUM($D79*VLOOKUP($C79,ESCALA!$B$3:$O$19,14,0)+10)*2)*27,""))</f>
        <v/>
      </c>
      <c r="AK79" s="490" t="str">
        <f>IF($B79="","",IF($R79=AK$5,(SUM($D79*VLOOKUP($C79,ESCALA!$B$3:$O$19,14,0)+10)*2)*27,""))</f>
        <v/>
      </c>
      <c r="AL79" s="490" t="str">
        <f>IF($B79="","",IF($R79=AL$5,(SUM($D79*VLOOKUP($C79,ESCALA!$B$3:$O$19,14,0)+10)*2)*27,""))</f>
        <v/>
      </c>
      <c r="AM79" s="490" t="str">
        <f>IF($B79="","",IF($R79=AM$5,(SUM($D79*VLOOKUP($C79,ESCALA!$B$3:$O$19,14,0)+10)*2)*27,""))</f>
        <v/>
      </c>
      <c r="AN79" s="490" t="str">
        <f>IF($B79="","",IF($R79=AN$5,(SUM($D79*VLOOKUP($C79,ESCALA!$B$3:$O$19,14,0)+10)*2)*27,""))</f>
        <v/>
      </c>
      <c r="AO79" s="490" t="str">
        <f>IF($B79="","",IF($R79=AO$5,(SUM($D79*VLOOKUP($C79,ESCALA!$B$3:$O$19,14,0)+10)*2)*27,""))</f>
        <v/>
      </c>
      <c r="AP79" s="490" t="str">
        <f>IF($B79="","",IF($R79=AP$5,(SUM($D79*VLOOKUP($C79,ESCALA!$B$3:$O$19,14,0)+10)*2)*27,""))</f>
        <v/>
      </c>
      <c r="AY79" s="368" t="str">
        <f>IF(PERFIL!E78="","",PERFIL!E78)</f>
        <v/>
      </c>
      <c r="AZ79" s="368" t="str">
        <f t="shared" si="6"/>
        <v/>
      </c>
      <c r="BA79" s="368" t="str">
        <f t="shared" si="7"/>
        <v/>
      </c>
      <c r="BZ79" s="367" t="s">
        <v>2686</v>
      </c>
      <c r="CA79" s="367" t="s">
        <v>984</v>
      </c>
      <c r="CB79" s="367">
        <v>100</v>
      </c>
      <c r="CC79" s="368" t="s">
        <v>10</v>
      </c>
    </row>
    <row r="80" spans="2:81" ht="33.75" customHeight="1" x14ac:dyDescent="0.2">
      <c r="B80" s="551"/>
      <c r="C80" s="517"/>
      <c r="D80" s="503" t="str">
        <f>IF(C80="","",VLOOKUP(C80,'REL LINHAS'!$B$2:$K$2205,5,0))</f>
        <v/>
      </c>
      <c r="E80" s="321" t="str">
        <f t="shared" si="8"/>
        <v/>
      </c>
      <c r="F80" s="493"/>
      <c r="G80" s="494"/>
      <c r="H80" s="649"/>
      <c r="I80" s="650"/>
      <c r="J80" s="651"/>
      <c r="K80" s="652"/>
      <c r="L80" s="653"/>
      <c r="M80" s="654"/>
      <c r="N80" s="652"/>
      <c r="O80" s="653"/>
      <c r="P80" s="653"/>
      <c r="Q80" s="654"/>
      <c r="R80" s="655"/>
      <c r="S80" s="656"/>
      <c r="T80" s="652"/>
      <c r="U80" s="654"/>
      <c r="V80" s="652"/>
      <c r="W80" s="653"/>
      <c r="X80" s="654"/>
      <c r="Y80" s="495"/>
      <c r="Z80" s="496"/>
      <c r="AA80" s="63"/>
      <c r="AB80" s="497" t="s">
        <v>2505</v>
      </c>
      <c r="AC80" s="63"/>
      <c r="AD80" s="497" t="s">
        <v>2506</v>
      </c>
      <c r="AE80" s="63"/>
      <c r="AF80" s="497" t="s">
        <v>2507</v>
      </c>
      <c r="AG80" s="63"/>
      <c r="AH80" s="498" t="s">
        <v>441</v>
      </c>
      <c r="AJ80" s="490" t="str">
        <f>IF($B80="","",IF($R80=AJ$5,(SUM($D80*VLOOKUP($C80,ESCALA!$B$3:$O$19,14,0)+10)*2)*27,""))</f>
        <v/>
      </c>
      <c r="AK80" s="490" t="str">
        <f>IF($B80="","",IF($R80=AK$5,(SUM($D80*VLOOKUP($C80,ESCALA!$B$3:$O$19,14,0)+10)*2)*27,""))</f>
        <v/>
      </c>
      <c r="AL80" s="490" t="str">
        <f>IF($B80="","",IF($R80=AL$5,(SUM($D80*VLOOKUP($C80,ESCALA!$B$3:$O$19,14,0)+10)*2)*27,""))</f>
        <v/>
      </c>
      <c r="AM80" s="490" t="str">
        <f>IF($B80="","",IF($R80=AM$5,(SUM($D80*VLOOKUP($C80,ESCALA!$B$3:$O$19,14,0)+10)*2)*27,""))</f>
        <v/>
      </c>
      <c r="AN80" s="490" t="str">
        <f>IF($B80="","",IF($R80=AN$5,(SUM($D80*VLOOKUP($C80,ESCALA!$B$3:$O$19,14,0)+10)*2)*27,""))</f>
        <v/>
      </c>
      <c r="AO80" s="490" t="str">
        <f>IF($B80="","",IF($R80=AO$5,(SUM($D80*VLOOKUP($C80,ESCALA!$B$3:$O$19,14,0)+10)*2)*27,""))</f>
        <v/>
      </c>
      <c r="AP80" s="490" t="str">
        <f>IF($B80="","",IF($R80=AP$5,(SUM($D80*VLOOKUP($C80,ESCALA!$B$3:$O$19,14,0)+10)*2)*27,""))</f>
        <v/>
      </c>
      <c r="AY80" s="368" t="str">
        <f>IF(PERFIL!E79="","",PERFIL!E79)</f>
        <v/>
      </c>
      <c r="AZ80" s="368" t="str">
        <f t="shared" si="6"/>
        <v/>
      </c>
      <c r="BA80" s="368" t="str">
        <f t="shared" si="7"/>
        <v/>
      </c>
      <c r="BY80" s="367" t="s">
        <v>573</v>
      </c>
      <c r="BZ80" s="367" t="s">
        <v>2653</v>
      </c>
      <c r="CA80" s="367" t="s">
        <v>985</v>
      </c>
      <c r="CB80" s="367">
        <v>100</v>
      </c>
      <c r="CC80" s="368" t="s">
        <v>220</v>
      </c>
    </row>
    <row r="81" spans="2:81" ht="33.75" customHeight="1" x14ac:dyDescent="0.2">
      <c r="B81" s="551"/>
      <c r="C81" s="517"/>
      <c r="D81" s="503" t="str">
        <f>IF(C81="","",VLOOKUP(C81,'REL LINHAS'!$B$2:$K$2205,5,0))</f>
        <v/>
      </c>
      <c r="E81" s="321" t="str">
        <f t="shared" si="8"/>
        <v/>
      </c>
      <c r="F81" s="493"/>
      <c r="G81" s="494"/>
      <c r="H81" s="649"/>
      <c r="I81" s="650"/>
      <c r="J81" s="651"/>
      <c r="K81" s="652"/>
      <c r="L81" s="653"/>
      <c r="M81" s="654"/>
      <c r="N81" s="652"/>
      <c r="O81" s="653"/>
      <c r="P81" s="653"/>
      <c r="Q81" s="654"/>
      <c r="R81" s="655"/>
      <c r="S81" s="656"/>
      <c r="T81" s="652"/>
      <c r="U81" s="654"/>
      <c r="V81" s="652"/>
      <c r="W81" s="653"/>
      <c r="X81" s="654"/>
      <c r="Y81" s="495"/>
      <c r="Z81" s="496"/>
      <c r="AA81" s="63"/>
      <c r="AB81" s="497" t="s">
        <v>2505</v>
      </c>
      <c r="AC81" s="63"/>
      <c r="AD81" s="497" t="s">
        <v>2506</v>
      </c>
      <c r="AE81" s="63"/>
      <c r="AF81" s="497" t="s">
        <v>2507</v>
      </c>
      <c r="AG81" s="63"/>
      <c r="AH81" s="498" t="s">
        <v>441</v>
      </c>
      <c r="AJ81" s="490" t="str">
        <f>IF($B81="","",IF($R81=AJ$5,(SUM($D81*VLOOKUP($C81,ESCALA!$B$3:$O$19,14,0)+10)*2)*27,""))</f>
        <v/>
      </c>
      <c r="AK81" s="490" t="str">
        <f>IF($B81="","",IF($R81=AK$5,(SUM($D81*VLOOKUP($C81,ESCALA!$B$3:$O$19,14,0)+10)*2)*27,""))</f>
        <v/>
      </c>
      <c r="AL81" s="490" t="str">
        <f>IF($B81="","",IF($R81=AL$5,(SUM($D81*VLOOKUP($C81,ESCALA!$B$3:$O$19,14,0)+10)*2)*27,""))</f>
        <v/>
      </c>
      <c r="AM81" s="490" t="str">
        <f>IF($B81="","",IF($R81=AM$5,(SUM($D81*VLOOKUP($C81,ESCALA!$B$3:$O$19,14,0)+10)*2)*27,""))</f>
        <v/>
      </c>
      <c r="AN81" s="490" t="str">
        <f>IF($B81="","",IF($R81=AN$5,(SUM($D81*VLOOKUP($C81,ESCALA!$B$3:$O$19,14,0)+10)*2)*27,""))</f>
        <v/>
      </c>
      <c r="AO81" s="490" t="str">
        <f>IF($B81="","",IF($R81=AO$5,(SUM($D81*VLOOKUP($C81,ESCALA!$B$3:$O$19,14,0)+10)*2)*27,""))</f>
        <v/>
      </c>
      <c r="AP81" s="490" t="str">
        <f>IF($B81="","",IF($R81=AP$5,(SUM($D81*VLOOKUP($C81,ESCALA!$B$3:$O$19,14,0)+10)*2)*27,""))</f>
        <v/>
      </c>
      <c r="AY81" s="368" t="str">
        <f>IF(PERFIL!E80="","",PERFIL!E80)</f>
        <v/>
      </c>
      <c r="AZ81" s="368" t="str">
        <f t="shared" si="6"/>
        <v/>
      </c>
      <c r="BA81" s="368" t="str">
        <f t="shared" si="7"/>
        <v/>
      </c>
      <c r="BY81" s="367" t="s">
        <v>498</v>
      </c>
      <c r="BZ81" s="367" t="s">
        <v>2626</v>
      </c>
      <c r="CA81" s="447" t="s">
        <v>986</v>
      </c>
      <c r="CB81" s="367">
        <v>150</v>
      </c>
      <c r="CC81" s="368" t="s">
        <v>10</v>
      </c>
    </row>
    <row r="82" spans="2:81" ht="33.75" customHeight="1" x14ac:dyDescent="0.2">
      <c r="B82" s="551"/>
      <c r="C82" s="517"/>
      <c r="D82" s="503" t="str">
        <f>IF(C82="","",VLOOKUP(C82,'REL LINHAS'!$B$2:$K$2205,5,0))</f>
        <v/>
      </c>
      <c r="E82" s="321" t="str">
        <f t="shared" si="8"/>
        <v/>
      </c>
      <c r="F82" s="493"/>
      <c r="G82" s="494"/>
      <c r="H82" s="649"/>
      <c r="I82" s="650"/>
      <c r="J82" s="651"/>
      <c r="K82" s="652"/>
      <c r="L82" s="653"/>
      <c r="M82" s="654"/>
      <c r="N82" s="652"/>
      <c r="O82" s="653"/>
      <c r="P82" s="653"/>
      <c r="Q82" s="654"/>
      <c r="R82" s="655"/>
      <c r="S82" s="656"/>
      <c r="T82" s="652"/>
      <c r="U82" s="654"/>
      <c r="V82" s="652"/>
      <c r="W82" s="653"/>
      <c r="X82" s="654"/>
      <c r="Y82" s="495"/>
      <c r="Z82" s="496"/>
      <c r="AA82" s="63"/>
      <c r="AB82" s="497" t="s">
        <v>2505</v>
      </c>
      <c r="AC82" s="63"/>
      <c r="AD82" s="497" t="s">
        <v>2506</v>
      </c>
      <c r="AE82" s="63"/>
      <c r="AF82" s="497" t="s">
        <v>2507</v>
      </c>
      <c r="AG82" s="63"/>
      <c r="AH82" s="498" t="s">
        <v>441</v>
      </c>
      <c r="AJ82" s="490" t="str">
        <f>IF($B82="","",IF($R82=AJ$5,(SUM($D82*VLOOKUP($C82,ESCALA!$B$3:$O$19,14,0)+10)*2)*27,""))</f>
        <v/>
      </c>
      <c r="AK82" s="490" t="str">
        <f>IF($B82="","",IF($R82=AK$5,(SUM($D82*VLOOKUP($C82,ESCALA!$B$3:$O$19,14,0)+10)*2)*27,""))</f>
        <v/>
      </c>
      <c r="AL82" s="490" t="str">
        <f>IF($B82="","",IF($R82=AL$5,(SUM($D82*VLOOKUP($C82,ESCALA!$B$3:$O$19,14,0)+10)*2)*27,""))</f>
        <v/>
      </c>
      <c r="AM82" s="490" t="str">
        <f>IF($B82="","",IF($R82=AM$5,(SUM($D82*VLOOKUP($C82,ESCALA!$B$3:$O$19,14,0)+10)*2)*27,""))</f>
        <v/>
      </c>
      <c r="AN82" s="490" t="str">
        <f>IF($B82="","",IF($R82=AN$5,(SUM($D82*VLOOKUP($C82,ESCALA!$B$3:$O$19,14,0)+10)*2)*27,""))</f>
        <v/>
      </c>
      <c r="AO82" s="490" t="str">
        <f>IF($B82="","",IF($R82=AO$5,(SUM($D82*VLOOKUP($C82,ESCALA!$B$3:$O$19,14,0)+10)*2)*27,""))</f>
        <v/>
      </c>
      <c r="AP82" s="490" t="str">
        <f>IF($B82="","",IF($R82=AP$5,(SUM($D82*VLOOKUP($C82,ESCALA!$B$3:$O$19,14,0)+10)*2)*27,""))</f>
        <v/>
      </c>
      <c r="AY82" s="368" t="str">
        <f>IF(PERFIL!E81="","",PERFIL!E81)</f>
        <v/>
      </c>
      <c r="AZ82" s="368" t="str">
        <f t="shared" si="6"/>
        <v/>
      </c>
      <c r="BA82" s="368" t="str">
        <f t="shared" si="7"/>
        <v/>
      </c>
      <c r="BZ82" s="367" t="s">
        <v>2676</v>
      </c>
      <c r="CA82" s="447" t="s">
        <v>987</v>
      </c>
      <c r="CB82" s="367">
        <v>125</v>
      </c>
      <c r="CC82" s="368" t="s">
        <v>10</v>
      </c>
    </row>
    <row r="83" spans="2:81" ht="33.75" customHeight="1" x14ac:dyDescent="0.2">
      <c r="B83" s="551"/>
      <c r="C83" s="517"/>
      <c r="D83" s="503" t="str">
        <f>IF(C83="","",VLOOKUP(C83,'REL LINHAS'!$B$2:$K$2205,5,0))</f>
        <v/>
      </c>
      <c r="E83" s="321" t="str">
        <f t="shared" si="8"/>
        <v/>
      </c>
      <c r="F83" s="493"/>
      <c r="G83" s="494"/>
      <c r="H83" s="649"/>
      <c r="I83" s="650"/>
      <c r="J83" s="651"/>
      <c r="K83" s="652"/>
      <c r="L83" s="653"/>
      <c r="M83" s="654"/>
      <c r="N83" s="652"/>
      <c r="O83" s="653"/>
      <c r="P83" s="653"/>
      <c r="Q83" s="654"/>
      <c r="R83" s="655"/>
      <c r="S83" s="656"/>
      <c r="T83" s="652"/>
      <c r="U83" s="654"/>
      <c r="V83" s="652"/>
      <c r="W83" s="653"/>
      <c r="X83" s="654"/>
      <c r="Y83" s="495"/>
      <c r="Z83" s="496"/>
      <c r="AA83" s="63"/>
      <c r="AB83" s="497" t="s">
        <v>2505</v>
      </c>
      <c r="AC83" s="63"/>
      <c r="AD83" s="497" t="s">
        <v>2506</v>
      </c>
      <c r="AE83" s="63"/>
      <c r="AF83" s="497" t="s">
        <v>2507</v>
      </c>
      <c r="AG83" s="63"/>
      <c r="AH83" s="498" t="s">
        <v>441</v>
      </c>
      <c r="AJ83" s="490" t="str">
        <f>IF($B83="","",IF($R83=AJ$5,(SUM($D83*VLOOKUP($C83,ESCALA!$B$3:$O$19,14,0)+10)*2)*27,""))</f>
        <v/>
      </c>
      <c r="AK83" s="490" t="str">
        <f>IF($B83="","",IF($R83=AK$5,(SUM($D83*VLOOKUP($C83,ESCALA!$B$3:$O$19,14,0)+10)*2)*27,""))</f>
        <v/>
      </c>
      <c r="AL83" s="490" t="str">
        <f>IF($B83="","",IF($R83=AL$5,(SUM($D83*VLOOKUP($C83,ESCALA!$B$3:$O$19,14,0)+10)*2)*27,""))</f>
        <v/>
      </c>
      <c r="AM83" s="490" t="str">
        <f>IF($B83="","",IF($R83=AM$5,(SUM($D83*VLOOKUP($C83,ESCALA!$B$3:$O$19,14,0)+10)*2)*27,""))</f>
        <v/>
      </c>
      <c r="AN83" s="490" t="str">
        <f>IF($B83="","",IF($R83=AN$5,(SUM($D83*VLOOKUP($C83,ESCALA!$B$3:$O$19,14,0)+10)*2)*27,""))</f>
        <v/>
      </c>
      <c r="AO83" s="490" t="str">
        <f>IF($B83="","",IF($R83=AO$5,(SUM($D83*VLOOKUP($C83,ESCALA!$B$3:$O$19,14,0)+10)*2)*27,""))</f>
        <v/>
      </c>
      <c r="AP83" s="490" t="str">
        <f>IF($B83="","",IF($R83=AP$5,(SUM($D83*VLOOKUP($C83,ESCALA!$B$3:$O$19,14,0)+10)*2)*27,""))</f>
        <v/>
      </c>
      <c r="AY83" s="368" t="str">
        <f>IF(PERFIL!E82="","",PERFIL!E82)</f>
        <v/>
      </c>
      <c r="AZ83" s="368" t="str">
        <f t="shared" si="6"/>
        <v/>
      </c>
      <c r="BA83" s="368" t="str">
        <f t="shared" si="7"/>
        <v/>
      </c>
      <c r="BZ83" s="367" t="s">
        <v>2687</v>
      </c>
      <c r="CA83" s="447" t="s">
        <v>988</v>
      </c>
      <c r="CB83" s="367">
        <v>125</v>
      </c>
      <c r="CC83" s="368" t="s">
        <v>10</v>
      </c>
    </row>
    <row r="84" spans="2:81" ht="33.75" customHeight="1" x14ac:dyDescent="0.2">
      <c r="B84" s="551"/>
      <c r="C84" s="517"/>
      <c r="D84" s="503" t="str">
        <f>IF(C84="","",VLOOKUP(C84,'REL LINHAS'!$B$2:$K$2205,5,0))</f>
        <v/>
      </c>
      <c r="E84" s="321" t="str">
        <f t="shared" si="8"/>
        <v/>
      </c>
      <c r="F84" s="493"/>
      <c r="G84" s="494"/>
      <c r="H84" s="649"/>
      <c r="I84" s="650"/>
      <c r="J84" s="651"/>
      <c r="K84" s="652"/>
      <c r="L84" s="653"/>
      <c r="M84" s="654"/>
      <c r="N84" s="652"/>
      <c r="O84" s="653"/>
      <c r="P84" s="653"/>
      <c r="Q84" s="654"/>
      <c r="R84" s="655"/>
      <c r="S84" s="656"/>
      <c r="T84" s="652"/>
      <c r="U84" s="654"/>
      <c r="V84" s="652"/>
      <c r="W84" s="653"/>
      <c r="X84" s="654"/>
      <c r="Y84" s="495"/>
      <c r="Z84" s="496"/>
      <c r="AA84" s="63"/>
      <c r="AB84" s="497" t="s">
        <v>2505</v>
      </c>
      <c r="AC84" s="63"/>
      <c r="AD84" s="497" t="s">
        <v>2506</v>
      </c>
      <c r="AE84" s="63"/>
      <c r="AF84" s="497" t="s">
        <v>2507</v>
      </c>
      <c r="AG84" s="63"/>
      <c r="AH84" s="498" t="s">
        <v>441</v>
      </c>
      <c r="AJ84" s="490" t="str">
        <f>IF($B84="","",IF($R84=AJ$5,(SUM($D84*VLOOKUP($C84,ESCALA!$B$3:$O$19,14,0)+10)*2)*27,""))</f>
        <v/>
      </c>
      <c r="AK84" s="490" t="str">
        <f>IF($B84="","",IF($R84=AK$5,(SUM($D84*VLOOKUP($C84,ESCALA!$B$3:$O$19,14,0)+10)*2)*27,""))</f>
        <v/>
      </c>
      <c r="AL84" s="490" t="str">
        <f>IF($B84="","",IF($R84=AL$5,(SUM($D84*VLOOKUP($C84,ESCALA!$B$3:$O$19,14,0)+10)*2)*27,""))</f>
        <v/>
      </c>
      <c r="AM84" s="490" t="str">
        <f>IF($B84="","",IF($R84=AM$5,(SUM($D84*VLOOKUP($C84,ESCALA!$B$3:$O$19,14,0)+10)*2)*27,""))</f>
        <v/>
      </c>
      <c r="AN84" s="490" t="str">
        <f>IF($B84="","",IF($R84=AN$5,(SUM($D84*VLOOKUP($C84,ESCALA!$B$3:$O$19,14,0)+10)*2)*27,""))</f>
        <v/>
      </c>
      <c r="AO84" s="490" t="str">
        <f>IF($B84="","",IF($R84=AO$5,(SUM($D84*VLOOKUP($C84,ESCALA!$B$3:$O$19,14,0)+10)*2)*27,""))</f>
        <v/>
      </c>
      <c r="AP84" s="490" t="str">
        <f>IF($B84="","",IF($R84=AP$5,(SUM($D84*VLOOKUP($C84,ESCALA!$B$3:$O$19,14,0)+10)*2)*27,""))</f>
        <v/>
      </c>
      <c r="AY84" s="368" t="str">
        <f>IF(PERFIL!E83="","",PERFIL!E83)</f>
        <v/>
      </c>
      <c r="AZ84" s="368" t="str">
        <f t="shared" si="6"/>
        <v/>
      </c>
      <c r="BA84" s="368" t="str">
        <f t="shared" si="7"/>
        <v/>
      </c>
      <c r="BY84" s="367" t="s">
        <v>498</v>
      </c>
      <c r="BZ84" s="367" t="s">
        <v>2657</v>
      </c>
      <c r="CA84" s="447" t="s">
        <v>989</v>
      </c>
      <c r="CB84" s="367">
        <v>175</v>
      </c>
      <c r="CC84" s="368" t="s">
        <v>10</v>
      </c>
    </row>
    <row r="85" spans="2:81" ht="33.75" customHeight="1" x14ac:dyDescent="0.2">
      <c r="B85" s="551"/>
      <c r="C85" s="517"/>
      <c r="D85" s="503" t="str">
        <f>IF(C85="","",VLOOKUP(C85,'REL LINHAS'!$B$2:$K$2205,5,0))</f>
        <v/>
      </c>
      <c r="E85" s="321" t="str">
        <f t="shared" si="8"/>
        <v/>
      </c>
      <c r="F85" s="493"/>
      <c r="G85" s="494"/>
      <c r="H85" s="649"/>
      <c r="I85" s="650"/>
      <c r="J85" s="651"/>
      <c r="K85" s="652"/>
      <c r="L85" s="653"/>
      <c r="M85" s="654"/>
      <c r="N85" s="652"/>
      <c r="O85" s="653"/>
      <c r="P85" s="653"/>
      <c r="Q85" s="654"/>
      <c r="R85" s="655"/>
      <c r="S85" s="656"/>
      <c r="T85" s="652"/>
      <c r="U85" s="654"/>
      <c r="V85" s="652"/>
      <c r="W85" s="653"/>
      <c r="X85" s="654"/>
      <c r="Y85" s="495"/>
      <c r="Z85" s="496"/>
      <c r="AA85" s="63"/>
      <c r="AB85" s="497" t="s">
        <v>2505</v>
      </c>
      <c r="AC85" s="63"/>
      <c r="AD85" s="497" t="s">
        <v>2506</v>
      </c>
      <c r="AE85" s="63"/>
      <c r="AF85" s="497" t="s">
        <v>2507</v>
      </c>
      <c r="AG85" s="63"/>
      <c r="AH85" s="498" t="s">
        <v>441</v>
      </c>
      <c r="AJ85" s="490" t="str">
        <f>IF($B85="","",IF($R85=AJ$5,(SUM($D85*VLOOKUP($C85,ESCALA!$B$3:$O$19,14,0)+10)*2)*27,""))</f>
        <v/>
      </c>
      <c r="AK85" s="490" t="str">
        <f>IF($B85="","",IF($R85=AK$5,(SUM($D85*VLOOKUP($C85,ESCALA!$B$3:$O$19,14,0)+10)*2)*27,""))</f>
        <v/>
      </c>
      <c r="AL85" s="490" t="str">
        <f>IF($B85="","",IF($R85=AL$5,(SUM($D85*VLOOKUP($C85,ESCALA!$B$3:$O$19,14,0)+10)*2)*27,""))</f>
        <v/>
      </c>
      <c r="AM85" s="490" t="str">
        <f>IF($B85="","",IF($R85=AM$5,(SUM($D85*VLOOKUP($C85,ESCALA!$B$3:$O$19,14,0)+10)*2)*27,""))</f>
        <v/>
      </c>
      <c r="AN85" s="490" t="str">
        <f>IF($B85="","",IF($R85=AN$5,(SUM($D85*VLOOKUP($C85,ESCALA!$B$3:$O$19,14,0)+10)*2)*27,""))</f>
        <v/>
      </c>
      <c r="AO85" s="490" t="str">
        <f>IF($B85="","",IF($R85=AO$5,(SUM($D85*VLOOKUP($C85,ESCALA!$B$3:$O$19,14,0)+10)*2)*27,""))</f>
        <v/>
      </c>
      <c r="AP85" s="490" t="str">
        <f>IF($B85="","",IF($R85=AP$5,(SUM($D85*VLOOKUP($C85,ESCALA!$B$3:$O$19,14,0)+10)*2)*27,""))</f>
        <v/>
      </c>
      <c r="AY85" s="368" t="str">
        <f>IF(PERFIL!E84="","",PERFIL!E84)</f>
        <v/>
      </c>
      <c r="AZ85" s="368" t="str">
        <f t="shared" si="6"/>
        <v/>
      </c>
      <c r="BA85" s="368" t="str">
        <f t="shared" si="7"/>
        <v/>
      </c>
      <c r="BZ85" s="367" t="s">
        <v>2677</v>
      </c>
      <c r="CA85" s="367" t="s">
        <v>990</v>
      </c>
      <c r="CB85" s="367">
        <v>125</v>
      </c>
      <c r="CC85" s="368" t="s">
        <v>10</v>
      </c>
    </row>
    <row r="86" spans="2:81" ht="33.75" customHeight="1" x14ac:dyDescent="0.2">
      <c r="B86" s="551"/>
      <c r="C86" s="517"/>
      <c r="D86" s="503" t="str">
        <f>IF(C86="","",VLOOKUP(C86,'REL LINHAS'!$B$2:$K$2205,5,0))</f>
        <v/>
      </c>
      <c r="E86" s="321" t="str">
        <f t="shared" si="8"/>
        <v/>
      </c>
      <c r="F86" s="493"/>
      <c r="G86" s="494"/>
      <c r="H86" s="649"/>
      <c r="I86" s="650"/>
      <c r="J86" s="651"/>
      <c r="K86" s="652"/>
      <c r="L86" s="653"/>
      <c r="M86" s="654"/>
      <c r="N86" s="652"/>
      <c r="O86" s="653"/>
      <c r="P86" s="653"/>
      <c r="Q86" s="654"/>
      <c r="R86" s="655"/>
      <c r="S86" s="656"/>
      <c r="T86" s="652"/>
      <c r="U86" s="654"/>
      <c r="V86" s="652"/>
      <c r="W86" s="653"/>
      <c r="X86" s="654"/>
      <c r="Y86" s="495"/>
      <c r="Z86" s="496"/>
      <c r="AA86" s="63"/>
      <c r="AB86" s="497" t="s">
        <v>2505</v>
      </c>
      <c r="AC86" s="63"/>
      <c r="AD86" s="497" t="s">
        <v>2506</v>
      </c>
      <c r="AE86" s="63"/>
      <c r="AF86" s="497" t="s">
        <v>2507</v>
      </c>
      <c r="AG86" s="63"/>
      <c r="AH86" s="498" t="s">
        <v>441</v>
      </c>
      <c r="AJ86" s="490" t="str">
        <f>IF($B86="","",IF($R86=AJ$5,(SUM($D86*VLOOKUP($C86,ESCALA!$B$3:$O$19,14,0)+10)*2)*27,""))</f>
        <v/>
      </c>
      <c r="AK86" s="490" t="str">
        <f>IF($B86="","",IF($R86=AK$5,(SUM($D86*VLOOKUP($C86,ESCALA!$B$3:$O$19,14,0)+10)*2)*27,""))</f>
        <v/>
      </c>
      <c r="AL86" s="490" t="str">
        <f>IF($B86="","",IF($R86=AL$5,(SUM($D86*VLOOKUP($C86,ESCALA!$B$3:$O$19,14,0)+10)*2)*27,""))</f>
        <v/>
      </c>
      <c r="AM86" s="490" t="str">
        <f>IF($B86="","",IF($R86=AM$5,(SUM($D86*VLOOKUP($C86,ESCALA!$B$3:$O$19,14,0)+10)*2)*27,""))</f>
        <v/>
      </c>
      <c r="AN86" s="490" t="str">
        <f>IF($B86="","",IF($R86=AN$5,(SUM($D86*VLOOKUP($C86,ESCALA!$B$3:$O$19,14,0)+10)*2)*27,""))</f>
        <v/>
      </c>
      <c r="AO86" s="490" t="str">
        <f>IF($B86="","",IF($R86=AO$5,(SUM($D86*VLOOKUP($C86,ESCALA!$B$3:$O$19,14,0)+10)*2)*27,""))</f>
        <v/>
      </c>
      <c r="AP86" s="490" t="str">
        <f>IF($B86="","",IF($R86=AP$5,(SUM($D86*VLOOKUP($C86,ESCALA!$B$3:$O$19,14,0)+10)*2)*27,""))</f>
        <v/>
      </c>
      <c r="AY86" s="368" t="str">
        <f>IF(PERFIL!E85="","",PERFIL!E85)</f>
        <v/>
      </c>
      <c r="AZ86" s="368" t="str">
        <f t="shared" si="6"/>
        <v/>
      </c>
      <c r="BA86" s="368" t="str">
        <f t="shared" si="7"/>
        <v/>
      </c>
      <c r="BZ86" s="367" t="s">
        <v>2650</v>
      </c>
      <c r="CA86" s="367" t="s">
        <v>991</v>
      </c>
      <c r="CB86" s="367">
        <v>100</v>
      </c>
      <c r="CC86" s="368" t="s">
        <v>10</v>
      </c>
    </row>
    <row r="87" spans="2:81" ht="33.75" customHeight="1" x14ac:dyDescent="0.2">
      <c r="B87" s="551"/>
      <c r="C87" s="517"/>
      <c r="D87" s="503" t="str">
        <f>IF(C87="","",VLOOKUP(C87,'REL LINHAS'!$B$2:$K$2205,5,0))</f>
        <v/>
      </c>
      <c r="E87" s="321" t="str">
        <f t="shared" si="8"/>
        <v/>
      </c>
      <c r="F87" s="493"/>
      <c r="G87" s="494"/>
      <c r="H87" s="649"/>
      <c r="I87" s="650"/>
      <c r="J87" s="651"/>
      <c r="K87" s="652"/>
      <c r="L87" s="653"/>
      <c r="M87" s="654"/>
      <c r="N87" s="652"/>
      <c r="O87" s="653"/>
      <c r="P87" s="653"/>
      <c r="Q87" s="654"/>
      <c r="R87" s="655"/>
      <c r="S87" s="656"/>
      <c r="T87" s="652"/>
      <c r="U87" s="654"/>
      <c r="V87" s="652"/>
      <c r="W87" s="653"/>
      <c r="X87" s="654"/>
      <c r="Y87" s="495"/>
      <c r="Z87" s="496"/>
      <c r="AA87" s="63"/>
      <c r="AB87" s="497" t="s">
        <v>2505</v>
      </c>
      <c r="AC87" s="63"/>
      <c r="AD87" s="497" t="s">
        <v>2506</v>
      </c>
      <c r="AE87" s="63"/>
      <c r="AF87" s="497" t="s">
        <v>2507</v>
      </c>
      <c r="AG87" s="63"/>
      <c r="AH87" s="498" t="s">
        <v>441</v>
      </c>
      <c r="AJ87" s="490" t="str">
        <f>IF($B87="","",IF($R87=AJ$5,(SUM($D87*VLOOKUP($C87,ESCALA!$B$3:$O$19,14,0)+10)*2)*27,""))</f>
        <v/>
      </c>
      <c r="AK87" s="490" t="str">
        <f>IF($B87="","",IF($R87=AK$5,(SUM($D87*VLOOKUP($C87,ESCALA!$B$3:$O$19,14,0)+10)*2)*27,""))</f>
        <v/>
      </c>
      <c r="AL87" s="490" t="str">
        <f>IF($B87="","",IF($R87=AL$5,(SUM($D87*VLOOKUP($C87,ESCALA!$B$3:$O$19,14,0)+10)*2)*27,""))</f>
        <v/>
      </c>
      <c r="AM87" s="490" t="str">
        <f>IF($B87="","",IF($R87=AM$5,(SUM($D87*VLOOKUP($C87,ESCALA!$B$3:$O$19,14,0)+10)*2)*27,""))</f>
        <v/>
      </c>
      <c r="AN87" s="490" t="str">
        <f>IF($B87="","",IF($R87=AN$5,(SUM($D87*VLOOKUP($C87,ESCALA!$B$3:$O$19,14,0)+10)*2)*27,""))</f>
        <v/>
      </c>
      <c r="AO87" s="490" t="str">
        <f>IF($B87="","",IF($R87=AO$5,(SUM($D87*VLOOKUP($C87,ESCALA!$B$3:$O$19,14,0)+10)*2)*27,""))</f>
        <v/>
      </c>
      <c r="AP87" s="490" t="str">
        <f>IF($B87="","",IF($R87=AP$5,(SUM($D87*VLOOKUP($C87,ESCALA!$B$3:$O$19,14,0)+10)*2)*27,""))</f>
        <v/>
      </c>
      <c r="AY87" s="368" t="str">
        <f>IF(PERFIL!E86="","",PERFIL!E86)</f>
        <v/>
      </c>
      <c r="AZ87" s="368" t="str">
        <f t="shared" si="6"/>
        <v/>
      </c>
      <c r="BA87" s="368" t="str">
        <f t="shared" si="7"/>
        <v/>
      </c>
      <c r="BY87" s="367" t="s">
        <v>498</v>
      </c>
      <c r="BZ87" s="367" t="s">
        <v>2715</v>
      </c>
      <c r="CA87" s="367" t="s">
        <v>992</v>
      </c>
      <c r="CB87" s="367">
        <v>150</v>
      </c>
      <c r="CC87" s="368" t="s">
        <v>10</v>
      </c>
    </row>
    <row r="88" spans="2:81" ht="33.75" customHeight="1" x14ac:dyDescent="0.2">
      <c r="B88" s="551"/>
      <c r="C88" s="517"/>
      <c r="D88" s="503" t="str">
        <f>IF(C88="","",VLOOKUP(C88,'REL LINHAS'!$B$2:$K$2205,5,0))</f>
        <v/>
      </c>
      <c r="E88" s="321" t="str">
        <f t="shared" si="8"/>
        <v/>
      </c>
      <c r="F88" s="493"/>
      <c r="G88" s="494"/>
      <c r="H88" s="649"/>
      <c r="I88" s="650"/>
      <c r="J88" s="651"/>
      <c r="K88" s="652"/>
      <c r="L88" s="653"/>
      <c r="M88" s="654"/>
      <c r="N88" s="652"/>
      <c r="O88" s="653"/>
      <c r="P88" s="653"/>
      <c r="Q88" s="654"/>
      <c r="R88" s="655"/>
      <c r="S88" s="656"/>
      <c r="T88" s="652"/>
      <c r="U88" s="654"/>
      <c r="V88" s="652"/>
      <c r="W88" s="653"/>
      <c r="X88" s="654"/>
      <c r="Y88" s="495"/>
      <c r="Z88" s="496"/>
      <c r="AA88" s="63"/>
      <c r="AB88" s="497" t="s">
        <v>2505</v>
      </c>
      <c r="AC88" s="63"/>
      <c r="AD88" s="497" t="s">
        <v>2506</v>
      </c>
      <c r="AE88" s="63"/>
      <c r="AF88" s="497" t="s">
        <v>2507</v>
      </c>
      <c r="AG88" s="63"/>
      <c r="AH88" s="498" t="s">
        <v>441</v>
      </c>
      <c r="AJ88" s="490" t="str">
        <f>IF($B88="","",IF($R88=AJ$5,(SUM($D88*VLOOKUP($C88,ESCALA!$B$3:$O$19,14,0)+10)*2)*27,""))</f>
        <v/>
      </c>
      <c r="AK88" s="490" t="str">
        <f>IF($B88="","",IF($R88=AK$5,(SUM($D88*VLOOKUP($C88,ESCALA!$B$3:$O$19,14,0)+10)*2)*27,""))</f>
        <v/>
      </c>
      <c r="AL88" s="490" t="str">
        <f>IF($B88="","",IF($R88=AL$5,(SUM($D88*VLOOKUP($C88,ESCALA!$B$3:$O$19,14,0)+10)*2)*27,""))</f>
        <v/>
      </c>
      <c r="AM88" s="490" t="str">
        <f>IF($B88="","",IF($R88=AM$5,(SUM($D88*VLOOKUP($C88,ESCALA!$B$3:$O$19,14,0)+10)*2)*27,""))</f>
        <v/>
      </c>
      <c r="AN88" s="490" t="str">
        <f>IF($B88="","",IF($R88=AN$5,(SUM($D88*VLOOKUP($C88,ESCALA!$B$3:$O$19,14,0)+10)*2)*27,""))</f>
        <v/>
      </c>
      <c r="AO88" s="490" t="str">
        <f>IF($B88="","",IF($R88=AO$5,(SUM($D88*VLOOKUP($C88,ESCALA!$B$3:$O$19,14,0)+10)*2)*27,""))</f>
        <v/>
      </c>
      <c r="AP88" s="490" t="str">
        <f>IF($B88="","",IF($R88=AP$5,(SUM($D88*VLOOKUP($C88,ESCALA!$B$3:$O$19,14,0)+10)*2)*27,""))</f>
        <v/>
      </c>
      <c r="AY88" s="368" t="str">
        <f>IF(PERFIL!E87="","",PERFIL!E87)</f>
        <v/>
      </c>
      <c r="AZ88" s="368" t="str">
        <f t="shared" ref="AZ88:AZ119" si="9">IF($AY88="","",VLOOKUP($AY88,$BI$5:$BK$13,2,0))</f>
        <v/>
      </c>
      <c r="BA88" s="368" t="str">
        <f t="shared" ref="BA88:BA119" si="10">IF($AY88="","",VLOOKUP($AY88,$BI$5:$BK$13,3,0))</f>
        <v/>
      </c>
      <c r="BZ88" s="367" t="s">
        <v>2688</v>
      </c>
      <c r="CA88" s="367" t="s">
        <v>993</v>
      </c>
      <c r="CB88" s="367">
        <v>125</v>
      </c>
      <c r="CC88" s="368" t="s">
        <v>10</v>
      </c>
    </row>
    <row r="89" spans="2:81" ht="33.75" customHeight="1" x14ac:dyDescent="0.2">
      <c r="B89" s="551"/>
      <c r="C89" s="517"/>
      <c r="D89" s="503" t="str">
        <f>IF(C89="","",VLOOKUP(C89,'REL LINHAS'!$B$2:$K$2205,5,0))</f>
        <v/>
      </c>
      <c r="E89" s="321" t="str">
        <f t="shared" si="8"/>
        <v/>
      </c>
      <c r="F89" s="493"/>
      <c r="G89" s="494"/>
      <c r="H89" s="649"/>
      <c r="I89" s="650"/>
      <c r="J89" s="651"/>
      <c r="K89" s="652"/>
      <c r="L89" s="653"/>
      <c r="M89" s="654"/>
      <c r="N89" s="652"/>
      <c r="O89" s="653"/>
      <c r="P89" s="653"/>
      <c r="Q89" s="654"/>
      <c r="R89" s="655"/>
      <c r="S89" s="656"/>
      <c r="T89" s="652"/>
      <c r="U89" s="654"/>
      <c r="V89" s="652"/>
      <c r="W89" s="653"/>
      <c r="X89" s="654"/>
      <c r="Y89" s="495"/>
      <c r="Z89" s="496"/>
      <c r="AA89" s="63"/>
      <c r="AB89" s="497" t="s">
        <v>2505</v>
      </c>
      <c r="AC89" s="63"/>
      <c r="AD89" s="497" t="s">
        <v>2506</v>
      </c>
      <c r="AE89" s="63"/>
      <c r="AF89" s="497" t="s">
        <v>2507</v>
      </c>
      <c r="AG89" s="63"/>
      <c r="AH89" s="498" t="s">
        <v>441</v>
      </c>
      <c r="AJ89" s="490" t="str">
        <f>IF($B89="","",IF($R89=AJ$5,(SUM($D89*VLOOKUP($C89,ESCALA!$B$3:$O$19,14,0)+10)*2)*27,""))</f>
        <v/>
      </c>
      <c r="AK89" s="490" t="str">
        <f>IF($B89="","",IF($R89=AK$5,(SUM($D89*VLOOKUP($C89,ESCALA!$B$3:$O$19,14,0)+10)*2)*27,""))</f>
        <v/>
      </c>
      <c r="AL89" s="490" t="str">
        <f>IF($B89="","",IF($R89=AL$5,(SUM($D89*VLOOKUP($C89,ESCALA!$B$3:$O$19,14,0)+10)*2)*27,""))</f>
        <v/>
      </c>
      <c r="AM89" s="490" t="str">
        <f>IF($B89="","",IF($R89=AM$5,(SUM($D89*VLOOKUP($C89,ESCALA!$B$3:$O$19,14,0)+10)*2)*27,""))</f>
        <v/>
      </c>
      <c r="AN89" s="490" t="str">
        <f>IF($B89="","",IF($R89=AN$5,(SUM($D89*VLOOKUP($C89,ESCALA!$B$3:$O$19,14,0)+10)*2)*27,""))</f>
        <v/>
      </c>
      <c r="AO89" s="490" t="str">
        <f>IF($B89="","",IF($R89=AO$5,(SUM($D89*VLOOKUP($C89,ESCALA!$B$3:$O$19,14,0)+10)*2)*27,""))</f>
        <v/>
      </c>
      <c r="AP89" s="490" t="str">
        <f>IF($B89="","",IF($R89=AP$5,(SUM($D89*VLOOKUP($C89,ESCALA!$B$3:$O$19,14,0)+10)*2)*27,""))</f>
        <v/>
      </c>
      <c r="AY89" s="368" t="str">
        <f>IF(PERFIL!E88="","",PERFIL!E88)</f>
        <v/>
      </c>
      <c r="AZ89" s="368" t="str">
        <f t="shared" si="9"/>
        <v/>
      </c>
      <c r="BA89" s="368" t="str">
        <f t="shared" si="10"/>
        <v/>
      </c>
      <c r="BY89" s="367" t="s">
        <v>498</v>
      </c>
      <c r="BZ89" s="367" t="s">
        <v>2658</v>
      </c>
      <c r="CA89" s="367" t="s">
        <v>994</v>
      </c>
      <c r="CB89" s="367">
        <v>150</v>
      </c>
      <c r="CC89" s="368" t="s">
        <v>10</v>
      </c>
    </row>
    <row r="90" spans="2:81" ht="33.75" customHeight="1" x14ac:dyDescent="0.2">
      <c r="B90" s="551"/>
      <c r="C90" s="517"/>
      <c r="D90" s="503" t="str">
        <f>IF(C90="","",VLOOKUP(C90,'REL LINHAS'!$B$2:$K$2205,5,0))</f>
        <v/>
      </c>
      <c r="E90" s="321" t="str">
        <f t="shared" si="8"/>
        <v/>
      </c>
      <c r="F90" s="493"/>
      <c r="G90" s="494"/>
      <c r="H90" s="649"/>
      <c r="I90" s="650"/>
      <c r="J90" s="651"/>
      <c r="K90" s="652"/>
      <c r="L90" s="653"/>
      <c r="M90" s="654"/>
      <c r="N90" s="652"/>
      <c r="O90" s="653"/>
      <c r="P90" s="653"/>
      <c r="Q90" s="654"/>
      <c r="R90" s="655"/>
      <c r="S90" s="656"/>
      <c r="T90" s="652"/>
      <c r="U90" s="654"/>
      <c r="V90" s="652"/>
      <c r="W90" s="653"/>
      <c r="X90" s="654"/>
      <c r="Y90" s="495"/>
      <c r="Z90" s="496"/>
      <c r="AA90" s="63"/>
      <c r="AB90" s="497" t="s">
        <v>2505</v>
      </c>
      <c r="AC90" s="63"/>
      <c r="AD90" s="497" t="s">
        <v>2506</v>
      </c>
      <c r="AE90" s="63"/>
      <c r="AF90" s="497" t="s">
        <v>2507</v>
      </c>
      <c r="AG90" s="63"/>
      <c r="AH90" s="498" t="s">
        <v>441</v>
      </c>
      <c r="AJ90" s="490" t="str">
        <f>IF($B90="","",IF($R90=AJ$5,(SUM($D90*VLOOKUP($C90,ESCALA!$B$3:$O$19,14,0)+10)*2)*27,""))</f>
        <v/>
      </c>
      <c r="AK90" s="490" t="str">
        <f>IF($B90="","",IF($R90=AK$5,(SUM($D90*VLOOKUP($C90,ESCALA!$B$3:$O$19,14,0)+10)*2)*27,""))</f>
        <v/>
      </c>
      <c r="AL90" s="490" t="str">
        <f>IF($B90="","",IF($R90=AL$5,(SUM($D90*VLOOKUP($C90,ESCALA!$B$3:$O$19,14,0)+10)*2)*27,""))</f>
        <v/>
      </c>
      <c r="AM90" s="490" t="str">
        <f>IF($B90="","",IF($R90=AM$5,(SUM($D90*VLOOKUP($C90,ESCALA!$B$3:$O$19,14,0)+10)*2)*27,""))</f>
        <v/>
      </c>
      <c r="AN90" s="490" t="str">
        <f>IF($B90="","",IF($R90=AN$5,(SUM($D90*VLOOKUP($C90,ESCALA!$B$3:$O$19,14,0)+10)*2)*27,""))</f>
        <v/>
      </c>
      <c r="AO90" s="490" t="str">
        <f>IF($B90="","",IF($R90=AO$5,(SUM($D90*VLOOKUP($C90,ESCALA!$B$3:$O$19,14,0)+10)*2)*27,""))</f>
        <v/>
      </c>
      <c r="AP90" s="490" t="str">
        <f>IF($B90="","",IF($R90=AP$5,(SUM($D90*VLOOKUP($C90,ESCALA!$B$3:$O$19,14,0)+10)*2)*27,""))</f>
        <v/>
      </c>
      <c r="AY90" s="368" t="str">
        <f>IF(PERFIL!E89="","",PERFIL!E89)</f>
        <v/>
      </c>
      <c r="AZ90" s="368" t="str">
        <f t="shared" si="9"/>
        <v/>
      </c>
      <c r="BA90" s="368" t="str">
        <f t="shared" si="10"/>
        <v/>
      </c>
      <c r="BY90" s="367" t="s">
        <v>498</v>
      </c>
      <c r="BZ90" s="367" t="s">
        <v>2627</v>
      </c>
      <c r="CA90" s="367" t="s">
        <v>995</v>
      </c>
      <c r="CB90" s="367">
        <v>175</v>
      </c>
      <c r="CC90" s="368" t="s">
        <v>10</v>
      </c>
    </row>
    <row r="91" spans="2:81" ht="33.75" customHeight="1" x14ac:dyDescent="0.2">
      <c r="B91" s="551"/>
      <c r="C91" s="517"/>
      <c r="D91" s="503" t="str">
        <f>IF(C91="","",VLOOKUP(C91,'REL LINHAS'!$B$2:$K$2205,5,0))</f>
        <v/>
      </c>
      <c r="E91" s="321" t="str">
        <f t="shared" si="8"/>
        <v/>
      </c>
      <c r="F91" s="493"/>
      <c r="G91" s="494"/>
      <c r="H91" s="649"/>
      <c r="I91" s="650"/>
      <c r="J91" s="651"/>
      <c r="K91" s="652"/>
      <c r="L91" s="653"/>
      <c r="M91" s="654"/>
      <c r="N91" s="652"/>
      <c r="O91" s="653"/>
      <c r="P91" s="653"/>
      <c r="Q91" s="654"/>
      <c r="R91" s="655"/>
      <c r="S91" s="656"/>
      <c r="T91" s="652"/>
      <c r="U91" s="654"/>
      <c r="V91" s="652"/>
      <c r="W91" s="653"/>
      <c r="X91" s="654"/>
      <c r="Y91" s="495"/>
      <c r="Z91" s="496"/>
      <c r="AA91" s="63"/>
      <c r="AB91" s="497" t="s">
        <v>2505</v>
      </c>
      <c r="AC91" s="63"/>
      <c r="AD91" s="497" t="s">
        <v>2506</v>
      </c>
      <c r="AE91" s="63"/>
      <c r="AF91" s="497" t="s">
        <v>2507</v>
      </c>
      <c r="AG91" s="63"/>
      <c r="AH91" s="498" t="s">
        <v>441</v>
      </c>
      <c r="AJ91" s="490" t="str">
        <f>IF($B91="","",IF($R91=AJ$5,(SUM($D91*VLOOKUP($C91,ESCALA!$B$3:$O$19,14,0)+10)*2)*27,""))</f>
        <v/>
      </c>
      <c r="AK91" s="490" t="str">
        <f>IF($B91="","",IF($R91=AK$5,(SUM($D91*VLOOKUP($C91,ESCALA!$B$3:$O$19,14,0)+10)*2)*27,""))</f>
        <v/>
      </c>
      <c r="AL91" s="490" t="str">
        <f>IF($B91="","",IF($R91=AL$5,(SUM($D91*VLOOKUP($C91,ESCALA!$B$3:$O$19,14,0)+10)*2)*27,""))</f>
        <v/>
      </c>
      <c r="AM91" s="490" t="str">
        <f>IF($B91="","",IF($R91=AM$5,(SUM($D91*VLOOKUP($C91,ESCALA!$B$3:$O$19,14,0)+10)*2)*27,""))</f>
        <v/>
      </c>
      <c r="AN91" s="490" t="str">
        <f>IF($B91="","",IF($R91=AN$5,(SUM($D91*VLOOKUP($C91,ESCALA!$B$3:$O$19,14,0)+10)*2)*27,""))</f>
        <v/>
      </c>
      <c r="AO91" s="490" t="str">
        <f>IF($B91="","",IF($R91=AO$5,(SUM($D91*VLOOKUP($C91,ESCALA!$B$3:$O$19,14,0)+10)*2)*27,""))</f>
        <v/>
      </c>
      <c r="AP91" s="490" t="str">
        <f>IF($B91="","",IF($R91=AP$5,(SUM($D91*VLOOKUP($C91,ESCALA!$B$3:$O$19,14,0)+10)*2)*27,""))</f>
        <v/>
      </c>
      <c r="AY91" s="368" t="str">
        <f>IF(PERFIL!E90="","",PERFIL!E90)</f>
        <v/>
      </c>
      <c r="AZ91" s="368" t="str">
        <f t="shared" si="9"/>
        <v/>
      </c>
      <c r="BA91" s="368" t="str">
        <f t="shared" si="10"/>
        <v/>
      </c>
      <c r="BZ91" s="367" t="s">
        <v>2689</v>
      </c>
      <c r="CA91" s="367" t="s">
        <v>996</v>
      </c>
      <c r="CB91" s="367">
        <v>125</v>
      </c>
      <c r="CC91" s="368" t="s">
        <v>10</v>
      </c>
    </row>
    <row r="92" spans="2:81" ht="33.75" customHeight="1" x14ac:dyDescent="0.2">
      <c r="B92" s="551"/>
      <c r="C92" s="517"/>
      <c r="D92" s="503" t="str">
        <f>IF(C92="","",VLOOKUP(C92,'REL LINHAS'!$B$2:$K$2205,5,0))</f>
        <v/>
      </c>
      <c r="E92" s="321" t="str">
        <f t="shared" si="8"/>
        <v/>
      </c>
      <c r="F92" s="493"/>
      <c r="G92" s="494"/>
      <c r="H92" s="649"/>
      <c r="I92" s="650"/>
      <c r="J92" s="651"/>
      <c r="K92" s="652"/>
      <c r="L92" s="653"/>
      <c r="M92" s="654"/>
      <c r="N92" s="652"/>
      <c r="O92" s="653"/>
      <c r="P92" s="653"/>
      <c r="Q92" s="654"/>
      <c r="R92" s="655"/>
      <c r="S92" s="656"/>
      <c r="T92" s="652"/>
      <c r="U92" s="654"/>
      <c r="V92" s="652"/>
      <c r="W92" s="653"/>
      <c r="X92" s="654"/>
      <c r="Y92" s="495"/>
      <c r="Z92" s="496"/>
      <c r="AA92" s="63"/>
      <c r="AB92" s="497" t="s">
        <v>2505</v>
      </c>
      <c r="AC92" s="63"/>
      <c r="AD92" s="497" t="s">
        <v>2506</v>
      </c>
      <c r="AE92" s="63"/>
      <c r="AF92" s="497" t="s">
        <v>2507</v>
      </c>
      <c r="AG92" s="63"/>
      <c r="AH92" s="498" t="s">
        <v>441</v>
      </c>
      <c r="AJ92" s="490" t="str">
        <f>IF($B92="","",IF($R92=AJ$5,(SUM($D92*VLOOKUP($C92,ESCALA!$B$3:$O$19,14,0)+10)*2)*27,""))</f>
        <v/>
      </c>
      <c r="AK92" s="490" t="str">
        <f>IF($B92="","",IF($R92=AK$5,(SUM($D92*VLOOKUP($C92,ESCALA!$B$3:$O$19,14,0)+10)*2)*27,""))</f>
        <v/>
      </c>
      <c r="AL92" s="490" t="str">
        <f>IF($B92="","",IF($R92=AL$5,(SUM($D92*VLOOKUP($C92,ESCALA!$B$3:$O$19,14,0)+10)*2)*27,""))</f>
        <v/>
      </c>
      <c r="AM92" s="490" t="str">
        <f>IF($B92="","",IF($R92=AM$5,(SUM($D92*VLOOKUP($C92,ESCALA!$B$3:$O$19,14,0)+10)*2)*27,""))</f>
        <v/>
      </c>
      <c r="AN92" s="490" t="str">
        <f>IF($B92="","",IF($R92=AN$5,(SUM($D92*VLOOKUP($C92,ESCALA!$B$3:$O$19,14,0)+10)*2)*27,""))</f>
        <v/>
      </c>
      <c r="AO92" s="490" t="str">
        <f>IF($B92="","",IF($R92=AO$5,(SUM($D92*VLOOKUP($C92,ESCALA!$B$3:$O$19,14,0)+10)*2)*27,""))</f>
        <v/>
      </c>
      <c r="AP92" s="490" t="str">
        <f>IF($B92="","",IF($R92=AP$5,(SUM($D92*VLOOKUP($C92,ESCALA!$B$3:$O$19,14,0)+10)*2)*27,""))</f>
        <v/>
      </c>
      <c r="AY92" s="368" t="str">
        <f>IF(PERFIL!E91="","",PERFIL!E91)</f>
        <v/>
      </c>
      <c r="AZ92" s="368" t="str">
        <f t="shared" si="9"/>
        <v/>
      </c>
      <c r="BA92" s="368" t="str">
        <f t="shared" si="10"/>
        <v/>
      </c>
      <c r="BY92" s="367" t="s">
        <v>498</v>
      </c>
      <c r="BZ92" s="367" t="s">
        <v>2720</v>
      </c>
      <c r="CA92" s="367" t="s">
        <v>997</v>
      </c>
      <c r="CB92" s="367">
        <v>150</v>
      </c>
      <c r="CC92" s="368" t="s">
        <v>10</v>
      </c>
    </row>
    <row r="93" spans="2:81" ht="33.75" customHeight="1" x14ac:dyDescent="0.2">
      <c r="B93" s="551"/>
      <c r="C93" s="517"/>
      <c r="D93" s="503" t="str">
        <f>IF(C93="","",VLOOKUP(C93,'REL LINHAS'!$B$2:$K$2205,5,0))</f>
        <v/>
      </c>
      <c r="E93" s="321" t="str">
        <f t="shared" si="8"/>
        <v/>
      </c>
      <c r="F93" s="493"/>
      <c r="G93" s="494"/>
      <c r="H93" s="649"/>
      <c r="I93" s="650"/>
      <c r="J93" s="651"/>
      <c r="K93" s="652"/>
      <c r="L93" s="653"/>
      <c r="M93" s="654"/>
      <c r="N93" s="652"/>
      <c r="O93" s="653"/>
      <c r="P93" s="653"/>
      <c r="Q93" s="654"/>
      <c r="R93" s="655"/>
      <c r="S93" s="656"/>
      <c r="T93" s="652"/>
      <c r="U93" s="654"/>
      <c r="V93" s="652"/>
      <c r="W93" s="653"/>
      <c r="X93" s="654"/>
      <c r="Y93" s="495"/>
      <c r="Z93" s="496"/>
      <c r="AA93" s="63"/>
      <c r="AB93" s="497" t="s">
        <v>2505</v>
      </c>
      <c r="AC93" s="63"/>
      <c r="AD93" s="497" t="s">
        <v>2506</v>
      </c>
      <c r="AE93" s="63"/>
      <c r="AF93" s="497" t="s">
        <v>2507</v>
      </c>
      <c r="AG93" s="63"/>
      <c r="AH93" s="498" t="s">
        <v>441</v>
      </c>
      <c r="AJ93" s="490" t="str">
        <f>IF($B93="","",IF($R93=AJ$5,(SUM($D93*VLOOKUP($C93,ESCALA!$B$3:$O$19,14,0)+10)*2)*27,""))</f>
        <v/>
      </c>
      <c r="AK93" s="490" t="str">
        <f>IF($B93="","",IF($R93=AK$5,(SUM($D93*VLOOKUP($C93,ESCALA!$B$3:$O$19,14,0)+10)*2)*27,""))</f>
        <v/>
      </c>
      <c r="AL93" s="490" t="str">
        <f>IF($B93="","",IF($R93=AL$5,(SUM($D93*VLOOKUP($C93,ESCALA!$B$3:$O$19,14,0)+10)*2)*27,""))</f>
        <v/>
      </c>
      <c r="AM93" s="490" t="str">
        <f>IF($B93="","",IF($R93=AM$5,(SUM($D93*VLOOKUP($C93,ESCALA!$B$3:$O$19,14,0)+10)*2)*27,""))</f>
        <v/>
      </c>
      <c r="AN93" s="490" t="str">
        <f>IF($B93="","",IF($R93=AN$5,(SUM($D93*VLOOKUP($C93,ESCALA!$B$3:$O$19,14,0)+10)*2)*27,""))</f>
        <v/>
      </c>
      <c r="AO93" s="490" t="str">
        <f>IF($B93="","",IF($R93=AO$5,(SUM($D93*VLOOKUP($C93,ESCALA!$B$3:$O$19,14,0)+10)*2)*27,""))</f>
        <v/>
      </c>
      <c r="AP93" s="490" t="str">
        <f>IF($B93="","",IF($R93=AP$5,(SUM($D93*VLOOKUP($C93,ESCALA!$B$3:$O$19,14,0)+10)*2)*27,""))</f>
        <v/>
      </c>
      <c r="AY93" s="368" t="str">
        <f>IF(PERFIL!E92="","",PERFIL!E92)</f>
        <v/>
      </c>
      <c r="AZ93" s="368" t="str">
        <f t="shared" si="9"/>
        <v/>
      </c>
      <c r="BA93" s="368" t="str">
        <f t="shared" si="10"/>
        <v/>
      </c>
      <c r="BZ93" s="367" t="s">
        <v>2678</v>
      </c>
      <c r="CA93" s="367" t="s">
        <v>998</v>
      </c>
      <c r="CB93" s="367">
        <v>150</v>
      </c>
      <c r="CC93" s="368" t="s">
        <v>10</v>
      </c>
    </row>
    <row r="94" spans="2:81" ht="33.75" customHeight="1" x14ac:dyDescent="0.2">
      <c r="B94" s="551"/>
      <c r="C94" s="517"/>
      <c r="D94" s="503" t="str">
        <f>IF(C94="","",VLOOKUP(C94,'REL LINHAS'!$B$2:$K$2205,5,0))</f>
        <v/>
      </c>
      <c r="E94" s="321" t="str">
        <f t="shared" si="8"/>
        <v/>
      </c>
      <c r="F94" s="493"/>
      <c r="G94" s="494"/>
      <c r="H94" s="649"/>
      <c r="I94" s="650"/>
      <c r="J94" s="651"/>
      <c r="K94" s="652"/>
      <c r="L94" s="653"/>
      <c r="M94" s="654"/>
      <c r="N94" s="652"/>
      <c r="O94" s="653"/>
      <c r="P94" s="653"/>
      <c r="Q94" s="654"/>
      <c r="R94" s="655"/>
      <c r="S94" s="656"/>
      <c r="T94" s="652"/>
      <c r="U94" s="654"/>
      <c r="V94" s="652"/>
      <c r="W94" s="653"/>
      <c r="X94" s="654"/>
      <c r="Y94" s="495"/>
      <c r="Z94" s="496"/>
      <c r="AA94" s="63"/>
      <c r="AB94" s="497" t="s">
        <v>2505</v>
      </c>
      <c r="AC94" s="63"/>
      <c r="AD94" s="497" t="s">
        <v>2506</v>
      </c>
      <c r="AE94" s="63"/>
      <c r="AF94" s="497" t="s">
        <v>2507</v>
      </c>
      <c r="AG94" s="63"/>
      <c r="AH94" s="498" t="s">
        <v>441</v>
      </c>
      <c r="AJ94" s="490" t="str">
        <f>IF($B94="","",IF($R94=AJ$5,(SUM($D94*VLOOKUP($C94,ESCALA!$B$3:$O$19,14,0)+10)*2)*27,""))</f>
        <v/>
      </c>
      <c r="AK94" s="490" t="str">
        <f>IF($B94="","",IF($R94=AK$5,(SUM($D94*VLOOKUP($C94,ESCALA!$B$3:$O$19,14,0)+10)*2)*27,""))</f>
        <v/>
      </c>
      <c r="AL94" s="490" t="str">
        <f>IF($B94="","",IF($R94=AL$5,(SUM($D94*VLOOKUP($C94,ESCALA!$B$3:$O$19,14,0)+10)*2)*27,""))</f>
        <v/>
      </c>
      <c r="AM94" s="490" t="str">
        <f>IF($B94="","",IF($R94=AM$5,(SUM($D94*VLOOKUP($C94,ESCALA!$B$3:$O$19,14,0)+10)*2)*27,""))</f>
        <v/>
      </c>
      <c r="AN94" s="490" t="str">
        <f>IF($B94="","",IF($R94=AN$5,(SUM($D94*VLOOKUP($C94,ESCALA!$B$3:$O$19,14,0)+10)*2)*27,""))</f>
        <v/>
      </c>
      <c r="AO94" s="490" t="str">
        <f>IF($B94="","",IF($R94=AO$5,(SUM($D94*VLOOKUP($C94,ESCALA!$B$3:$O$19,14,0)+10)*2)*27,""))</f>
        <v/>
      </c>
      <c r="AP94" s="490" t="str">
        <f>IF($B94="","",IF($R94=AP$5,(SUM($D94*VLOOKUP($C94,ESCALA!$B$3:$O$19,14,0)+10)*2)*27,""))</f>
        <v/>
      </c>
      <c r="AY94" s="368" t="str">
        <f>IF(PERFIL!E93="","",PERFIL!E93)</f>
        <v/>
      </c>
      <c r="AZ94" s="368" t="str">
        <f t="shared" si="9"/>
        <v/>
      </c>
      <c r="BA94" s="368" t="str">
        <f t="shared" si="10"/>
        <v/>
      </c>
      <c r="BZ94" s="367" t="s">
        <v>2690</v>
      </c>
      <c r="CA94" s="367" t="s">
        <v>999</v>
      </c>
      <c r="CB94" s="367">
        <v>125</v>
      </c>
      <c r="CC94" s="368" t="s">
        <v>10</v>
      </c>
    </row>
    <row r="95" spans="2:81" ht="33.75" customHeight="1" x14ac:dyDescent="0.2">
      <c r="B95" s="551"/>
      <c r="C95" s="517"/>
      <c r="D95" s="503" t="str">
        <f>IF(C95="","",VLOOKUP(C95,'REL LINHAS'!$B$2:$K$2205,5,0))</f>
        <v/>
      </c>
      <c r="E95" s="321" t="str">
        <f t="shared" si="8"/>
        <v/>
      </c>
      <c r="F95" s="493"/>
      <c r="G95" s="494"/>
      <c r="H95" s="649"/>
      <c r="I95" s="650"/>
      <c r="J95" s="651"/>
      <c r="K95" s="652"/>
      <c r="L95" s="653"/>
      <c r="M95" s="654"/>
      <c r="N95" s="652"/>
      <c r="O95" s="653"/>
      <c r="P95" s="653"/>
      <c r="Q95" s="654"/>
      <c r="R95" s="655"/>
      <c r="S95" s="656"/>
      <c r="T95" s="652"/>
      <c r="U95" s="654"/>
      <c r="V95" s="652"/>
      <c r="W95" s="653"/>
      <c r="X95" s="654"/>
      <c r="Y95" s="495"/>
      <c r="Z95" s="496"/>
      <c r="AA95" s="63"/>
      <c r="AB95" s="497" t="s">
        <v>2505</v>
      </c>
      <c r="AC95" s="63"/>
      <c r="AD95" s="497" t="s">
        <v>2506</v>
      </c>
      <c r="AE95" s="63"/>
      <c r="AF95" s="497" t="s">
        <v>2507</v>
      </c>
      <c r="AG95" s="63"/>
      <c r="AH95" s="498" t="s">
        <v>441</v>
      </c>
      <c r="AJ95" s="490" t="str">
        <f>IF($B95="","",IF($R95=AJ$5,(SUM($D95*VLOOKUP($C95,ESCALA!$B$3:$O$19,14,0)+10)*2)*27,""))</f>
        <v/>
      </c>
      <c r="AK95" s="490" t="str">
        <f>IF($B95="","",IF($R95=AK$5,(SUM($D95*VLOOKUP($C95,ESCALA!$B$3:$O$19,14,0)+10)*2)*27,""))</f>
        <v/>
      </c>
      <c r="AL95" s="490" t="str">
        <f>IF($B95="","",IF($R95=AL$5,(SUM($D95*VLOOKUP($C95,ESCALA!$B$3:$O$19,14,0)+10)*2)*27,""))</f>
        <v/>
      </c>
      <c r="AM95" s="490" t="str">
        <f>IF($B95="","",IF($R95=AM$5,(SUM($D95*VLOOKUP($C95,ESCALA!$B$3:$O$19,14,0)+10)*2)*27,""))</f>
        <v/>
      </c>
      <c r="AN95" s="490" t="str">
        <f>IF($B95="","",IF($R95=AN$5,(SUM($D95*VLOOKUP($C95,ESCALA!$B$3:$O$19,14,0)+10)*2)*27,""))</f>
        <v/>
      </c>
      <c r="AO95" s="490" t="str">
        <f>IF($B95="","",IF($R95=AO$5,(SUM($D95*VLOOKUP($C95,ESCALA!$B$3:$O$19,14,0)+10)*2)*27,""))</f>
        <v/>
      </c>
      <c r="AP95" s="490" t="str">
        <f>IF($B95="","",IF($R95=AP$5,(SUM($D95*VLOOKUP($C95,ESCALA!$B$3:$O$19,14,0)+10)*2)*27,""))</f>
        <v/>
      </c>
      <c r="AY95" s="368" t="str">
        <f>IF(PERFIL!E94="","",PERFIL!E94)</f>
        <v/>
      </c>
      <c r="AZ95" s="368" t="str">
        <f t="shared" si="9"/>
        <v/>
      </c>
      <c r="BA95" s="368" t="str">
        <f t="shared" si="10"/>
        <v/>
      </c>
      <c r="BY95" s="367" t="s">
        <v>498</v>
      </c>
      <c r="BZ95" s="367" t="s">
        <v>2721</v>
      </c>
      <c r="CA95" s="367" t="s">
        <v>1000</v>
      </c>
      <c r="CB95" s="367">
        <v>150</v>
      </c>
      <c r="CC95" s="368" t="s">
        <v>10</v>
      </c>
    </row>
    <row r="96" spans="2:81" ht="33.75" customHeight="1" x14ac:dyDescent="0.2">
      <c r="B96" s="551"/>
      <c r="C96" s="517"/>
      <c r="D96" s="503" t="str">
        <f>IF(C96="","",VLOOKUP(C96,'REL LINHAS'!$B$2:$K$2205,5,0))</f>
        <v/>
      </c>
      <c r="E96" s="321" t="str">
        <f t="shared" si="8"/>
        <v/>
      </c>
      <c r="F96" s="493"/>
      <c r="G96" s="494"/>
      <c r="H96" s="649"/>
      <c r="I96" s="650"/>
      <c r="J96" s="651"/>
      <c r="K96" s="652"/>
      <c r="L96" s="653"/>
      <c r="M96" s="654"/>
      <c r="N96" s="652"/>
      <c r="O96" s="653"/>
      <c r="P96" s="653"/>
      <c r="Q96" s="654"/>
      <c r="R96" s="655"/>
      <c r="S96" s="656"/>
      <c r="T96" s="652"/>
      <c r="U96" s="654"/>
      <c r="V96" s="652"/>
      <c r="W96" s="653"/>
      <c r="X96" s="654"/>
      <c r="Y96" s="495"/>
      <c r="Z96" s="496"/>
      <c r="AA96" s="63"/>
      <c r="AB96" s="497" t="s">
        <v>2505</v>
      </c>
      <c r="AC96" s="63"/>
      <c r="AD96" s="497" t="s">
        <v>2506</v>
      </c>
      <c r="AE96" s="63"/>
      <c r="AF96" s="497" t="s">
        <v>2507</v>
      </c>
      <c r="AG96" s="63"/>
      <c r="AH96" s="498" t="s">
        <v>441</v>
      </c>
      <c r="AJ96" s="490" t="str">
        <f>IF($B96="","",IF($R96=AJ$5,(SUM($D96*VLOOKUP($C96,ESCALA!$B$3:$O$19,14,0)+10)*2)*27,""))</f>
        <v/>
      </c>
      <c r="AK96" s="490" t="str">
        <f>IF($B96="","",IF($R96=AK$5,(SUM($D96*VLOOKUP($C96,ESCALA!$B$3:$O$19,14,0)+10)*2)*27,""))</f>
        <v/>
      </c>
      <c r="AL96" s="490" t="str">
        <f>IF($B96="","",IF($R96=AL$5,(SUM($D96*VLOOKUP($C96,ESCALA!$B$3:$O$19,14,0)+10)*2)*27,""))</f>
        <v/>
      </c>
      <c r="AM96" s="490" t="str">
        <f>IF($B96="","",IF($R96=AM$5,(SUM($D96*VLOOKUP($C96,ESCALA!$B$3:$O$19,14,0)+10)*2)*27,""))</f>
        <v/>
      </c>
      <c r="AN96" s="490" t="str">
        <f>IF($B96="","",IF($R96=AN$5,(SUM($D96*VLOOKUP($C96,ESCALA!$B$3:$O$19,14,0)+10)*2)*27,""))</f>
        <v/>
      </c>
      <c r="AO96" s="490" t="str">
        <f>IF($B96="","",IF($R96=AO$5,(SUM($D96*VLOOKUP($C96,ESCALA!$B$3:$O$19,14,0)+10)*2)*27,""))</f>
        <v/>
      </c>
      <c r="AP96" s="490" t="str">
        <f>IF($B96="","",IF($R96=AP$5,(SUM($D96*VLOOKUP($C96,ESCALA!$B$3:$O$19,14,0)+10)*2)*27,""))</f>
        <v/>
      </c>
      <c r="AY96" s="368" t="str">
        <f>IF(PERFIL!E95="","",PERFIL!E95)</f>
        <v/>
      </c>
      <c r="AZ96" s="368" t="str">
        <f t="shared" si="9"/>
        <v/>
      </c>
      <c r="BA96" s="368" t="str">
        <f t="shared" si="10"/>
        <v/>
      </c>
      <c r="BZ96" s="367" t="s">
        <v>2691</v>
      </c>
      <c r="CA96" s="367" t="s">
        <v>1001</v>
      </c>
      <c r="CB96" s="367">
        <v>150</v>
      </c>
      <c r="CC96" s="368" t="s">
        <v>10</v>
      </c>
    </row>
    <row r="97" spans="2:81" ht="33.75" customHeight="1" x14ac:dyDescent="0.2">
      <c r="B97" s="551"/>
      <c r="C97" s="517"/>
      <c r="D97" s="503" t="str">
        <f>IF(C97="","",VLOOKUP(C97,'REL LINHAS'!$B$2:$K$2205,5,0))</f>
        <v/>
      </c>
      <c r="E97" s="321" t="str">
        <f t="shared" si="8"/>
        <v/>
      </c>
      <c r="F97" s="493"/>
      <c r="G97" s="494"/>
      <c r="H97" s="649"/>
      <c r="I97" s="650"/>
      <c r="J97" s="651"/>
      <c r="K97" s="652"/>
      <c r="L97" s="653"/>
      <c r="M97" s="654"/>
      <c r="N97" s="652"/>
      <c r="O97" s="653"/>
      <c r="P97" s="653"/>
      <c r="Q97" s="654"/>
      <c r="R97" s="655"/>
      <c r="S97" s="656"/>
      <c r="T97" s="652"/>
      <c r="U97" s="654"/>
      <c r="V97" s="652"/>
      <c r="W97" s="653"/>
      <c r="X97" s="654"/>
      <c r="Y97" s="495"/>
      <c r="Z97" s="496"/>
      <c r="AA97" s="63"/>
      <c r="AB97" s="497" t="s">
        <v>2505</v>
      </c>
      <c r="AC97" s="63"/>
      <c r="AD97" s="497" t="s">
        <v>2506</v>
      </c>
      <c r="AE97" s="63"/>
      <c r="AF97" s="497" t="s">
        <v>2507</v>
      </c>
      <c r="AG97" s="63"/>
      <c r="AH97" s="498" t="s">
        <v>441</v>
      </c>
      <c r="AJ97" s="490" t="str">
        <f>IF($B97="","",IF($R97=AJ$5,(SUM($D97*VLOOKUP($C97,ESCALA!$B$3:$O$19,14,0)+10)*2)*27,""))</f>
        <v/>
      </c>
      <c r="AK97" s="490" t="str">
        <f>IF($B97="","",IF($R97=AK$5,(SUM($D97*VLOOKUP($C97,ESCALA!$B$3:$O$19,14,0)+10)*2)*27,""))</f>
        <v/>
      </c>
      <c r="AL97" s="490" t="str">
        <f>IF($B97="","",IF($R97=AL$5,(SUM($D97*VLOOKUP($C97,ESCALA!$B$3:$O$19,14,0)+10)*2)*27,""))</f>
        <v/>
      </c>
      <c r="AM97" s="490" t="str">
        <f>IF($B97="","",IF($R97=AM$5,(SUM($D97*VLOOKUP($C97,ESCALA!$B$3:$O$19,14,0)+10)*2)*27,""))</f>
        <v/>
      </c>
      <c r="AN97" s="490" t="str">
        <f>IF($B97="","",IF($R97=AN$5,(SUM($D97*VLOOKUP($C97,ESCALA!$B$3:$O$19,14,0)+10)*2)*27,""))</f>
        <v/>
      </c>
      <c r="AO97" s="490" t="str">
        <f>IF($B97="","",IF($R97=AO$5,(SUM($D97*VLOOKUP($C97,ESCALA!$B$3:$O$19,14,0)+10)*2)*27,""))</f>
        <v/>
      </c>
      <c r="AP97" s="490" t="str">
        <f>IF($B97="","",IF($R97=AP$5,(SUM($D97*VLOOKUP($C97,ESCALA!$B$3:$O$19,14,0)+10)*2)*27,""))</f>
        <v/>
      </c>
      <c r="AY97" s="368" t="str">
        <f>IF(PERFIL!E96="","",PERFIL!E96)</f>
        <v/>
      </c>
      <c r="AZ97" s="368" t="str">
        <f t="shared" si="9"/>
        <v/>
      </c>
      <c r="BA97" s="368" t="str">
        <f t="shared" si="10"/>
        <v/>
      </c>
      <c r="BY97" s="367" t="s">
        <v>498</v>
      </c>
      <c r="BZ97" s="367" t="s">
        <v>2718</v>
      </c>
      <c r="CA97" s="367" t="s">
        <v>1002</v>
      </c>
      <c r="CB97" s="367">
        <v>150</v>
      </c>
      <c r="CC97" s="368" t="s">
        <v>10</v>
      </c>
    </row>
    <row r="98" spans="2:81" ht="33.75" customHeight="1" x14ac:dyDescent="0.2">
      <c r="B98" s="551"/>
      <c r="C98" s="517"/>
      <c r="D98" s="503" t="str">
        <f>IF(C98="","",VLOOKUP(C98,'REL LINHAS'!$B$2:$K$2205,5,0))</f>
        <v/>
      </c>
      <c r="E98" s="321" t="str">
        <f t="shared" si="8"/>
        <v/>
      </c>
      <c r="F98" s="493"/>
      <c r="G98" s="494"/>
      <c r="H98" s="649"/>
      <c r="I98" s="650"/>
      <c r="J98" s="651"/>
      <c r="K98" s="652"/>
      <c r="L98" s="653"/>
      <c r="M98" s="654"/>
      <c r="N98" s="652"/>
      <c r="O98" s="653"/>
      <c r="P98" s="653"/>
      <c r="Q98" s="654"/>
      <c r="R98" s="655"/>
      <c r="S98" s="656"/>
      <c r="T98" s="652"/>
      <c r="U98" s="654"/>
      <c r="V98" s="652"/>
      <c r="W98" s="653"/>
      <c r="X98" s="654"/>
      <c r="Y98" s="495"/>
      <c r="Z98" s="496"/>
      <c r="AA98" s="63"/>
      <c r="AB98" s="497" t="s">
        <v>2505</v>
      </c>
      <c r="AC98" s="63"/>
      <c r="AD98" s="497" t="s">
        <v>2506</v>
      </c>
      <c r="AE98" s="63"/>
      <c r="AF98" s="497" t="s">
        <v>2507</v>
      </c>
      <c r="AG98" s="63"/>
      <c r="AH98" s="498" t="s">
        <v>441</v>
      </c>
      <c r="AJ98" s="490" t="str">
        <f>IF($B98="","",IF($R98=AJ$5,(SUM($D98*VLOOKUP($C98,ESCALA!$B$3:$O$19,14,0)+10)*2)*27,""))</f>
        <v/>
      </c>
      <c r="AK98" s="490" t="str">
        <f>IF($B98="","",IF($R98=AK$5,(SUM($D98*VLOOKUP($C98,ESCALA!$B$3:$O$19,14,0)+10)*2)*27,""))</f>
        <v/>
      </c>
      <c r="AL98" s="490" t="str">
        <f>IF($B98="","",IF($R98=AL$5,(SUM($D98*VLOOKUP($C98,ESCALA!$B$3:$O$19,14,0)+10)*2)*27,""))</f>
        <v/>
      </c>
      <c r="AM98" s="490" t="str">
        <f>IF($B98="","",IF($R98=AM$5,(SUM($D98*VLOOKUP($C98,ESCALA!$B$3:$O$19,14,0)+10)*2)*27,""))</f>
        <v/>
      </c>
      <c r="AN98" s="490" t="str">
        <f>IF($B98="","",IF($R98=AN$5,(SUM($D98*VLOOKUP($C98,ESCALA!$B$3:$O$19,14,0)+10)*2)*27,""))</f>
        <v/>
      </c>
      <c r="AO98" s="490" t="str">
        <f>IF($B98="","",IF($R98=AO$5,(SUM($D98*VLOOKUP($C98,ESCALA!$B$3:$O$19,14,0)+10)*2)*27,""))</f>
        <v/>
      </c>
      <c r="AP98" s="490" t="str">
        <f>IF($B98="","",IF($R98=AP$5,(SUM($D98*VLOOKUP($C98,ESCALA!$B$3:$O$19,14,0)+10)*2)*27,""))</f>
        <v/>
      </c>
      <c r="AY98" s="368" t="str">
        <f>IF(PERFIL!E97="","",PERFIL!E97)</f>
        <v/>
      </c>
      <c r="AZ98" s="368" t="str">
        <f t="shared" si="9"/>
        <v/>
      </c>
      <c r="BA98" s="368" t="str">
        <f t="shared" si="10"/>
        <v/>
      </c>
      <c r="BY98" s="367" t="s">
        <v>573</v>
      </c>
      <c r="BZ98" s="367" t="s">
        <v>2647</v>
      </c>
      <c r="CA98" s="367" t="s">
        <v>1003</v>
      </c>
      <c r="CB98" s="367">
        <v>100</v>
      </c>
      <c r="CC98" s="368" t="s">
        <v>220</v>
      </c>
    </row>
    <row r="99" spans="2:81" ht="33.75" customHeight="1" x14ac:dyDescent="0.2">
      <c r="B99" s="551"/>
      <c r="C99" s="517"/>
      <c r="D99" s="503" t="str">
        <f>IF(C99="","",VLOOKUP(C99,'REL LINHAS'!$B$2:$K$2205,5,0))</f>
        <v/>
      </c>
      <c r="E99" s="321" t="str">
        <f t="shared" si="8"/>
        <v/>
      </c>
      <c r="F99" s="493"/>
      <c r="G99" s="494"/>
      <c r="H99" s="649"/>
      <c r="I99" s="650"/>
      <c r="J99" s="651"/>
      <c r="K99" s="652"/>
      <c r="L99" s="653"/>
      <c r="M99" s="654"/>
      <c r="N99" s="652"/>
      <c r="O99" s="653"/>
      <c r="P99" s="653"/>
      <c r="Q99" s="654"/>
      <c r="R99" s="655"/>
      <c r="S99" s="656"/>
      <c r="T99" s="652"/>
      <c r="U99" s="654"/>
      <c r="V99" s="652"/>
      <c r="W99" s="653"/>
      <c r="X99" s="654"/>
      <c r="Y99" s="495"/>
      <c r="Z99" s="496"/>
      <c r="AA99" s="63"/>
      <c r="AB99" s="497" t="s">
        <v>2505</v>
      </c>
      <c r="AC99" s="63"/>
      <c r="AD99" s="497" t="s">
        <v>2506</v>
      </c>
      <c r="AE99" s="63"/>
      <c r="AF99" s="497" t="s">
        <v>2507</v>
      </c>
      <c r="AG99" s="63"/>
      <c r="AH99" s="498" t="s">
        <v>441</v>
      </c>
      <c r="AJ99" s="490" t="str">
        <f>IF($B99="","",IF($R99=AJ$5,(SUM($D99*VLOOKUP($C99,ESCALA!$B$3:$O$19,14,0)+10)*2)*27,""))</f>
        <v/>
      </c>
      <c r="AK99" s="490" t="str">
        <f>IF($B99="","",IF($R99=AK$5,(SUM($D99*VLOOKUP($C99,ESCALA!$B$3:$O$19,14,0)+10)*2)*27,""))</f>
        <v/>
      </c>
      <c r="AL99" s="490" t="str">
        <f>IF($B99="","",IF($R99=AL$5,(SUM($D99*VLOOKUP($C99,ESCALA!$B$3:$O$19,14,0)+10)*2)*27,""))</f>
        <v/>
      </c>
      <c r="AM99" s="490" t="str">
        <f>IF($B99="","",IF($R99=AM$5,(SUM($D99*VLOOKUP($C99,ESCALA!$B$3:$O$19,14,0)+10)*2)*27,""))</f>
        <v/>
      </c>
      <c r="AN99" s="490" t="str">
        <f>IF($B99="","",IF($R99=AN$5,(SUM($D99*VLOOKUP($C99,ESCALA!$B$3:$O$19,14,0)+10)*2)*27,""))</f>
        <v/>
      </c>
      <c r="AO99" s="490" t="str">
        <f>IF($B99="","",IF($R99=AO$5,(SUM($D99*VLOOKUP($C99,ESCALA!$B$3:$O$19,14,0)+10)*2)*27,""))</f>
        <v/>
      </c>
      <c r="AP99" s="490" t="str">
        <f>IF($B99="","",IF($R99=AP$5,(SUM($D99*VLOOKUP($C99,ESCALA!$B$3:$O$19,14,0)+10)*2)*27,""))</f>
        <v/>
      </c>
      <c r="AY99" s="368" t="str">
        <f>IF(PERFIL!E98="","",PERFIL!E98)</f>
        <v/>
      </c>
      <c r="AZ99" s="368" t="str">
        <f t="shared" si="9"/>
        <v/>
      </c>
      <c r="BA99" s="368" t="str">
        <f t="shared" si="10"/>
        <v/>
      </c>
      <c r="BY99" s="367" t="s">
        <v>573</v>
      </c>
      <c r="BZ99" s="367" t="s">
        <v>2648</v>
      </c>
      <c r="CA99" s="447" t="s">
        <v>1004</v>
      </c>
      <c r="CB99" s="367">
        <v>125</v>
      </c>
      <c r="CC99" s="368" t="s">
        <v>220</v>
      </c>
    </row>
    <row r="100" spans="2:81" ht="33.75" customHeight="1" x14ac:dyDescent="0.2">
      <c r="B100" s="551"/>
      <c r="C100" s="517"/>
      <c r="D100" s="503" t="str">
        <f>IF(C100="","",VLOOKUP(C100,'REL LINHAS'!$B$2:$K$2205,5,0))</f>
        <v/>
      </c>
      <c r="E100" s="321" t="str">
        <f t="shared" si="8"/>
        <v/>
      </c>
      <c r="F100" s="493"/>
      <c r="G100" s="494"/>
      <c r="H100" s="649"/>
      <c r="I100" s="650"/>
      <c r="J100" s="651"/>
      <c r="K100" s="652"/>
      <c r="L100" s="653"/>
      <c r="M100" s="654"/>
      <c r="N100" s="652"/>
      <c r="O100" s="653"/>
      <c r="P100" s="653"/>
      <c r="Q100" s="654"/>
      <c r="R100" s="655"/>
      <c r="S100" s="656"/>
      <c r="T100" s="652"/>
      <c r="U100" s="654"/>
      <c r="V100" s="652"/>
      <c r="W100" s="653"/>
      <c r="X100" s="654"/>
      <c r="Y100" s="495"/>
      <c r="Z100" s="496"/>
      <c r="AA100" s="63"/>
      <c r="AB100" s="497" t="s">
        <v>2505</v>
      </c>
      <c r="AC100" s="63"/>
      <c r="AD100" s="497" t="s">
        <v>2506</v>
      </c>
      <c r="AE100" s="63"/>
      <c r="AF100" s="497" t="s">
        <v>2507</v>
      </c>
      <c r="AG100" s="63"/>
      <c r="AH100" s="498" t="s">
        <v>441</v>
      </c>
      <c r="AJ100" s="490" t="str">
        <f>IF($B100="","",IF($R100=AJ$5,(SUM($D100*VLOOKUP($C100,ESCALA!$B$3:$O$19,14,0)+10)*2)*27,""))</f>
        <v/>
      </c>
      <c r="AK100" s="490" t="str">
        <f>IF($B100="","",IF($R100=AK$5,(SUM($D100*VLOOKUP($C100,ESCALA!$B$3:$O$19,14,0)+10)*2)*27,""))</f>
        <v/>
      </c>
      <c r="AL100" s="490" t="str">
        <f>IF($B100="","",IF($R100=AL$5,(SUM($D100*VLOOKUP($C100,ESCALA!$B$3:$O$19,14,0)+10)*2)*27,""))</f>
        <v/>
      </c>
      <c r="AM100" s="490" t="str">
        <f>IF($B100="","",IF($R100=AM$5,(SUM($D100*VLOOKUP($C100,ESCALA!$B$3:$O$19,14,0)+10)*2)*27,""))</f>
        <v/>
      </c>
      <c r="AN100" s="490" t="str">
        <f>IF($B100="","",IF($R100=AN$5,(SUM($D100*VLOOKUP($C100,ESCALA!$B$3:$O$19,14,0)+10)*2)*27,""))</f>
        <v/>
      </c>
      <c r="AO100" s="490" t="str">
        <f>IF($B100="","",IF($R100=AO$5,(SUM($D100*VLOOKUP($C100,ESCALA!$B$3:$O$19,14,0)+10)*2)*27,""))</f>
        <v/>
      </c>
      <c r="AP100" s="490" t="str">
        <f>IF($B100="","",IF($R100=AP$5,(SUM($D100*VLOOKUP($C100,ESCALA!$B$3:$O$19,14,0)+10)*2)*27,""))</f>
        <v/>
      </c>
      <c r="AY100" s="368" t="str">
        <f>IF(PERFIL!E99="","",PERFIL!E99)</f>
        <v/>
      </c>
      <c r="AZ100" s="368" t="str">
        <f t="shared" si="9"/>
        <v/>
      </c>
      <c r="BA100" s="368" t="str">
        <f t="shared" si="10"/>
        <v/>
      </c>
      <c r="BY100" s="367" t="s">
        <v>498</v>
      </c>
      <c r="BZ100" s="367" t="s">
        <v>2628</v>
      </c>
      <c r="CA100" s="367" t="s">
        <v>480</v>
      </c>
      <c r="CB100" s="367">
        <v>175</v>
      </c>
      <c r="CC100" s="368" t="s">
        <v>10</v>
      </c>
    </row>
    <row r="101" spans="2:81" ht="33.75" customHeight="1" x14ac:dyDescent="0.2">
      <c r="B101" s="551"/>
      <c r="C101" s="517"/>
      <c r="D101" s="503" t="str">
        <f>IF(C101="","",VLOOKUP(C101,'REL LINHAS'!$B$2:$K$2205,5,0))</f>
        <v/>
      </c>
      <c r="E101" s="321" t="str">
        <f t="shared" si="8"/>
        <v/>
      </c>
      <c r="F101" s="493"/>
      <c r="G101" s="494"/>
      <c r="H101" s="649"/>
      <c r="I101" s="650"/>
      <c r="J101" s="651"/>
      <c r="K101" s="652"/>
      <c r="L101" s="653"/>
      <c r="M101" s="654"/>
      <c r="N101" s="652"/>
      <c r="O101" s="653"/>
      <c r="P101" s="653"/>
      <c r="Q101" s="654"/>
      <c r="R101" s="655"/>
      <c r="S101" s="656"/>
      <c r="T101" s="652"/>
      <c r="U101" s="654"/>
      <c r="V101" s="652"/>
      <c r="W101" s="653"/>
      <c r="X101" s="654"/>
      <c r="Y101" s="495"/>
      <c r="Z101" s="496"/>
      <c r="AA101" s="63"/>
      <c r="AB101" s="497" t="s">
        <v>2505</v>
      </c>
      <c r="AC101" s="63"/>
      <c r="AD101" s="497" t="s">
        <v>2506</v>
      </c>
      <c r="AE101" s="63"/>
      <c r="AF101" s="497" t="s">
        <v>2507</v>
      </c>
      <c r="AG101" s="63"/>
      <c r="AH101" s="498" t="s">
        <v>441</v>
      </c>
      <c r="AJ101" s="490" t="str">
        <f>IF($B101="","",IF($R101=AJ$5,(SUM($D101*VLOOKUP($C101,ESCALA!$B$3:$O$19,14,0)+10)*2)*27,""))</f>
        <v/>
      </c>
      <c r="AK101" s="490" t="str">
        <f>IF($B101="","",IF($R101=AK$5,(SUM($D101*VLOOKUP($C101,ESCALA!$B$3:$O$19,14,0)+10)*2)*27,""))</f>
        <v/>
      </c>
      <c r="AL101" s="490" t="str">
        <f>IF($B101="","",IF($R101=AL$5,(SUM($D101*VLOOKUP($C101,ESCALA!$B$3:$O$19,14,0)+10)*2)*27,""))</f>
        <v/>
      </c>
      <c r="AM101" s="490" t="str">
        <f>IF($B101="","",IF($R101=AM$5,(SUM($D101*VLOOKUP($C101,ESCALA!$B$3:$O$19,14,0)+10)*2)*27,""))</f>
        <v/>
      </c>
      <c r="AN101" s="490" t="str">
        <f>IF($B101="","",IF($R101=AN$5,(SUM($D101*VLOOKUP($C101,ESCALA!$B$3:$O$19,14,0)+10)*2)*27,""))</f>
        <v/>
      </c>
      <c r="AO101" s="490" t="str">
        <f>IF($B101="","",IF($R101=AO$5,(SUM($D101*VLOOKUP($C101,ESCALA!$B$3:$O$19,14,0)+10)*2)*27,""))</f>
        <v/>
      </c>
      <c r="AP101" s="490" t="str">
        <f>IF($B101="","",IF($R101=AP$5,(SUM($D101*VLOOKUP($C101,ESCALA!$B$3:$O$19,14,0)+10)*2)*27,""))</f>
        <v/>
      </c>
      <c r="AY101" s="368" t="str">
        <f>IF(PERFIL!E100="","",PERFIL!E100)</f>
        <v/>
      </c>
      <c r="AZ101" s="368" t="str">
        <f t="shared" si="9"/>
        <v/>
      </c>
      <c r="BA101" s="368" t="str">
        <f t="shared" si="10"/>
        <v/>
      </c>
      <c r="BY101" s="367" t="s">
        <v>498</v>
      </c>
      <c r="BZ101" s="367" t="s">
        <v>2629</v>
      </c>
      <c r="CA101" s="367" t="s">
        <v>1005</v>
      </c>
      <c r="CB101" s="367">
        <v>125</v>
      </c>
      <c r="CC101" s="368" t="s">
        <v>10</v>
      </c>
    </row>
    <row r="102" spans="2:81" ht="33.75" customHeight="1" x14ac:dyDescent="0.2">
      <c r="B102" s="551"/>
      <c r="C102" s="517"/>
      <c r="D102" s="503" t="str">
        <f>IF(C102="","",VLOOKUP(C102,'REL LINHAS'!$B$2:$K$2205,5,0))</f>
        <v/>
      </c>
      <c r="E102" s="321" t="str">
        <f t="shared" si="8"/>
        <v/>
      </c>
      <c r="F102" s="493"/>
      <c r="G102" s="494"/>
      <c r="H102" s="649"/>
      <c r="I102" s="650"/>
      <c r="J102" s="651"/>
      <c r="K102" s="652"/>
      <c r="L102" s="653"/>
      <c r="M102" s="654"/>
      <c r="N102" s="652"/>
      <c r="O102" s="653"/>
      <c r="P102" s="653"/>
      <c r="Q102" s="654"/>
      <c r="R102" s="655"/>
      <c r="S102" s="656"/>
      <c r="T102" s="652"/>
      <c r="U102" s="654"/>
      <c r="V102" s="652"/>
      <c r="W102" s="653"/>
      <c r="X102" s="654"/>
      <c r="Y102" s="495"/>
      <c r="Z102" s="496"/>
      <c r="AA102" s="63"/>
      <c r="AB102" s="497" t="s">
        <v>2505</v>
      </c>
      <c r="AC102" s="63"/>
      <c r="AD102" s="497" t="s">
        <v>2506</v>
      </c>
      <c r="AE102" s="63"/>
      <c r="AF102" s="497" t="s">
        <v>2507</v>
      </c>
      <c r="AG102" s="63"/>
      <c r="AH102" s="498" t="s">
        <v>441</v>
      </c>
      <c r="AJ102" s="490" t="str">
        <f>IF($B102="","",IF($R102=AJ$5,(SUM($D102*VLOOKUP($C102,ESCALA!$B$3:$O$19,14,0)+10)*2)*27,""))</f>
        <v/>
      </c>
      <c r="AK102" s="490" t="str">
        <f>IF($B102="","",IF($R102=AK$5,(SUM($D102*VLOOKUP($C102,ESCALA!$B$3:$O$19,14,0)+10)*2)*27,""))</f>
        <v/>
      </c>
      <c r="AL102" s="490" t="str">
        <f>IF($B102="","",IF($R102=AL$5,(SUM($D102*VLOOKUP($C102,ESCALA!$B$3:$O$19,14,0)+10)*2)*27,""))</f>
        <v/>
      </c>
      <c r="AM102" s="490" t="str">
        <f>IF($B102="","",IF($R102=AM$5,(SUM($D102*VLOOKUP($C102,ESCALA!$B$3:$O$19,14,0)+10)*2)*27,""))</f>
        <v/>
      </c>
      <c r="AN102" s="490" t="str">
        <f>IF($B102="","",IF($R102=AN$5,(SUM($D102*VLOOKUP($C102,ESCALA!$B$3:$O$19,14,0)+10)*2)*27,""))</f>
        <v/>
      </c>
      <c r="AO102" s="490" t="str">
        <f>IF($B102="","",IF($R102=AO$5,(SUM($D102*VLOOKUP($C102,ESCALA!$B$3:$O$19,14,0)+10)*2)*27,""))</f>
        <v/>
      </c>
      <c r="AP102" s="490" t="str">
        <f>IF($B102="","",IF($R102=AP$5,(SUM($D102*VLOOKUP($C102,ESCALA!$B$3:$O$19,14,0)+10)*2)*27,""))</f>
        <v/>
      </c>
      <c r="AY102" s="368" t="str">
        <f>IF(PERFIL!E101="","",PERFIL!E101)</f>
        <v/>
      </c>
      <c r="AZ102" s="368" t="str">
        <f t="shared" si="9"/>
        <v/>
      </c>
      <c r="BA102" s="368" t="str">
        <f t="shared" si="10"/>
        <v/>
      </c>
      <c r="BZ102" s="367" t="s">
        <v>1140</v>
      </c>
      <c r="CA102" s="367" t="s">
        <v>1006</v>
      </c>
      <c r="CB102" s="367">
        <v>125</v>
      </c>
      <c r="CC102" s="368" t="s">
        <v>10</v>
      </c>
    </row>
    <row r="103" spans="2:81" ht="33.75" customHeight="1" x14ac:dyDescent="0.2">
      <c r="B103" s="551"/>
      <c r="C103" s="517"/>
      <c r="D103" s="503" t="str">
        <f>IF(C103="","",VLOOKUP(C103,'REL LINHAS'!$B$2:$K$2205,5,0))</f>
        <v/>
      </c>
      <c r="E103" s="321" t="str">
        <f t="shared" si="8"/>
        <v/>
      </c>
      <c r="F103" s="493"/>
      <c r="G103" s="494"/>
      <c r="H103" s="649"/>
      <c r="I103" s="650"/>
      <c r="J103" s="651"/>
      <c r="K103" s="652"/>
      <c r="L103" s="653"/>
      <c r="M103" s="654"/>
      <c r="N103" s="652"/>
      <c r="O103" s="653"/>
      <c r="P103" s="653"/>
      <c r="Q103" s="654"/>
      <c r="R103" s="655"/>
      <c r="S103" s="656"/>
      <c r="T103" s="652"/>
      <c r="U103" s="654"/>
      <c r="V103" s="652"/>
      <c r="W103" s="653"/>
      <c r="X103" s="654"/>
      <c r="Y103" s="495"/>
      <c r="Z103" s="496"/>
      <c r="AA103" s="63"/>
      <c r="AB103" s="497" t="s">
        <v>2505</v>
      </c>
      <c r="AC103" s="63"/>
      <c r="AD103" s="497" t="s">
        <v>2506</v>
      </c>
      <c r="AE103" s="63"/>
      <c r="AF103" s="497" t="s">
        <v>2507</v>
      </c>
      <c r="AG103" s="63"/>
      <c r="AH103" s="498" t="s">
        <v>441</v>
      </c>
      <c r="AJ103" s="490" t="str">
        <f>IF($B103="","",IF($R103=AJ$5,(SUM($D103*VLOOKUP($C103,ESCALA!$B$3:$O$19,14,0)+10)*2)*27,""))</f>
        <v/>
      </c>
      <c r="AK103" s="490" t="str">
        <f>IF($B103="","",IF($R103=AK$5,(SUM($D103*VLOOKUP($C103,ESCALA!$B$3:$O$19,14,0)+10)*2)*27,""))</f>
        <v/>
      </c>
      <c r="AL103" s="490" t="str">
        <f>IF($B103="","",IF($R103=AL$5,(SUM($D103*VLOOKUP($C103,ESCALA!$B$3:$O$19,14,0)+10)*2)*27,""))</f>
        <v/>
      </c>
      <c r="AM103" s="490" t="str">
        <f>IF($B103="","",IF($R103=AM$5,(SUM($D103*VLOOKUP($C103,ESCALA!$B$3:$O$19,14,0)+10)*2)*27,""))</f>
        <v/>
      </c>
      <c r="AN103" s="490" t="str">
        <f>IF($B103="","",IF($R103=AN$5,(SUM($D103*VLOOKUP($C103,ESCALA!$B$3:$O$19,14,0)+10)*2)*27,""))</f>
        <v/>
      </c>
      <c r="AO103" s="490" t="str">
        <f>IF($B103="","",IF($R103=AO$5,(SUM($D103*VLOOKUP($C103,ESCALA!$B$3:$O$19,14,0)+10)*2)*27,""))</f>
        <v/>
      </c>
      <c r="AP103" s="490" t="str">
        <f>IF($B103="","",IF($R103=AP$5,(SUM($D103*VLOOKUP($C103,ESCALA!$B$3:$O$19,14,0)+10)*2)*27,""))</f>
        <v/>
      </c>
      <c r="AY103" s="368" t="str">
        <f>IF(PERFIL!E102="","",PERFIL!E102)</f>
        <v/>
      </c>
      <c r="AZ103" s="368" t="str">
        <f t="shared" si="9"/>
        <v/>
      </c>
      <c r="BA103" s="368" t="str">
        <f t="shared" si="10"/>
        <v/>
      </c>
      <c r="BZ103" s="367" t="s">
        <v>1141</v>
      </c>
      <c r="CA103" s="367" t="s">
        <v>1007</v>
      </c>
      <c r="CB103" s="367">
        <v>100</v>
      </c>
      <c r="CC103" s="368" t="s">
        <v>10</v>
      </c>
    </row>
    <row r="104" spans="2:81" ht="33.75" customHeight="1" x14ac:dyDescent="0.2">
      <c r="B104" s="551"/>
      <c r="C104" s="517"/>
      <c r="D104" s="503" t="str">
        <f>IF(C104="","",VLOOKUP(C104,'REL LINHAS'!$B$2:$K$2205,5,0))</f>
        <v/>
      </c>
      <c r="E104" s="321" t="str">
        <f t="shared" si="8"/>
        <v/>
      </c>
      <c r="F104" s="493"/>
      <c r="G104" s="494"/>
      <c r="H104" s="649"/>
      <c r="I104" s="650"/>
      <c r="J104" s="651"/>
      <c r="K104" s="652"/>
      <c r="L104" s="653"/>
      <c r="M104" s="654"/>
      <c r="N104" s="652"/>
      <c r="O104" s="653"/>
      <c r="P104" s="653"/>
      <c r="Q104" s="654"/>
      <c r="R104" s="655"/>
      <c r="S104" s="656"/>
      <c r="T104" s="652"/>
      <c r="U104" s="654"/>
      <c r="V104" s="652"/>
      <c r="W104" s="653"/>
      <c r="X104" s="654"/>
      <c r="Y104" s="495"/>
      <c r="Z104" s="496"/>
      <c r="AA104" s="63"/>
      <c r="AB104" s="497" t="s">
        <v>2505</v>
      </c>
      <c r="AC104" s="63"/>
      <c r="AD104" s="497" t="s">
        <v>2506</v>
      </c>
      <c r="AE104" s="63"/>
      <c r="AF104" s="497" t="s">
        <v>2507</v>
      </c>
      <c r="AG104" s="63"/>
      <c r="AH104" s="498" t="s">
        <v>441</v>
      </c>
      <c r="AJ104" s="490" t="str">
        <f>IF($B104="","",IF($R104=AJ$5,(SUM($D104*VLOOKUP($C104,ESCALA!$B$3:$O$19,14,0)+10)*2)*27,""))</f>
        <v/>
      </c>
      <c r="AK104" s="490" t="str">
        <f>IF($B104="","",IF($R104=AK$5,(SUM($D104*VLOOKUP($C104,ESCALA!$B$3:$O$19,14,0)+10)*2)*27,""))</f>
        <v/>
      </c>
      <c r="AL104" s="490" t="str">
        <f>IF($B104="","",IF($R104=AL$5,(SUM($D104*VLOOKUP($C104,ESCALA!$B$3:$O$19,14,0)+10)*2)*27,""))</f>
        <v/>
      </c>
      <c r="AM104" s="490" t="str">
        <f>IF($B104="","",IF($R104=AM$5,(SUM($D104*VLOOKUP($C104,ESCALA!$B$3:$O$19,14,0)+10)*2)*27,""))</f>
        <v/>
      </c>
      <c r="AN104" s="490" t="str">
        <f>IF($B104="","",IF($R104=AN$5,(SUM($D104*VLOOKUP($C104,ESCALA!$B$3:$O$19,14,0)+10)*2)*27,""))</f>
        <v/>
      </c>
      <c r="AO104" s="490" t="str">
        <f>IF($B104="","",IF($R104=AO$5,(SUM($D104*VLOOKUP($C104,ESCALA!$B$3:$O$19,14,0)+10)*2)*27,""))</f>
        <v/>
      </c>
      <c r="AP104" s="490" t="str">
        <f>IF($B104="","",IF($R104=AP$5,(SUM($D104*VLOOKUP($C104,ESCALA!$B$3:$O$19,14,0)+10)*2)*27,""))</f>
        <v/>
      </c>
      <c r="AY104" s="368" t="str">
        <f>IF(PERFIL!E103="","",PERFIL!E103)</f>
        <v/>
      </c>
      <c r="AZ104" s="368" t="str">
        <f t="shared" si="9"/>
        <v/>
      </c>
      <c r="BA104" s="368" t="str">
        <f t="shared" si="10"/>
        <v/>
      </c>
      <c r="BY104" s="367" t="s">
        <v>573</v>
      </c>
      <c r="BZ104" s="367" t="s">
        <v>1147</v>
      </c>
      <c r="CA104" s="367" t="s">
        <v>479</v>
      </c>
      <c r="CB104" s="367">
        <v>125</v>
      </c>
      <c r="CC104" s="368" t="s">
        <v>220</v>
      </c>
    </row>
    <row r="105" spans="2:81" ht="33.75" customHeight="1" x14ac:dyDescent="0.2">
      <c r="B105" s="551"/>
      <c r="C105" s="517"/>
      <c r="D105" s="503" t="str">
        <f>IF(C105="","",VLOOKUP(C105,'REL LINHAS'!$B$2:$K$2205,5,0))</f>
        <v/>
      </c>
      <c r="E105" s="321" t="str">
        <f t="shared" si="8"/>
        <v/>
      </c>
      <c r="F105" s="493"/>
      <c r="G105" s="494"/>
      <c r="H105" s="649"/>
      <c r="I105" s="650"/>
      <c r="J105" s="651"/>
      <c r="K105" s="652"/>
      <c r="L105" s="653"/>
      <c r="M105" s="654"/>
      <c r="N105" s="652"/>
      <c r="O105" s="653"/>
      <c r="P105" s="653"/>
      <c r="Q105" s="654"/>
      <c r="R105" s="655"/>
      <c r="S105" s="656"/>
      <c r="T105" s="652"/>
      <c r="U105" s="654"/>
      <c r="V105" s="652"/>
      <c r="W105" s="653"/>
      <c r="X105" s="654"/>
      <c r="Y105" s="495"/>
      <c r="Z105" s="496"/>
      <c r="AA105" s="63"/>
      <c r="AB105" s="497" t="s">
        <v>2505</v>
      </c>
      <c r="AC105" s="63"/>
      <c r="AD105" s="497" t="s">
        <v>2506</v>
      </c>
      <c r="AE105" s="63"/>
      <c r="AF105" s="497" t="s">
        <v>2507</v>
      </c>
      <c r="AG105" s="63"/>
      <c r="AH105" s="498" t="s">
        <v>441</v>
      </c>
      <c r="AJ105" s="490" t="str">
        <f>IF($B105="","",IF($R105=AJ$5,(SUM($D105*VLOOKUP($C105,ESCALA!$B$3:$O$19,14,0)+10)*2)*27,""))</f>
        <v/>
      </c>
      <c r="AK105" s="490" t="str">
        <f>IF($B105="","",IF($R105=AK$5,(SUM($D105*VLOOKUP($C105,ESCALA!$B$3:$O$19,14,0)+10)*2)*27,""))</f>
        <v/>
      </c>
      <c r="AL105" s="490" t="str">
        <f>IF($B105="","",IF($R105=AL$5,(SUM($D105*VLOOKUP($C105,ESCALA!$B$3:$O$19,14,0)+10)*2)*27,""))</f>
        <v/>
      </c>
      <c r="AM105" s="490" t="str">
        <f>IF($B105="","",IF($R105=AM$5,(SUM($D105*VLOOKUP($C105,ESCALA!$B$3:$O$19,14,0)+10)*2)*27,""))</f>
        <v/>
      </c>
      <c r="AN105" s="490" t="str">
        <f>IF($B105="","",IF($R105=AN$5,(SUM($D105*VLOOKUP($C105,ESCALA!$B$3:$O$19,14,0)+10)*2)*27,""))</f>
        <v/>
      </c>
      <c r="AO105" s="490" t="str">
        <f>IF($B105="","",IF($R105=AO$5,(SUM($D105*VLOOKUP($C105,ESCALA!$B$3:$O$19,14,0)+10)*2)*27,""))</f>
        <v/>
      </c>
      <c r="AP105" s="490" t="str">
        <f>IF($B105="","",IF($R105=AP$5,(SUM($D105*VLOOKUP($C105,ESCALA!$B$3:$O$19,14,0)+10)*2)*27,""))</f>
        <v/>
      </c>
      <c r="AY105" s="368" t="str">
        <f>IF(PERFIL!E104="","",PERFIL!E104)</f>
        <v/>
      </c>
      <c r="AZ105" s="368" t="str">
        <f t="shared" si="9"/>
        <v/>
      </c>
      <c r="BA105" s="368" t="str">
        <f t="shared" si="10"/>
        <v/>
      </c>
      <c r="BZ105" s="367" t="s">
        <v>2697</v>
      </c>
      <c r="CA105" s="367" t="s">
        <v>478</v>
      </c>
      <c r="CB105" s="367">
        <v>125</v>
      </c>
      <c r="CC105" s="368" t="s">
        <v>10</v>
      </c>
    </row>
    <row r="106" spans="2:81" ht="33.75" customHeight="1" x14ac:dyDescent="0.2">
      <c r="B106" s="551"/>
      <c r="C106" s="517"/>
      <c r="D106" s="503" t="str">
        <f>IF(C106="","",VLOOKUP(C106,'REL LINHAS'!$B$2:$K$2205,5,0))</f>
        <v/>
      </c>
      <c r="E106" s="321" t="str">
        <f t="shared" ref="E106:E133" si="11">IF($C106="","",IF($C106="LINHA","",IF(VLOOKUP($C106,$AX$6:$BA$21,2,0)=$H106,"ATENDE",IF(VLOOKUP($C106,$AX$6:$BA$21,3,0)=$H106,"ATENDE",IF(VLOOKUP($C106,$AX$6:$BA$21,4,0)=$H106,"ATENDE","NÃO ATENDE")))))</f>
        <v/>
      </c>
      <c r="F106" s="493"/>
      <c r="G106" s="494"/>
      <c r="H106" s="649"/>
      <c r="I106" s="650"/>
      <c r="J106" s="651"/>
      <c r="K106" s="652"/>
      <c r="L106" s="653"/>
      <c r="M106" s="654"/>
      <c r="N106" s="652"/>
      <c r="O106" s="653"/>
      <c r="P106" s="653"/>
      <c r="Q106" s="654"/>
      <c r="R106" s="655"/>
      <c r="S106" s="656"/>
      <c r="T106" s="652"/>
      <c r="U106" s="654"/>
      <c r="V106" s="652"/>
      <c r="W106" s="653"/>
      <c r="X106" s="654"/>
      <c r="Y106" s="495"/>
      <c r="Z106" s="496"/>
      <c r="AA106" s="63"/>
      <c r="AB106" s="497" t="s">
        <v>2505</v>
      </c>
      <c r="AC106" s="63"/>
      <c r="AD106" s="497" t="s">
        <v>2506</v>
      </c>
      <c r="AE106" s="63"/>
      <c r="AF106" s="497" t="s">
        <v>2507</v>
      </c>
      <c r="AG106" s="63"/>
      <c r="AH106" s="498" t="s">
        <v>441</v>
      </c>
      <c r="AJ106" s="490" t="str">
        <f>IF($B106="","",IF($R106=AJ$5,(SUM($D106*VLOOKUP($C106,ESCALA!$B$3:$O$19,14,0)+10)*2)*27,""))</f>
        <v/>
      </c>
      <c r="AK106" s="490" t="str">
        <f>IF($B106="","",IF($R106=AK$5,(SUM($D106*VLOOKUP($C106,ESCALA!$B$3:$O$19,14,0)+10)*2)*27,""))</f>
        <v/>
      </c>
      <c r="AL106" s="490" t="str">
        <f>IF($B106="","",IF($R106=AL$5,(SUM($D106*VLOOKUP($C106,ESCALA!$B$3:$O$19,14,0)+10)*2)*27,""))</f>
        <v/>
      </c>
      <c r="AM106" s="490" t="str">
        <f>IF($B106="","",IF($R106=AM$5,(SUM($D106*VLOOKUP($C106,ESCALA!$B$3:$O$19,14,0)+10)*2)*27,""))</f>
        <v/>
      </c>
      <c r="AN106" s="490" t="str">
        <f>IF($B106="","",IF($R106=AN$5,(SUM($D106*VLOOKUP($C106,ESCALA!$B$3:$O$19,14,0)+10)*2)*27,""))</f>
        <v/>
      </c>
      <c r="AO106" s="490" t="str">
        <f>IF($B106="","",IF($R106=AO$5,(SUM($D106*VLOOKUP($C106,ESCALA!$B$3:$O$19,14,0)+10)*2)*27,""))</f>
        <v/>
      </c>
      <c r="AP106" s="490" t="str">
        <f>IF($B106="","",IF($R106=AP$5,(SUM($D106*VLOOKUP($C106,ESCALA!$B$3:$O$19,14,0)+10)*2)*27,""))</f>
        <v/>
      </c>
      <c r="AY106" s="368" t="str">
        <f>IF(PERFIL!E105="","",PERFIL!E105)</f>
        <v/>
      </c>
      <c r="AZ106" s="368" t="str">
        <f t="shared" si="9"/>
        <v/>
      </c>
      <c r="BA106" s="368" t="str">
        <f t="shared" si="10"/>
        <v/>
      </c>
      <c r="BY106" s="367" t="s">
        <v>573</v>
      </c>
      <c r="BZ106" s="367" t="s">
        <v>1148</v>
      </c>
      <c r="CA106" s="367" t="s">
        <v>477</v>
      </c>
      <c r="CB106" s="367">
        <v>125</v>
      </c>
      <c r="CC106" s="368" t="s">
        <v>220</v>
      </c>
    </row>
    <row r="107" spans="2:81" ht="33.75" customHeight="1" x14ac:dyDescent="0.2">
      <c r="B107" s="551"/>
      <c r="C107" s="517"/>
      <c r="D107" s="503" t="str">
        <f>IF(C107="","",VLOOKUP(C107,'REL LINHAS'!$B$2:$K$2205,5,0))</f>
        <v/>
      </c>
      <c r="E107" s="321" t="str">
        <f t="shared" si="11"/>
        <v/>
      </c>
      <c r="F107" s="493"/>
      <c r="G107" s="494"/>
      <c r="H107" s="649"/>
      <c r="I107" s="650"/>
      <c r="J107" s="651"/>
      <c r="K107" s="652"/>
      <c r="L107" s="653"/>
      <c r="M107" s="654"/>
      <c r="N107" s="652"/>
      <c r="O107" s="653"/>
      <c r="P107" s="653"/>
      <c r="Q107" s="654"/>
      <c r="R107" s="655"/>
      <c r="S107" s="656"/>
      <c r="T107" s="652"/>
      <c r="U107" s="654"/>
      <c r="V107" s="652"/>
      <c r="W107" s="653"/>
      <c r="X107" s="654"/>
      <c r="Y107" s="495"/>
      <c r="Z107" s="496"/>
      <c r="AA107" s="63"/>
      <c r="AB107" s="497" t="s">
        <v>2505</v>
      </c>
      <c r="AC107" s="63"/>
      <c r="AD107" s="497" t="s">
        <v>2506</v>
      </c>
      <c r="AE107" s="63"/>
      <c r="AF107" s="497" t="s">
        <v>2507</v>
      </c>
      <c r="AG107" s="63"/>
      <c r="AH107" s="498" t="s">
        <v>441</v>
      </c>
      <c r="AJ107" s="490" t="str">
        <f>IF($B107="","",IF($R107=AJ$5,(SUM($D107*VLOOKUP($C107,ESCALA!$B$3:$O$19,14,0)+10)*2)*27,""))</f>
        <v/>
      </c>
      <c r="AK107" s="490" t="str">
        <f>IF($B107="","",IF($R107=AK$5,(SUM($D107*VLOOKUP($C107,ESCALA!$B$3:$O$19,14,0)+10)*2)*27,""))</f>
        <v/>
      </c>
      <c r="AL107" s="490" t="str">
        <f>IF($B107="","",IF($R107=AL$5,(SUM($D107*VLOOKUP($C107,ESCALA!$B$3:$O$19,14,0)+10)*2)*27,""))</f>
        <v/>
      </c>
      <c r="AM107" s="490" t="str">
        <f>IF($B107="","",IF($R107=AM$5,(SUM($D107*VLOOKUP($C107,ESCALA!$B$3:$O$19,14,0)+10)*2)*27,""))</f>
        <v/>
      </c>
      <c r="AN107" s="490" t="str">
        <f>IF($B107="","",IF($R107=AN$5,(SUM($D107*VLOOKUP($C107,ESCALA!$B$3:$O$19,14,0)+10)*2)*27,""))</f>
        <v/>
      </c>
      <c r="AO107" s="490" t="str">
        <f>IF($B107="","",IF($R107=AO$5,(SUM($D107*VLOOKUP($C107,ESCALA!$B$3:$O$19,14,0)+10)*2)*27,""))</f>
        <v/>
      </c>
      <c r="AP107" s="490" t="str">
        <f>IF($B107="","",IF($R107=AP$5,(SUM($D107*VLOOKUP($C107,ESCALA!$B$3:$O$19,14,0)+10)*2)*27,""))</f>
        <v/>
      </c>
      <c r="AY107" s="368" t="str">
        <f>IF(PERFIL!E106="","",PERFIL!E106)</f>
        <v/>
      </c>
      <c r="AZ107" s="368" t="str">
        <f t="shared" si="9"/>
        <v/>
      </c>
      <c r="BA107" s="368" t="str">
        <f t="shared" si="10"/>
        <v/>
      </c>
      <c r="BZ107" s="367" t="s">
        <v>2698</v>
      </c>
      <c r="CA107" s="367" t="s">
        <v>476</v>
      </c>
      <c r="CB107" s="367">
        <v>100</v>
      </c>
      <c r="CC107" s="368" t="s">
        <v>10</v>
      </c>
    </row>
    <row r="108" spans="2:81" ht="33.75" customHeight="1" x14ac:dyDescent="0.2">
      <c r="B108" s="551"/>
      <c r="C108" s="517"/>
      <c r="D108" s="503" t="str">
        <f>IF(C108="","",VLOOKUP(C108,'REL LINHAS'!$B$2:$K$2205,5,0))</f>
        <v/>
      </c>
      <c r="E108" s="321" t="str">
        <f t="shared" si="11"/>
        <v/>
      </c>
      <c r="F108" s="493"/>
      <c r="G108" s="494"/>
      <c r="H108" s="649"/>
      <c r="I108" s="650"/>
      <c r="J108" s="651"/>
      <c r="K108" s="652"/>
      <c r="L108" s="653"/>
      <c r="M108" s="654"/>
      <c r="N108" s="652"/>
      <c r="O108" s="653"/>
      <c r="P108" s="653"/>
      <c r="Q108" s="654"/>
      <c r="R108" s="655"/>
      <c r="S108" s="656"/>
      <c r="T108" s="652"/>
      <c r="U108" s="654"/>
      <c r="V108" s="652"/>
      <c r="W108" s="653"/>
      <c r="X108" s="654"/>
      <c r="Y108" s="495"/>
      <c r="Z108" s="496"/>
      <c r="AA108" s="63"/>
      <c r="AB108" s="497" t="s">
        <v>2505</v>
      </c>
      <c r="AC108" s="63"/>
      <c r="AD108" s="497" t="s">
        <v>2506</v>
      </c>
      <c r="AE108" s="63"/>
      <c r="AF108" s="497" t="s">
        <v>2507</v>
      </c>
      <c r="AG108" s="63"/>
      <c r="AH108" s="498" t="s">
        <v>441</v>
      </c>
      <c r="AJ108" s="490" t="str">
        <f>IF($B108="","",IF($R108=AJ$5,(SUM($D108*VLOOKUP($C108,ESCALA!$B$3:$O$19,14,0)+10)*2)*27,""))</f>
        <v/>
      </c>
      <c r="AK108" s="490" t="str">
        <f>IF($B108="","",IF($R108=AK$5,(SUM($D108*VLOOKUP($C108,ESCALA!$B$3:$O$19,14,0)+10)*2)*27,""))</f>
        <v/>
      </c>
      <c r="AL108" s="490" t="str">
        <f>IF($B108="","",IF($R108=AL$5,(SUM($D108*VLOOKUP($C108,ESCALA!$B$3:$O$19,14,0)+10)*2)*27,""))</f>
        <v/>
      </c>
      <c r="AM108" s="490" t="str">
        <f>IF($B108="","",IF($R108=AM$5,(SUM($D108*VLOOKUP($C108,ESCALA!$B$3:$O$19,14,0)+10)*2)*27,""))</f>
        <v/>
      </c>
      <c r="AN108" s="490" t="str">
        <f>IF($B108="","",IF($R108=AN$5,(SUM($D108*VLOOKUP($C108,ESCALA!$B$3:$O$19,14,0)+10)*2)*27,""))</f>
        <v/>
      </c>
      <c r="AO108" s="490" t="str">
        <f>IF($B108="","",IF($R108=AO$5,(SUM($D108*VLOOKUP($C108,ESCALA!$B$3:$O$19,14,0)+10)*2)*27,""))</f>
        <v/>
      </c>
      <c r="AP108" s="490" t="str">
        <f>IF($B108="","",IF($R108=AP$5,(SUM($D108*VLOOKUP($C108,ESCALA!$B$3:$O$19,14,0)+10)*2)*27,""))</f>
        <v/>
      </c>
      <c r="AY108" s="368" t="str">
        <f>IF(PERFIL!E107="","",PERFIL!E107)</f>
        <v/>
      </c>
      <c r="AZ108" s="368" t="str">
        <f t="shared" si="9"/>
        <v/>
      </c>
      <c r="BA108" s="368" t="str">
        <f t="shared" si="10"/>
        <v/>
      </c>
      <c r="BY108" s="367" t="s">
        <v>573</v>
      </c>
      <c r="BZ108" s="367" t="s">
        <v>1149</v>
      </c>
      <c r="CA108" s="367" t="s">
        <v>475</v>
      </c>
      <c r="CB108" s="367">
        <v>125</v>
      </c>
      <c r="CC108" s="368" t="s">
        <v>220</v>
      </c>
    </row>
    <row r="109" spans="2:81" ht="33.75" customHeight="1" x14ac:dyDescent="0.2">
      <c r="B109" s="551"/>
      <c r="C109" s="517"/>
      <c r="D109" s="503" t="str">
        <f>IF(C109="","",VLOOKUP(C109,'REL LINHAS'!$B$2:$K$2205,5,0))</f>
        <v/>
      </c>
      <c r="E109" s="321" t="str">
        <f t="shared" si="11"/>
        <v/>
      </c>
      <c r="F109" s="493"/>
      <c r="G109" s="494"/>
      <c r="H109" s="649"/>
      <c r="I109" s="650"/>
      <c r="J109" s="651"/>
      <c r="K109" s="652"/>
      <c r="L109" s="653"/>
      <c r="M109" s="654"/>
      <c r="N109" s="652"/>
      <c r="O109" s="653"/>
      <c r="P109" s="653"/>
      <c r="Q109" s="654"/>
      <c r="R109" s="655"/>
      <c r="S109" s="656"/>
      <c r="T109" s="652"/>
      <c r="U109" s="654"/>
      <c r="V109" s="652"/>
      <c r="W109" s="653"/>
      <c r="X109" s="654"/>
      <c r="Y109" s="495"/>
      <c r="Z109" s="496"/>
      <c r="AA109" s="63"/>
      <c r="AB109" s="497" t="s">
        <v>2505</v>
      </c>
      <c r="AC109" s="63"/>
      <c r="AD109" s="497" t="s">
        <v>2506</v>
      </c>
      <c r="AE109" s="63"/>
      <c r="AF109" s="497" t="s">
        <v>2507</v>
      </c>
      <c r="AG109" s="63"/>
      <c r="AH109" s="498" t="s">
        <v>441</v>
      </c>
      <c r="AJ109" s="490" t="str">
        <f>IF($B109="","",IF($R109=AJ$5,(SUM($D109*VLOOKUP($C109,ESCALA!$B$3:$O$19,14,0)+10)*2)*27,""))</f>
        <v/>
      </c>
      <c r="AK109" s="490" t="str">
        <f>IF($B109="","",IF($R109=AK$5,(SUM($D109*VLOOKUP($C109,ESCALA!$B$3:$O$19,14,0)+10)*2)*27,""))</f>
        <v/>
      </c>
      <c r="AL109" s="490" t="str">
        <f>IF($B109="","",IF($R109=AL$5,(SUM($D109*VLOOKUP($C109,ESCALA!$B$3:$O$19,14,0)+10)*2)*27,""))</f>
        <v/>
      </c>
      <c r="AM109" s="490" t="str">
        <f>IF($B109="","",IF($R109=AM$5,(SUM($D109*VLOOKUP($C109,ESCALA!$B$3:$O$19,14,0)+10)*2)*27,""))</f>
        <v/>
      </c>
      <c r="AN109" s="490" t="str">
        <f>IF($B109="","",IF($R109=AN$5,(SUM($D109*VLOOKUP($C109,ESCALA!$B$3:$O$19,14,0)+10)*2)*27,""))</f>
        <v/>
      </c>
      <c r="AO109" s="490" t="str">
        <f>IF($B109="","",IF($R109=AO$5,(SUM($D109*VLOOKUP($C109,ESCALA!$B$3:$O$19,14,0)+10)*2)*27,""))</f>
        <v/>
      </c>
      <c r="AP109" s="490" t="str">
        <f>IF($B109="","",IF($R109=AP$5,(SUM($D109*VLOOKUP($C109,ESCALA!$B$3:$O$19,14,0)+10)*2)*27,""))</f>
        <v/>
      </c>
      <c r="AY109" s="368" t="str">
        <f>IF(PERFIL!E108="","",PERFIL!E108)</f>
        <v/>
      </c>
      <c r="AZ109" s="368" t="str">
        <f t="shared" si="9"/>
        <v/>
      </c>
      <c r="BA109" s="368" t="str">
        <f t="shared" si="10"/>
        <v/>
      </c>
      <c r="BZ109" s="367" t="s">
        <v>1142</v>
      </c>
      <c r="CA109" s="367" t="s">
        <v>1008</v>
      </c>
      <c r="CB109" s="367">
        <v>125</v>
      </c>
      <c r="CC109" s="368" t="s">
        <v>10</v>
      </c>
    </row>
    <row r="110" spans="2:81" ht="33.75" customHeight="1" x14ac:dyDescent="0.2">
      <c r="B110" s="551"/>
      <c r="C110" s="517"/>
      <c r="D110" s="503" t="str">
        <f>IF(C110="","",VLOOKUP(C110,'REL LINHAS'!$B$2:$K$2205,5,0))</f>
        <v/>
      </c>
      <c r="E110" s="321" t="str">
        <f t="shared" si="11"/>
        <v/>
      </c>
      <c r="F110" s="493"/>
      <c r="G110" s="494"/>
      <c r="H110" s="649"/>
      <c r="I110" s="650"/>
      <c r="J110" s="651"/>
      <c r="K110" s="652"/>
      <c r="L110" s="653"/>
      <c r="M110" s="654"/>
      <c r="N110" s="652"/>
      <c r="O110" s="653"/>
      <c r="P110" s="653"/>
      <c r="Q110" s="654"/>
      <c r="R110" s="655"/>
      <c r="S110" s="656"/>
      <c r="T110" s="652"/>
      <c r="U110" s="654"/>
      <c r="V110" s="652"/>
      <c r="W110" s="653"/>
      <c r="X110" s="654"/>
      <c r="Y110" s="495"/>
      <c r="Z110" s="496"/>
      <c r="AA110" s="63"/>
      <c r="AB110" s="497" t="s">
        <v>2505</v>
      </c>
      <c r="AC110" s="63"/>
      <c r="AD110" s="497" t="s">
        <v>2506</v>
      </c>
      <c r="AE110" s="63"/>
      <c r="AF110" s="497" t="s">
        <v>2507</v>
      </c>
      <c r="AG110" s="63"/>
      <c r="AH110" s="498" t="s">
        <v>441</v>
      </c>
      <c r="AJ110" s="490" t="str">
        <f>IF($B110="","",IF($R110=AJ$5,(SUM($D110*VLOOKUP($C110,ESCALA!$B$3:$O$19,14,0)+10)*2)*27,""))</f>
        <v/>
      </c>
      <c r="AK110" s="490" t="str">
        <f>IF($B110="","",IF($R110=AK$5,(SUM($D110*VLOOKUP($C110,ESCALA!$B$3:$O$19,14,0)+10)*2)*27,""))</f>
        <v/>
      </c>
      <c r="AL110" s="490" t="str">
        <f>IF($B110="","",IF($R110=AL$5,(SUM($D110*VLOOKUP($C110,ESCALA!$B$3:$O$19,14,0)+10)*2)*27,""))</f>
        <v/>
      </c>
      <c r="AM110" s="490" t="str">
        <f>IF($B110="","",IF($R110=AM$5,(SUM($D110*VLOOKUP($C110,ESCALA!$B$3:$O$19,14,0)+10)*2)*27,""))</f>
        <v/>
      </c>
      <c r="AN110" s="490" t="str">
        <f>IF($B110="","",IF($R110=AN$5,(SUM($D110*VLOOKUP($C110,ESCALA!$B$3:$O$19,14,0)+10)*2)*27,""))</f>
        <v/>
      </c>
      <c r="AO110" s="490" t="str">
        <f>IF($B110="","",IF($R110=AO$5,(SUM($D110*VLOOKUP($C110,ESCALA!$B$3:$O$19,14,0)+10)*2)*27,""))</f>
        <v/>
      </c>
      <c r="AP110" s="490" t="str">
        <f>IF($B110="","",IF($R110=AP$5,(SUM($D110*VLOOKUP($C110,ESCALA!$B$3:$O$19,14,0)+10)*2)*27,""))</f>
        <v/>
      </c>
      <c r="AY110" s="368" t="str">
        <f>IF(PERFIL!E109="","",PERFIL!E109)</f>
        <v/>
      </c>
      <c r="AZ110" s="368" t="str">
        <f t="shared" si="9"/>
        <v/>
      </c>
      <c r="BA110" s="368" t="str">
        <f t="shared" si="10"/>
        <v/>
      </c>
      <c r="BY110" s="367" t="s">
        <v>498</v>
      </c>
      <c r="BZ110" s="367" t="s">
        <v>2630</v>
      </c>
      <c r="CA110" s="367" t="s">
        <v>472</v>
      </c>
      <c r="CB110" s="367">
        <v>175</v>
      </c>
      <c r="CC110" s="368" t="s">
        <v>10</v>
      </c>
    </row>
    <row r="111" spans="2:81" ht="33.75" customHeight="1" x14ac:dyDescent="0.2">
      <c r="B111" s="551"/>
      <c r="C111" s="517"/>
      <c r="D111" s="503" t="str">
        <f>IF(C111="","",VLOOKUP(C111,'REL LINHAS'!$B$2:$K$2205,5,0))</f>
        <v/>
      </c>
      <c r="E111" s="321" t="str">
        <f t="shared" si="11"/>
        <v/>
      </c>
      <c r="F111" s="493"/>
      <c r="G111" s="494"/>
      <c r="H111" s="649"/>
      <c r="I111" s="650"/>
      <c r="J111" s="651"/>
      <c r="K111" s="652"/>
      <c r="L111" s="653"/>
      <c r="M111" s="654"/>
      <c r="N111" s="652"/>
      <c r="O111" s="653"/>
      <c r="P111" s="653"/>
      <c r="Q111" s="654"/>
      <c r="R111" s="655"/>
      <c r="S111" s="656"/>
      <c r="T111" s="652"/>
      <c r="U111" s="654"/>
      <c r="V111" s="652"/>
      <c r="W111" s="653"/>
      <c r="X111" s="654"/>
      <c r="Y111" s="495"/>
      <c r="Z111" s="496"/>
      <c r="AA111" s="63"/>
      <c r="AB111" s="497" t="s">
        <v>2505</v>
      </c>
      <c r="AC111" s="63"/>
      <c r="AD111" s="497" t="s">
        <v>2506</v>
      </c>
      <c r="AE111" s="63"/>
      <c r="AF111" s="497" t="s">
        <v>2507</v>
      </c>
      <c r="AG111" s="63"/>
      <c r="AH111" s="498" t="s">
        <v>441</v>
      </c>
      <c r="AJ111" s="490" t="str">
        <f>IF($B111="","",IF($R111=AJ$5,(SUM($D111*VLOOKUP($C111,ESCALA!$B$3:$O$19,14,0)+10)*2)*27,""))</f>
        <v/>
      </c>
      <c r="AK111" s="490" t="str">
        <f>IF($B111="","",IF($R111=AK$5,(SUM($D111*VLOOKUP($C111,ESCALA!$B$3:$O$19,14,0)+10)*2)*27,""))</f>
        <v/>
      </c>
      <c r="AL111" s="490" t="str">
        <f>IF($B111="","",IF($R111=AL$5,(SUM($D111*VLOOKUP($C111,ESCALA!$B$3:$O$19,14,0)+10)*2)*27,""))</f>
        <v/>
      </c>
      <c r="AM111" s="490" t="str">
        <f>IF($B111="","",IF($R111=AM$5,(SUM($D111*VLOOKUP($C111,ESCALA!$B$3:$O$19,14,0)+10)*2)*27,""))</f>
        <v/>
      </c>
      <c r="AN111" s="490" t="str">
        <f>IF($B111="","",IF($R111=AN$5,(SUM($D111*VLOOKUP($C111,ESCALA!$B$3:$O$19,14,0)+10)*2)*27,""))</f>
        <v/>
      </c>
      <c r="AO111" s="490" t="str">
        <f>IF($B111="","",IF($R111=AO$5,(SUM($D111*VLOOKUP($C111,ESCALA!$B$3:$O$19,14,0)+10)*2)*27,""))</f>
        <v/>
      </c>
      <c r="AP111" s="490" t="str">
        <f>IF($B111="","",IF($R111=AP$5,(SUM($D111*VLOOKUP($C111,ESCALA!$B$3:$O$19,14,0)+10)*2)*27,""))</f>
        <v/>
      </c>
      <c r="AY111" s="368" t="str">
        <f>IF(PERFIL!E110="","",PERFIL!E110)</f>
        <v/>
      </c>
      <c r="AZ111" s="368" t="str">
        <f t="shared" si="9"/>
        <v/>
      </c>
      <c r="BA111" s="368" t="str">
        <f t="shared" si="10"/>
        <v/>
      </c>
      <c r="BY111" s="367" t="s">
        <v>498</v>
      </c>
      <c r="BZ111" s="367" t="s">
        <v>2631</v>
      </c>
      <c r="CA111" s="367" t="s">
        <v>473</v>
      </c>
      <c r="CB111" s="367">
        <v>125</v>
      </c>
      <c r="CC111" s="368" t="s">
        <v>10</v>
      </c>
    </row>
    <row r="112" spans="2:81" ht="33.75" customHeight="1" x14ac:dyDescent="0.2">
      <c r="B112" s="551"/>
      <c r="C112" s="517"/>
      <c r="D112" s="503" t="str">
        <f>IF(C112="","",VLOOKUP(C112,'REL LINHAS'!$B$2:$K$2205,5,0))</f>
        <v/>
      </c>
      <c r="E112" s="321" t="str">
        <f t="shared" si="11"/>
        <v/>
      </c>
      <c r="F112" s="493"/>
      <c r="G112" s="494"/>
      <c r="H112" s="649"/>
      <c r="I112" s="650"/>
      <c r="J112" s="651"/>
      <c r="K112" s="652"/>
      <c r="L112" s="653"/>
      <c r="M112" s="654"/>
      <c r="N112" s="652"/>
      <c r="O112" s="653"/>
      <c r="P112" s="653"/>
      <c r="Q112" s="654"/>
      <c r="R112" s="655"/>
      <c r="S112" s="656"/>
      <c r="T112" s="652"/>
      <c r="U112" s="654"/>
      <c r="V112" s="652"/>
      <c r="W112" s="653"/>
      <c r="X112" s="654"/>
      <c r="Y112" s="495"/>
      <c r="Z112" s="496"/>
      <c r="AA112" s="63"/>
      <c r="AB112" s="497" t="s">
        <v>2505</v>
      </c>
      <c r="AC112" s="63"/>
      <c r="AD112" s="497" t="s">
        <v>2506</v>
      </c>
      <c r="AE112" s="63"/>
      <c r="AF112" s="497" t="s">
        <v>2507</v>
      </c>
      <c r="AG112" s="63"/>
      <c r="AH112" s="498" t="s">
        <v>441</v>
      </c>
      <c r="AJ112" s="490" t="str">
        <f>IF($B112="","",IF($R112=AJ$5,(SUM($D112*VLOOKUP($C112,ESCALA!$B$3:$O$19,14,0)+10)*2)*27,""))</f>
        <v/>
      </c>
      <c r="AK112" s="490" t="str">
        <f>IF($B112="","",IF($R112=AK$5,(SUM($D112*VLOOKUP($C112,ESCALA!$B$3:$O$19,14,0)+10)*2)*27,""))</f>
        <v/>
      </c>
      <c r="AL112" s="490" t="str">
        <f>IF($B112="","",IF($R112=AL$5,(SUM($D112*VLOOKUP($C112,ESCALA!$B$3:$O$19,14,0)+10)*2)*27,""))</f>
        <v/>
      </c>
      <c r="AM112" s="490" t="str">
        <f>IF($B112="","",IF($R112=AM$5,(SUM($D112*VLOOKUP($C112,ESCALA!$B$3:$O$19,14,0)+10)*2)*27,""))</f>
        <v/>
      </c>
      <c r="AN112" s="490" t="str">
        <f>IF($B112="","",IF($R112=AN$5,(SUM($D112*VLOOKUP($C112,ESCALA!$B$3:$O$19,14,0)+10)*2)*27,""))</f>
        <v/>
      </c>
      <c r="AO112" s="490" t="str">
        <f>IF($B112="","",IF($R112=AO$5,(SUM($D112*VLOOKUP($C112,ESCALA!$B$3:$O$19,14,0)+10)*2)*27,""))</f>
        <v/>
      </c>
      <c r="AP112" s="490" t="str">
        <f>IF($B112="","",IF($R112=AP$5,(SUM($D112*VLOOKUP($C112,ESCALA!$B$3:$O$19,14,0)+10)*2)*27,""))</f>
        <v/>
      </c>
      <c r="AY112" s="368" t="str">
        <f>IF(PERFIL!E111="","",PERFIL!E111)</f>
        <v/>
      </c>
      <c r="AZ112" s="368" t="str">
        <f t="shared" si="9"/>
        <v/>
      </c>
      <c r="BA112" s="368" t="str">
        <f t="shared" si="10"/>
        <v/>
      </c>
      <c r="BY112" s="367" t="s">
        <v>498</v>
      </c>
      <c r="BZ112" s="367" t="s">
        <v>2632</v>
      </c>
      <c r="CA112" s="367" t="s">
        <v>474</v>
      </c>
      <c r="CB112" s="367">
        <v>125</v>
      </c>
      <c r="CC112" s="368" t="s">
        <v>10</v>
      </c>
    </row>
    <row r="113" spans="2:81" ht="33.75" customHeight="1" x14ac:dyDescent="0.2">
      <c r="B113" s="551"/>
      <c r="C113" s="517"/>
      <c r="D113" s="503" t="str">
        <f>IF(C113="","",VLOOKUP(C113,'REL LINHAS'!$B$2:$K$2205,5,0))</f>
        <v/>
      </c>
      <c r="E113" s="321" t="str">
        <f t="shared" si="11"/>
        <v/>
      </c>
      <c r="F113" s="493"/>
      <c r="G113" s="494"/>
      <c r="H113" s="649"/>
      <c r="I113" s="650"/>
      <c r="J113" s="651"/>
      <c r="K113" s="652"/>
      <c r="L113" s="653"/>
      <c r="M113" s="654"/>
      <c r="N113" s="652"/>
      <c r="O113" s="653"/>
      <c r="P113" s="653"/>
      <c r="Q113" s="654"/>
      <c r="R113" s="655"/>
      <c r="S113" s="656"/>
      <c r="T113" s="652"/>
      <c r="U113" s="654"/>
      <c r="V113" s="652"/>
      <c r="W113" s="653"/>
      <c r="X113" s="654"/>
      <c r="Y113" s="495"/>
      <c r="Z113" s="496"/>
      <c r="AA113" s="63"/>
      <c r="AB113" s="497" t="s">
        <v>2505</v>
      </c>
      <c r="AC113" s="63"/>
      <c r="AD113" s="497" t="s">
        <v>2506</v>
      </c>
      <c r="AE113" s="63"/>
      <c r="AF113" s="497" t="s">
        <v>2507</v>
      </c>
      <c r="AG113" s="63"/>
      <c r="AH113" s="498" t="s">
        <v>441</v>
      </c>
      <c r="AJ113" s="490" t="str">
        <f>IF($B113="","",IF($R113=AJ$5,(SUM($D113*VLOOKUP($C113,ESCALA!$B$3:$O$19,14,0)+10)*2)*27,""))</f>
        <v/>
      </c>
      <c r="AK113" s="490" t="str">
        <f>IF($B113="","",IF($R113=AK$5,(SUM($D113*VLOOKUP($C113,ESCALA!$B$3:$O$19,14,0)+10)*2)*27,""))</f>
        <v/>
      </c>
      <c r="AL113" s="490" t="str">
        <f>IF($B113="","",IF($R113=AL$5,(SUM($D113*VLOOKUP($C113,ESCALA!$B$3:$O$19,14,0)+10)*2)*27,""))</f>
        <v/>
      </c>
      <c r="AM113" s="490" t="str">
        <f>IF($B113="","",IF($R113=AM$5,(SUM($D113*VLOOKUP($C113,ESCALA!$B$3:$O$19,14,0)+10)*2)*27,""))</f>
        <v/>
      </c>
      <c r="AN113" s="490" t="str">
        <f>IF($B113="","",IF($R113=AN$5,(SUM($D113*VLOOKUP($C113,ESCALA!$B$3:$O$19,14,0)+10)*2)*27,""))</f>
        <v/>
      </c>
      <c r="AO113" s="490" t="str">
        <f>IF($B113="","",IF($R113=AO$5,(SUM($D113*VLOOKUP($C113,ESCALA!$B$3:$O$19,14,0)+10)*2)*27,""))</f>
        <v/>
      </c>
      <c r="AP113" s="490" t="str">
        <f>IF($B113="","",IF($R113=AP$5,(SUM($D113*VLOOKUP($C113,ESCALA!$B$3:$O$19,14,0)+10)*2)*27,""))</f>
        <v/>
      </c>
      <c r="AY113" s="368" t="str">
        <f>IF(PERFIL!E112="","",PERFIL!E112)</f>
        <v/>
      </c>
      <c r="AZ113" s="368" t="str">
        <f t="shared" si="9"/>
        <v/>
      </c>
      <c r="BA113" s="368" t="str">
        <f t="shared" si="10"/>
        <v/>
      </c>
      <c r="BZ113" s="367" t="s">
        <v>2692</v>
      </c>
      <c r="CA113" s="367" t="s">
        <v>1009</v>
      </c>
      <c r="CB113" s="367">
        <v>100</v>
      </c>
      <c r="CC113" s="368" t="s">
        <v>10</v>
      </c>
    </row>
    <row r="114" spans="2:81" ht="33.75" customHeight="1" x14ac:dyDescent="0.2">
      <c r="B114" s="551"/>
      <c r="C114" s="517"/>
      <c r="D114" s="503" t="str">
        <f>IF(C114="","",VLOOKUP(C114,'REL LINHAS'!$B$2:$K$2205,5,0))</f>
        <v/>
      </c>
      <c r="E114" s="321" t="str">
        <f t="shared" si="11"/>
        <v/>
      </c>
      <c r="F114" s="493"/>
      <c r="G114" s="494"/>
      <c r="H114" s="649"/>
      <c r="I114" s="650"/>
      <c r="J114" s="651"/>
      <c r="K114" s="652"/>
      <c r="L114" s="653"/>
      <c r="M114" s="654"/>
      <c r="N114" s="652"/>
      <c r="O114" s="653"/>
      <c r="P114" s="653"/>
      <c r="Q114" s="654"/>
      <c r="R114" s="655"/>
      <c r="S114" s="656"/>
      <c r="T114" s="652"/>
      <c r="U114" s="654"/>
      <c r="V114" s="652"/>
      <c r="W114" s="653"/>
      <c r="X114" s="654"/>
      <c r="Y114" s="495"/>
      <c r="Z114" s="496"/>
      <c r="AA114" s="63"/>
      <c r="AB114" s="497" t="s">
        <v>2505</v>
      </c>
      <c r="AC114" s="63"/>
      <c r="AD114" s="497" t="s">
        <v>2506</v>
      </c>
      <c r="AE114" s="63"/>
      <c r="AF114" s="497" t="s">
        <v>2507</v>
      </c>
      <c r="AG114" s="63"/>
      <c r="AH114" s="498" t="s">
        <v>441</v>
      </c>
      <c r="AJ114" s="490" t="str">
        <f>IF($B114="","",IF($R114=AJ$5,(SUM($D114*VLOOKUP($C114,ESCALA!$B$3:$O$19,14,0)+10)*2)*27,""))</f>
        <v/>
      </c>
      <c r="AK114" s="490" t="str">
        <f>IF($B114="","",IF($R114=AK$5,(SUM($D114*VLOOKUP($C114,ESCALA!$B$3:$O$19,14,0)+10)*2)*27,""))</f>
        <v/>
      </c>
      <c r="AL114" s="490" t="str">
        <f>IF($B114="","",IF($R114=AL$5,(SUM($D114*VLOOKUP($C114,ESCALA!$B$3:$O$19,14,0)+10)*2)*27,""))</f>
        <v/>
      </c>
      <c r="AM114" s="490" t="str">
        <f>IF($B114="","",IF($R114=AM$5,(SUM($D114*VLOOKUP($C114,ESCALA!$B$3:$O$19,14,0)+10)*2)*27,""))</f>
        <v/>
      </c>
      <c r="AN114" s="490" t="str">
        <f>IF($B114="","",IF($R114=AN$5,(SUM($D114*VLOOKUP($C114,ESCALA!$B$3:$O$19,14,0)+10)*2)*27,""))</f>
        <v/>
      </c>
      <c r="AO114" s="490" t="str">
        <f>IF($B114="","",IF($R114=AO$5,(SUM($D114*VLOOKUP($C114,ESCALA!$B$3:$O$19,14,0)+10)*2)*27,""))</f>
        <v/>
      </c>
      <c r="AP114" s="490" t="str">
        <f>IF($B114="","",IF($R114=AP$5,(SUM($D114*VLOOKUP($C114,ESCALA!$B$3:$O$19,14,0)+10)*2)*27,""))</f>
        <v/>
      </c>
      <c r="AY114" s="368" t="str">
        <f>IF(PERFIL!E113="","",PERFIL!E113)</f>
        <v/>
      </c>
      <c r="AZ114" s="368" t="str">
        <f t="shared" si="9"/>
        <v/>
      </c>
      <c r="BA114" s="368" t="str">
        <f t="shared" si="10"/>
        <v/>
      </c>
      <c r="BZ114" s="367" t="s">
        <v>2649</v>
      </c>
      <c r="CA114" s="367" t="s">
        <v>1010</v>
      </c>
      <c r="CB114" s="367">
        <v>100</v>
      </c>
      <c r="CC114" s="368" t="s">
        <v>10</v>
      </c>
    </row>
    <row r="115" spans="2:81" ht="33.75" customHeight="1" x14ac:dyDescent="0.2">
      <c r="B115" s="551"/>
      <c r="C115" s="517"/>
      <c r="D115" s="503" t="str">
        <f>IF(C115="","",VLOOKUP(C115,'REL LINHAS'!$B$2:$K$2205,5,0))</f>
        <v/>
      </c>
      <c r="E115" s="321" t="str">
        <f t="shared" si="11"/>
        <v/>
      </c>
      <c r="F115" s="493"/>
      <c r="G115" s="494"/>
      <c r="H115" s="649"/>
      <c r="I115" s="650"/>
      <c r="J115" s="651"/>
      <c r="K115" s="652"/>
      <c r="L115" s="653"/>
      <c r="M115" s="654"/>
      <c r="N115" s="652"/>
      <c r="O115" s="653"/>
      <c r="P115" s="653"/>
      <c r="Q115" s="654"/>
      <c r="R115" s="655"/>
      <c r="S115" s="656"/>
      <c r="T115" s="652"/>
      <c r="U115" s="654"/>
      <c r="V115" s="652"/>
      <c r="W115" s="653"/>
      <c r="X115" s="654"/>
      <c r="Y115" s="495"/>
      <c r="Z115" s="496"/>
      <c r="AA115" s="63"/>
      <c r="AB115" s="497" t="s">
        <v>2505</v>
      </c>
      <c r="AC115" s="63"/>
      <c r="AD115" s="497" t="s">
        <v>2506</v>
      </c>
      <c r="AE115" s="63"/>
      <c r="AF115" s="497" t="s">
        <v>2507</v>
      </c>
      <c r="AG115" s="63"/>
      <c r="AH115" s="498" t="s">
        <v>441</v>
      </c>
      <c r="AJ115" s="490" t="str">
        <f>IF($B115="","",IF($R115=AJ$5,(SUM($D115*VLOOKUP($C115,ESCALA!$B$3:$O$19,14,0)+10)*2)*27,""))</f>
        <v/>
      </c>
      <c r="AK115" s="490" t="str">
        <f>IF($B115="","",IF($R115=AK$5,(SUM($D115*VLOOKUP($C115,ESCALA!$B$3:$O$19,14,0)+10)*2)*27,""))</f>
        <v/>
      </c>
      <c r="AL115" s="490" t="str">
        <f>IF($B115="","",IF($R115=AL$5,(SUM($D115*VLOOKUP($C115,ESCALA!$B$3:$O$19,14,0)+10)*2)*27,""))</f>
        <v/>
      </c>
      <c r="AM115" s="490" t="str">
        <f>IF($B115="","",IF($R115=AM$5,(SUM($D115*VLOOKUP($C115,ESCALA!$B$3:$O$19,14,0)+10)*2)*27,""))</f>
        <v/>
      </c>
      <c r="AN115" s="490" t="str">
        <f>IF($B115="","",IF($R115=AN$5,(SUM($D115*VLOOKUP($C115,ESCALA!$B$3:$O$19,14,0)+10)*2)*27,""))</f>
        <v/>
      </c>
      <c r="AO115" s="490" t="str">
        <f>IF($B115="","",IF($R115=AO$5,(SUM($D115*VLOOKUP($C115,ESCALA!$B$3:$O$19,14,0)+10)*2)*27,""))</f>
        <v/>
      </c>
      <c r="AP115" s="490" t="str">
        <f>IF($B115="","",IF($R115=AP$5,(SUM($D115*VLOOKUP($C115,ESCALA!$B$3:$O$19,14,0)+10)*2)*27,""))</f>
        <v/>
      </c>
      <c r="AY115" s="368" t="str">
        <f>IF(PERFIL!E114="","",PERFIL!E114)</f>
        <v/>
      </c>
      <c r="AZ115" s="368" t="str">
        <f t="shared" si="9"/>
        <v/>
      </c>
      <c r="BA115" s="368" t="str">
        <f t="shared" si="10"/>
        <v/>
      </c>
      <c r="BZ115" s="367" t="s">
        <v>2693</v>
      </c>
      <c r="CA115" s="367" t="s">
        <v>1011</v>
      </c>
      <c r="CB115" s="367">
        <v>125</v>
      </c>
      <c r="CC115" s="368" t="s">
        <v>10</v>
      </c>
    </row>
    <row r="116" spans="2:81" ht="33.75" customHeight="1" x14ac:dyDescent="0.2">
      <c r="B116" s="551"/>
      <c r="C116" s="517"/>
      <c r="D116" s="503" t="str">
        <f>IF(C116="","",VLOOKUP(C116,'REL LINHAS'!$B$2:$K$2205,5,0))</f>
        <v/>
      </c>
      <c r="E116" s="321" t="str">
        <f t="shared" si="11"/>
        <v/>
      </c>
      <c r="F116" s="493"/>
      <c r="G116" s="494"/>
      <c r="H116" s="649"/>
      <c r="I116" s="650"/>
      <c r="J116" s="651"/>
      <c r="K116" s="652"/>
      <c r="L116" s="653"/>
      <c r="M116" s="654"/>
      <c r="N116" s="652"/>
      <c r="O116" s="653"/>
      <c r="P116" s="653"/>
      <c r="Q116" s="654"/>
      <c r="R116" s="655"/>
      <c r="S116" s="656"/>
      <c r="T116" s="652"/>
      <c r="U116" s="654"/>
      <c r="V116" s="652"/>
      <c r="W116" s="653"/>
      <c r="X116" s="654"/>
      <c r="Y116" s="495"/>
      <c r="Z116" s="496"/>
      <c r="AA116" s="63"/>
      <c r="AB116" s="497" t="s">
        <v>2505</v>
      </c>
      <c r="AC116" s="63"/>
      <c r="AD116" s="497" t="s">
        <v>2506</v>
      </c>
      <c r="AE116" s="63"/>
      <c r="AF116" s="497" t="s">
        <v>2507</v>
      </c>
      <c r="AG116" s="63"/>
      <c r="AH116" s="498" t="s">
        <v>441</v>
      </c>
      <c r="AJ116" s="490" t="str">
        <f>IF($B116="","",IF($R116=AJ$5,(SUM($D116*VLOOKUP($C116,ESCALA!$B$3:$O$19,14,0)+10)*2)*27,""))</f>
        <v/>
      </c>
      <c r="AK116" s="490" t="str">
        <f>IF($B116="","",IF($R116=AK$5,(SUM($D116*VLOOKUP($C116,ESCALA!$B$3:$O$19,14,0)+10)*2)*27,""))</f>
        <v/>
      </c>
      <c r="AL116" s="490" t="str">
        <f>IF($B116="","",IF($R116=AL$5,(SUM($D116*VLOOKUP($C116,ESCALA!$B$3:$O$19,14,0)+10)*2)*27,""))</f>
        <v/>
      </c>
      <c r="AM116" s="490" t="str">
        <f>IF($B116="","",IF($R116=AM$5,(SUM($D116*VLOOKUP($C116,ESCALA!$B$3:$O$19,14,0)+10)*2)*27,""))</f>
        <v/>
      </c>
      <c r="AN116" s="490" t="str">
        <f>IF($B116="","",IF($R116=AN$5,(SUM($D116*VLOOKUP($C116,ESCALA!$B$3:$O$19,14,0)+10)*2)*27,""))</f>
        <v/>
      </c>
      <c r="AO116" s="490" t="str">
        <f>IF($B116="","",IF($R116=AO$5,(SUM($D116*VLOOKUP($C116,ESCALA!$B$3:$O$19,14,0)+10)*2)*27,""))</f>
        <v/>
      </c>
      <c r="AP116" s="490" t="str">
        <f>IF($B116="","",IF($R116=AP$5,(SUM($D116*VLOOKUP($C116,ESCALA!$B$3:$O$19,14,0)+10)*2)*27,""))</f>
        <v/>
      </c>
      <c r="AY116" s="368" t="str">
        <f>IF(PERFIL!E115="","",PERFIL!E115)</f>
        <v/>
      </c>
      <c r="AZ116" s="368" t="str">
        <f t="shared" si="9"/>
        <v/>
      </c>
      <c r="BA116" s="368" t="str">
        <f t="shared" si="10"/>
        <v/>
      </c>
      <c r="BZ116" s="367" t="s">
        <v>2694</v>
      </c>
      <c r="CA116" s="367" t="s">
        <v>1012</v>
      </c>
      <c r="CB116" s="367">
        <v>150</v>
      </c>
      <c r="CC116" s="368" t="s">
        <v>10</v>
      </c>
    </row>
    <row r="117" spans="2:81" ht="33.75" customHeight="1" x14ac:dyDescent="0.2">
      <c r="B117" s="551"/>
      <c r="C117" s="517"/>
      <c r="D117" s="503" t="str">
        <f>IF(C117="","",VLOOKUP(C117,'REL LINHAS'!$B$2:$K$2205,5,0))</f>
        <v/>
      </c>
      <c r="E117" s="321" t="str">
        <f t="shared" si="11"/>
        <v/>
      </c>
      <c r="F117" s="493"/>
      <c r="G117" s="494"/>
      <c r="H117" s="649"/>
      <c r="I117" s="650"/>
      <c r="J117" s="651"/>
      <c r="K117" s="652"/>
      <c r="L117" s="653"/>
      <c r="M117" s="654"/>
      <c r="N117" s="652"/>
      <c r="O117" s="653"/>
      <c r="P117" s="653"/>
      <c r="Q117" s="654"/>
      <c r="R117" s="655"/>
      <c r="S117" s="656"/>
      <c r="T117" s="652"/>
      <c r="U117" s="654"/>
      <c r="V117" s="652"/>
      <c r="W117" s="653"/>
      <c r="X117" s="654"/>
      <c r="Y117" s="495"/>
      <c r="Z117" s="496"/>
      <c r="AA117" s="63"/>
      <c r="AB117" s="497" t="s">
        <v>2505</v>
      </c>
      <c r="AC117" s="63"/>
      <c r="AD117" s="497" t="s">
        <v>2506</v>
      </c>
      <c r="AE117" s="63"/>
      <c r="AF117" s="497" t="s">
        <v>2507</v>
      </c>
      <c r="AG117" s="63"/>
      <c r="AH117" s="498" t="s">
        <v>441</v>
      </c>
      <c r="AJ117" s="490" t="str">
        <f>IF($B117="","",IF($R117=AJ$5,(SUM($D117*VLOOKUP($C117,ESCALA!$B$3:$O$19,14,0)+10)*2)*27,""))</f>
        <v/>
      </c>
      <c r="AK117" s="490" t="str">
        <f>IF($B117="","",IF($R117=AK$5,(SUM($D117*VLOOKUP($C117,ESCALA!$B$3:$O$19,14,0)+10)*2)*27,""))</f>
        <v/>
      </c>
      <c r="AL117" s="490" t="str">
        <f>IF($B117="","",IF($R117=AL$5,(SUM($D117*VLOOKUP($C117,ESCALA!$B$3:$O$19,14,0)+10)*2)*27,""))</f>
        <v/>
      </c>
      <c r="AM117" s="490" t="str">
        <f>IF($B117="","",IF($R117=AM$5,(SUM($D117*VLOOKUP($C117,ESCALA!$B$3:$O$19,14,0)+10)*2)*27,""))</f>
        <v/>
      </c>
      <c r="AN117" s="490" t="str">
        <f>IF($B117="","",IF($R117=AN$5,(SUM($D117*VLOOKUP($C117,ESCALA!$B$3:$O$19,14,0)+10)*2)*27,""))</f>
        <v/>
      </c>
      <c r="AO117" s="490" t="str">
        <f>IF($B117="","",IF($R117=AO$5,(SUM($D117*VLOOKUP($C117,ESCALA!$B$3:$O$19,14,0)+10)*2)*27,""))</f>
        <v/>
      </c>
      <c r="AP117" s="490" t="str">
        <f>IF($B117="","",IF($R117=AP$5,(SUM($D117*VLOOKUP($C117,ESCALA!$B$3:$O$19,14,0)+10)*2)*27,""))</f>
        <v/>
      </c>
      <c r="AY117" s="368" t="str">
        <f>IF(PERFIL!E116="","",PERFIL!E116)</f>
        <v/>
      </c>
      <c r="AZ117" s="368" t="str">
        <f t="shared" si="9"/>
        <v/>
      </c>
      <c r="BA117" s="368" t="str">
        <f t="shared" si="10"/>
        <v/>
      </c>
      <c r="BZ117" s="367" t="s">
        <v>2679</v>
      </c>
      <c r="CA117" s="367" t="s">
        <v>1013</v>
      </c>
      <c r="CB117" s="367">
        <v>125</v>
      </c>
      <c r="CC117" s="368" t="s">
        <v>10</v>
      </c>
    </row>
    <row r="118" spans="2:81" ht="33.75" customHeight="1" x14ac:dyDescent="0.2">
      <c r="B118" s="551"/>
      <c r="C118" s="517"/>
      <c r="D118" s="503" t="str">
        <f>IF(C118="","",VLOOKUP(C118,'REL LINHAS'!$B$2:$K$2205,5,0))</f>
        <v/>
      </c>
      <c r="E118" s="321" t="str">
        <f t="shared" si="11"/>
        <v/>
      </c>
      <c r="F118" s="493"/>
      <c r="G118" s="494"/>
      <c r="H118" s="649"/>
      <c r="I118" s="650"/>
      <c r="J118" s="651"/>
      <c r="K118" s="652"/>
      <c r="L118" s="653"/>
      <c r="M118" s="654"/>
      <c r="N118" s="652"/>
      <c r="O118" s="653"/>
      <c r="P118" s="653"/>
      <c r="Q118" s="654"/>
      <c r="R118" s="655"/>
      <c r="S118" s="656"/>
      <c r="T118" s="652"/>
      <c r="U118" s="654"/>
      <c r="V118" s="652"/>
      <c r="W118" s="653"/>
      <c r="X118" s="654"/>
      <c r="Y118" s="495"/>
      <c r="Z118" s="496"/>
      <c r="AA118" s="63"/>
      <c r="AB118" s="497" t="s">
        <v>2505</v>
      </c>
      <c r="AC118" s="63"/>
      <c r="AD118" s="497" t="s">
        <v>2506</v>
      </c>
      <c r="AE118" s="63"/>
      <c r="AF118" s="497" t="s">
        <v>2507</v>
      </c>
      <c r="AG118" s="63"/>
      <c r="AH118" s="498" t="s">
        <v>441</v>
      </c>
      <c r="AJ118" s="490" t="str">
        <f>IF($B118="","",IF($R118=AJ$5,(SUM($D118*VLOOKUP($C118,ESCALA!$B$3:$O$19,14,0)+10)*2)*27,""))</f>
        <v/>
      </c>
      <c r="AK118" s="490" t="str">
        <f>IF($B118="","",IF($R118=AK$5,(SUM($D118*VLOOKUP($C118,ESCALA!$B$3:$O$19,14,0)+10)*2)*27,""))</f>
        <v/>
      </c>
      <c r="AL118" s="490" t="str">
        <f>IF($B118="","",IF($R118=AL$5,(SUM($D118*VLOOKUP($C118,ESCALA!$B$3:$O$19,14,0)+10)*2)*27,""))</f>
        <v/>
      </c>
      <c r="AM118" s="490" t="str">
        <f>IF($B118="","",IF($R118=AM$5,(SUM($D118*VLOOKUP($C118,ESCALA!$B$3:$O$19,14,0)+10)*2)*27,""))</f>
        <v/>
      </c>
      <c r="AN118" s="490" t="str">
        <f>IF($B118="","",IF($R118=AN$5,(SUM($D118*VLOOKUP($C118,ESCALA!$B$3:$O$19,14,0)+10)*2)*27,""))</f>
        <v/>
      </c>
      <c r="AO118" s="490" t="str">
        <f>IF($B118="","",IF($R118=AO$5,(SUM($D118*VLOOKUP($C118,ESCALA!$B$3:$O$19,14,0)+10)*2)*27,""))</f>
        <v/>
      </c>
      <c r="AP118" s="490" t="str">
        <f>IF($B118="","",IF($R118=AP$5,(SUM($D118*VLOOKUP($C118,ESCALA!$B$3:$O$19,14,0)+10)*2)*27,""))</f>
        <v/>
      </c>
      <c r="AY118" s="368" t="str">
        <f>IF(PERFIL!E117="","",PERFIL!E117)</f>
        <v/>
      </c>
      <c r="AZ118" s="368" t="str">
        <f t="shared" si="9"/>
        <v/>
      </c>
      <c r="BA118" s="368" t="str">
        <f t="shared" si="10"/>
        <v/>
      </c>
      <c r="BY118" s="367" t="s">
        <v>573</v>
      </c>
      <c r="BZ118" s="367" t="s">
        <v>2652</v>
      </c>
      <c r="CA118" s="367" t="s">
        <v>1014</v>
      </c>
      <c r="CB118" s="367">
        <v>100</v>
      </c>
      <c r="CC118" s="368" t="s">
        <v>220</v>
      </c>
    </row>
    <row r="119" spans="2:81" ht="33.75" customHeight="1" x14ac:dyDescent="0.2">
      <c r="B119" s="551"/>
      <c r="C119" s="517"/>
      <c r="D119" s="503" t="str">
        <f>IF(C119="","",VLOOKUP(C119,'REL LINHAS'!$B$2:$K$2205,5,0))</f>
        <v/>
      </c>
      <c r="E119" s="321" t="str">
        <f t="shared" si="11"/>
        <v/>
      </c>
      <c r="F119" s="493"/>
      <c r="G119" s="494"/>
      <c r="H119" s="649"/>
      <c r="I119" s="650"/>
      <c r="J119" s="651"/>
      <c r="K119" s="652"/>
      <c r="L119" s="653"/>
      <c r="M119" s="654"/>
      <c r="N119" s="652"/>
      <c r="O119" s="653"/>
      <c r="P119" s="653"/>
      <c r="Q119" s="654"/>
      <c r="R119" s="655"/>
      <c r="S119" s="656"/>
      <c r="T119" s="652"/>
      <c r="U119" s="654"/>
      <c r="V119" s="652"/>
      <c r="W119" s="653"/>
      <c r="X119" s="654"/>
      <c r="Y119" s="495"/>
      <c r="Z119" s="496"/>
      <c r="AA119" s="63"/>
      <c r="AB119" s="497" t="s">
        <v>2505</v>
      </c>
      <c r="AC119" s="63"/>
      <c r="AD119" s="497" t="s">
        <v>2506</v>
      </c>
      <c r="AE119" s="63"/>
      <c r="AF119" s="497" t="s">
        <v>2507</v>
      </c>
      <c r="AG119" s="63"/>
      <c r="AH119" s="498" t="s">
        <v>441</v>
      </c>
      <c r="AJ119" s="490" t="str">
        <f>IF($B119="","",IF($R119=AJ$5,(SUM($D119*VLOOKUP($C119,ESCALA!$B$3:$O$19,14,0)+10)*2)*27,""))</f>
        <v/>
      </c>
      <c r="AK119" s="490" t="str">
        <f>IF($B119="","",IF($R119=AK$5,(SUM($D119*VLOOKUP($C119,ESCALA!$B$3:$O$19,14,0)+10)*2)*27,""))</f>
        <v/>
      </c>
      <c r="AL119" s="490" t="str">
        <f>IF($B119="","",IF($R119=AL$5,(SUM($D119*VLOOKUP($C119,ESCALA!$B$3:$O$19,14,0)+10)*2)*27,""))</f>
        <v/>
      </c>
      <c r="AM119" s="490" t="str">
        <f>IF($B119="","",IF($R119=AM$5,(SUM($D119*VLOOKUP($C119,ESCALA!$B$3:$O$19,14,0)+10)*2)*27,""))</f>
        <v/>
      </c>
      <c r="AN119" s="490" t="str">
        <f>IF($B119="","",IF($R119=AN$5,(SUM($D119*VLOOKUP($C119,ESCALA!$B$3:$O$19,14,0)+10)*2)*27,""))</f>
        <v/>
      </c>
      <c r="AO119" s="490" t="str">
        <f>IF($B119="","",IF($R119=AO$5,(SUM($D119*VLOOKUP($C119,ESCALA!$B$3:$O$19,14,0)+10)*2)*27,""))</f>
        <v/>
      </c>
      <c r="AP119" s="490" t="str">
        <f>IF($B119="","",IF($R119=AP$5,(SUM($D119*VLOOKUP($C119,ESCALA!$B$3:$O$19,14,0)+10)*2)*27,""))</f>
        <v/>
      </c>
      <c r="AY119" s="368" t="str">
        <f>IF(PERFIL!E118="","",PERFIL!E118)</f>
        <v/>
      </c>
      <c r="AZ119" s="368" t="str">
        <f t="shared" si="9"/>
        <v/>
      </c>
      <c r="BA119" s="368" t="str">
        <f t="shared" si="10"/>
        <v/>
      </c>
      <c r="BZ119" s="367" t="s">
        <v>2680</v>
      </c>
      <c r="CA119" s="367" t="s">
        <v>1015</v>
      </c>
      <c r="CB119" s="367">
        <v>100</v>
      </c>
      <c r="CC119" s="368" t="s">
        <v>10</v>
      </c>
    </row>
    <row r="120" spans="2:81" ht="33.75" customHeight="1" x14ac:dyDescent="0.2">
      <c r="B120" s="551"/>
      <c r="C120" s="517"/>
      <c r="D120" s="503" t="str">
        <f>IF(C120="","",VLOOKUP(C120,'REL LINHAS'!$B$2:$K$2205,5,0))</f>
        <v/>
      </c>
      <c r="E120" s="321" t="str">
        <f t="shared" si="11"/>
        <v/>
      </c>
      <c r="F120" s="493"/>
      <c r="G120" s="494"/>
      <c r="H120" s="649"/>
      <c r="I120" s="650"/>
      <c r="J120" s="651"/>
      <c r="K120" s="652"/>
      <c r="L120" s="653"/>
      <c r="M120" s="654"/>
      <c r="N120" s="652"/>
      <c r="O120" s="653"/>
      <c r="P120" s="653"/>
      <c r="Q120" s="654"/>
      <c r="R120" s="655"/>
      <c r="S120" s="656"/>
      <c r="T120" s="652"/>
      <c r="U120" s="654"/>
      <c r="V120" s="652"/>
      <c r="W120" s="653"/>
      <c r="X120" s="654"/>
      <c r="Y120" s="495"/>
      <c r="Z120" s="496"/>
      <c r="AA120" s="63"/>
      <c r="AB120" s="497" t="s">
        <v>2505</v>
      </c>
      <c r="AC120" s="63"/>
      <c r="AD120" s="497" t="s">
        <v>2506</v>
      </c>
      <c r="AE120" s="63"/>
      <c r="AF120" s="497" t="s">
        <v>2507</v>
      </c>
      <c r="AG120" s="63"/>
      <c r="AH120" s="498" t="s">
        <v>441</v>
      </c>
      <c r="AJ120" s="490" t="str">
        <f>IF($B120="","",IF($R120=AJ$5,(SUM($D120*VLOOKUP($C120,ESCALA!$B$3:$O$19,14,0)+10)*2)*27,""))</f>
        <v/>
      </c>
      <c r="AK120" s="490" t="str">
        <f>IF($B120="","",IF($R120=AK$5,(SUM($D120*VLOOKUP($C120,ESCALA!$B$3:$O$19,14,0)+10)*2)*27,""))</f>
        <v/>
      </c>
      <c r="AL120" s="490" t="str">
        <f>IF($B120="","",IF($R120=AL$5,(SUM($D120*VLOOKUP($C120,ESCALA!$B$3:$O$19,14,0)+10)*2)*27,""))</f>
        <v/>
      </c>
      <c r="AM120" s="490" t="str">
        <f>IF($B120="","",IF($R120=AM$5,(SUM($D120*VLOOKUP($C120,ESCALA!$B$3:$O$19,14,0)+10)*2)*27,""))</f>
        <v/>
      </c>
      <c r="AN120" s="490" t="str">
        <f>IF($B120="","",IF($R120=AN$5,(SUM($D120*VLOOKUP($C120,ESCALA!$B$3:$O$19,14,0)+10)*2)*27,""))</f>
        <v/>
      </c>
      <c r="AO120" s="490" t="str">
        <f>IF($B120="","",IF($R120=AO$5,(SUM($D120*VLOOKUP($C120,ESCALA!$B$3:$O$19,14,0)+10)*2)*27,""))</f>
        <v/>
      </c>
      <c r="AP120" s="490" t="str">
        <f>IF($B120="","",IF($R120=AP$5,(SUM($D120*VLOOKUP($C120,ESCALA!$B$3:$O$19,14,0)+10)*2)*27,""))</f>
        <v/>
      </c>
      <c r="AY120" s="368" t="str">
        <f>IF(PERFIL!E119="","",PERFIL!E119)</f>
        <v/>
      </c>
      <c r="AZ120" s="368" t="str">
        <f t="shared" ref="AZ120:AZ151" si="12">IF($AY120="","",VLOOKUP($AY120,$BI$5:$BK$13,2,0))</f>
        <v/>
      </c>
      <c r="BA120" s="368" t="str">
        <f t="shared" ref="BA120:BA151" si="13">IF($AY120="","",VLOOKUP($AY120,$BI$5:$BK$13,3,0))</f>
        <v/>
      </c>
      <c r="BY120" s="367" t="s">
        <v>498</v>
      </c>
      <c r="BZ120" s="367" t="s">
        <v>2719</v>
      </c>
      <c r="CA120" s="367" t="s">
        <v>1016</v>
      </c>
      <c r="CB120" s="367">
        <v>150</v>
      </c>
      <c r="CC120" s="368" t="s">
        <v>10</v>
      </c>
    </row>
    <row r="121" spans="2:81" ht="33.75" customHeight="1" x14ac:dyDescent="0.2">
      <c r="B121" s="551"/>
      <c r="C121" s="517"/>
      <c r="D121" s="503" t="str">
        <f>IF(C121="","",VLOOKUP(C121,'REL LINHAS'!$B$2:$K$2205,5,0))</f>
        <v/>
      </c>
      <c r="E121" s="321" t="str">
        <f t="shared" si="11"/>
        <v/>
      </c>
      <c r="F121" s="493"/>
      <c r="G121" s="494"/>
      <c r="H121" s="649"/>
      <c r="I121" s="650"/>
      <c r="J121" s="651"/>
      <c r="K121" s="652"/>
      <c r="L121" s="653"/>
      <c r="M121" s="654"/>
      <c r="N121" s="652"/>
      <c r="O121" s="653"/>
      <c r="P121" s="653"/>
      <c r="Q121" s="654"/>
      <c r="R121" s="655"/>
      <c r="S121" s="656"/>
      <c r="T121" s="652"/>
      <c r="U121" s="654"/>
      <c r="V121" s="652"/>
      <c r="W121" s="653"/>
      <c r="X121" s="654"/>
      <c r="Y121" s="495"/>
      <c r="Z121" s="496"/>
      <c r="AA121" s="63"/>
      <c r="AB121" s="497" t="s">
        <v>2505</v>
      </c>
      <c r="AC121" s="63"/>
      <c r="AD121" s="497" t="s">
        <v>2506</v>
      </c>
      <c r="AE121" s="63"/>
      <c r="AF121" s="497" t="s">
        <v>2507</v>
      </c>
      <c r="AG121" s="63"/>
      <c r="AH121" s="498" t="s">
        <v>441</v>
      </c>
      <c r="AJ121" s="490" t="str">
        <f>IF($B121="","",IF($R121=AJ$5,(SUM($D121*VLOOKUP($C121,ESCALA!$B$3:$O$19,14,0)+10)*2)*27,""))</f>
        <v/>
      </c>
      <c r="AK121" s="490" t="str">
        <f>IF($B121="","",IF($R121=AK$5,(SUM($D121*VLOOKUP($C121,ESCALA!$B$3:$O$19,14,0)+10)*2)*27,""))</f>
        <v/>
      </c>
      <c r="AL121" s="490" t="str">
        <f>IF($B121="","",IF($R121=AL$5,(SUM($D121*VLOOKUP($C121,ESCALA!$B$3:$O$19,14,0)+10)*2)*27,""))</f>
        <v/>
      </c>
      <c r="AM121" s="490" t="str">
        <f>IF($B121="","",IF($R121=AM$5,(SUM($D121*VLOOKUP($C121,ESCALA!$B$3:$O$19,14,0)+10)*2)*27,""))</f>
        <v/>
      </c>
      <c r="AN121" s="490" t="str">
        <f>IF($B121="","",IF($R121=AN$5,(SUM($D121*VLOOKUP($C121,ESCALA!$B$3:$O$19,14,0)+10)*2)*27,""))</f>
        <v/>
      </c>
      <c r="AO121" s="490" t="str">
        <f>IF($B121="","",IF($R121=AO$5,(SUM($D121*VLOOKUP($C121,ESCALA!$B$3:$O$19,14,0)+10)*2)*27,""))</f>
        <v/>
      </c>
      <c r="AP121" s="490" t="str">
        <f>IF($B121="","",IF($R121=AP$5,(SUM($D121*VLOOKUP($C121,ESCALA!$B$3:$O$19,14,0)+10)*2)*27,""))</f>
        <v/>
      </c>
      <c r="AY121" s="368" t="str">
        <f>IF(PERFIL!E120="","",PERFIL!E120)</f>
        <v/>
      </c>
      <c r="AZ121" s="368" t="str">
        <f t="shared" si="12"/>
        <v/>
      </c>
      <c r="BA121" s="368" t="str">
        <f t="shared" si="13"/>
        <v/>
      </c>
      <c r="BY121" s="367" t="s">
        <v>498</v>
      </c>
      <c r="BZ121" s="367" t="s">
        <v>2722</v>
      </c>
      <c r="CA121" s="367" t="s">
        <v>1017</v>
      </c>
      <c r="CB121" s="367">
        <v>125</v>
      </c>
      <c r="CC121" s="368" t="s">
        <v>10</v>
      </c>
    </row>
    <row r="122" spans="2:81" ht="33.75" customHeight="1" x14ac:dyDescent="0.2">
      <c r="B122" s="551"/>
      <c r="C122" s="517"/>
      <c r="D122" s="503" t="str">
        <f>IF(C122="","",VLOOKUP(C122,'REL LINHAS'!$B$2:$K$2205,5,0))</f>
        <v/>
      </c>
      <c r="E122" s="321" t="str">
        <f t="shared" si="11"/>
        <v/>
      </c>
      <c r="F122" s="493"/>
      <c r="G122" s="494"/>
      <c r="H122" s="649"/>
      <c r="I122" s="650"/>
      <c r="J122" s="651"/>
      <c r="K122" s="652"/>
      <c r="L122" s="653"/>
      <c r="M122" s="654"/>
      <c r="N122" s="652"/>
      <c r="O122" s="653"/>
      <c r="P122" s="653"/>
      <c r="Q122" s="654"/>
      <c r="R122" s="655"/>
      <c r="S122" s="656"/>
      <c r="T122" s="652"/>
      <c r="U122" s="654"/>
      <c r="V122" s="652"/>
      <c r="W122" s="653"/>
      <c r="X122" s="654"/>
      <c r="Y122" s="495"/>
      <c r="Z122" s="496"/>
      <c r="AA122" s="63"/>
      <c r="AB122" s="497" t="s">
        <v>2505</v>
      </c>
      <c r="AC122" s="63"/>
      <c r="AD122" s="497" t="s">
        <v>2506</v>
      </c>
      <c r="AE122" s="63"/>
      <c r="AF122" s="497" t="s">
        <v>2507</v>
      </c>
      <c r="AG122" s="63"/>
      <c r="AH122" s="498" t="s">
        <v>441</v>
      </c>
      <c r="AJ122" s="490" t="str">
        <f>IF($B122="","",IF($R122=AJ$5,(SUM($D122*VLOOKUP($C122,ESCALA!$B$3:$O$19,14,0)+10)*2)*27,""))</f>
        <v/>
      </c>
      <c r="AK122" s="490" t="str">
        <f>IF($B122="","",IF($R122=AK$5,(SUM($D122*VLOOKUP($C122,ESCALA!$B$3:$O$19,14,0)+10)*2)*27,""))</f>
        <v/>
      </c>
      <c r="AL122" s="490" t="str">
        <f>IF($B122="","",IF($R122=AL$5,(SUM($D122*VLOOKUP($C122,ESCALA!$B$3:$O$19,14,0)+10)*2)*27,""))</f>
        <v/>
      </c>
      <c r="AM122" s="490" t="str">
        <f>IF($B122="","",IF($R122=AM$5,(SUM($D122*VLOOKUP($C122,ESCALA!$B$3:$O$19,14,0)+10)*2)*27,""))</f>
        <v/>
      </c>
      <c r="AN122" s="490" t="str">
        <f>IF($B122="","",IF($R122=AN$5,(SUM($D122*VLOOKUP($C122,ESCALA!$B$3:$O$19,14,0)+10)*2)*27,""))</f>
        <v/>
      </c>
      <c r="AO122" s="490" t="str">
        <f>IF($B122="","",IF($R122=AO$5,(SUM($D122*VLOOKUP($C122,ESCALA!$B$3:$O$19,14,0)+10)*2)*27,""))</f>
        <v/>
      </c>
      <c r="AP122" s="490" t="str">
        <f>IF($B122="","",IF($R122=AP$5,(SUM($D122*VLOOKUP($C122,ESCALA!$B$3:$O$19,14,0)+10)*2)*27,""))</f>
        <v/>
      </c>
      <c r="AY122" s="368" t="str">
        <f>IF(PERFIL!E121="","",PERFIL!E121)</f>
        <v/>
      </c>
      <c r="AZ122" s="368" t="str">
        <f t="shared" si="12"/>
        <v/>
      </c>
      <c r="BA122" s="368" t="str">
        <f t="shared" si="13"/>
        <v/>
      </c>
    </row>
    <row r="123" spans="2:81" ht="33.75" customHeight="1" x14ac:dyDescent="0.2">
      <c r="B123" s="551"/>
      <c r="C123" s="517"/>
      <c r="D123" s="503" t="str">
        <f>IF(C123="","",VLOOKUP(C123,'REL LINHAS'!$B$2:$K$2205,5,0))</f>
        <v/>
      </c>
      <c r="E123" s="321" t="str">
        <f t="shared" si="11"/>
        <v/>
      </c>
      <c r="F123" s="493"/>
      <c r="G123" s="494"/>
      <c r="H123" s="649"/>
      <c r="I123" s="650"/>
      <c r="J123" s="651"/>
      <c r="K123" s="652"/>
      <c r="L123" s="653"/>
      <c r="M123" s="654"/>
      <c r="N123" s="652"/>
      <c r="O123" s="653"/>
      <c r="P123" s="653"/>
      <c r="Q123" s="654"/>
      <c r="R123" s="655"/>
      <c r="S123" s="656"/>
      <c r="T123" s="652"/>
      <c r="U123" s="654"/>
      <c r="V123" s="652"/>
      <c r="W123" s="653"/>
      <c r="X123" s="654"/>
      <c r="Y123" s="495"/>
      <c r="Z123" s="496"/>
      <c r="AA123" s="63"/>
      <c r="AB123" s="497" t="s">
        <v>2505</v>
      </c>
      <c r="AC123" s="63"/>
      <c r="AD123" s="497" t="s">
        <v>2506</v>
      </c>
      <c r="AE123" s="63"/>
      <c r="AF123" s="497" t="s">
        <v>2507</v>
      </c>
      <c r="AG123" s="63"/>
      <c r="AH123" s="498" t="s">
        <v>441</v>
      </c>
      <c r="AJ123" s="490" t="str">
        <f>IF($B123="","",IF($R123=AJ$5,(SUM($D123*VLOOKUP($C123,ESCALA!$B$3:$O$19,14,0)+10)*2)*27,""))</f>
        <v/>
      </c>
      <c r="AK123" s="490" t="str">
        <f>IF($B123="","",IF($R123=AK$5,(SUM($D123*VLOOKUP($C123,ESCALA!$B$3:$O$19,14,0)+10)*2)*27,""))</f>
        <v/>
      </c>
      <c r="AL123" s="490" t="str">
        <f>IF($B123="","",IF($R123=AL$5,(SUM($D123*VLOOKUP($C123,ESCALA!$B$3:$O$19,14,0)+10)*2)*27,""))</f>
        <v/>
      </c>
      <c r="AM123" s="490" t="str">
        <f>IF($B123="","",IF($R123=AM$5,(SUM($D123*VLOOKUP($C123,ESCALA!$B$3:$O$19,14,0)+10)*2)*27,""))</f>
        <v/>
      </c>
      <c r="AN123" s="490" t="str">
        <f>IF($B123="","",IF($R123=AN$5,(SUM($D123*VLOOKUP($C123,ESCALA!$B$3:$O$19,14,0)+10)*2)*27,""))</f>
        <v/>
      </c>
      <c r="AO123" s="490" t="str">
        <f>IF($B123="","",IF($R123=AO$5,(SUM($D123*VLOOKUP($C123,ESCALA!$B$3:$O$19,14,0)+10)*2)*27,""))</f>
        <v/>
      </c>
      <c r="AP123" s="490" t="str">
        <f>IF($B123="","",IF($R123=AP$5,(SUM($D123*VLOOKUP($C123,ESCALA!$B$3:$O$19,14,0)+10)*2)*27,""))</f>
        <v/>
      </c>
      <c r="AY123" s="368" t="str">
        <f>IF(PERFIL!E122="","",PERFIL!E122)</f>
        <v/>
      </c>
      <c r="AZ123" s="368" t="str">
        <f t="shared" si="12"/>
        <v/>
      </c>
      <c r="BA123" s="368" t="str">
        <f t="shared" si="13"/>
        <v/>
      </c>
    </row>
    <row r="124" spans="2:81" ht="33.75" customHeight="1" x14ac:dyDescent="0.2">
      <c r="B124" s="551"/>
      <c r="C124" s="517"/>
      <c r="D124" s="503" t="str">
        <f>IF(C124="","",VLOOKUP(C124,'REL LINHAS'!$B$2:$K$2205,5,0))</f>
        <v/>
      </c>
      <c r="E124" s="321" t="str">
        <f t="shared" si="11"/>
        <v/>
      </c>
      <c r="F124" s="493"/>
      <c r="G124" s="494"/>
      <c r="H124" s="649"/>
      <c r="I124" s="650"/>
      <c r="J124" s="651"/>
      <c r="K124" s="652"/>
      <c r="L124" s="653"/>
      <c r="M124" s="654"/>
      <c r="N124" s="652"/>
      <c r="O124" s="653"/>
      <c r="P124" s="653"/>
      <c r="Q124" s="654"/>
      <c r="R124" s="655"/>
      <c r="S124" s="656"/>
      <c r="T124" s="652"/>
      <c r="U124" s="654"/>
      <c r="V124" s="652"/>
      <c r="W124" s="653"/>
      <c r="X124" s="654"/>
      <c r="Y124" s="495"/>
      <c r="Z124" s="496"/>
      <c r="AA124" s="63"/>
      <c r="AB124" s="497" t="s">
        <v>2505</v>
      </c>
      <c r="AC124" s="63"/>
      <c r="AD124" s="497" t="s">
        <v>2506</v>
      </c>
      <c r="AE124" s="63"/>
      <c r="AF124" s="497" t="s">
        <v>2507</v>
      </c>
      <c r="AG124" s="63"/>
      <c r="AH124" s="498" t="s">
        <v>441</v>
      </c>
      <c r="AJ124" s="490" t="str">
        <f>IF($B124="","",IF($R124=AJ$5,(SUM($D124*VLOOKUP($C124,ESCALA!$B$3:$O$19,14,0)+10)*2)*27,""))</f>
        <v/>
      </c>
      <c r="AK124" s="490" t="str">
        <f>IF($B124="","",IF($R124=AK$5,(SUM($D124*VLOOKUP($C124,ESCALA!$B$3:$O$19,14,0)+10)*2)*27,""))</f>
        <v/>
      </c>
      <c r="AL124" s="490" t="str">
        <f>IF($B124="","",IF($R124=AL$5,(SUM($D124*VLOOKUP($C124,ESCALA!$B$3:$O$19,14,0)+10)*2)*27,""))</f>
        <v/>
      </c>
      <c r="AM124" s="490" t="str">
        <f>IF($B124="","",IF($R124=AM$5,(SUM($D124*VLOOKUP($C124,ESCALA!$B$3:$O$19,14,0)+10)*2)*27,""))</f>
        <v/>
      </c>
      <c r="AN124" s="490" t="str">
        <f>IF($B124="","",IF($R124=AN$5,(SUM($D124*VLOOKUP($C124,ESCALA!$B$3:$O$19,14,0)+10)*2)*27,""))</f>
        <v/>
      </c>
      <c r="AO124" s="490" t="str">
        <f>IF($B124="","",IF($R124=AO$5,(SUM($D124*VLOOKUP($C124,ESCALA!$B$3:$O$19,14,0)+10)*2)*27,""))</f>
        <v/>
      </c>
      <c r="AP124" s="490" t="str">
        <f>IF($B124="","",IF($R124=AP$5,(SUM($D124*VLOOKUP($C124,ESCALA!$B$3:$O$19,14,0)+10)*2)*27,""))</f>
        <v/>
      </c>
      <c r="AY124" s="368" t="str">
        <f>IF(PERFIL!E123="","",PERFIL!E123)</f>
        <v/>
      </c>
      <c r="AZ124" s="368" t="str">
        <f t="shared" si="12"/>
        <v/>
      </c>
      <c r="BA124" s="368" t="str">
        <f t="shared" si="13"/>
        <v/>
      </c>
    </row>
    <row r="125" spans="2:81" ht="33.75" customHeight="1" x14ac:dyDescent="0.2">
      <c r="B125" s="551"/>
      <c r="C125" s="517"/>
      <c r="D125" s="503" t="str">
        <f>IF(C125="","",VLOOKUP(C125,'REL LINHAS'!$B$2:$K$2205,5,0))</f>
        <v/>
      </c>
      <c r="E125" s="321" t="str">
        <f t="shared" si="11"/>
        <v/>
      </c>
      <c r="F125" s="493"/>
      <c r="G125" s="494"/>
      <c r="H125" s="649"/>
      <c r="I125" s="650"/>
      <c r="J125" s="651"/>
      <c r="K125" s="652"/>
      <c r="L125" s="653"/>
      <c r="M125" s="654"/>
      <c r="N125" s="652"/>
      <c r="O125" s="653"/>
      <c r="P125" s="653"/>
      <c r="Q125" s="654"/>
      <c r="R125" s="655"/>
      <c r="S125" s="656"/>
      <c r="T125" s="652"/>
      <c r="U125" s="654"/>
      <c r="V125" s="652"/>
      <c r="W125" s="653"/>
      <c r="X125" s="654"/>
      <c r="Y125" s="495"/>
      <c r="Z125" s="496"/>
      <c r="AA125" s="63"/>
      <c r="AB125" s="497" t="s">
        <v>2505</v>
      </c>
      <c r="AC125" s="63"/>
      <c r="AD125" s="497" t="s">
        <v>2506</v>
      </c>
      <c r="AE125" s="63"/>
      <c r="AF125" s="497" t="s">
        <v>2507</v>
      </c>
      <c r="AG125" s="63"/>
      <c r="AH125" s="498" t="s">
        <v>441</v>
      </c>
      <c r="AJ125" s="490" t="str">
        <f>IF($B125="","",IF($R125=AJ$5,(SUM($D125*VLOOKUP($C125,ESCALA!$B$3:$O$19,14,0)+10)*2)*27,""))</f>
        <v/>
      </c>
      <c r="AK125" s="490" t="str">
        <f>IF($B125="","",IF($R125=AK$5,(SUM($D125*VLOOKUP($C125,ESCALA!$B$3:$O$19,14,0)+10)*2)*27,""))</f>
        <v/>
      </c>
      <c r="AL125" s="490" t="str">
        <f>IF($B125="","",IF($R125=AL$5,(SUM($D125*VLOOKUP($C125,ESCALA!$B$3:$O$19,14,0)+10)*2)*27,""))</f>
        <v/>
      </c>
      <c r="AM125" s="490" t="str">
        <f>IF($B125="","",IF($R125=AM$5,(SUM($D125*VLOOKUP($C125,ESCALA!$B$3:$O$19,14,0)+10)*2)*27,""))</f>
        <v/>
      </c>
      <c r="AN125" s="490" t="str">
        <f>IF($B125="","",IF($R125=AN$5,(SUM($D125*VLOOKUP($C125,ESCALA!$B$3:$O$19,14,0)+10)*2)*27,""))</f>
        <v/>
      </c>
      <c r="AO125" s="490" t="str">
        <f>IF($B125="","",IF($R125=AO$5,(SUM($D125*VLOOKUP($C125,ESCALA!$B$3:$O$19,14,0)+10)*2)*27,""))</f>
        <v/>
      </c>
      <c r="AP125" s="490" t="str">
        <f>IF($B125="","",IF($R125=AP$5,(SUM($D125*VLOOKUP($C125,ESCALA!$B$3:$O$19,14,0)+10)*2)*27,""))</f>
        <v/>
      </c>
      <c r="AY125" s="368" t="str">
        <f>IF(PERFIL!E124="","",PERFIL!E124)</f>
        <v/>
      </c>
      <c r="AZ125" s="368" t="str">
        <f t="shared" si="12"/>
        <v/>
      </c>
      <c r="BA125" s="368" t="str">
        <f t="shared" si="13"/>
        <v/>
      </c>
    </row>
    <row r="126" spans="2:81" ht="33.75" customHeight="1" x14ac:dyDescent="0.2">
      <c r="B126" s="551"/>
      <c r="C126" s="517"/>
      <c r="D126" s="503" t="str">
        <f>IF(C126="","",VLOOKUP(C126,'REL LINHAS'!$B$2:$K$2205,5,0))</f>
        <v/>
      </c>
      <c r="E126" s="321" t="str">
        <f t="shared" si="11"/>
        <v/>
      </c>
      <c r="F126" s="493"/>
      <c r="G126" s="494"/>
      <c r="H126" s="649"/>
      <c r="I126" s="650"/>
      <c r="J126" s="651"/>
      <c r="K126" s="652"/>
      <c r="L126" s="653"/>
      <c r="M126" s="654"/>
      <c r="N126" s="652"/>
      <c r="O126" s="653"/>
      <c r="P126" s="653"/>
      <c r="Q126" s="654"/>
      <c r="R126" s="655"/>
      <c r="S126" s="656"/>
      <c r="T126" s="652"/>
      <c r="U126" s="654"/>
      <c r="V126" s="652"/>
      <c r="W126" s="653"/>
      <c r="X126" s="654"/>
      <c r="Y126" s="495"/>
      <c r="Z126" s="496"/>
      <c r="AA126" s="63"/>
      <c r="AB126" s="497" t="s">
        <v>2505</v>
      </c>
      <c r="AC126" s="63"/>
      <c r="AD126" s="497" t="s">
        <v>2506</v>
      </c>
      <c r="AE126" s="63"/>
      <c r="AF126" s="497" t="s">
        <v>2507</v>
      </c>
      <c r="AG126" s="63"/>
      <c r="AH126" s="498" t="s">
        <v>441</v>
      </c>
      <c r="AJ126" s="490" t="str">
        <f>IF($B126="","",IF($R126=AJ$5,(SUM($D126*VLOOKUP($C126,ESCALA!$B$3:$O$19,14,0)+10)*2)*27,""))</f>
        <v/>
      </c>
      <c r="AK126" s="490" t="str">
        <f>IF($B126="","",IF($R126=AK$5,(SUM($D126*VLOOKUP($C126,ESCALA!$B$3:$O$19,14,0)+10)*2)*27,""))</f>
        <v/>
      </c>
      <c r="AL126" s="490" t="str">
        <f>IF($B126="","",IF($R126=AL$5,(SUM($D126*VLOOKUP($C126,ESCALA!$B$3:$O$19,14,0)+10)*2)*27,""))</f>
        <v/>
      </c>
      <c r="AM126" s="490" t="str">
        <f>IF($B126="","",IF($R126=AM$5,(SUM($D126*VLOOKUP($C126,ESCALA!$B$3:$O$19,14,0)+10)*2)*27,""))</f>
        <v/>
      </c>
      <c r="AN126" s="490" t="str">
        <f>IF($B126="","",IF($R126=AN$5,(SUM($D126*VLOOKUP($C126,ESCALA!$B$3:$O$19,14,0)+10)*2)*27,""))</f>
        <v/>
      </c>
      <c r="AO126" s="490" t="str">
        <f>IF($B126="","",IF($R126=AO$5,(SUM($D126*VLOOKUP($C126,ESCALA!$B$3:$O$19,14,0)+10)*2)*27,""))</f>
        <v/>
      </c>
      <c r="AP126" s="490" t="str">
        <f>IF($B126="","",IF($R126=AP$5,(SUM($D126*VLOOKUP($C126,ESCALA!$B$3:$O$19,14,0)+10)*2)*27,""))</f>
        <v/>
      </c>
      <c r="AY126" s="368" t="str">
        <f>IF(PERFIL!E125="","",PERFIL!E125)</f>
        <v/>
      </c>
      <c r="AZ126" s="368" t="str">
        <f t="shared" si="12"/>
        <v/>
      </c>
      <c r="BA126" s="368" t="str">
        <f t="shared" si="13"/>
        <v/>
      </c>
    </row>
    <row r="127" spans="2:81" ht="33.75" customHeight="1" x14ac:dyDescent="0.2">
      <c r="B127" s="551"/>
      <c r="C127" s="517"/>
      <c r="D127" s="503" t="str">
        <f>IF(C127="","",VLOOKUP(C127,'REL LINHAS'!$B$2:$K$2205,5,0))</f>
        <v/>
      </c>
      <c r="E127" s="321" t="str">
        <f t="shared" si="11"/>
        <v/>
      </c>
      <c r="F127" s="493"/>
      <c r="G127" s="494"/>
      <c r="H127" s="649"/>
      <c r="I127" s="650"/>
      <c r="J127" s="651"/>
      <c r="K127" s="652"/>
      <c r="L127" s="653"/>
      <c r="M127" s="654"/>
      <c r="N127" s="652"/>
      <c r="O127" s="653"/>
      <c r="P127" s="653"/>
      <c r="Q127" s="654"/>
      <c r="R127" s="655"/>
      <c r="S127" s="656"/>
      <c r="T127" s="652"/>
      <c r="U127" s="654"/>
      <c r="V127" s="652"/>
      <c r="W127" s="653"/>
      <c r="X127" s="654"/>
      <c r="Y127" s="495"/>
      <c r="Z127" s="496"/>
      <c r="AA127" s="63"/>
      <c r="AB127" s="497" t="s">
        <v>2505</v>
      </c>
      <c r="AC127" s="63"/>
      <c r="AD127" s="497" t="s">
        <v>2506</v>
      </c>
      <c r="AE127" s="63"/>
      <c r="AF127" s="497" t="s">
        <v>2507</v>
      </c>
      <c r="AG127" s="63"/>
      <c r="AH127" s="498" t="s">
        <v>441</v>
      </c>
      <c r="AJ127" s="490" t="str">
        <f>IF($B127="","",IF($R127=AJ$5,(SUM($D127*VLOOKUP($C127,ESCALA!$B$3:$O$19,14,0)+10)*2)*27,""))</f>
        <v/>
      </c>
      <c r="AK127" s="490" t="str">
        <f>IF($B127="","",IF($R127=AK$5,(SUM($D127*VLOOKUP($C127,ESCALA!$B$3:$O$19,14,0)+10)*2)*27,""))</f>
        <v/>
      </c>
      <c r="AL127" s="490" t="str">
        <f>IF($B127="","",IF($R127=AL$5,(SUM($D127*VLOOKUP($C127,ESCALA!$B$3:$O$19,14,0)+10)*2)*27,""))</f>
        <v/>
      </c>
      <c r="AM127" s="490" t="str">
        <f>IF($B127="","",IF($R127=AM$5,(SUM($D127*VLOOKUP($C127,ESCALA!$B$3:$O$19,14,0)+10)*2)*27,""))</f>
        <v/>
      </c>
      <c r="AN127" s="490" t="str">
        <f>IF($B127="","",IF($R127=AN$5,(SUM($D127*VLOOKUP($C127,ESCALA!$B$3:$O$19,14,0)+10)*2)*27,""))</f>
        <v/>
      </c>
      <c r="AO127" s="490" t="str">
        <f>IF($B127="","",IF($R127=AO$5,(SUM($D127*VLOOKUP($C127,ESCALA!$B$3:$O$19,14,0)+10)*2)*27,""))</f>
        <v/>
      </c>
      <c r="AP127" s="490" t="str">
        <f>IF($B127="","",IF($R127=AP$5,(SUM($D127*VLOOKUP($C127,ESCALA!$B$3:$O$19,14,0)+10)*2)*27,""))</f>
        <v/>
      </c>
      <c r="AY127" s="368" t="str">
        <f>IF(PERFIL!E126="","",PERFIL!E126)</f>
        <v/>
      </c>
      <c r="AZ127" s="368" t="str">
        <f t="shared" si="12"/>
        <v/>
      </c>
      <c r="BA127" s="368" t="str">
        <f t="shared" si="13"/>
        <v/>
      </c>
    </row>
    <row r="128" spans="2:81" ht="33.75" customHeight="1" x14ac:dyDescent="0.2">
      <c r="B128" s="551"/>
      <c r="C128" s="517"/>
      <c r="D128" s="503" t="str">
        <f>IF(C128="","",VLOOKUP(C128,'REL LINHAS'!$B$2:$K$2205,5,0))</f>
        <v/>
      </c>
      <c r="E128" s="321" t="str">
        <f t="shared" si="11"/>
        <v/>
      </c>
      <c r="F128" s="493"/>
      <c r="G128" s="494"/>
      <c r="H128" s="649"/>
      <c r="I128" s="650"/>
      <c r="J128" s="651"/>
      <c r="K128" s="652"/>
      <c r="L128" s="653"/>
      <c r="M128" s="654"/>
      <c r="N128" s="652"/>
      <c r="O128" s="653"/>
      <c r="P128" s="653"/>
      <c r="Q128" s="654"/>
      <c r="R128" s="655"/>
      <c r="S128" s="656"/>
      <c r="T128" s="652"/>
      <c r="U128" s="654"/>
      <c r="V128" s="652"/>
      <c r="W128" s="653"/>
      <c r="X128" s="654"/>
      <c r="Y128" s="495"/>
      <c r="Z128" s="496"/>
      <c r="AA128" s="63"/>
      <c r="AB128" s="497" t="s">
        <v>2505</v>
      </c>
      <c r="AC128" s="63"/>
      <c r="AD128" s="497" t="s">
        <v>2506</v>
      </c>
      <c r="AE128" s="63"/>
      <c r="AF128" s="497" t="s">
        <v>2507</v>
      </c>
      <c r="AG128" s="63"/>
      <c r="AH128" s="498" t="s">
        <v>441</v>
      </c>
      <c r="AJ128" s="490" t="str">
        <f>IF($B128="","",IF($R128=AJ$5,(SUM($D128*VLOOKUP($C128,ESCALA!$B$3:$O$19,14,0)+10)*2)*27,""))</f>
        <v/>
      </c>
      <c r="AK128" s="490" t="str">
        <f>IF($B128="","",IF($R128=AK$5,(SUM($D128*VLOOKUP($C128,ESCALA!$B$3:$O$19,14,0)+10)*2)*27,""))</f>
        <v/>
      </c>
      <c r="AL128" s="490" t="str">
        <f>IF($B128="","",IF($R128=AL$5,(SUM($D128*VLOOKUP($C128,ESCALA!$B$3:$O$19,14,0)+10)*2)*27,""))</f>
        <v/>
      </c>
      <c r="AM128" s="490" t="str">
        <f>IF($B128="","",IF($R128=AM$5,(SUM($D128*VLOOKUP($C128,ESCALA!$B$3:$O$19,14,0)+10)*2)*27,""))</f>
        <v/>
      </c>
      <c r="AN128" s="490" t="str">
        <f>IF($B128="","",IF($R128=AN$5,(SUM($D128*VLOOKUP($C128,ESCALA!$B$3:$O$19,14,0)+10)*2)*27,""))</f>
        <v/>
      </c>
      <c r="AO128" s="490" t="str">
        <f>IF($B128="","",IF($R128=AO$5,(SUM($D128*VLOOKUP($C128,ESCALA!$B$3:$O$19,14,0)+10)*2)*27,""))</f>
        <v/>
      </c>
      <c r="AP128" s="490" t="str">
        <f>IF($B128="","",IF($R128=AP$5,(SUM($D128*VLOOKUP($C128,ESCALA!$B$3:$O$19,14,0)+10)*2)*27,""))</f>
        <v/>
      </c>
      <c r="AY128" s="368" t="str">
        <f>IF(PERFIL!E127="","",PERFIL!E127)</f>
        <v/>
      </c>
      <c r="AZ128" s="368" t="str">
        <f t="shared" si="12"/>
        <v/>
      </c>
      <c r="BA128" s="368" t="str">
        <f t="shared" si="13"/>
        <v/>
      </c>
    </row>
    <row r="129" spans="2:53" ht="33.75" customHeight="1" x14ac:dyDescent="0.2">
      <c r="B129" s="551"/>
      <c r="C129" s="517"/>
      <c r="D129" s="503" t="str">
        <f>IF(C129="","",VLOOKUP(C129,'REL LINHAS'!$B$2:$K$2205,5,0))</f>
        <v/>
      </c>
      <c r="E129" s="321" t="str">
        <f t="shared" si="11"/>
        <v/>
      </c>
      <c r="F129" s="493"/>
      <c r="G129" s="494"/>
      <c r="H129" s="649"/>
      <c r="I129" s="650"/>
      <c r="J129" s="651"/>
      <c r="K129" s="652"/>
      <c r="L129" s="653"/>
      <c r="M129" s="654"/>
      <c r="N129" s="652"/>
      <c r="O129" s="653"/>
      <c r="P129" s="653"/>
      <c r="Q129" s="654"/>
      <c r="R129" s="655"/>
      <c r="S129" s="656"/>
      <c r="T129" s="652"/>
      <c r="U129" s="654"/>
      <c r="V129" s="652"/>
      <c r="W129" s="653"/>
      <c r="X129" s="654"/>
      <c r="Y129" s="495"/>
      <c r="Z129" s="496"/>
      <c r="AA129" s="63"/>
      <c r="AB129" s="497" t="s">
        <v>2505</v>
      </c>
      <c r="AC129" s="63"/>
      <c r="AD129" s="497" t="s">
        <v>2506</v>
      </c>
      <c r="AE129" s="63"/>
      <c r="AF129" s="497" t="s">
        <v>2507</v>
      </c>
      <c r="AG129" s="63"/>
      <c r="AH129" s="498" t="s">
        <v>441</v>
      </c>
      <c r="AJ129" s="490" t="str">
        <f>IF($B129="","",IF($R129=AJ$5,(SUM($D129*VLOOKUP($C129,ESCALA!$B$3:$O$19,14,0)+10)*2)*27,""))</f>
        <v/>
      </c>
      <c r="AK129" s="490" t="str">
        <f>IF($B129="","",IF($R129=AK$5,(SUM($D129*VLOOKUP($C129,ESCALA!$B$3:$O$19,14,0)+10)*2)*27,""))</f>
        <v/>
      </c>
      <c r="AL129" s="490" t="str">
        <f>IF($B129="","",IF($R129=AL$5,(SUM($D129*VLOOKUP($C129,ESCALA!$B$3:$O$19,14,0)+10)*2)*27,""))</f>
        <v/>
      </c>
      <c r="AM129" s="490" t="str">
        <f>IF($B129="","",IF($R129=AM$5,(SUM($D129*VLOOKUP($C129,ESCALA!$B$3:$O$19,14,0)+10)*2)*27,""))</f>
        <v/>
      </c>
      <c r="AN129" s="490" t="str">
        <f>IF($B129="","",IF($R129=AN$5,(SUM($D129*VLOOKUP($C129,ESCALA!$B$3:$O$19,14,0)+10)*2)*27,""))</f>
        <v/>
      </c>
      <c r="AO129" s="490" t="str">
        <f>IF($B129="","",IF($R129=AO$5,(SUM($D129*VLOOKUP($C129,ESCALA!$B$3:$O$19,14,0)+10)*2)*27,""))</f>
        <v/>
      </c>
      <c r="AP129" s="490" t="str">
        <f>IF($B129="","",IF($R129=AP$5,(SUM($D129*VLOOKUP($C129,ESCALA!$B$3:$O$19,14,0)+10)*2)*27,""))</f>
        <v/>
      </c>
      <c r="AY129" s="368" t="str">
        <f>IF(PERFIL!E128="","",PERFIL!E128)</f>
        <v/>
      </c>
      <c r="AZ129" s="368" t="str">
        <f t="shared" si="12"/>
        <v/>
      </c>
      <c r="BA129" s="368" t="str">
        <f t="shared" si="13"/>
        <v/>
      </c>
    </row>
    <row r="130" spans="2:53" ht="33.75" customHeight="1" x14ac:dyDescent="0.2">
      <c r="B130" s="551"/>
      <c r="C130" s="517"/>
      <c r="D130" s="503" t="str">
        <f>IF(C130="","",VLOOKUP(C130,'REL LINHAS'!$B$2:$K$2205,5,0))</f>
        <v/>
      </c>
      <c r="E130" s="321" t="str">
        <f t="shared" si="11"/>
        <v/>
      </c>
      <c r="F130" s="493"/>
      <c r="G130" s="494"/>
      <c r="H130" s="649"/>
      <c r="I130" s="650"/>
      <c r="J130" s="651"/>
      <c r="K130" s="652"/>
      <c r="L130" s="653"/>
      <c r="M130" s="654"/>
      <c r="N130" s="652"/>
      <c r="O130" s="653"/>
      <c r="P130" s="653"/>
      <c r="Q130" s="654"/>
      <c r="R130" s="655"/>
      <c r="S130" s="656"/>
      <c r="T130" s="652"/>
      <c r="U130" s="654"/>
      <c r="V130" s="652"/>
      <c r="W130" s="653"/>
      <c r="X130" s="654"/>
      <c r="Y130" s="495"/>
      <c r="Z130" s="496"/>
      <c r="AA130" s="63"/>
      <c r="AB130" s="497" t="s">
        <v>2505</v>
      </c>
      <c r="AC130" s="63"/>
      <c r="AD130" s="497" t="s">
        <v>2506</v>
      </c>
      <c r="AE130" s="63"/>
      <c r="AF130" s="497" t="s">
        <v>2507</v>
      </c>
      <c r="AG130" s="63"/>
      <c r="AH130" s="498" t="s">
        <v>441</v>
      </c>
      <c r="AJ130" s="490" t="str">
        <f>IF($B130="","",IF($R130=AJ$5,(SUM($D130*VLOOKUP($C130,ESCALA!$B$3:$O$19,14,0)+10)*2)*27,""))</f>
        <v/>
      </c>
      <c r="AK130" s="490" t="str">
        <f>IF($B130="","",IF($R130=AK$5,(SUM($D130*VLOOKUP($C130,ESCALA!$B$3:$O$19,14,0)+10)*2)*27,""))</f>
        <v/>
      </c>
      <c r="AL130" s="490" t="str">
        <f>IF($B130="","",IF($R130=AL$5,(SUM($D130*VLOOKUP($C130,ESCALA!$B$3:$O$19,14,0)+10)*2)*27,""))</f>
        <v/>
      </c>
      <c r="AM130" s="490" t="str">
        <f>IF($B130="","",IF($R130=AM$5,(SUM($D130*VLOOKUP($C130,ESCALA!$B$3:$O$19,14,0)+10)*2)*27,""))</f>
        <v/>
      </c>
      <c r="AN130" s="490" t="str">
        <f>IF($B130="","",IF($R130=AN$5,(SUM($D130*VLOOKUP($C130,ESCALA!$B$3:$O$19,14,0)+10)*2)*27,""))</f>
        <v/>
      </c>
      <c r="AO130" s="490" t="str">
        <f>IF($B130="","",IF($R130=AO$5,(SUM($D130*VLOOKUP($C130,ESCALA!$B$3:$O$19,14,0)+10)*2)*27,""))</f>
        <v/>
      </c>
      <c r="AP130" s="490" t="str">
        <f>IF($B130="","",IF($R130=AP$5,(SUM($D130*VLOOKUP($C130,ESCALA!$B$3:$O$19,14,0)+10)*2)*27,""))</f>
        <v/>
      </c>
      <c r="AY130" s="368" t="str">
        <f>IF(PERFIL!E129="","",PERFIL!E129)</f>
        <v/>
      </c>
      <c r="AZ130" s="368" t="str">
        <f t="shared" si="12"/>
        <v/>
      </c>
      <c r="BA130" s="368" t="str">
        <f t="shared" si="13"/>
        <v/>
      </c>
    </row>
    <row r="131" spans="2:53" ht="33.75" customHeight="1" x14ac:dyDescent="0.2">
      <c r="B131" s="551"/>
      <c r="C131" s="517"/>
      <c r="D131" s="503" t="str">
        <f>IF(C131="","",VLOOKUP(C131,'REL LINHAS'!$B$2:$K$2205,5,0))</f>
        <v/>
      </c>
      <c r="E131" s="321" t="str">
        <f t="shared" si="11"/>
        <v/>
      </c>
      <c r="F131" s="493"/>
      <c r="G131" s="494"/>
      <c r="H131" s="649"/>
      <c r="I131" s="650"/>
      <c r="J131" s="651"/>
      <c r="K131" s="652"/>
      <c r="L131" s="653"/>
      <c r="M131" s="654"/>
      <c r="N131" s="652"/>
      <c r="O131" s="653"/>
      <c r="P131" s="653"/>
      <c r="Q131" s="654"/>
      <c r="R131" s="655"/>
      <c r="S131" s="656"/>
      <c r="T131" s="652"/>
      <c r="U131" s="654"/>
      <c r="V131" s="652"/>
      <c r="W131" s="653"/>
      <c r="X131" s="654"/>
      <c r="Y131" s="495"/>
      <c r="Z131" s="496"/>
      <c r="AA131" s="63"/>
      <c r="AB131" s="497" t="s">
        <v>2505</v>
      </c>
      <c r="AC131" s="63"/>
      <c r="AD131" s="497" t="s">
        <v>2506</v>
      </c>
      <c r="AE131" s="63"/>
      <c r="AF131" s="497" t="s">
        <v>2507</v>
      </c>
      <c r="AG131" s="63"/>
      <c r="AH131" s="498" t="s">
        <v>441</v>
      </c>
      <c r="AJ131" s="490" t="str">
        <f>IF($B131="","",IF($R131=AJ$5,(SUM($D131*VLOOKUP($C131,ESCALA!$B$3:$O$19,14,0)+10)*2)*27,""))</f>
        <v/>
      </c>
      <c r="AK131" s="490" t="str">
        <f>IF($B131="","",IF($R131=AK$5,(SUM($D131*VLOOKUP($C131,ESCALA!$B$3:$O$19,14,0)+10)*2)*27,""))</f>
        <v/>
      </c>
      <c r="AL131" s="490" t="str">
        <f>IF($B131="","",IF($R131=AL$5,(SUM($D131*VLOOKUP($C131,ESCALA!$B$3:$O$19,14,0)+10)*2)*27,""))</f>
        <v/>
      </c>
      <c r="AM131" s="490" t="str">
        <f>IF($B131="","",IF($R131=AM$5,(SUM($D131*VLOOKUP($C131,ESCALA!$B$3:$O$19,14,0)+10)*2)*27,""))</f>
        <v/>
      </c>
      <c r="AN131" s="490" t="str">
        <f>IF($B131="","",IF($R131=AN$5,(SUM($D131*VLOOKUP($C131,ESCALA!$B$3:$O$19,14,0)+10)*2)*27,""))</f>
        <v/>
      </c>
      <c r="AO131" s="490" t="str">
        <f>IF($B131="","",IF($R131=AO$5,(SUM($D131*VLOOKUP($C131,ESCALA!$B$3:$O$19,14,0)+10)*2)*27,""))</f>
        <v/>
      </c>
      <c r="AP131" s="490" t="str">
        <f>IF($B131="","",IF($R131=AP$5,(SUM($D131*VLOOKUP($C131,ESCALA!$B$3:$O$19,14,0)+10)*2)*27,""))</f>
        <v/>
      </c>
      <c r="AY131" s="368" t="str">
        <f>IF(PERFIL!E130="","",PERFIL!E130)</f>
        <v/>
      </c>
      <c r="AZ131" s="368" t="str">
        <f t="shared" si="12"/>
        <v/>
      </c>
      <c r="BA131" s="368" t="str">
        <f t="shared" si="13"/>
        <v/>
      </c>
    </row>
    <row r="132" spans="2:53" ht="33.75" customHeight="1" x14ac:dyDescent="0.2">
      <c r="B132" s="551"/>
      <c r="C132" s="517"/>
      <c r="D132" s="503" t="str">
        <f>IF(C132="","",VLOOKUP(C132,'REL LINHAS'!$B$2:$K$2205,5,0))</f>
        <v/>
      </c>
      <c r="E132" s="321" t="str">
        <f t="shared" si="11"/>
        <v/>
      </c>
      <c r="F132" s="493"/>
      <c r="G132" s="494"/>
      <c r="H132" s="649"/>
      <c r="I132" s="650"/>
      <c r="J132" s="651"/>
      <c r="K132" s="652"/>
      <c r="L132" s="653"/>
      <c r="M132" s="654"/>
      <c r="N132" s="652"/>
      <c r="O132" s="653"/>
      <c r="P132" s="653"/>
      <c r="Q132" s="654"/>
      <c r="R132" s="655"/>
      <c r="S132" s="656"/>
      <c r="T132" s="652"/>
      <c r="U132" s="654"/>
      <c r="V132" s="652"/>
      <c r="W132" s="653"/>
      <c r="X132" s="654"/>
      <c r="Y132" s="495"/>
      <c r="Z132" s="496"/>
      <c r="AA132" s="63"/>
      <c r="AB132" s="497" t="s">
        <v>2505</v>
      </c>
      <c r="AC132" s="63"/>
      <c r="AD132" s="497" t="s">
        <v>2506</v>
      </c>
      <c r="AE132" s="63"/>
      <c r="AF132" s="497" t="s">
        <v>2507</v>
      </c>
      <c r="AG132" s="63"/>
      <c r="AH132" s="498" t="s">
        <v>441</v>
      </c>
      <c r="AJ132" s="490" t="str">
        <f>IF($B132="","",IF($R132=AJ$5,(SUM($D132*VLOOKUP($C132,ESCALA!$B$3:$O$19,14,0)+10)*2)*27,""))</f>
        <v/>
      </c>
      <c r="AK132" s="490" t="str">
        <f>IF($B132="","",IF($R132=AK$5,(SUM($D132*VLOOKUP($C132,ESCALA!$B$3:$O$19,14,0)+10)*2)*27,""))</f>
        <v/>
      </c>
      <c r="AL132" s="490" t="str">
        <f>IF($B132="","",IF($R132=AL$5,(SUM($D132*VLOOKUP($C132,ESCALA!$B$3:$O$19,14,0)+10)*2)*27,""))</f>
        <v/>
      </c>
      <c r="AM132" s="490" t="str">
        <f>IF($B132="","",IF($R132=AM$5,(SUM($D132*VLOOKUP($C132,ESCALA!$B$3:$O$19,14,0)+10)*2)*27,""))</f>
        <v/>
      </c>
      <c r="AN132" s="490" t="str">
        <f>IF($B132="","",IF($R132=AN$5,(SUM($D132*VLOOKUP($C132,ESCALA!$B$3:$O$19,14,0)+10)*2)*27,""))</f>
        <v/>
      </c>
      <c r="AO132" s="490" t="str">
        <f>IF($B132="","",IF($R132=AO$5,(SUM($D132*VLOOKUP($C132,ESCALA!$B$3:$O$19,14,0)+10)*2)*27,""))</f>
        <v/>
      </c>
      <c r="AP132" s="490" t="str">
        <f>IF($B132="","",IF($R132=AP$5,(SUM($D132*VLOOKUP($C132,ESCALA!$B$3:$O$19,14,0)+10)*2)*27,""))</f>
        <v/>
      </c>
      <c r="AY132" s="368" t="str">
        <f>IF(PERFIL!E131="","",PERFIL!E131)</f>
        <v/>
      </c>
      <c r="AZ132" s="368" t="str">
        <f t="shared" si="12"/>
        <v/>
      </c>
      <c r="BA132" s="368" t="str">
        <f t="shared" si="13"/>
        <v/>
      </c>
    </row>
    <row r="133" spans="2:53" ht="33.75" customHeight="1" x14ac:dyDescent="0.2">
      <c r="B133" s="551"/>
      <c r="C133" s="517"/>
      <c r="D133" s="503" t="str">
        <f>IF(C133="","",VLOOKUP(C133,'REL LINHAS'!$B$2:$K$2205,5,0))</f>
        <v/>
      </c>
      <c r="E133" s="321" t="str">
        <f t="shared" si="11"/>
        <v/>
      </c>
      <c r="F133" s="493"/>
      <c r="G133" s="494"/>
      <c r="H133" s="649"/>
      <c r="I133" s="650"/>
      <c r="J133" s="651"/>
      <c r="K133" s="652"/>
      <c r="L133" s="653"/>
      <c r="M133" s="654"/>
      <c r="N133" s="652"/>
      <c r="O133" s="653"/>
      <c r="P133" s="653"/>
      <c r="Q133" s="654"/>
      <c r="R133" s="655"/>
      <c r="S133" s="656"/>
      <c r="T133" s="652"/>
      <c r="U133" s="654"/>
      <c r="V133" s="652"/>
      <c r="W133" s="653"/>
      <c r="X133" s="654"/>
      <c r="Y133" s="495"/>
      <c r="Z133" s="496"/>
      <c r="AA133" s="63"/>
      <c r="AB133" s="497" t="s">
        <v>2505</v>
      </c>
      <c r="AC133" s="63"/>
      <c r="AD133" s="497" t="s">
        <v>2506</v>
      </c>
      <c r="AE133" s="63"/>
      <c r="AF133" s="497" t="s">
        <v>2507</v>
      </c>
      <c r="AG133" s="63"/>
      <c r="AH133" s="498" t="s">
        <v>441</v>
      </c>
      <c r="AJ133" s="490" t="str">
        <f>IF($B133="","",IF($R133=AJ$5,(SUM($D133*VLOOKUP($C133,ESCALA!$B$3:$O$19,14,0)+10)*2)*27,""))</f>
        <v/>
      </c>
      <c r="AK133" s="490" t="str">
        <f>IF($B133="","",IF($R133=AK$5,(SUM($D133*VLOOKUP($C133,ESCALA!$B$3:$O$19,14,0)+10)*2)*27,""))</f>
        <v/>
      </c>
      <c r="AL133" s="490" t="str">
        <f>IF($B133="","",IF($R133=AL$5,(SUM($D133*VLOOKUP($C133,ESCALA!$B$3:$O$19,14,0)+10)*2)*27,""))</f>
        <v/>
      </c>
      <c r="AM133" s="490" t="str">
        <f>IF($B133="","",IF($R133=AM$5,(SUM($D133*VLOOKUP($C133,ESCALA!$B$3:$O$19,14,0)+10)*2)*27,""))</f>
        <v/>
      </c>
      <c r="AN133" s="490" t="str">
        <f>IF($B133="","",IF($R133=AN$5,(SUM($D133*VLOOKUP($C133,ESCALA!$B$3:$O$19,14,0)+10)*2)*27,""))</f>
        <v/>
      </c>
      <c r="AO133" s="490" t="str">
        <f>IF($B133="","",IF($R133=AO$5,(SUM($D133*VLOOKUP($C133,ESCALA!$B$3:$O$19,14,0)+10)*2)*27,""))</f>
        <v/>
      </c>
      <c r="AP133" s="490" t="str">
        <f>IF($B133="","",IF($R133=AP$5,(SUM($D133*VLOOKUP($C133,ESCALA!$B$3:$O$19,14,0)+10)*2)*27,""))</f>
        <v/>
      </c>
      <c r="AY133" s="368" t="str">
        <f>IF(PERFIL!E132="","",PERFIL!E132)</f>
        <v/>
      </c>
      <c r="AZ133" s="368" t="str">
        <f t="shared" si="12"/>
        <v/>
      </c>
      <c r="BA133" s="368" t="str">
        <f t="shared" si="13"/>
        <v/>
      </c>
    </row>
    <row r="134" spans="2:53" ht="33.75" customHeight="1" x14ac:dyDescent="0.2">
      <c r="B134" s="551"/>
      <c r="C134" s="517"/>
      <c r="D134" s="503" t="str">
        <f>IF(C134="","",VLOOKUP(C134,'REL LINHAS'!$B$2:$K$2205,5,0))</f>
        <v/>
      </c>
      <c r="E134" s="321" t="str">
        <f t="shared" ref="E134:E145" si="14">IF($C134="","",IF($C134="LINHA","",IF(VLOOKUP($C134,$AX$6:$BA$21,2,0)=$H134,"ATENDE",IF(VLOOKUP($C134,$AX$6:$BA$21,3,0)=$H134,"ATENDE",IF(VLOOKUP($C134,$AX$6:$BA$21,4,0)=$H134,"ATENDE","NÃO ATENDE")))))</f>
        <v/>
      </c>
      <c r="F134" s="493"/>
      <c r="G134" s="494"/>
      <c r="H134" s="649"/>
      <c r="I134" s="650"/>
      <c r="J134" s="651"/>
      <c r="K134" s="652"/>
      <c r="L134" s="653"/>
      <c r="M134" s="654"/>
      <c r="N134" s="652"/>
      <c r="O134" s="653"/>
      <c r="P134" s="653"/>
      <c r="Q134" s="654"/>
      <c r="R134" s="655"/>
      <c r="S134" s="656"/>
      <c r="T134" s="652"/>
      <c r="U134" s="654"/>
      <c r="V134" s="652"/>
      <c r="W134" s="653"/>
      <c r="X134" s="654"/>
      <c r="Y134" s="495"/>
      <c r="Z134" s="496"/>
      <c r="AA134" s="63"/>
      <c r="AB134" s="497" t="s">
        <v>2505</v>
      </c>
      <c r="AC134" s="63"/>
      <c r="AD134" s="497" t="s">
        <v>2506</v>
      </c>
      <c r="AE134" s="63"/>
      <c r="AF134" s="497" t="s">
        <v>2507</v>
      </c>
      <c r="AG134" s="63"/>
      <c r="AH134" s="498" t="s">
        <v>441</v>
      </c>
      <c r="AJ134" s="490" t="str">
        <f>IF($B134="","",IF($R134=AJ$5,(SUM($D134*VLOOKUP($C134,ESCALA!$B$3:$O$19,14,0)+10)*2)*27,""))</f>
        <v/>
      </c>
      <c r="AK134" s="490" t="str">
        <f>IF($B134="","",IF($R134=AK$5,(SUM($D134*VLOOKUP($C134,ESCALA!$B$3:$O$19,14,0)+10)*2)*27,""))</f>
        <v/>
      </c>
      <c r="AL134" s="490" t="str">
        <f>IF($B134="","",IF($R134=AL$5,(SUM($D134*VLOOKUP($C134,ESCALA!$B$3:$O$19,14,0)+10)*2)*27,""))</f>
        <v/>
      </c>
      <c r="AM134" s="490" t="str">
        <f>IF($B134="","",IF($R134=AM$5,(SUM($D134*VLOOKUP($C134,ESCALA!$B$3:$O$19,14,0)+10)*2)*27,""))</f>
        <v/>
      </c>
      <c r="AN134" s="490" t="str">
        <f>IF($B134="","",IF($R134=AN$5,(SUM($D134*VLOOKUP($C134,ESCALA!$B$3:$O$19,14,0)+10)*2)*27,""))</f>
        <v/>
      </c>
      <c r="AO134" s="490" t="str">
        <f>IF($B134="","",IF($R134=AO$5,(SUM($D134*VLOOKUP($C134,ESCALA!$B$3:$O$19,14,0)+10)*2)*27,""))</f>
        <v/>
      </c>
      <c r="AP134" s="490" t="str">
        <f>IF($B134="","",IF($R134=AP$5,(SUM($D134*VLOOKUP($C134,ESCALA!$B$3:$O$19,14,0)+10)*2)*27,""))</f>
        <v/>
      </c>
      <c r="AY134" s="368" t="str">
        <f>IF(PERFIL!E133="","",PERFIL!E133)</f>
        <v/>
      </c>
      <c r="AZ134" s="368" t="str">
        <f t="shared" si="12"/>
        <v/>
      </c>
      <c r="BA134" s="368" t="str">
        <f t="shared" si="13"/>
        <v/>
      </c>
    </row>
    <row r="135" spans="2:53" ht="33.75" customHeight="1" x14ac:dyDescent="0.2">
      <c r="B135" s="551"/>
      <c r="C135" s="517"/>
      <c r="D135" s="503" t="str">
        <f>IF(C135="","",VLOOKUP(C135,'REL LINHAS'!$B$2:$K$2205,5,0))</f>
        <v/>
      </c>
      <c r="E135" s="321" t="str">
        <f t="shared" si="14"/>
        <v/>
      </c>
      <c r="F135" s="493"/>
      <c r="G135" s="494"/>
      <c r="H135" s="649"/>
      <c r="I135" s="650"/>
      <c r="J135" s="651"/>
      <c r="K135" s="652"/>
      <c r="L135" s="653"/>
      <c r="M135" s="654"/>
      <c r="N135" s="652"/>
      <c r="O135" s="653"/>
      <c r="P135" s="653"/>
      <c r="Q135" s="654"/>
      <c r="R135" s="655"/>
      <c r="S135" s="656"/>
      <c r="T135" s="652"/>
      <c r="U135" s="654"/>
      <c r="V135" s="652"/>
      <c r="W135" s="653"/>
      <c r="X135" s="654"/>
      <c r="Y135" s="495"/>
      <c r="Z135" s="496"/>
      <c r="AA135" s="63"/>
      <c r="AB135" s="497" t="s">
        <v>2505</v>
      </c>
      <c r="AC135" s="63"/>
      <c r="AD135" s="497" t="s">
        <v>2506</v>
      </c>
      <c r="AE135" s="63"/>
      <c r="AF135" s="497" t="s">
        <v>2507</v>
      </c>
      <c r="AG135" s="63"/>
      <c r="AH135" s="498" t="s">
        <v>441</v>
      </c>
      <c r="AJ135" s="490" t="str">
        <f>IF($B135="","",IF($R135=AJ$5,(SUM($D135*VLOOKUP($C135,ESCALA!$B$3:$O$19,14,0)+10)*2)*27,""))</f>
        <v/>
      </c>
      <c r="AK135" s="490" t="str">
        <f>IF($B135="","",IF($R135=AK$5,(SUM($D135*VLOOKUP($C135,ESCALA!$B$3:$O$19,14,0)+10)*2)*27,""))</f>
        <v/>
      </c>
      <c r="AL135" s="490" t="str">
        <f>IF($B135="","",IF($R135=AL$5,(SUM($D135*VLOOKUP($C135,ESCALA!$B$3:$O$19,14,0)+10)*2)*27,""))</f>
        <v/>
      </c>
      <c r="AM135" s="490" t="str">
        <f>IF($B135="","",IF($R135=AM$5,(SUM($D135*VLOOKUP($C135,ESCALA!$B$3:$O$19,14,0)+10)*2)*27,""))</f>
        <v/>
      </c>
      <c r="AN135" s="490" t="str">
        <f>IF($B135="","",IF($R135=AN$5,(SUM($D135*VLOOKUP($C135,ESCALA!$B$3:$O$19,14,0)+10)*2)*27,""))</f>
        <v/>
      </c>
      <c r="AO135" s="490" t="str">
        <f>IF($B135="","",IF($R135=AO$5,(SUM($D135*VLOOKUP($C135,ESCALA!$B$3:$O$19,14,0)+10)*2)*27,""))</f>
        <v/>
      </c>
      <c r="AP135" s="490" t="str">
        <f>IF($B135="","",IF($R135=AP$5,(SUM($D135*VLOOKUP($C135,ESCALA!$B$3:$O$19,14,0)+10)*2)*27,""))</f>
        <v/>
      </c>
      <c r="AY135" s="368" t="str">
        <f>IF(PERFIL!E134="","",PERFIL!E134)</f>
        <v/>
      </c>
      <c r="AZ135" s="368" t="str">
        <f t="shared" si="12"/>
        <v/>
      </c>
      <c r="BA135" s="368" t="str">
        <f t="shared" si="13"/>
        <v/>
      </c>
    </row>
    <row r="136" spans="2:53" ht="33.75" customHeight="1" x14ac:dyDescent="0.2">
      <c r="B136" s="551"/>
      <c r="C136" s="517"/>
      <c r="D136" s="503" t="str">
        <f>IF(C136="","",VLOOKUP(C136,'REL LINHAS'!$B$2:$K$2205,5,0))</f>
        <v/>
      </c>
      <c r="E136" s="321" t="str">
        <f t="shared" si="14"/>
        <v/>
      </c>
      <c r="F136" s="493"/>
      <c r="G136" s="494"/>
      <c r="H136" s="649"/>
      <c r="I136" s="650"/>
      <c r="J136" s="651"/>
      <c r="K136" s="652"/>
      <c r="L136" s="653"/>
      <c r="M136" s="654"/>
      <c r="N136" s="652"/>
      <c r="O136" s="653"/>
      <c r="P136" s="653"/>
      <c r="Q136" s="654"/>
      <c r="R136" s="655"/>
      <c r="S136" s="656"/>
      <c r="T136" s="652"/>
      <c r="U136" s="654"/>
      <c r="V136" s="652"/>
      <c r="W136" s="653"/>
      <c r="X136" s="654"/>
      <c r="Y136" s="495"/>
      <c r="Z136" s="496"/>
      <c r="AA136" s="63"/>
      <c r="AB136" s="497" t="s">
        <v>2505</v>
      </c>
      <c r="AC136" s="63"/>
      <c r="AD136" s="497" t="s">
        <v>2506</v>
      </c>
      <c r="AE136" s="63"/>
      <c r="AF136" s="497" t="s">
        <v>2507</v>
      </c>
      <c r="AG136" s="63"/>
      <c r="AH136" s="498" t="s">
        <v>441</v>
      </c>
      <c r="AJ136" s="490" t="str">
        <f>IF($B136="","",IF($R136=AJ$5,(SUM($D136*VLOOKUP($C136,ESCALA!$B$3:$O$19,14,0)+10)*2)*27,""))</f>
        <v/>
      </c>
      <c r="AK136" s="490" t="str">
        <f>IF($B136="","",IF($R136=AK$5,(SUM($D136*VLOOKUP($C136,ESCALA!$B$3:$O$19,14,0)+10)*2)*27,""))</f>
        <v/>
      </c>
      <c r="AL136" s="490" t="str">
        <f>IF($B136="","",IF($R136=AL$5,(SUM($D136*VLOOKUP($C136,ESCALA!$B$3:$O$19,14,0)+10)*2)*27,""))</f>
        <v/>
      </c>
      <c r="AM136" s="490" t="str">
        <f>IF($B136="","",IF($R136=AM$5,(SUM($D136*VLOOKUP($C136,ESCALA!$B$3:$O$19,14,0)+10)*2)*27,""))</f>
        <v/>
      </c>
      <c r="AN136" s="490" t="str">
        <f>IF($B136="","",IF($R136=AN$5,(SUM($D136*VLOOKUP($C136,ESCALA!$B$3:$O$19,14,0)+10)*2)*27,""))</f>
        <v/>
      </c>
      <c r="AO136" s="490" t="str">
        <f>IF($B136="","",IF($R136=AO$5,(SUM($D136*VLOOKUP($C136,ESCALA!$B$3:$O$19,14,0)+10)*2)*27,""))</f>
        <v/>
      </c>
      <c r="AP136" s="490" t="str">
        <f>IF($B136="","",IF($R136=AP$5,(SUM($D136*VLOOKUP($C136,ESCALA!$B$3:$O$19,14,0)+10)*2)*27,""))</f>
        <v/>
      </c>
      <c r="AY136" s="368" t="str">
        <f>IF(PERFIL!E135="","",PERFIL!E135)</f>
        <v/>
      </c>
      <c r="AZ136" s="368" t="str">
        <f t="shared" si="12"/>
        <v/>
      </c>
      <c r="BA136" s="368" t="str">
        <f t="shared" si="13"/>
        <v/>
      </c>
    </row>
    <row r="137" spans="2:53" ht="33.75" customHeight="1" x14ac:dyDescent="0.2">
      <c r="B137" s="551"/>
      <c r="C137" s="517"/>
      <c r="D137" s="503" t="str">
        <f>IF(C137="","",VLOOKUP(C137,'REL LINHAS'!$B$2:$K$2205,5,0))</f>
        <v/>
      </c>
      <c r="E137" s="321" t="str">
        <f t="shared" si="14"/>
        <v/>
      </c>
      <c r="F137" s="493"/>
      <c r="G137" s="494"/>
      <c r="H137" s="649"/>
      <c r="I137" s="650"/>
      <c r="J137" s="651"/>
      <c r="K137" s="652"/>
      <c r="L137" s="653"/>
      <c r="M137" s="654"/>
      <c r="N137" s="652"/>
      <c r="O137" s="653"/>
      <c r="P137" s="653"/>
      <c r="Q137" s="654"/>
      <c r="R137" s="655"/>
      <c r="S137" s="656"/>
      <c r="T137" s="652"/>
      <c r="U137" s="654"/>
      <c r="V137" s="652"/>
      <c r="W137" s="653"/>
      <c r="X137" s="654"/>
      <c r="Y137" s="495"/>
      <c r="Z137" s="496"/>
      <c r="AA137" s="63"/>
      <c r="AB137" s="497" t="s">
        <v>2505</v>
      </c>
      <c r="AC137" s="63"/>
      <c r="AD137" s="497" t="s">
        <v>2506</v>
      </c>
      <c r="AE137" s="63"/>
      <c r="AF137" s="497" t="s">
        <v>2507</v>
      </c>
      <c r="AG137" s="63"/>
      <c r="AH137" s="498" t="s">
        <v>441</v>
      </c>
      <c r="AJ137" s="490" t="str">
        <f>IF($B137="","",IF($R137=AJ$5,(SUM($D137*VLOOKUP($C137,ESCALA!$B$3:$O$19,14,0)+10)*2)*27,""))</f>
        <v/>
      </c>
      <c r="AK137" s="490" t="str">
        <f>IF($B137="","",IF($R137=AK$5,(SUM($D137*VLOOKUP($C137,ESCALA!$B$3:$O$19,14,0)+10)*2)*27,""))</f>
        <v/>
      </c>
      <c r="AL137" s="490" t="str">
        <f>IF($B137="","",IF($R137=AL$5,(SUM($D137*VLOOKUP($C137,ESCALA!$B$3:$O$19,14,0)+10)*2)*27,""))</f>
        <v/>
      </c>
      <c r="AM137" s="490" t="str">
        <f>IF($B137="","",IF($R137=AM$5,(SUM($D137*VLOOKUP($C137,ESCALA!$B$3:$O$19,14,0)+10)*2)*27,""))</f>
        <v/>
      </c>
      <c r="AN137" s="490" t="str">
        <f>IF($B137="","",IF($R137=AN$5,(SUM($D137*VLOOKUP($C137,ESCALA!$B$3:$O$19,14,0)+10)*2)*27,""))</f>
        <v/>
      </c>
      <c r="AO137" s="490" t="str">
        <f>IF($B137="","",IF($R137=AO$5,(SUM($D137*VLOOKUP($C137,ESCALA!$B$3:$O$19,14,0)+10)*2)*27,""))</f>
        <v/>
      </c>
      <c r="AP137" s="490" t="str">
        <f>IF($B137="","",IF($R137=AP$5,(SUM($D137*VLOOKUP($C137,ESCALA!$B$3:$O$19,14,0)+10)*2)*27,""))</f>
        <v/>
      </c>
      <c r="AY137" s="368" t="str">
        <f>IF(PERFIL!E136="","",PERFIL!E136)</f>
        <v/>
      </c>
      <c r="AZ137" s="368" t="str">
        <f t="shared" si="12"/>
        <v/>
      </c>
      <c r="BA137" s="368" t="str">
        <f t="shared" si="13"/>
        <v/>
      </c>
    </row>
    <row r="138" spans="2:53" ht="33.75" customHeight="1" x14ac:dyDescent="0.2">
      <c r="B138" s="551"/>
      <c r="C138" s="517"/>
      <c r="D138" s="503" t="str">
        <f>IF(C138="","",VLOOKUP(C138,'REL LINHAS'!$B$2:$K$2205,5,0))</f>
        <v/>
      </c>
      <c r="E138" s="321" t="str">
        <f t="shared" si="14"/>
        <v/>
      </c>
      <c r="F138" s="493"/>
      <c r="G138" s="494"/>
      <c r="H138" s="649"/>
      <c r="I138" s="650"/>
      <c r="J138" s="651"/>
      <c r="K138" s="652"/>
      <c r="L138" s="653"/>
      <c r="M138" s="654"/>
      <c r="N138" s="652"/>
      <c r="O138" s="653"/>
      <c r="P138" s="653"/>
      <c r="Q138" s="654"/>
      <c r="R138" s="655"/>
      <c r="S138" s="656"/>
      <c r="T138" s="652"/>
      <c r="U138" s="654"/>
      <c r="V138" s="652"/>
      <c r="W138" s="653"/>
      <c r="X138" s="654"/>
      <c r="Y138" s="495"/>
      <c r="Z138" s="496"/>
      <c r="AA138" s="63"/>
      <c r="AB138" s="497" t="s">
        <v>2505</v>
      </c>
      <c r="AC138" s="63"/>
      <c r="AD138" s="497" t="s">
        <v>2506</v>
      </c>
      <c r="AE138" s="63"/>
      <c r="AF138" s="497" t="s">
        <v>2507</v>
      </c>
      <c r="AG138" s="63"/>
      <c r="AH138" s="498" t="s">
        <v>441</v>
      </c>
      <c r="AJ138" s="490" t="str">
        <f>IF($B138="","",IF($R138=AJ$5,(SUM($D138*VLOOKUP($C138,ESCALA!$B$3:$O$19,14,0)+10)*2)*27,""))</f>
        <v/>
      </c>
      <c r="AK138" s="490" t="str">
        <f>IF($B138="","",IF($R138=AK$5,(SUM($D138*VLOOKUP($C138,ESCALA!$B$3:$O$19,14,0)+10)*2)*27,""))</f>
        <v/>
      </c>
      <c r="AL138" s="490" t="str">
        <f>IF($B138="","",IF($R138=AL$5,(SUM($D138*VLOOKUP($C138,ESCALA!$B$3:$O$19,14,0)+10)*2)*27,""))</f>
        <v/>
      </c>
      <c r="AM138" s="490" t="str">
        <f>IF($B138="","",IF($R138=AM$5,(SUM($D138*VLOOKUP($C138,ESCALA!$B$3:$O$19,14,0)+10)*2)*27,""))</f>
        <v/>
      </c>
      <c r="AN138" s="490" t="str">
        <f>IF($B138="","",IF($R138=AN$5,(SUM($D138*VLOOKUP($C138,ESCALA!$B$3:$O$19,14,0)+10)*2)*27,""))</f>
        <v/>
      </c>
      <c r="AO138" s="490" t="str">
        <f>IF($B138="","",IF($R138=AO$5,(SUM($D138*VLOOKUP($C138,ESCALA!$B$3:$O$19,14,0)+10)*2)*27,""))</f>
        <v/>
      </c>
      <c r="AP138" s="490" t="str">
        <f>IF($B138="","",IF($R138=AP$5,(SUM($D138*VLOOKUP($C138,ESCALA!$B$3:$O$19,14,0)+10)*2)*27,""))</f>
        <v/>
      </c>
      <c r="AY138" s="368" t="str">
        <f>IF(PERFIL!E137="","",PERFIL!E137)</f>
        <v/>
      </c>
      <c r="AZ138" s="368" t="str">
        <f t="shared" si="12"/>
        <v/>
      </c>
      <c r="BA138" s="368" t="str">
        <f t="shared" si="13"/>
        <v/>
      </c>
    </row>
    <row r="139" spans="2:53" ht="33.75" customHeight="1" x14ac:dyDescent="0.2">
      <c r="B139" s="551"/>
      <c r="C139" s="517"/>
      <c r="D139" s="503" t="str">
        <f>IF(C139="","",VLOOKUP(C139,'REL LINHAS'!$B$2:$K$2205,5,0))</f>
        <v/>
      </c>
      <c r="E139" s="321" t="str">
        <f t="shared" si="14"/>
        <v/>
      </c>
      <c r="F139" s="493"/>
      <c r="G139" s="494"/>
      <c r="H139" s="649"/>
      <c r="I139" s="650"/>
      <c r="J139" s="651"/>
      <c r="K139" s="652"/>
      <c r="L139" s="653"/>
      <c r="M139" s="654"/>
      <c r="N139" s="652"/>
      <c r="O139" s="653"/>
      <c r="P139" s="653"/>
      <c r="Q139" s="654"/>
      <c r="R139" s="655"/>
      <c r="S139" s="656"/>
      <c r="T139" s="652"/>
      <c r="U139" s="654"/>
      <c r="V139" s="652"/>
      <c r="W139" s="653"/>
      <c r="X139" s="654"/>
      <c r="Y139" s="495"/>
      <c r="Z139" s="496"/>
      <c r="AA139" s="63"/>
      <c r="AB139" s="497" t="s">
        <v>2505</v>
      </c>
      <c r="AC139" s="63"/>
      <c r="AD139" s="497" t="s">
        <v>2506</v>
      </c>
      <c r="AE139" s="63"/>
      <c r="AF139" s="497" t="s">
        <v>2507</v>
      </c>
      <c r="AG139" s="63"/>
      <c r="AH139" s="498" t="s">
        <v>441</v>
      </c>
      <c r="AJ139" s="490" t="str">
        <f>IF($B139="","",IF($R139=AJ$5,(SUM($D139*VLOOKUP($C139,ESCALA!$B$3:$O$19,14,0)+10)*2)*27,""))</f>
        <v/>
      </c>
      <c r="AK139" s="490" t="str">
        <f>IF($B139="","",IF($R139=AK$5,(SUM($D139*VLOOKUP($C139,ESCALA!$B$3:$O$19,14,0)+10)*2)*27,""))</f>
        <v/>
      </c>
      <c r="AL139" s="490" t="str">
        <f>IF($B139="","",IF($R139=AL$5,(SUM($D139*VLOOKUP($C139,ESCALA!$B$3:$O$19,14,0)+10)*2)*27,""))</f>
        <v/>
      </c>
      <c r="AM139" s="490" t="str">
        <f>IF($B139="","",IF($R139=AM$5,(SUM($D139*VLOOKUP($C139,ESCALA!$B$3:$O$19,14,0)+10)*2)*27,""))</f>
        <v/>
      </c>
      <c r="AN139" s="490" t="str">
        <f>IF($B139="","",IF($R139=AN$5,(SUM($D139*VLOOKUP($C139,ESCALA!$B$3:$O$19,14,0)+10)*2)*27,""))</f>
        <v/>
      </c>
      <c r="AO139" s="490" t="str">
        <f>IF($B139="","",IF($R139=AO$5,(SUM($D139*VLOOKUP($C139,ESCALA!$B$3:$O$19,14,0)+10)*2)*27,""))</f>
        <v/>
      </c>
      <c r="AP139" s="490" t="str">
        <f>IF($B139="","",IF($R139=AP$5,(SUM($D139*VLOOKUP($C139,ESCALA!$B$3:$O$19,14,0)+10)*2)*27,""))</f>
        <v/>
      </c>
      <c r="AY139" s="368" t="str">
        <f>IF(PERFIL!E138="","",PERFIL!E138)</f>
        <v/>
      </c>
      <c r="AZ139" s="368" t="str">
        <f t="shared" si="12"/>
        <v/>
      </c>
      <c r="BA139" s="368" t="str">
        <f t="shared" si="13"/>
        <v/>
      </c>
    </row>
    <row r="140" spans="2:53" ht="33.75" customHeight="1" x14ac:dyDescent="0.2">
      <c r="B140" s="551"/>
      <c r="C140" s="517"/>
      <c r="D140" s="503" t="str">
        <f>IF(C140="","",VLOOKUP(C140,'REL LINHAS'!$B$2:$K$2205,5,0))</f>
        <v/>
      </c>
      <c r="E140" s="321" t="str">
        <f t="shared" si="14"/>
        <v/>
      </c>
      <c r="F140" s="493"/>
      <c r="G140" s="494"/>
      <c r="H140" s="649"/>
      <c r="I140" s="650"/>
      <c r="J140" s="651"/>
      <c r="K140" s="652"/>
      <c r="L140" s="653"/>
      <c r="M140" s="654"/>
      <c r="N140" s="652"/>
      <c r="O140" s="653"/>
      <c r="P140" s="653"/>
      <c r="Q140" s="654"/>
      <c r="R140" s="655"/>
      <c r="S140" s="656"/>
      <c r="T140" s="652"/>
      <c r="U140" s="654"/>
      <c r="V140" s="652"/>
      <c r="W140" s="653"/>
      <c r="X140" s="654"/>
      <c r="Y140" s="495"/>
      <c r="Z140" s="496"/>
      <c r="AA140" s="63"/>
      <c r="AB140" s="497" t="s">
        <v>2505</v>
      </c>
      <c r="AC140" s="63"/>
      <c r="AD140" s="497" t="s">
        <v>2506</v>
      </c>
      <c r="AE140" s="63"/>
      <c r="AF140" s="497" t="s">
        <v>2507</v>
      </c>
      <c r="AG140" s="63"/>
      <c r="AH140" s="498" t="s">
        <v>441</v>
      </c>
      <c r="AJ140" s="490" t="str">
        <f>IF($B140="","",IF($R140=AJ$5,(SUM($D140*VLOOKUP($C140,ESCALA!$B$3:$O$19,14,0)+10)*2)*27,""))</f>
        <v/>
      </c>
      <c r="AK140" s="490" t="str">
        <f>IF($B140="","",IF($R140=AK$5,(SUM($D140*VLOOKUP($C140,ESCALA!$B$3:$O$19,14,0)+10)*2)*27,""))</f>
        <v/>
      </c>
      <c r="AL140" s="490" t="str">
        <f>IF($B140="","",IF($R140=AL$5,(SUM($D140*VLOOKUP($C140,ESCALA!$B$3:$O$19,14,0)+10)*2)*27,""))</f>
        <v/>
      </c>
      <c r="AM140" s="490" t="str">
        <f>IF($B140="","",IF($R140=AM$5,(SUM($D140*VLOOKUP($C140,ESCALA!$B$3:$O$19,14,0)+10)*2)*27,""))</f>
        <v/>
      </c>
      <c r="AN140" s="490" t="str">
        <f>IF($B140="","",IF($R140=AN$5,(SUM($D140*VLOOKUP($C140,ESCALA!$B$3:$O$19,14,0)+10)*2)*27,""))</f>
        <v/>
      </c>
      <c r="AO140" s="490" t="str">
        <f>IF($B140="","",IF($R140=AO$5,(SUM($D140*VLOOKUP($C140,ESCALA!$B$3:$O$19,14,0)+10)*2)*27,""))</f>
        <v/>
      </c>
      <c r="AP140" s="490" t="str">
        <f>IF($B140="","",IF($R140=AP$5,(SUM($D140*VLOOKUP($C140,ESCALA!$B$3:$O$19,14,0)+10)*2)*27,""))</f>
        <v/>
      </c>
      <c r="AY140" s="368" t="str">
        <f>IF(PERFIL!E139="","",PERFIL!E139)</f>
        <v/>
      </c>
      <c r="AZ140" s="368" t="str">
        <f t="shared" si="12"/>
        <v/>
      </c>
      <c r="BA140" s="368" t="str">
        <f t="shared" si="13"/>
        <v/>
      </c>
    </row>
    <row r="141" spans="2:53" ht="33.75" customHeight="1" x14ac:dyDescent="0.2">
      <c r="B141" s="551"/>
      <c r="C141" s="517"/>
      <c r="D141" s="503" t="str">
        <f>IF(C141="","",VLOOKUP(C141,'REL LINHAS'!$B$2:$K$2205,5,0))</f>
        <v/>
      </c>
      <c r="E141" s="321" t="str">
        <f t="shared" si="14"/>
        <v/>
      </c>
      <c r="F141" s="493"/>
      <c r="G141" s="494"/>
      <c r="H141" s="649"/>
      <c r="I141" s="650"/>
      <c r="J141" s="651"/>
      <c r="K141" s="652"/>
      <c r="L141" s="653"/>
      <c r="M141" s="654"/>
      <c r="N141" s="652"/>
      <c r="O141" s="653"/>
      <c r="P141" s="653"/>
      <c r="Q141" s="654"/>
      <c r="R141" s="655"/>
      <c r="S141" s="656"/>
      <c r="T141" s="652"/>
      <c r="U141" s="654"/>
      <c r="V141" s="652"/>
      <c r="W141" s="653"/>
      <c r="X141" s="654"/>
      <c r="Y141" s="495"/>
      <c r="Z141" s="496"/>
      <c r="AA141" s="63"/>
      <c r="AB141" s="497" t="s">
        <v>2505</v>
      </c>
      <c r="AC141" s="63"/>
      <c r="AD141" s="497" t="s">
        <v>2506</v>
      </c>
      <c r="AE141" s="63"/>
      <c r="AF141" s="497" t="s">
        <v>2507</v>
      </c>
      <c r="AG141" s="63"/>
      <c r="AH141" s="498" t="s">
        <v>441</v>
      </c>
      <c r="AJ141" s="490" t="str">
        <f>IF($B141="","",IF($R141=AJ$5,(SUM($D141*VLOOKUP($C141,ESCALA!$B$3:$O$19,14,0)+10)*2)*27,""))</f>
        <v/>
      </c>
      <c r="AK141" s="490" t="str">
        <f>IF($B141="","",IF($R141=AK$5,(SUM($D141*VLOOKUP($C141,ESCALA!$B$3:$O$19,14,0)+10)*2)*27,""))</f>
        <v/>
      </c>
      <c r="AL141" s="490" t="str">
        <f>IF($B141="","",IF($R141=AL$5,(SUM($D141*VLOOKUP($C141,ESCALA!$B$3:$O$19,14,0)+10)*2)*27,""))</f>
        <v/>
      </c>
      <c r="AM141" s="490" t="str">
        <f>IF($B141="","",IF($R141=AM$5,(SUM($D141*VLOOKUP($C141,ESCALA!$B$3:$O$19,14,0)+10)*2)*27,""))</f>
        <v/>
      </c>
      <c r="AN141" s="490" t="str">
        <f>IF($B141="","",IF($R141=AN$5,(SUM($D141*VLOOKUP($C141,ESCALA!$B$3:$O$19,14,0)+10)*2)*27,""))</f>
        <v/>
      </c>
      <c r="AO141" s="490" t="str">
        <f>IF($B141="","",IF($R141=AO$5,(SUM($D141*VLOOKUP($C141,ESCALA!$B$3:$O$19,14,0)+10)*2)*27,""))</f>
        <v/>
      </c>
      <c r="AP141" s="490" t="str">
        <f>IF($B141="","",IF($R141=AP$5,(SUM($D141*VLOOKUP($C141,ESCALA!$B$3:$O$19,14,0)+10)*2)*27,""))</f>
        <v/>
      </c>
      <c r="AY141" s="368" t="str">
        <f>IF(PERFIL!E140="","",PERFIL!E140)</f>
        <v/>
      </c>
      <c r="AZ141" s="368" t="str">
        <f t="shared" si="12"/>
        <v/>
      </c>
      <c r="BA141" s="368" t="str">
        <f t="shared" si="13"/>
        <v/>
      </c>
    </row>
    <row r="142" spans="2:53" ht="33.75" customHeight="1" x14ac:dyDescent="0.2">
      <c r="B142" s="551"/>
      <c r="C142" s="517"/>
      <c r="D142" s="503" t="str">
        <f>IF(C142="","",VLOOKUP(C142,'REL LINHAS'!$B$2:$K$2205,5,0))</f>
        <v/>
      </c>
      <c r="E142" s="321" t="str">
        <f t="shared" si="14"/>
        <v/>
      </c>
      <c r="F142" s="493"/>
      <c r="G142" s="494"/>
      <c r="H142" s="649"/>
      <c r="I142" s="650"/>
      <c r="J142" s="651"/>
      <c r="K142" s="652"/>
      <c r="L142" s="653"/>
      <c r="M142" s="654"/>
      <c r="N142" s="652"/>
      <c r="O142" s="653"/>
      <c r="P142" s="653"/>
      <c r="Q142" s="654"/>
      <c r="R142" s="655"/>
      <c r="S142" s="656"/>
      <c r="T142" s="652"/>
      <c r="U142" s="654"/>
      <c r="V142" s="652"/>
      <c r="W142" s="653"/>
      <c r="X142" s="654"/>
      <c r="Y142" s="495"/>
      <c r="Z142" s="496"/>
      <c r="AA142" s="63"/>
      <c r="AB142" s="497" t="s">
        <v>2505</v>
      </c>
      <c r="AC142" s="63"/>
      <c r="AD142" s="497" t="s">
        <v>2506</v>
      </c>
      <c r="AE142" s="63"/>
      <c r="AF142" s="497" t="s">
        <v>2507</v>
      </c>
      <c r="AG142" s="63"/>
      <c r="AH142" s="498" t="s">
        <v>441</v>
      </c>
      <c r="AJ142" s="490" t="str">
        <f>IF($B142="","",IF($R142=AJ$5,(SUM($D142*VLOOKUP($C142,ESCALA!$B$3:$O$19,14,0)+10)*2)*27,""))</f>
        <v/>
      </c>
      <c r="AK142" s="490" t="str">
        <f>IF($B142="","",IF($R142=AK$5,(SUM($D142*VLOOKUP($C142,ESCALA!$B$3:$O$19,14,0)+10)*2)*27,""))</f>
        <v/>
      </c>
      <c r="AL142" s="490" t="str">
        <f>IF($B142="","",IF($R142=AL$5,(SUM($D142*VLOOKUP($C142,ESCALA!$B$3:$O$19,14,0)+10)*2)*27,""))</f>
        <v/>
      </c>
      <c r="AM142" s="490" t="str">
        <f>IF($B142="","",IF($R142=AM$5,(SUM($D142*VLOOKUP($C142,ESCALA!$B$3:$O$19,14,0)+10)*2)*27,""))</f>
        <v/>
      </c>
      <c r="AN142" s="490" t="str">
        <f>IF($B142="","",IF($R142=AN$5,(SUM($D142*VLOOKUP($C142,ESCALA!$B$3:$O$19,14,0)+10)*2)*27,""))</f>
        <v/>
      </c>
      <c r="AO142" s="490" t="str">
        <f>IF($B142="","",IF($R142=AO$5,(SUM($D142*VLOOKUP($C142,ESCALA!$B$3:$O$19,14,0)+10)*2)*27,""))</f>
        <v/>
      </c>
      <c r="AP142" s="490" t="str">
        <f>IF($B142="","",IF($R142=AP$5,(SUM($D142*VLOOKUP($C142,ESCALA!$B$3:$O$19,14,0)+10)*2)*27,""))</f>
        <v/>
      </c>
      <c r="AY142" s="368" t="str">
        <f>IF(PERFIL!E141="","",PERFIL!E141)</f>
        <v/>
      </c>
      <c r="AZ142" s="368" t="str">
        <f t="shared" si="12"/>
        <v/>
      </c>
      <c r="BA142" s="368" t="str">
        <f t="shared" si="13"/>
        <v/>
      </c>
    </row>
    <row r="143" spans="2:53" ht="33.75" customHeight="1" x14ac:dyDescent="0.2">
      <c r="B143" s="551"/>
      <c r="C143" s="517"/>
      <c r="D143" s="503" t="str">
        <f>IF(C143="","",VLOOKUP(C143,'REL LINHAS'!$B$2:$K$2205,5,0))</f>
        <v/>
      </c>
      <c r="E143" s="321" t="str">
        <f t="shared" si="14"/>
        <v/>
      </c>
      <c r="F143" s="493"/>
      <c r="G143" s="494"/>
      <c r="H143" s="649"/>
      <c r="I143" s="650"/>
      <c r="J143" s="651"/>
      <c r="K143" s="652"/>
      <c r="L143" s="653"/>
      <c r="M143" s="654"/>
      <c r="N143" s="652"/>
      <c r="O143" s="653"/>
      <c r="P143" s="653"/>
      <c r="Q143" s="654"/>
      <c r="R143" s="655"/>
      <c r="S143" s="656"/>
      <c r="T143" s="652"/>
      <c r="U143" s="654"/>
      <c r="V143" s="652"/>
      <c r="W143" s="653"/>
      <c r="X143" s="654"/>
      <c r="Y143" s="495"/>
      <c r="Z143" s="496"/>
      <c r="AA143" s="63"/>
      <c r="AB143" s="497" t="s">
        <v>2505</v>
      </c>
      <c r="AC143" s="63"/>
      <c r="AD143" s="497" t="s">
        <v>2506</v>
      </c>
      <c r="AE143" s="63"/>
      <c r="AF143" s="497" t="s">
        <v>2507</v>
      </c>
      <c r="AG143" s="63"/>
      <c r="AH143" s="498" t="s">
        <v>441</v>
      </c>
      <c r="AJ143" s="490" t="str">
        <f>IF($B143="","",IF($R143=AJ$5,(SUM($D143*VLOOKUP($C143,ESCALA!$B$3:$O$19,14,0)+10)*2)*27,""))</f>
        <v/>
      </c>
      <c r="AK143" s="490" t="str">
        <f>IF($B143="","",IF($R143=AK$5,(SUM($D143*VLOOKUP($C143,ESCALA!$B$3:$O$19,14,0)+10)*2)*27,""))</f>
        <v/>
      </c>
      <c r="AL143" s="490" t="str">
        <f>IF($B143="","",IF($R143=AL$5,(SUM($D143*VLOOKUP($C143,ESCALA!$B$3:$O$19,14,0)+10)*2)*27,""))</f>
        <v/>
      </c>
      <c r="AM143" s="490" t="str">
        <f>IF($B143="","",IF($R143=AM$5,(SUM($D143*VLOOKUP($C143,ESCALA!$B$3:$O$19,14,0)+10)*2)*27,""))</f>
        <v/>
      </c>
      <c r="AN143" s="490" t="str">
        <f>IF($B143="","",IF($R143=AN$5,(SUM($D143*VLOOKUP($C143,ESCALA!$B$3:$O$19,14,0)+10)*2)*27,""))</f>
        <v/>
      </c>
      <c r="AO143" s="490" t="str">
        <f>IF($B143="","",IF($R143=AO$5,(SUM($D143*VLOOKUP($C143,ESCALA!$B$3:$O$19,14,0)+10)*2)*27,""))</f>
        <v/>
      </c>
      <c r="AP143" s="490" t="str">
        <f>IF($B143="","",IF($R143=AP$5,(SUM($D143*VLOOKUP($C143,ESCALA!$B$3:$O$19,14,0)+10)*2)*27,""))</f>
        <v/>
      </c>
      <c r="AY143" s="368" t="str">
        <f>IF(PERFIL!E142="","",PERFIL!E142)</f>
        <v/>
      </c>
      <c r="AZ143" s="368" t="str">
        <f t="shared" si="12"/>
        <v/>
      </c>
      <c r="BA143" s="368" t="str">
        <f t="shared" si="13"/>
        <v/>
      </c>
    </row>
    <row r="144" spans="2:53" ht="33.75" customHeight="1" x14ac:dyDescent="0.2">
      <c r="B144" s="551"/>
      <c r="C144" s="517"/>
      <c r="D144" s="503" t="str">
        <f>IF(C144="","",VLOOKUP(C144,'REL LINHAS'!$B$2:$K$2205,5,0))</f>
        <v/>
      </c>
      <c r="E144" s="321" t="str">
        <f t="shared" si="14"/>
        <v/>
      </c>
      <c r="F144" s="493"/>
      <c r="G144" s="494"/>
      <c r="H144" s="649"/>
      <c r="I144" s="650"/>
      <c r="J144" s="651"/>
      <c r="K144" s="652"/>
      <c r="L144" s="653"/>
      <c r="M144" s="654"/>
      <c r="N144" s="652"/>
      <c r="O144" s="653"/>
      <c r="P144" s="653"/>
      <c r="Q144" s="654"/>
      <c r="R144" s="655"/>
      <c r="S144" s="656"/>
      <c r="T144" s="652"/>
      <c r="U144" s="654"/>
      <c r="V144" s="652"/>
      <c r="W144" s="653"/>
      <c r="X144" s="654"/>
      <c r="Y144" s="495"/>
      <c r="Z144" s="496"/>
      <c r="AA144" s="63"/>
      <c r="AB144" s="497" t="s">
        <v>2505</v>
      </c>
      <c r="AC144" s="63"/>
      <c r="AD144" s="497" t="s">
        <v>2506</v>
      </c>
      <c r="AE144" s="63"/>
      <c r="AF144" s="497" t="s">
        <v>2507</v>
      </c>
      <c r="AG144" s="63"/>
      <c r="AH144" s="498" t="s">
        <v>441</v>
      </c>
      <c r="AJ144" s="490" t="str">
        <f>IF($B144="","",IF($R144=AJ$5,(SUM($D144*VLOOKUP($C144,ESCALA!$B$3:$O$19,14,0)+10)*2)*27,""))</f>
        <v/>
      </c>
      <c r="AK144" s="490" t="str">
        <f>IF($B144="","",IF($R144=AK$5,(SUM($D144*VLOOKUP($C144,ESCALA!$B$3:$O$19,14,0)+10)*2)*27,""))</f>
        <v/>
      </c>
      <c r="AL144" s="490" t="str">
        <f>IF($B144="","",IF($R144=AL$5,(SUM($D144*VLOOKUP($C144,ESCALA!$B$3:$O$19,14,0)+10)*2)*27,""))</f>
        <v/>
      </c>
      <c r="AM144" s="490" t="str">
        <f>IF($B144="","",IF($R144=AM$5,(SUM($D144*VLOOKUP($C144,ESCALA!$B$3:$O$19,14,0)+10)*2)*27,""))</f>
        <v/>
      </c>
      <c r="AN144" s="490" t="str">
        <f>IF($B144="","",IF($R144=AN$5,(SUM($D144*VLOOKUP($C144,ESCALA!$B$3:$O$19,14,0)+10)*2)*27,""))</f>
        <v/>
      </c>
      <c r="AO144" s="490" t="str">
        <f>IF($B144="","",IF($R144=AO$5,(SUM($D144*VLOOKUP($C144,ESCALA!$B$3:$O$19,14,0)+10)*2)*27,""))</f>
        <v/>
      </c>
      <c r="AP144" s="490" t="str">
        <f>IF($B144="","",IF($R144=AP$5,(SUM($D144*VLOOKUP($C144,ESCALA!$B$3:$O$19,14,0)+10)*2)*27,""))</f>
        <v/>
      </c>
      <c r="AY144" s="368" t="str">
        <f>IF(PERFIL!E143="","",PERFIL!E143)</f>
        <v/>
      </c>
      <c r="AZ144" s="368" t="str">
        <f t="shared" si="12"/>
        <v/>
      </c>
      <c r="BA144" s="368" t="str">
        <f t="shared" si="13"/>
        <v/>
      </c>
    </row>
    <row r="145" spans="2:53" ht="33.75" customHeight="1" x14ac:dyDescent="0.2">
      <c r="B145" s="551"/>
      <c r="C145" s="517"/>
      <c r="D145" s="503" t="str">
        <f>IF(C145="","",VLOOKUP(C145,'REL LINHAS'!$B$2:$K$2205,5,0))</f>
        <v/>
      </c>
      <c r="E145" s="321" t="str">
        <f t="shared" si="14"/>
        <v/>
      </c>
      <c r="F145" s="493"/>
      <c r="G145" s="494"/>
      <c r="H145" s="649"/>
      <c r="I145" s="650"/>
      <c r="J145" s="651"/>
      <c r="K145" s="652"/>
      <c r="L145" s="653"/>
      <c r="M145" s="654"/>
      <c r="N145" s="652"/>
      <c r="O145" s="653"/>
      <c r="P145" s="653"/>
      <c r="Q145" s="654"/>
      <c r="R145" s="655"/>
      <c r="S145" s="656"/>
      <c r="T145" s="652"/>
      <c r="U145" s="654"/>
      <c r="V145" s="652"/>
      <c r="W145" s="653"/>
      <c r="X145" s="654"/>
      <c r="Y145" s="495"/>
      <c r="Z145" s="496"/>
      <c r="AA145" s="63"/>
      <c r="AB145" s="497" t="s">
        <v>2505</v>
      </c>
      <c r="AC145" s="63"/>
      <c r="AD145" s="497" t="s">
        <v>2506</v>
      </c>
      <c r="AE145" s="63"/>
      <c r="AF145" s="497" t="s">
        <v>2507</v>
      </c>
      <c r="AG145" s="63"/>
      <c r="AH145" s="498" t="s">
        <v>441</v>
      </c>
      <c r="AJ145" s="490" t="str">
        <f>IF($B145="","",IF($R145=AJ$5,(SUM($D145*VLOOKUP($C145,ESCALA!$B$3:$O$19,14,0)+10)*2)*27,""))</f>
        <v/>
      </c>
      <c r="AK145" s="490" t="str">
        <f>IF($B145="","",IF($R145=AK$5,(SUM($D145*VLOOKUP($C145,ESCALA!$B$3:$O$19,14,0)+10)*2)*27,""))</f>
        <v/>
      </c>
      <c r="AL145" s="490" t="str">
        <f>IF($B145="","",IF($R145=AL$5,(SUM($D145*VLOOKUP($C145,ESCALA!$B$3:$O$19,14,0)+10)*2)*27,""))</f>
        <v/>
      </c>
      <c r="AM145" s="490" t="str">
        <f>IF($B145="","",IF($R145=AM$5,(SUM($D145*VLOOKUP($C145,ESCALA!$B$3:$O$19,14,0)+10)*2)*27,""))</f>
        <v/>
      </c>
      <c r="AN145" s="490" t="str">
        <f>IF($B145="","",IF($R145=AN$5,(SUM($D145*VLOOKUP($C145,ESCALA!$B$3:$O$19,14,0)+10)*2)*27,""))</f>
        <v/>
      </c>
      <c r="AO145" s="490" t="str">
        <f>IF($B145="","",IF($R145=AO$5,(SUM($D145*VLOOKUP($C145,ESCALA!$B$3:$O$19,14,0)+10)*2)*27,""))</f>
        <v/>
      </c>
      <c r="AP145" s="490" t="str">
        <f>IF($B145="","",IF($R145=AP$5,(SUM($D145*VLOOKUP($C145,ESCALA!$B$3:$O$19,14,0)+10)*2)*27,""))</f>
        <v/>
      </c>
      <c r="AY145" s="368" t="str">
        <f>IF(PERFIL!E144="","",PERFIL!E144)</f>
        <v/>
      </c>
      <c r="AZ145" s="368" t="str">
        <f t="shared" si="12"/>
        <v/>
      </c>
      <c r="BA145" s="368" t="str">
        <f t="shared" si="13"/>
        <v/>
      </c>
    </row>
    <row r="146" spans="2:53" ht="33.75" customHeight="1" x14ac:dyDescent="0.2">
      <c r="B146" s="551"/>
      <c r="C146" s="517"/>
      <c r="D146" s="503" t="str">
        <f>IF(C146="","",VLOOKUP(C146,'REL LINHAS'!$B$2:$K$2205,5,0))</f>
        <v/>
      </c>
      <c r="E146" s="321" t="str">
        <f t="shared" ref="E146:E155" si="15">IF($C146="","",IF($C146="LINHA","",IF(VLOOKUP($C146,$AX$6:$BA$21,2,0)=$H146,"ATENDE",IF(VLOOKUP($C146,$AX$6:$BA$21,3,0)=$H146,"ATENDE",IF(VLOOKUP($C146,$AX$6:$BA$21,4,0)=$H146,"ATENDE","NÃO ATENDE")))))</f>
        <v/>
      </c>
      <c r="F146" s="493"/>
      <c r="G146" s="494"/>
      <c r="H146" s="649"/>
      <c r="I146" s="650"/>
      <c r="J146" s="651"/>
      <c r="K146" s="652"/>
      <c r="L146" s="653"/>
      <c r="M146" s="654"/>
      <c r="N146" s="652"/>
      <c r="O146" s="653"/>
      <c r="P146" s="653"/>
      <c r="Q146" s="654"/>
      <c r="R146" s="655"/>
      <c r="S146" s="656"/>
      <c r="T146" s="652"/>
      <c r="U146" s="654"/>
      <c r="V146" s="652"/>
      <c r="W146" s="653"/>
      <c r="X146" s="654"/>
      <c r="Y146" s="495"/>
      <c r="Z146" s="496"/>
      <c r="AA146" s="63"/>
      <c r="AB146" s="497" t="s">
        <v>2505</v>
      </c>
      <c r="AC146" s="63"/>
      <c r="AD146" s="497" t="s">
        <v>2506</v>
      </c>
      <c r="AE146" s="63"/>
      <c r="AF146" s="497" t="s">
        <v>2507</v>
      </c>
      <c r="AG146" s="63"/>
      <c r="AH146" s="498" t="s">
        <v>441</v>
      </c>
      <c r="AJ146" s="490" t="str">
        <f>IF($B146="","",IF($R146=AJ$5,(SUM($D146*VLOOKUP($C146,ESCALA!$B$3:$O$19,14,0)+10)*2)*27,""))</f>
        <v/>
      </c>
      <c r="AK146" s="490" t="str">
        <f>IF($B146="","",IF($R146=AK$5,(SUM($D146*VLOOKUP($C146,ESCALA!$B$3:$O$19,14,0)+10)*2)*27,""))</f>
        <v/>
      </c>
      <c r="AL146" s="490" t="str">
        <f>IF($B146="","",IF($R146=AL$5,(SUM($D146*VLOOKUP($C146,ESCALA!$B$3:$O$19,14,0)+10)*2)*27,""))</f>
        <v/>
      </c>
      <c r="AM146" s="490" t="str">
        <f>IF($B146="","",IF($R146=AM$5,(SUM($D146*VLOOKUP($C146,ESCALA!$B$3:$O$19,14,0)+10)*2)*27,""))</f>
        <v/>
      </c>
      <c r="AN146" s="490" t="str">
        <f>IF($B146="","",IF($R146=AN$5,(SUM($D146*VLOOKUP($C146,ESCALA!$B$3:$O$19,14,0)+10)*2)*27,""))</f>
        <v/>
      </c>
      <c r="AO146" s="490" t="str">
        <f>IF($B146="","",IF($R146=AO$5,(SUM($D146*VLOOKUP($C146,ESCALA!$B$3:$O$19,14,0)+10)*2)*27,""))</f>
        <v/>
      </c>
      <c r="AP146" s="490" t="str">
        <f>IF($B146="","",IF($R146=AP$5,(SUM($D146*VLOOKUP($C146,ESCALA!$B$3:$O$19,14,0)+10)*2)*27,""))</f>
        <v/>
      </c>
      <c r="AY146" s="368" t="str">
        <f>IF(PERFIL!E145="","",PERFIL!E145)</f>
        <v/>
      </c>
      <c r="AZ146" s="368" t="str">
        <f t="shared" si="12"/>
        <v/>
      </c>
      <c r="BA146" s="368" t="str">
        <f t="shared" si="13"/>
        <v/>
      </c>
    </row>
    <row r="147" spans="2:53" ht="33.75" customHeight="1" x14ac:dyDescent="0.2">
      <c r="B147" s="551"/>
      <c r="C147" s="517"/>
      <c r="D147" s="503" t="str">
        <f>IF(C147="","",VLOOKUP(C147,'REL LINHAS'!$B$2:$K$2205,5,0))</f>
        <v/>
      </c>
      <c r="E147" s="321" t="str">
        <f t="shared" si="15"/>
        <v/>
      </c>
      <c r="F147" s="493"/>
      <c r="G147" s="494"/>
      <c r="H147" s="649"/>
      <c r="I147" s="650"/>
      <c r="J147" s="651"/>
      <c r="K147" s="652"/>
      <c r="L147" s="653"/>
      <c r="M147" s="654"/>
      <c r="N147" s="652"/>
      <c r="O147" s="653"/>
      <c r="P147" s="653"/>
      <c r="Q147" s="654"/>
      <c r="R147" s="655"/>
      <c r="S147" s="656"/>
      <c r="T147" s="652"/>
      <c r="U147" s="654"/>
      <c r="V147" s="652"/>
      <c r="W147" s="653"/>
      <c r="X147" s="654"/>
      <c r="Y147" s="495"/>
      <c r="Z147" s="496"/>
      <c r="AA147" s="63"/>
      <c r="AB147" s="497" t="s">
        <v>2505</v>
      </c>
      <c r="AC147" s="63"/>
      <c r="AD147" s="497" t="s">
        <v>2506</v>
      </c>
      <c r="AE147" s="63"/>
      <c r="AF147" s="497" t="s">
        <v>2507</v>
      </c>
      <c r="AG147" s="63"/>
      <c r="AH147" s="498" t="s">
        <v>441</v>
      </c>
      <c r="AJ147" s="490" t="str">
        <f>IF($B147="","",IF($R147=AJ$5,(SUM($D147*VLOOKUP($C147,ESCALA!$B$3:$O$19,14,0)+10)*2)*27,""))</f>
        <v/>
      </c>
      <c r="AK147" s="490" t="str">
        <f>IF($B147="","",IF($R147=AK$5,(SUM($D147*VLOOKUP($C147,ESCALA!$B$3:$O$19,14,0)+10)*2)*27,""))</f>
        <v/>
      </c>
      <c r="AL147" s="490" t="str">
        <f>IF($B147="","",IF($R147=AL$5,(SUM($D147*VLOOKUP($C147,ESCALA!$B$3:$O$19,14,0)+10)*2)*27,""))</f>
        <v/>
      </c>
      <c r="AM147" s="490" t="str">
        <f>IF($B147="","",IF($R147=AM$5,(SUM($D147*VLOOKUP($C147,ESCALA!$B$3:$O$19,14,0)+10)*2)*27,""))</f>
        <v/>
      </c>
      <c r="AN147" s="490" t="str">
        <f>IF($B147="","",IF($R147=AN$5,(SUM($D147*VLOOKUP($C147,ESCALA!$B$3:$O$19,14,0)+10)*2)*27,""))</f>
        <v/>
      </c>
      <c r="AO147" s="490" t="str">
        <f>IF($B147="","",IF($R147=AO$5,(SUM($D147*VLOOKUP($C147,ESCALA!$B$3:$O$19,14,0)+10)*2)*27,""))</f>
        <v/>
      </c>
      <c r="AP147" s="490" t="str">
        <f>IF($B147="","",IF($R147=AP$5,(SUM($D147*VLOOKUP($C147,ESCALA!$B$3:$O$19,14,0)+10)*2)*27,""))</f>
        <v/>
      </c>
      <c r="AY147" s="368" t="str">
        <f>IF(PERFIL!E146="","",PERFIL!E146)</f>
        <v/>
      </c>
      <c r="AZ147" s="368" t="str">
        <f t="shared" si="12"/>
        <v/>
      </c>
      <c r="BA147" s="368" t="str">
        <f t="shared" si="13"/>
        <v/>
      </c>
    </row>
    <row r="148" spans="2:53" ht="33.75" customHeight="1" x14ac:dyDescent="0.2">
      <c r="B148" s="551"/>
      <c r="C148" s="517"/>
      <c r="D148" s="503" t="str">
        <f>IF(C148="","",VLOOKUP(C148,'REL LINHAS'!$B$2:$K$2205,5,0))</f>
        <v/>
      </c>
      <c r="E148" s="321" t="str">
        <f t="shared" si="15"/>
        <v/>
      </c>
      <c r="F148" s="493"/>
      <c r="G148" s="494"/>
      <c r="H148" s="649"/>
      <c r="I148" s="650"/>
      <c r="J148" s="651"/>
      <c r="K148" s="652"/>
      <c r="L148" s="653"/>
      <c r="M148" s="654"/>
      <c r="N148" s="652"/>
      <c r="O148" s="653"/>
      <c r="P148" s="653"/>
      <c r="Q148" s="654"/>
      <c r="R148" s="655"/>
      <c r="S148" s="656"/>
      <c r="T148" s="652"/>
      <c r="U148" s="654"/>
      <c r="V148" s="652"/>
      <c r="W148" s="653"/>
      <c r="X148" s="654"/>
      <c r="Y148" s="495"/>
      <c r="Z148" s="496"/>
      <c r="AA148" s="63"/>
      <c r="AB148" s="497" t="s">
        <v>2505</v>
      </c>
      <c r="AC148" s="63"/>
      <c r="AD148" s="497" t="s">
        <v>2506</v>
      </c>
      <c r="AE148" s="63"/>
      <c r="AF148" s="497" t="s">
        <v>2507</v>
      </c>
      <c r="AG148" s="63"/>
      <c r="AH148" s="498" t="s">
        <v>441</v>
      </c>
      <c r="AJ148" s="490" t="str">
        <f>IF($B148="","",IF($R148=AJ$5,(SUM($D148*VLOOKUP($C148,ESCALA!$B$3:$O$19,14,0)+10)*2)*27,""))</f>
        <v/>
      </c>
      <c r="AK148" s="490" t="str">
        <f>IF($B148="","",IF($R148=AK$5,(SUM($D148*VLOOKUP($C148,ESCALA!$B$3:$O$19,14,0)+10)*2)*27,""))</f>
        <v/>
      </c>
      <c r="AL148" s="490" t="str">
        <f>IF($B148="","",IF($R148=AL$5,(SUM($D148*VLOOKUP($C148,ESCALA!$B$3:$O$19,14,0)+10)*2)*27,""))</f>
        <v/>
      </c>
      <c r="AM148" s="490" t="str">
        <f>IF($B148="","",IF($R148=AM$5,(SUM($D148*VLOOKUP($C148,ESCALA!$B$3:$O$19,14,0)+10)*2)*27,""))</f>
        <v/>
      </c>
      <c r="AN148" s="490" t="str">
        <f>IF($B148="","",IF($R148=AN$5,(SUM($D148*VLOOKUP($C148,ESCALA!$B$3:$O$19,14,0)+10)*2)*27,""))</f>
        <v/>
      </c>
      <c r="AO148" s="490" t="str">
        <f>IF($B148="","",IF($R148=AO$5,(SUM($D148*VLOOKUP($C148,ESCALA!$B$3:$O$19,14,0)+10)*2)*27,""))</f>
        <v/>
      </c>
      <c r="AP148" s="490" t="str">
        <f>IF($B148="","",IF($R148=AP$5,(SUM($D148*VLOOKUP($C148,ESCALA!$B$3:$O$19,14,0)+10)*2)*27,""))</f>
        <v/>
      </c>
      <c r="AY148" s="368" t="str">
        <f>IF(PERFIL!E147="","",PERFIL!E147)</f>
        <v/>
      </c>
      <c r="AZ148" s="368" t="str">
        <f t="shared" si="12"/>
        <v/>
      </c>
      <c r="BA148" s="368" t="str">
        <f t="shared" si="13"/>
        <v/>
      </c>
    </row>
    <row r="149" spans="2:53" ht="33.75" customHeight="1" x14ac:dyDescent="0.2">
      <c r="B149" s="551"/>
      <c r="C149" s="517"/>
      <c r="D149" s="503" t="str">
        <f>IF(C149="","",VLOOKUP(C149,'REL LINHAS'!$B$2:$K$2205,5,0))</f>
        <v/>
      </c>
      <c r="E149" s="321" t="str">
        <f t="shared" si="15"/>
        <v/>
      </c>
      <c r="F149" s="493"/>
      <c r="G149" s="494"/>
      <c r="H149" s="649"/>
      <c r="I149" s="650"/>
      <c r="J149" s="651"/>
      <c r="K149" s="652"/>
      <c r="L149" s="653"/>
      <c r="M149" s="654"/>
      <c r="N149" s="652"/>
      <c r="O149" s="653"/>
      <c r="P149" s="653"/>
      <c r="Q149" s="654"/>
      <c r="R149" s="655"/>
      <c r="S149" s="656"/>
      <c r="T149" s="652"/>
      <c r="U149" s="654"/>
      <c r="V149" s="652"/>
      <c r="W149" s="653"/>
      <c r="X149" s="654"/>
      <c r="Y149" s="495"/>
      <c r="Z149" s="496"/>
      <c r="AA149" s="63"/>
      <c r="AB149" s="497" t="s">
        <v>2505</v>
      </c>
      <c r="AC149" s="63"/>
      <c r="AD149" s="497" t="s">
        <v>2506</v>
      </c>
      <c r="AE149" s="63"/>
      <c r="AF149" s="497" t="s">
        <v>2507</v>
      </c>
      <c r="AG149" s="63"/>
      <c r="AH149" s="498" t="s">
        <v>441</v>
      </c>
      <c r="AJ149" s="490" t="str">
        <f>IF($B149="","",IF($R149=AJ$5,(SUM($D149*VLOOKUP($C149,ESCALA!$B$3:$O$19,14,0)+10)*2)*27,""))</f>
        <v/>
      </c>
      <c r="AK149" s="490" t="str">
        <f>IF($B149="","",IF($R149=AK$5,(SUM($D149*VLOOKUP($C149,ESCALA!$B$3:$O$19,14,0)+10)*2)*27,""))</f>
        <v/>
      </c>
      <c r="AL149" s="490" t="str">
        <f>IF($B149="","",IF($R149=AL$5,(SUM($D149*VLOOKUP($C149,ESCALA!$B$3:$O$19,14,0)+10)*2)*27,""))</f>
        <v/>
      </c>
      <c r="AM149" s="490" t="str">
        <f>IF($B149="","",IF($R149=AM$5,(SUM($D149*VLOOKUP($C149,ESCALA!$B$3:$O$19,14,0)+10)*2)*27,""))</f>
        <v/>
      </c>
      <c r="AN149" s="490" t="str">
        <f>IF($B149="","",IF($R149=AN$5,(SUM($D149*VLOOKUP($C149,ESCALA!$B$3:$O$19,14,0)+10)*2)*27,""))</f>
        <v/>
      </c>
      <c r="AO149" s="490" t="str">
        <f>IF($B149="","",IF($R149=AO$5,(SUM($D149*VLOOKUP($C149,ESCALA!$B$3:$O$19,14,0)+10)*2)*27,""))</f>
        <v/>
      </c>
      <c r="AP149" s="490" t="str">
        <f>IF($B149="","",IF($R149=AP$5,(SUM($D149*VLOOKUP($C149,ESCALA!$B$3:$O$19,14,0)+10)*2)*27,""))</f>
        <v/>
      </c>
      <c r="AY149" s="368" t="str">
        <f>IF(PERFIL!E148="","",PERFIL!E148)</f>
        <v/>
      </c>
      <c r="AZ149" s="368" t="str">
        <f t="shared" si="12"/>
        <v/>
      </c>
      <c r="BA149" s="368" t="str">
        <f t="shared" si="13"/>
        <v/>
      </c>
    </row>
    <row r="150" spans="2:53" ht="33.75" customHeight="1" x14ac:dyDescent="0.2">
      <c r="B150" s="551"/>
      <c r="C150" s="517"/>
      <c r="D150" s="503" t="str">
        <f>IF(C150="","",VLOOKUP(C150,'REL LINHAS'!$B$2:$K$2205,5,0))</f>
        <v/>
      </c>
      <c r="E150" s="321" t="str">
        <f t="shared" si="15"/>
        <v/>
      </c>
      <c r="F150" s="493"/>
      <c r="G150" s="494"/>
      <c r="H150" s="649"/>
      <c r="I150" s="650"/>
      <c r="J150" s="651"/>
      <c r="K150" s="652"/>
      <c r="L150" s="653"/>
      <c r="M150" s="654"/>
      <c r="N150" s="652"/>
      <c r="O150" s="653"/>
      <c r="P150" s="653"/>
      <c r="Q150" s="654"/>
      <c r="R150" s="655"/>
      <c r="S150" s="656"/>
      <c r="T150" s="652"/>
      <c r="U150" s="654"/>
      <c r="V150" s="652"/>
      <c r="W150" s="653"/>
      <c r="X150" s="654"/>
      <c r="Y150" s="495"/>
      <c r="Z150" s="496"/>
      <c r="AA150" s="63"/>
      <c r="AB150" s="497" t="s">
        <v>2505</v>
      </c>
      <c r="AC150" s="63"/>
      <c r="AD150" s="497" t="s">
        <v>2506</v>
      </c>
      <c r="AE150" s="63"/>
      <c r="AF150" s="497" t="s">
        <v>2507</v>
      </c>
      <c r="AG150" s="63"/>
      <c r="AH150" s="498" t="s">
        <v>441</v>
      </c>
      <c r="AJ150" s="490" t="str">
        <f>IF($B150="","",IF($R150=AJ$5,(SUM($D150*VLOOKUP($C150,ESCALA!$B$3:$O$19,14,0)+10)*2)*27,""))</f>
        <v/>
      </c>
      <c r="AK150" s="490" t="str">
        <f>IF($B150="","",IF($R150=AK$5,(SUM($D150*VLOOKUP($C150,ESCALA!$B$3:$O$19,14,0)+10)*2)*27,""))</f>
        <v/>
      </c>
      <c r="AL150" s="490" t="str">
        <f>IF($B150="","",IF($R150=AL$5,(SUM($D150*VLOOKUP($C150,ESCALA!$B$3:$O$19,14,0)+10)*2)*27,""))</f>
        <v/>
      </c>
      <c r="AM150" s="490" t="str">
        <f>IF($B150="","",IF($R150=AM$5,(SUM($D150*VLOOKUP($C150,ESCALA!$B$3:$O$19,14,0)+10)*2)*27,""))</f>
        <v/>
      </c>
      <c r="AN150" s="490" t="str">
        <f>IF($B150="","",IF($R150=AN$5,(SUM($D150*VLOOKUP($C150,ESCALA!$B$3:$O$19,14,0)+10)*2)*27,""))</f>
        <v/>
      </c>
      <c r="AO150" s="490" t="str">
        <f>IF($B150="","",IF($R150=AO$5,(SUM($D150*VLOOKUP($C150,ESCALA!$B$3:$O$19,14,0)+10)*2)*27,""))</f>
        <v/>
      </c>
      <c r="AP150" s="490" t="str">
        <f>IF($B150="","",IF($R150=AP$5,(SUM($D150*VLOOKUP($C150,ESCALA!$B$3:$O$19,14,0)+10)*2)*27,""))</f>
        <v/>
      </c>
      <c r="AY150" s="368" t="str">
        <f>IF(PERFIL!E149="","",PERFIL!E149)</f>
        <v/>
      </c>
      <c r="AZ150" s="368" t="str">
        <f t="shared" si="12"/>
        <v/>
      </c>
      <c r="BA150" s="368" t="str">
        <f t="shared" si="13"/>
        <v/>
      </c>
    </row>
    <row r="151" spans="2:53" ht="33.75" customHeight="1" x14ac:dyDescent="0.2">
      <c r="B151" s="551"/>
      <c r="C151" s="517"/>
      <c r="D151" s="503" t="str">
        <f>IF(C151="","",VLOOKUP(C151,'REL LINHAS'!$B$2:$K$2205,5,0))</f>
        <v/>
      </c>
      <c r="E151" s="321" t="str">
        <f t="shared" si="15"/>
        <v/>
      </c>
      <c r="F151" s="493"/>
      <c r="G151" s="494"/>
      <c r="H151" s="649"/>
      <c r="I151" s="650"/>
      <c r="J151" s="651"/>
      <c r="K151" s="652"/>
      <c r="L151" s="653"/>
      <c r="M151" s="654"/>
      <c r="N151" s="652"/>
      <c r="O151" s="653"/>
      <c r="P151" s="653"/>
      <c r="Q151" s="654"/>
      <c r="R151" s="655"/>
      <c r="S151" s="656"/>
      <c r="T151" s="652"/>
      <c r="U151" s="654"/>
      <c r="V151" s="652"/>
      <c r="W151" s="653"/>
      <c r="X151" s="654"/>
      <c r="Y151" s="495"/>
      <c r="Z151" s="496"/>
      <c r="AA151" s="63"/>
      <c r="AB151" s="497" t="s">
        <v>2505</v>
      </c>
      <c r="AC151" s="63"/>
      <c r="AD151" s="497" t="s">
        <v>2506</v>
      </c>
      <c r="AE151" s="63"/>
      <c r="AF151" s="497" t="s">
        <v>2507</v>
      </c>
      <c r="AG151" s="63"/>
      <c r="AH151" s="498" t="s">
        <v>441</v>
      </c>
      <c r="AJ151" s="490" t="str">
        <f>IF($B151="","",IF($R151=AJ$5,(SUM($D151*VLOOKUP($C151,ESCALA!$B$3:$O$19,14,0)+10)*2)*27,""))</f>
        <v/>
      </c>
      <c r="AK151" s="490" t="str">
        <f>IF($B151="","",IF($R151=AK$5,(SUM($D151*VLOOKUP($C151,ESCALA!$B$3:$O$19,14,0)+10)*2)*27,""))</f>
        <v/>
      </c>
      <c r="AL151" s="490" t="str">
        <f>IF($B151="","",IF($R151=AL$5,(SUM($D151*VLOOKUP($C151,ESCALA!$B$3:$O$19,14,0)+10)*2)*27,""))</f>
        <v/>
      </c>
      <c r="AM151" s="490" t="str">
        <f>IF($B151="","",IF($R151=AM$5,(SUM($D151*VLOOKUP($C151,ESCALA!$B$3:$O$19,14,0)+10)*2)*27,""))</f>
        <v/>
      </c>
      <c r="AN151" s="490" t="str">
        <f>IF($B151="","",IF($R151=AN$5,(SUM($D151*VLOOKUP($C151,ESCALA!$B$3:$O$19,14,0)+10)*2)*27,""))</f>
        <v/>
      </c>
      <c r="AO151" s="490" t="str">
        <f>IF($B151="","",IF($R151=AO$5,(SUM($D151*VLOOKUP($C151,ESCALA!$B$3:$O$19,14,0)+10)*2)*27,""))</f>
        <v/>
      </c>
      <c r="AP151" s="490" t="str">
        <f>IF($B151="","",IF($R151=AP$5,(SUM($D151*VLOOKUP($C151,ESCALA!$B$3:$O$19,14,0)+10)*2)*27,""))</f>
        <v/>
      </c>
      <c r="AY151" s="368" t="str">
        <f>IF(PERFIL!E150="","",PERFIL!E150)</f>
        <v/>
      </c>
      <c r="AZ151" s="368" t="str">
        <f t="shared" si="12"/>
        <v/>
      </c>
      <c r="BA151" s="368" t="str">
        <f t="shared" si="13"/>
        <v/>
      </c>
    </row>
    <row r="152" spans="2:53" ht="33.75" customHeight="1" x14ac:dyDescent="0.2">
      <c r="B152" s="551"/>
      <c r="C152" s="517"/>
      <c r="D152" s="503" t="str">
        <f>IF(C152="","",VLOOKUP(C152,'REL LINHAS'!$B$2:$K$2205,5,0))</f>
        <v/>
      </c>
      <c r="E152" s="321" t="str">
        <f t="shared" si="15"/>
        <v/>
      </c>
      <c r="F152" s="493"/>
      <c r="G152" s="494"/>
      <c r="H152" s="649"/>
      <c r="I152" s="650"/>
      <c r="J152" s="651"/>
      <c r="K152" s="652"/>
      <c r="L152" s="653"/>
      <c r="M152" s="654"/>
      <c r="N152" s="652"/>
      <c r="O152" s="653"/>
      <c r="P152" s="653"/>
      <c r="Q152" s="654"/>
      <c r="R152" s="655"/>
      <c r="S152" s="656"/>
      <c r="T152" s="652"/>
      <c r="U152" s="654"/>
      <c r="V152" s="652"/>
      <c r="W152" s="653"/>
      <c r="X152" s="654"/>
      <c r="Y152" s="495"/>
      <c r="Z152" s="496"/>
      <c r="AA152" s="63"/>
      <c r="AB152" s="497" t="s">
        <v>2505</v>
      </c>
      <c r="AC152" s="63"/>
      <c r="AD152" s="497" t="s">
        <v>2506</v>
      </c>
      <c r="AE152" s="63"/>
      <c r="AF152" s="497" t="s">
        <v>2507</v>
      </c>
      <c r="AG152" s="63"/>
      <c r="AH152" s="498" t="s">
        <v>441</v>
      </c>
      <c r="AJ152" s="490" t="str">
        <f>IF($B152="","",IF($R152=AJ$5,(SUM($D152*VLOOKUP($C152,ESCALA!$B$3:$O$19,14,0)+10)*2)*27,""))</f>
        <v/>
      </c>
      <c r="AK152" s="490" t="str">
        <f>IF($B152="","",IF($R152=AK$5,(SUM($D152*VLOOKUP($C152,ESCALA!$B$3:$O$19,14,0)+10)*2)*27,""))</f>
        <v/>
      </c>
      <c r="AL152" s="490" t="str">
        <f>IF($B152="","",IF($R152=AL$5,(SUM($D152*VLOOKUP($C152,ESCALA!$B$3:$O$19,14,0)+10)*2)*27,""))</f>
        <v/>
      </c>
      <c r="AM152" s="490" t="str">
        <f>IF($B152="","",IF($R152=AM$5,(SUM($D152*VLOOKUP($C152,ESCALA!$B$3:$O$19,14,0)+10)*2)*27,""))</f>
        <v/>
      </c>
      <c r="AN152" s="490" t="str">
        <f>IF($B152="","",IF($R152=AN$5,(SUM($D152*VLOOKUP($C152,ESCALA!$B$3:$O$19,14,0)+10)*2)*27,""))</f>
        <v/>
      </c>
      <c r="AO152" s="490" t="str">
        <f>IF($B152="","",IF($R152=AO$5,(SUM($D152*VLOOKUP($C152,ESCALA!$B$3:$O$19,14,0)+10)*2)*27,""))</f>
        <v/>
      </c>
      <c r="AP152" s="490" t="str">
        <f>IF($B152="","",IF($R152=AP$5,(SUM($D152*VLOOKUP($C152,ESCALA!$B$3:$O$19,14,0)+10)*2)*27,""))</f>
        <v/>
      </c>
      <c r="AY152" s="368" t="str">
        <f>IF(PERFIL!E151="","",PERFIL!E151)</f>
        <v/>
      </c>
      <c r="AZ152" s="368" t="str">
        <f t="shared" ref="AZ152:AZ183" si="16">IF($AY152="","",VLOOKUP($AY152,$BI$5:$BK$13,2,0))</f>
        <v/>
      </c>
      <c r="BA152" s="368" t="str">
        <f t="shared" ref="BA152:BA183" si="17">IF($AY152="","",VLOOKUP($AY152,$BI$5:$BK$13,3,0))</f>
        <v/>
      </c>
    </row>
    <row r="153" spans="2:53" ht="33.75" customHeight="1" x14ac:dyDescent="0.2">
      <c r="B153" s="551"/>
      <c r="C153" s="517"/>
      <c r="D153" s="503" t="str">
        <f>IF(C153="","",VLOOKUP(C153,'REL LINHAS'!$B$2:$K$2205,5,0))</f>
        <v/>
      </c>
      <c r="E153" s="321" t="str">
        <f t="shared" si="15"/>
        <v/>
      </c>
      <c r="F153" s="493"/>
      <c r="G153" s="494"/>
      <c r="H153" s="649"/>
      <c r="I153" s="650"/>
      <c r="J153" s="651"/>
      <c r="K153" s="652"/>
      <c r="L153" s="653"/>
      <c r="M153" s="654"/>
      <c r="N153" s="652"/>
      <c r="O153" s="653"/>
      <c r="P153" s="653"/>
      <c r="Q153" s="654"/>
      <c r="R153" s="655"/>
      <c r="S153" s="656"/>
      <c r="T153" s="652"/>
      <c r="U153" s="654"/>
      <c r="V153" s="652"/>
      <c r="W153" s="653"/>
      <c r="X153" s="654"/>
      <c r="Y153" s="495"/>
      <c r="Z153" s="496"/>
      <c r="AA153" s="63"/>
      <c r="AB153" s="497" t="s">
        <v>2505</v>
      </c>
      <c r="AC153" s="63"/>
      <c r="AD153" s="497" t="s">
        <v>2506</v>
      </c>
      <c r="AE153" s="63"/>
      <c r="AF153" s="497" t="s">
        <v>2507</v>
      </c>
      <c r="AG153" s="63"/>
      <c r="AH153" s="498" t="s">
        <v>441</v>
      </c>
      <c r="AJ153" s="490" t="str">
        <f>IF($B153="","",IF($R153=AJ$5,(SUM($D153*VLOOKUP($C153,ESCALA!$B$3:$O$19,14,0)+10)*2)*27,""))</f>
        <v/>
      </c>
      <c r="AK153" s="490" t="str">
        <f>IF($B153="","",IF($R153=AK$5,(SUM($D153*VLOOKUP($C153,ESCALA!$B$3:$O$19,14,0)+10)*2)*27,""))</f>
        <v/>
      </c>
      <c r="AL153" s="490" t="str">
        <f>IF($B153="","",IF($R153=AL$5,(SUM($D153*VLOOKUP($C153,ESCALA!$B$3:$O$19,14,0)+10)*2)*27,""))</f>
        <v/>
      </c>
      <c r="AM153" s="490" t="str">
        <f>IF($B153="","",IF($R153=AM$5,(SUM($D153*VLOOKUP($C153,ESCALA!$B$3:$O$19,14,0)+10)*2)*27,""))</f>
        <v/>
      </c>
      <c r="AN153" s="490" t="str">
        <f>IF($B153="","",IF($R153=AN$5,(SUM($D153*VLOOKUP($C153,ESCALA!$B$3:$O$19,14,0)+10)*2)*27,""))</f>
        <v/>
      </c>
      <c r="AO153" s="490" t="str">
        <f>IF($B153="","",IF($R153=AO$5,(SUM($D153*VLOOKUP($C153,ESCALA!$B$3:$O$19,14,0)+10)*2)*27,""))</f>
        <v/>
      </c>
      <c r="AP153" s="490" t="str">
        <f>IF($B153="","",IF($R153=AP$5,(SUM($D153*VLOOKUP($C153,ESCALA!$B$3:$O$19,14,0)+10)*2)*27,""))</f>
        <v/>
      </c>
      <c r="AY153" s="368" t="str">
        <f>IF(PERFIL!E152="","",PERFIL!E152)</f>
        <v/>
      </c>
      <c r="AZ153" s="368" t="str">
        <f t="shared" si="16"/>
        <v/>
      </c>
      <c r="BA153" s="368" t="str">
        <f t="shared" si="17"/>
        <v/>
      </c>
    </row>
    <row r="154" spans="2:53" ht="33.75" customHeight="1" x14ac:dyDescent="0.2">
      <c r="B154" s="551"/>
      <c r="C154" s="517"/>
      <c r="D154" s="503" t="str">
        <f>IF(C154="","",VLOOKUP(C154,'REL LINHAS'!$B$2:$K$2205,5,0))</f>
        <v/>
      </c>
      <c r="E154" s="321" t="str">
        <f t="shared" si="15"/>
        <v/>
      </c>
      <c r="F154" s="493"/>
      <c r="G154" s="494"/>
      <c r="H154" s="649"/>
      <c r="I154" s="650"/>
      <c r="J154" s="651"/>
      <c r="K154" s="652"/>
      <c r="L154" s="653"/>
      <c r="M154" s="654"/>
      <c r="N154" s="652"/>
      <c r="O154" s="653"/>
      <c r="P154" s="653"/>
      <c r="Q154" s="654"/>
      <c r="R154" s="655"/>
      <c r="S154" s="656"/>
      <c r="T154" s="652"/>
      <c r="U154" s="654"/>
      <c r="V154" s="652"/>
      <c r="W154" s="653"/>
      <c r="X154" s="654"/>
      <c r="Y154" s="495"/>
      <c r="Z154" s="496"/>
      <c r="AA154" s="63"/>
      <c r="AB154" s="497" t="s">
        <v>2505</v>
      </c>
      <c r="AC154" s="63"/>
      <c r="AD154" s="497" t="s">
        <v>2506</v>
      </c>
      <c r="AE154" s="63"/>
      <c r="AF154" s="497" t="s">
        <v>2507</v>
      </c>
      <c r="AG154" s="63"/>
      <c r="AH154" s="498" t="s">
        <v>441</v>
      </c>
      <c r="AJ154" s="490" t="str">
        <f>IF($B154="","",IF($R154=AJ$5,(SUM($D154*VLOOKUP($C154,ESCALA!$B$3:$O$19,14,0)+10)*2)*27,""))</f>
        <v/>
      </c>
      <c r="AK154" s="490" t="str">
        <f>IF($B154="","",IF($R154=AK$5,(SUM($D154*VLOOKUP($C154,ESCALA!$B$3:$O$19,14,0)+10)*2)*27,""))</f>
        <v/>
      </c>
      <c r="AL154" s="490" t="str">
        <f>IF($B154="","",IF($R154=AL$5,(SUM($D154*VLOOKUP($C154,ESCALA!$B$3:$O$19,14,0)+10)*2)*27,""))</f>
        <v/>
      </c>
      <c r="AM154" s="490" t="str">
        <f>IF($B154="","",IF($R154=AM$5,(SUM($D154*VLOOKUP($C154,ESCALA!$B$3:$O$19,14,0)+10)*2)*27,""))</f>
        <v/>
      </c>
      <c r="AN154" s="490" t="str">
        <f>IF($B154="","",IF($R154=AN$5,(SUM($D154*VLOOKUP($C154,ESCALA!$B$3:$O$19,14,0)+10)*2)*27,""))</f>
        <v/>
      </c>
      <c r="AO154" s="490" t="str">
        <f>IF($B154="","",IF($R154=AO$5,(SUM($D154*VLOOKUP($C154,ESCALA!$B$3:$O$19,14,0)+10)*2)*27,""))</f>
        <v/>
      </c>
      <c r="AP154" s="490" t="str">
        <f>IF($B154="","",IF($R154=AP$5,(SUM($D154*VLOOKUP($C154,ESCALA!$B$3:$O$19,14,0)+10)*2)*27,""))</f>
        <v/>
      </c>
      <c r="AY154" s="368" t="str">
        <f>IF(PERFIL!E153="","",PERFIL!E153)</f>
        <v/>
      </c>
      <c r="AZ154" s="368" t="str">
        <f t="shared" si="16"/>
        <v/>
      </c>
      <c r="BA154" s="368" t="str">
        <f t="shared" si="17"/>
        <v/>
      </c>
    </row>
    <row r="155" spans="2:53" ht="33.75" customHeight="1" x14ac:dyDescent="0.2">
      <c r="B155" s="551"/>
      <c r="C155" s="517"/>
      <c r="D155" s="503" t="str">
        <f>IF(C155="","",VLOOKUP(C155,'REL LINHAS'!$B$2:$K$2205,5,0))</f>
        <v/>
      </c>
      <c r="E155" s="321" t="str">
        <f t="shared" si="15"/>
        <v/>
      </c>
      <c r="F155" s="493"/>
      <c r="G155" s="494"/>
      <c r="H155" s="649"/>
      <c r="I155" s="650"/>
      <c r="J155" s="651"/>
      <c r="K155" s="652"/>
      <c r="L155" s="653"/>
      <c r="M155" s="654"/>
      <c r="N155" s="652"/>
      <c r="O155" s="653"/>
      <c r="P155" s="653"/>
      <c r="Q155" s="654"/>
      <c r="R155" s="655"/>
      <c r="S155" s="656"/>
      <c r="T155" s="652"/>
      <c r="U155" s="654"/>
      <c r="V155" s="652"/>
      <c r="W155" s="653"/>
      <c r="X155" s="654"/>
      <c r="Y155" s="495"/>
      <c r="Z155" s="496"/>
      <c r="AA155" s="63"/>
      <c r="AB155" s="497" t="s">
        <v>2505</v>
      </c>
      <c r="AC155" s="63"/>
      <c r="AD155" s="497" t="s">
        <v>2506</v>
      </c>
      <c r="AE155" s="63"/>
      <c r="AF155" s="497" t="s">
        <v>2507</v>
      </c>
      <c r="AG155" s="63"/>
      <c r="AH155" s="498" t="s">
        <v>441</v>
      </c>
      <c r="AJ155" s="490" t="str">
        <f>IF($B155="","",IF($R155=AJ$5,(SUM($D155*VLOOKUP($C155,ESCALA!$B$3:$O$19,14,0)+10)*2)*27,""))</f>
        <v/>
      </c>
      <c r="AK155" s="490" t="str">
        <f>IF($B155="","",IF($R155=AK$5,(SUM($D155*VLOOKUP($C155,ESCALA!$B$3:$O$19,14,0)+10)*2)*27,""))</f>
        <v/>
      </c>
      <c r="AL155" s="490" t="str">
        <f>IF($B155="","",IF($R155=AL$5,(SUM($D155*VLOOKUP($C155,ESCALA!$B$3:$O$19,14,0)+10)*2)*27,""))</f>
        <v/>
      </c>
      <c r="AM155" s="490" t="str">
        <f>IF($B155="","",IF($R155=AM$5,(SUM($D155*VLOOKUP($C155,ESCALA!$B$3:$O$19,14,0)+10)*2)*27,""))</f>
        <v/>
      </c>
      <c r="AN155" s="490" t="str">
        <f>IF($B155="","",IF($R155=AN$5,(SUM($D155*VLOOKUP($C155,ESCALA!$B$3:$O$19,14,0)+10)*2)*27,""))</f>
        <v/>
      </c>
      <c r="AO155" s="490" t="str">
        <f>IF($B155="","",IF($R155=AO$5,(SUM($D155*VLOOKUP($C155,ESCALA!$B$3:$O$19,14,0)+10)*2)*27,""))</f>
        <v/>
      </c>
      <c r="AP155" s="490" t="str">
        <f>IF($B155="","",IF($R155=AP$5,(SUM($D155*VLOOKUP($C155,ESCALA!$B$3:$O$19,14,0)+10)*2)*27,""))</f>
        <v/>
      </c>
      <c r="AY155" s="368" t="str">
        <f>IF(PERFIL!E154="","",PERFIL!E154)</f>
        <v/>
      </c>
      <c r="AZ155" s="368" t="str">
        <f t="shared" si="16"/>
        <v/>
      </c>
      <c r="BA155" s="368" t="str">
        <f t="shared" si="17"/>
        <v/>
      </c>
    </row>
    <row r="156" spans="2:53" ht="33.75" customHeight="1" x14ac:dyDescent="0.2">
      <c r="B156" s="551"/>
      <c r="C156" s="517"/>
      <c r="D156" s="503" t="str">
        <f>IF(C156="","",VLOOKUP(C156,'REL LINHAS'!$B$2:$K$2205,5,0))</f>
        <v/>
      </c>
      <c r="E156" s="321" t="str">
        <f t="shared" ref="E156:E180" si="18">IF($C156="","",IF($C156="LINHA","",IF(VLOOKUP($C156,$AX$6:$BA$21,2,0)=$H156,"ATENDE",IF(VLOOKUP($C156,$AX$6:$BA$21,3,0)=$H156,"ATENDE",IF(VLOOKUP($C156,$AX$6:$BA$21,4,0)=$H156,"ATENDE","NÃO ATENDE")))))</f>
        <v/>
      </c>
      <c r="F156" s="493"/>
      <c r="G156" s="494"/>
      <c r="H156" s="649"/>
      <c r="I156" s="650"/>
      <c r="J156" s="651"/>
      <c r="K156" s="652"/>
      <c r="L156" s="653"/>
      <c r="M156" s="654"/>
      <c r="N156" s="652"/>
      <c r="O156" s="653"/>
      <c r="P156" s="653"/>
      <c r="Q156" s="654"/>
      <c r="R156" s="655"/>
      <c r="S156" s="656"/>
      <c r="T156" s="652"/>
      <c r="U156" s="654"/>
      <c r="V156" s="652"/>
      <c r="W156" s="653"/>
      <c r="X156" s="654"/>
      <c r="Y156" s="495"/>
      <c r="Z156" s="496"/>
      <c r="AA156" s="63"/>
      <c r="AB156" s="497" t="s">
        <v>2505</v>
      </c>
      <c r="AC156" s="63"/>
      <c r="AD156" s="497" t="s">
        <v>2506</v>
      </c>
      <c r="AE156" s="63"/>
      <c r="AF156" s="497" t="s">
        <v>2507</v>
      </c>
      <c r="AG156" s="63"/>
      <c r="AH156" s="498" t="s">
        <v>441</v>
      </c>
      <c r="AJ156" s="490" t="str">
        <f>IF($B156="","",IF($R156=AJ$5,(SUM($D156*VLOOKUP($C156,ESCALA!$B$3:$O$19,14,0)+10)*2)*27,""))</f>
        <v/>
      </c>
      <c r="AK156" s="490" t="str">
        <f>IF($B156="","",IF($R156=AK$5,(SUM($D156*VLOOKUP($C156,ESCALA!$B$3:$O$19,14,0)+10)*2)*27,""))</f>
        <v/>
      </c>
      <c r="AL156" s="490" t="str">
        <f>IF($B156="","",IF($R156=AL$5,(SUM($D156*VLOOKUP($C156,ESCALA!$B$3:$O$19,14,0)+10)*2)*27,""))</f>
        <v/>
      </c>
      <c r="AM156" s="490" t="str">
        <f>IF($B156="","",IF($R156=AM$5,(SUM($D156*VLOOKUP($C156,ESCALA!$B$3:$O$19,14,0)+10)*2)*27,""))</f>
        <v/>
      </c>
      <c r="AN156" s="490" t="str">
        <f>IF($B156="","",IF($R156=AN$5,(SUM($D156*VLOOKUP($C156,ESCALA!$B$3:$O$19,14,0)+10)*2)*27,""))</f>
        <v/>
      </c>
      <c r="AO156" s="490" t="str">
        <f>IF($B156="","",IF($R156=AO$5,(SUM($D156*VLOOKUP($C156,ESCALA!$B$3:$O$19,14,0)+10)*2)*27,""))</f>
        <v/>
      </c>
      <c r="AP156" s="490" t="str">
        <f>IF($B156="","",IF($R156=AP$5,(SUM($D156*VLOOKUP($C156,ESCALA!$B$3:$O$19,14,0)+10)*2)*27,""))</f>
        <v/>
      </c>
      <c r="AY156" s="368" t="str">
        <f>IF(PERFIL!E155="","",PERFIL!E155)</f>
        <v/>
      </c>
      <c r="AZ156" s="368" t="str">
        <f t="shared" si="16"/>
        <v/>
      </c>
      <c r="BA156" s="368" t="str">
        <f t="shared" si="17"/>
        <v/>
      </c>
    </row>
    <row r="157" spans="2:53" ht="33.75" customHeight="1" x14ac:dyDescent="0.2">
      <c r="B157" s="551"/>
      <c r="C157" s="517"/>
      <c r="D157" s="503" t="str">
        <f>IF(C157="","",VLOOKUP(C157,'REL LINHAS'!$B$2:$K$2205,5,0))</f>
        <v/>
      </c>
      <c r="E157" s="321" t="str">
        <f t="shared" si="18"/>
        <v/>
      </c>
      <c r="F157" s="493"/>
      <c r="G157" s="494"/>
      <c r="H157" s="649"/>
      <c r="I157" s="650"/>
      <c r="J157" s="651"/>
      <c r="K157" s="652"/>
      <c r="L157" s="653"/>
      <c r="M157" s="654"/>
      <c r="N157" s="652"/>
      <c r="O157" s="653"/>
      <c r="P157" s="653"/>
      <c r="Q157" s="654"/>
      <c r="R157" s="655"/>
      <c r="S157" s="656"/>
      <c r="T157" s="652"/>
      <c r="U157" s="654"/>
      <c r="V157" s="652"/>
      <c r="W157" s="653"/>
      <c r="X157" s="654"/>
      <c r="Y157" s="495"/>
      <c r="Z157" s="496"/>
      <c r="AA157" s="63"/>
      <c r="AB157" s="497" t="s">
        <v>2505</v>
      </c>
      <c r="AC157" s="63"/>
      <c r="AD157" s="497" t="s">
        <v>2506</v>
      </c>
      <c r="AE157" s="63"/>
      <c r="AF157" s="497" t="s">
        <v>2507</v>
      </c>
      <c r="AG157" s="63"/>
      <c r="AH157" s="498" t="s">
        <v>441</v>
      </c>
      <c r="AJ157" s="490" t="str">
        <f>IF($B157="","",IF($R157=AJ$5,(SUM($D157*VLOOKUP($C157,ESCALA!$B$3:$O$19,14,0)+10)*2)*27,""))</f>
        <v/>
      </c>
      <c r="AK157" s="490" t="str">
        <f>IF($B157="","",IF($R157=AK$5,(SUM($D157*VLOOKUP($C157,ESCALA!$B$3:$O$19,14,0)+10)*2)*27,""))</f>
        <v/>
      </c>
      <c r="AL157" s="490" t="str">
        <f>IF($B157="","",IF($R157=AL$5,(SUM($D157*VLOOKUP($C157,ESCALA!$B$3:$O$19,14,0)+10)*2)*27,""))</f>
        <v/>
      </c>
      <c r="AM157" s="490" t="str">
        <f>IF($B157="","",IF($R157=AM$5,(SUM($D157*VLOOKUP($C157,ESCALA!$B$3:$O$19,14,0)+10)*2)*27,""))</f>
        <v/>
      </c>
      <c r="AN157" s="490" t="str">
        <f>IF($B157="","",IF($R157=AN$5,(SUM($D157*VLOOKUP($C157,ESCALA!$B$3:$O$19,14,0)+10)*2)*27,""))</f>
        <v/>
      </c>
      <c r="AO157" s="490" t="str">
        <f>IF($B157="","",IF($R157=AO$5,(SUM($D157*VLOOKUP($C157,ESCALA!$B$3:$O$19,14,0)+10)*2)*27,""))</f>
        <v/>
      </c>
      <c r="AP157" s="490" t="str">
        <f>IF($B157="","",IF($R157=AP$5,(SUM($D157*VLOOKUP($C157,ESCALA!$B$3:$O$19,14,0)+10)*2)*27,""))</f>
        <v/>
      </c>
      <c r="AY157" s="368" t="str">
        <f>IF(PERFIL!E156="","",PERFIL!E156)</f>
        <v/>
      </c>
      <c r="AZ157" s="368" t="str">
        <f t="shared" si="16"/>
        <v/>
      </c>
      <c r="BA157" s="368" t="str">
        <f t="shared" si="17"/>
        <v/>
      </c>
    </row>
    <row r="158" spans="2:53" ht="33.75" customHeight="1" x14ac:dyDescent="0.2">
      <c r="B158" s="551"/>
      <c r="C158" s="517"/>
      <c r="D158" s="503" t="str">
        <f>IF(C158="","",VLOOKUP(C158,'REL LINHAS'!$B$2:$K$2205,5,0))</f>
        <v/>
      </c>
      <c r="E158" s="321" t="str">
        <f t="shared" si="18"/>
        <v/>
      </c>
      <c r="F158" s="493"/>
      <c r="G158" s="494"/>
      <c r="H158" s="649"/>
      <c r="I158" s="650"/>
      <c r="J158" s="651"/>
      <c r="K158" s="652"/>
      <c r="L158" s="653"/>
      <c r="M158" s="654"/>
      <c r="N158" s="652"/>
      <c r="O158" s="653"/>
      <c r="P158" s="653"/>
      <c r="Q158" s="654"/>
      <c r="R158" s="655"/>
      <c r="S158" s="656"/>
      <c r="T158" s="652"/>
      <c r="U158" s="654"/>
      <c r="V158" s="652"/>
      <c r="W158" s="653"/>
      <c r="X158" s="654"/>
      <c r="Y158" s="495"/>
      <c r="Z158" s="496"/>
      <c r="AA158" s="63"/>
      <c r="AB158" s="497" t="s">
        <v>2505</v>
      </c>
      <c r="AC158" s="63"/>
      <c r="AD158" s="497" t="s">
        <v>2506</v>
      </c>
      <c r="AE158" s="63"/>
      <c r="AF158" s="497" t="s">
        <v>2507</v>
      </c>
      <c r="AG158" s="63"/>
      <c r="AH158" s="498" t="s">
        <v>441</v>
      </c>
      <c r="AJ158" s="490" t="str">
        <f>IF($B158="","",IF($R158=AJ$5,(SUM($D158*VLOOKUP($C158,ESCALA!$B$3:$O$19,14,0)+10)*2)*27,""))</f>
        <v/>
      </c>
      <c r="AK158" s="490" t="str">
        <f>IF($B158="","",IF($R158=AK$5,(SUM($D158*VLOOKUP($C158,ESCALA!$B$3:$O$19,14,0)+10)*2)*27,""))</f>
        <v/>
      </c>
      <c r="AL158" s="490" t="str">
        <f>IF($B158="","",IF($R158=AL$5,(SUM($D158*VLOOKUP($C158,ESCALA!$B$3:$O$19,14,0)+10)*2)*27,""))</f>
        <v/>
      </c>
      <c r="AM158" s="490" t="str">
        <f>IF($B158="","",IF($R158=AM$5,(SUM($D158*VLOOKUP($C158,ESCALA!$B$3:$O$19,14,0)+10)*2)*27,""))</f>
        <v/>
      </c>
      <c r="AN158" s="490" t="str">
        <f>IF($B158="","",IF($R158=AN$5,(SUM($D158*VLOOKUP($C158,ESCALA!$B$3:$O$19,14,0)+10)*2)*27,""))</f>
        <v/>
      </c>
      <c r="AO158" s="490" t="str">
        <f>IF($B158="","",IF($R158=AO$5,(SUM($D158*VLOOKUP($C158,ESCALA!$B$3:$O$19,14,0)+10)*2)*27,""))</f>
        <v/>
      </c>
      <c r="AP158" s="490" t="str">
        <f>IF($B158="","",IF($R158=AP$5,(SUM($D158*VLOOKUP($C158,ESCALA!$B$3:$O$19,14,0)+10)*2)*27,""))</f>
        <v/>
      </c>
      <c r="AY158" s="368" t="str">
        <f>IF(PERFIL!E157="","",PERFIL!E157)</f>
        <v/>
      </c>
      <c r="AZ158" s="368" t="str">
        <f t="shared" si="16"/>
        <v/>
      </c>
      <c r="BA158" s="368" t="str">
        <f t="shared" si="17"/>
        <v/>
      </c>
    </row>
    <row r="159" spans="2:53" ht="33.75" customHeight="1" x14ac:dyDescent="0.2">
      <c r="B159" s="551"/>
      <c r="C159" s="517"/>
      <c r="D159" s="503" t="str">
        <f>IF(C159="","",VLOOKUP(C159,'REL LINHAS'!$B$2:$K$2205,5,0))</f>
        <v/>
      </c>
      <c r="E159" s="321" t="str">
        <f t="shared" si="18"/>
        <v/>
      </c>
      <c r="F159" s="493"/>
      <c r="G159" s="494"/>
      <c r="H159" s="649"/>
      <c r="I159" s="650"/>
      <c r="J159" s="651"/>
      <c r="K159" s="652"/>
      <c r="L159" s="653"/>
      <c r="M159" s="654"/>
      <c r="N159" s="652"/>
      <c r="O159" s="653"/>
      <c r="P159" s="653"/>
      <c r="Q159" s="654"/>
      <c r="R159" s="655"/>
      <c r="S159" s="656"/>
      <c r="T159" s="652"/>
      <c r="U159" s="654"/>
      <c r="V159" s="652"/>
      <c r="W159" s="653"/>
      <c r="X159" s="654"/>
      <c r="Y159" s="495"/>
      <c r="Z159" s="496"/>
      <c r="AA159" s="63"/>
      <c r="AB159" s="497" t="s">
        <v>2505</v>
      </c>
      <c r="AC159" s="63"/>
      <c r="AD159" s="497" t="s">
        <v>2506</v>
      </c>
      <c r="AE159" s="63"/>
      <c r="AF159" s="497" t="s">
        <v>2507</v>
      </c>
      <c r="AG159" s="63"/>
      <c r="AH159" s="498" t="s">
        <v>441</v>
      </c>
      <c r="AJ159" s="490" t="str">
        <f>IF($B159="","",IF($R159=AJ$5,(SUM($D159*VLOOKUP($C159,ESCALA!$B$3:$O$19,14,0)+10)*2)*27,""))</f>
        <v/>
      </c>
      <c r="AK159" s="490" t="str">
        <f>IF($B159="","",IF($R159=AK$5,(SUM($D159*VLOOKUP($C159,ESCALA!$B$3:$O$19,14,0)+10)*2)*27,""))</f>
        <v/>
      </c>
      <c r="AL159" s="490" t="str">
        <f>IF($B159="","",IF($R159=AL$5,(SUM($D159*VLOOKUP($C159,ESCALA!$B$3:$O$19,14,0)+10)*2)*27,""))</f>
        <v/>
      </c>
      <c r="AM159" s="490" t="str">
        <f>IF($B159="","",IF($R159=AM$5,(SUM($D159*VLOOKUP($C159,ESCALA!$B$3:$O$19,14,0)+10)*2)*27,""))</f>
        <v/>
      </c>
      <c r="AN159" s="490" t="str">
        <f>IF($B159="","",IF($R159=AN$5,(SUM($D159*VLOOKUP($C159,ESCALA!$B$3:$O$19,14,0)+10)*2)*27,""))</f>
        <v/>
      </c>
      <c r="AO159" s="490" t="str">
        <f>IF($B159="","",IF($R159=AO$5,(SUM($D159*VLOOKUP($C159,ESCALA!$B$3:$O$19,14,0)+10)*2)*27,""))</f>
        <v/>
      </c>
      <c r="AP159" s="490" t="str">
        <f>IF($B159="","",IF($R159=AP$5,(SUM($D159*VLOOKUP($C159,ESCALA!$B$3:$O$19,14,0)+10)*2)*27,""))</f>
        <v/>
      </c>
      <c r="AY159" s="368" t="str">
        <f>IF(PERFIL!E158="","",PERFIL!E158)</f>
        <v/>
      </c>
      <c r="AZ159" s="368" t="str">
        <f t="shared" si="16"/>
        <v/>
      </c>
      <c r="BA159" s="368" t="str">
        <f t="shared" si="17"/>
        <v/>
      </c>
    </row>
    <row r="160" spans="2:53" ht="33.75" customHeight="1" x14ac:dyDescent="0.2">
      <c r="B160" s="551"/>
      <c r="C160" s="517"/>
      <c r="D160" s="503" t="str">
        <f>IF(C160="","",VLOOKUP(C160,'REL LINHAS'!$B$2:$K$2205,5,0))</f>
        <v/>
      </c>
      <c r="E160" s="321" t="str">
        <f t="shared" si="18"/>
        <v/>
      </c>
      <c r="F160" s="493"/>
      <c r="G160" s="494"/>
      <c r="H160" s="649"/>
      <c r="I160" s="650"/>
      <c r="J160" s="651"/>
      <c r="K160" s="652"/>
      <c r="L160" s="653"/>
      <c r="M160" s="654"/>
      <c r="N160" s="652"/>
      <c r="O160" s="653"/>
      <c r="P160" s="653"/>
      <c r="Q160" s="654"/>
      <c r="R160" s="655"/>
      <c r="S160" s="656"/>
      <c r="T160" s="652"/>
      <c r="U160" s="654"/>
      <c r="V160" s="652"/>
      <c r="W160" s="653"/>
      <c r="X160" s="654"/>
      <c r="Y160" s="495"/>
      <c r="Z160" s="496"/>
      <c r="AA160" s="63"/>
      <c r="AB160" s="497" t="s">
        <v>2505</v>
      </c>
      <c r="AC160" s="63"/>
      <c r="AD160" s="497" t="s">
        <v>2506</v>
      </c>
      <c r="AE160" s="63"/>
      <c r="AF160" s="497" t="s">
        <v>2507</v>
      </c>
      <c r="AG160" s="63"/>
      <c r="AH160" s="498" t="s">
        <v>441</v>
      </c>
      <c r="AJ160" s="490" t="str">
        <f>IF($B160="","",IF($R160=AJ$5,(SUM($D160*VLOOKUP($C160,ESCALA!$B$3:$O$19,14,0)+10)*2)*27,""))</f>
        <v/>
      </c>
      <c r="AK160" s="490" t="str">
        <f>IF($B160="","",IF($R160=AK$5,(SUM($D160*VLOOKUP($C160,ESCALA!$B$3:$O$19,14,0)+10)*2)*27,""))</f>
        <v/>
      </c>
      <c r="AL160" s="490" t="str">
        <f>IF($B160="","",IF($R160=AL$5,(SUM($D160*VLOOKUP($C160,ESCALA!$B$3:$O$19,14,0)+10)*2)*27,""))</f>
        <v/>
      </c>
      <c r="AM160" s="490" t="str">
        <f>IF($B160="","",IF($R160=AM$5,(SUM($D160*VLOOKUP($C160,ESCALA!$B$3:$O$19,14,0)+10)*2)*27,""))</f>
        <v/>
      </c>
      <c r="AN160" s="490" t="str">
        <f>IF($B160="","",IF($R160=AN$5,(SUM($D160*VLOOKUP($C160,ESCALA!$B$3:$O$19,14,0)+10)*2)*27,""))</f>
        <v/>
      </c>
      <c r="AO160" s="490" t="str">
        <f>IF($B160="","",IF($R160=AO$5,(SUM($D160*VLOOKUP($C160,ESCALA!$B$3:$O$19,14,0)+10)*2)*27,""))</f>
        <v/>
      </c>
      <c r="AP160" s="490" t="str">
        <f>IF($B160="","",IF($R160=AP$5,(SUM($D160*VLOOKUP($C160,ESCALA!$B$3:$O$19,14,0)+10)*2)*27,""))</f>
        <v/>
      </c>
      <c r="AY160" s="368" t="str">
        <f>IF(PERFIL!E159="","",PERFIL!E159)</f>
        <v/>
      </c>
      <c r="AZ160" s="368" t="str">
        <f t="shared" si="16"/>
        <v/>
      </c>
      <c r="BA160" s="368" t="str">
        <f t="shared" si="17"/>
        <v/>
      </c>
    </row>
    <row r="161" spans="2:53" ht="33.75" customHeight="1" x14ac:dyDescent="0.2">
      <c r="B161" s="551"/>
      <c r="C161" s="517"/>
      <c r="D161" s="503" t="str">
        <f>IF(C161="","",VLOOKUP(C161,'REL LINHAS'!$B$2:$K$2205,5,0))</f>
        <v/>
      </c>
      <c r="E161" s="321" t="str">
        <f t="shared" si="18"/>
        <v/>
      </c>
      <c r="F161" s="493"/>
      <c r="G161" s="494"/>
      <c r="H161" s="649"/>
      <c r="I161" s="650"/>
      <c r="J161" s="651"/>
      <c r="K161" s="652"/>
      <c r="L161" s="653"/>
      <c r="M161" s="654"/>
      <c r="N161" s="652"/>
      <c r="O161" s="653"/>
      <c r="P161" s="653"/>
      <c r="Q161" s="654"/>
      <c r="R161" s="655"/>
      <c r="S161" s="656"/>
      <c r="T161" s="652"/>
      <c r="U161" s="654"/>
      <c r="V161" s="652"/>
      <c r="W161" s="653"/>
      <c r="X161" s="654"/>
      <c r="Y161" s="495"/>
      <c r="Z161" s="496"/>
      <c r="AA161" s="63"/>
      <c r="AB161" s="497" t="s">
        <v>2505</v>
      </c>
      <c r="AC161" s="63"/>
      <c r="AD161" s="497" t="s">
        <v>2506</v>
      </c>
      <c r="AE161" s="63"/>
      <c r="AF161" s="497" t="s">
        <v>2507</v>
      </c>
      <c r="AG161" s="63"/>
      <c r="AH161" s="498" t="s">
        <v>441</v>
      </c>
      <c r="AJ161" s="490" t="str">
        <f>IF($B161="","",IF($R161=AJ$5,(SUM($D161*VLOOKUP($C161,ESCALA!$B$3:$O$19,14,0)+10)*2)*27,""))</f>
        <v/>
      </c>
      <c r="AK161" s="490" t="str">
        <f>IF($B161="","",IF($R161=AK$5,(SUM($D161*VLOOKUP($C161,ESCALA!$B$3:$O$19,14,0)+10)*2)*27,""))</f>
        <v/>
      </c>
      <c r="AL161" s="490" t="str">
        <f>IF($B161="","",IF($R161=AL$5,(SUM($D161*VLOOKUP($C161,ESCALA!$B$3:$O$19,14,0)+10)*2)*27,""))</f>
        <v/>
      </c>
      <c r="AM161" s="490" t="str">
        <f>IF($B161="","",IF($R161=AM$5,(SUM($D161*VLOOKUP($C161,ESCALA!$B$3:$O$19,14,0)+10)*2)*27,""))</f>
        <v/>
      </c>
      <c r="AN161" s="490" t="str">
        <f>IF($B161="","",IF($R161=AN$5,(SUM($D161*VLOOKUP($C161,ESCALA!$B$3:$O$19,14,0)+10)*2)*27,""))</f>
        <v/>
      </c>
      <c r="AO161" s="490" t="str">
        <f>IF($B161="","",IF($R161=AO$5,(SUM($D161*VLOOKUP($C161,ESCALA!$B$3:$O$19,14,0)+10)*2)*27,""))</f>
        <v/>
      </c>
      <c r="AP161" s="490" t="str">
        <f>IF($B161="","",IF($R161=AP$5,(SUM($D161*VLOOKUP($C161,ESCALA!$B$3:$O$19,14,0)+10)*2)*27,""))</f>
        <v/>
      </c>
      <c r="AY161" s="368" t="str">
        <f>IF(PERFIL!E160="","",PERFIL!E160)</f>
        <v/>
      </c>
      <c r="AZ161" s="368" t="str">
        <f t="shared" si="16"/>
        <v/>
      </c>
      <c r="BA161" s="368" t="str">
        <f t="shared" si="17"/>
        <v/>
      </c>
    </row>
    <row r="162" spans="2:53" ht="33.75" customHeight="1" x14ac:dyDescent="0.2">
      <c r="B162" s="551"/>
      <c r="C162" s="517"/>
      <c r="D162" s="503" t="str">
        <f>IF(C162="","",VLOOKUP(C162,'REL LINHAS'!$B$2:$K$2205,5,0))</f>
        <v/>
      </c>
      <c r="E162" s="321" t="str">
        <f t="shared" si="18"/>
        <v/>
      </c>
      <c r="F162" s="493"/>
      <c r="G162" s="494"/>
      <c r="H162" s="649"/>
      <c r="I162" s="650"/>
      <c r="J162" s="651"/>
      <c r="K162" s="652"/>
      <c r="L162" s="653"/>
      <c r="M162" s="654"/>
      <c r="N162" s="652"/>
      <c r="O162" s="653"/>
      <c r="P162" s="653"/>
      <c r="Q162" s="654"/>
      <c r="R162" s="655"/>
      <c r="S162" s="656"/>
      <c r="T162" s="652"/>
      <c r="U162" s="654"/>
      <c r="V162" s="652"/>
      <c r="W162" s="653"/>
      <c r="X162" s="654"/>
      <c r="Y162" s="495"/>
      <c r="Z162" s="496"/>
      <c r="AA162" s="63"/>
      <c r="AB162" s="497" t="s">
        <v>2505</v>
      </c>
      <c r="AC162" s="63"/>
      <c r="AD162" s="497" t="s">
        <v>2506</v>
      </c>
      <c r="AE162" s="63"/>
      <c r="AF162" s="497" t="s">
        <v>2507</v>
      </c>
      <c r="AG162" s="63"/>
      <c r="AH162" s="498" t="s">
        <v>441</v>
      </c>
      <c r="AJ162" s="490" t="str">
        <f>IF($B162="","",IF($R162=AJ$5,(SUM($D162*VLOOKUP($C162,ESCALA!$B$3:$O$19,14,0)+10)*2)*27,""))</f>
        <v/>
      </c>
      <c r="AK162" s="490" t="str">
        <f>IF($B162="","",IF($R162=AK$5,(SUM($D162*VLOOKUP($C162,ESCALA!$B$3:$O$19,14,0)+10)*2)*27,""))</f>
        <v/>
      </c>
      <c r="AL162" s="490" t="str">
        <f>IF($B162="","",IF($R162=AL$5,(SUM($D162*VLOOKUP($C162,ESCALA!$B$3:$O$19,14,0)+10)*2)*27,""))</f>
        <v/>
      </c>
      <c r="AM162" s="490" t="str">
        <f>IF($B162="","",IF($R162=AM$5,(SUM($D162*VLOOKUP($C162,ESCALA!$B$3:$O$19,14,0)+10)*2)*27,""))</f>
        <v/>
      </c>
      <c r="AN162" s="490" t="str">
        <f>IF($B162="","",IF($R162=AN$5,(SUM($D162*VLOOKUP($C162,ESCALA!$B$3:$O$19,14,0)+10)*2)*27,""))</f>
        <v/>
      </c>
      <c r="AO162" s="490" t="str">
        <f>IF($B162="","",IF($R162=AO$5,(SUM($D162*VLOOKUP($C162,ESCALA!$B$3:$O$19,14,0)+10)*2)*27,""))</f>
        <v/>
      </c>
      <c r="AP162" s="490" t="str">
        <f>IF($B162="","",IF($R162=AP$5,(SUM($D162*VLOOKUP($C162,ESCALA!$B$3:$O$19,14,0)+10)*2)*27,""))</f>
        <v/>
      </c>
      <c r="AY162" s="368" t="str">
        <f>IF(PERFIL!E161="","",PERFIL!E161)</f>
        <v/>
      </c>
      <c r="AZ162" s="368" t="str">
        <f t="shared" si="16"/>
        <v/>
      </c>
      <c r="BA162" s="368" t="str">
        <f t="shared" si="17"/>
        <v/>
      </c>
    </row>
    <row r="163" spans="2:53" ht="33.75" customHeight="1" x14ac:dyDescent="0.2">
      <c r="B163" s="551"/>
      <c r="C163" s="517"/>
      <c r="D163" s="503" t="str">
        <f>IF(C163="","",VLOOKUP(C163,'REL LINHAS'!$B$2:$K$2205,5,0))</f>
        <v/>
      </c>
      <c r="E163" s="321" t="str">
        <f t="shared" si="18"/>
        <v/>
      </c>
      <c r="F163" s="493"/>
      <c r="G163" s="494"/>
      <c r="H163" s="649"/>
      <c r="I163" s="650"/>
      <c r="J163" s="651"/>
      <c r="K163" s="652"/>
      <c r="L163" s="653"/>
      <c r="M163" s="654"/>
      <c r="N163" s="652"/>
      <c r="O163" s="653"/>
      <c r="P163" s="653"/>
      <c r="Q163" s="654"/>
      <c r="R163" s="655"/>
      <c r="S163" s="656"/>
      <c r="T163" s="652"/>
      <c r="U163" s="654"/>
      <c r="V163" s="652"/>
      <c r="W163" s="653"/>
      <c r="X163" s="654"/>
      <c r="Y163" s="495"/>
      <c r="Z163" s="496"/>
      <c r="AA163" s="63"/>
      <c r="AB163" s="497" t="s">
        <v>2505</v>
      </c>
      <c r="AC163" s="63"/>
      <c r="AD163" s="497" t="s">
        <v>2506</v>
      </c>
      <c r="AE163" s="63"/>
      <c r="AF163" s="497" t="s">
        <v>2507</v>
      </c>
      <c r="AG163" s="63"/>
      <c r="AH163" s="498" t="s">
        <v>441</v>
      </c>
      <c r="AJ163" s="490" t="str">
        <f>IF($B163="","",IF($R163=AJ$5,(SUM($D163*VLOOKUP($C163,ESCALA!$B$3:$O$19,14,0)+10)*2)*27,""))</f>
        <v/>
      </c>
      <c r="AK163" s="490" t="str">
        <f>IF($B163="","",IF($R163=AK$5,(SUM($D163*VLOOKUP($C163,ESCALA!$B$3:$O$19,14,0)+10)*2)*27,""))</f>
        <v/>
      </c>
      <c r="AL163" s="490" t="str">
        <f>IF($B163="","",IF($R163=AL$5,(SUM($D163*VLOOKUP($C163,ESCALA!$B$3:$O$19,14,0)+10)*2)*27,""))</f>
        <v/>
      </c>
      <c r="AM163" s="490" t="str">
        <f>IF($B163="","",IF($R163=AM$5,(SUM($D163*VLOOKUP($C163,ESCALA!$B$3:$O$19,14,0)+10)*2)*27,""))</f>
        <v/>
      </c>
      <c r="AN163" s="490" t="str">
        <f>IF($B163="","",IF($R163=AN$5,(SUM($D163*VLOOKUP($C163,ESCALA!$B$3:$O$19,14,0)+10)*2)*27,""))</f>
        <v/>
      </c>
      <c r="AO163" s="490" t="str">
        <f>IF($B163="","",IF($R163=AO$5,(SUM($D163*VLOOKUP($C163,ESCALA!$B$3:$O$19,14,0)+10)*2)*27,""))</f>
        <v/>
      </c>
      <c r="AP163" s="490" t="str">
        <f>IF($B163="","",IF($R163=AP$5,(SUM($D163*VLOOKUP($C163,ESCALA!$B$3:$O$19,14,0)+10)*2)*27,""))</f>
        <v/>
      </c>
      <c r="AY163" s="368" t="str">
        <f>IF(PERFIL!E162="","",PERFIL!E162)</f>
        <v/>
      </c>
      <c r="AZ163" s="368" t="str">
        <f t="shared" si="16"/>
        <v/>
      </c>
      <c r="BA163" s="368" t="str">
        <f t="shared" si="17"/>
        <v/>
      </c>
    </row>
    <row r="164" spans="2:53" ht="33.75" customHeight="1" x14ac:dyDescent="0.2">
      <c r="B164" s="551"/>
      <c r="C164" s="517"/>
      <c r="D164" s="503" t="str">
        <f>IF(C164="","",VLOOKUP(C164,'REL LINHAS'!$B$2:$K$2205,5,0))</f>
        <v/>
      </c>
      <c r="E164" s="321" t="str">
        <f t="shared" si="18"/>
        <v/>
      </c>
      <c r="F164" s="493"/>
      <c r="G164" s="494"/>
      <c r="H164" s="649"/>
      <c r="I164" s="650"/>
      <c r="J164" s="651"/>
      <c r="K164" s="652"/>
      <c r="L164" s="653"/>
      <c r="M164" s="654"/>
      <c r="N164" s="652"/>
      <c r="O164" s="653"/>
      <c r="P164" s="653"/>
      <c r="Q164" s="654"/>
      <c r="R164" s="655"/>
      <c r="S164" s="656"/>
      <c r="T164" s="652"/>
      <c r="U164" s="654"/>
      <c r="V164" s="652"/>
      <c r="W164" s="653"/>
      <c r="X164" s="654"/>
      <c r="Y164" s="495"/>
      <c r="Z164" s="496"/>
      <c r="AA164" s="63"/>
      <c r="AB164" s="497" t="s">
        <v>2505</v>
      </c>
      <c r="AC164" s="63"/>
      <c r="AD164" s="497" t="s">
        <v>2506</v>
      </c>
      <c r="AE164" s="63"/>
      <c r="AF164" s="497" t="s">
        <v>2507</v>
      </c>
      <c r="AG164" s="63"/>
      <c r="AH164" s="498" t="s">
        <v>441</v>
      </c>
      <c r="AJ164" s="490" t="str">
        <f>IF($B164="","",IF($R164=AJ$5,(SUM($D164*VLOOKUP($C164,ESCALA!$B$3:$O$19,14,0)+10)*2)*27,""))</f>
        <v/>
      </c>
      <c r="AK164" s="490" t="str">
        <f>IF($B164="","",IF($R164=AK$5,(SUM($D164*VLOOKUP($C164,ESCALA!$B$3:$O$19,14,0)+10)*2)*27,""))</f>
        <v/>
      </c>
      <c r="AL164" s="490" t="str">
        <f>IF($B164="","",IF($R164=AL$5,(SUM($D164*VLOOKUP($C164,ESCALA!$B$3:$O$19,14,0)+10)*2)*27,""))</f>
        <v/>
      </c>
      <c r="AM164" s="490" t="str">
        <f>IF($B164="","",IF($R164=AM$5,(SUM($D164*VLOOKUP($C164,ESCALA!$B$3:$O$19,14,0)+10)*2)*27,""))</f>
        <v/>
      </c>
      <c r="AN164" s="490" t="str">
        <f>IF($B164="","",IF($R164=AN$5,(SUM($D164*VLOOKUP($C164,ESCALA!$B$3:$O$19,14,0)+10)*2)*27,""))</f>
        <v/>
      </c>
      <c r="AO164" s="490" t="str">
        <f>IF($B164="","",IF($R164=AO$5,(SUM($D164*VLOOKUP($C164,ESCALA!$B$3:$O$19,14,0)+10)*2)*27,""))</f>
        <v/>
      </c>
      <c r="AP164" s="490" t="str">
        <f>IF($B164="","",IF($R164=AP$5,(SUM($D164*VLOOKUP($C164,ESCALA!$B$3:$O$19,14,0)+10)*2)*27,""))</f>
        <v/>
      </c>
      <c r="AY164" s="368" t="str">
        <f>IF(PERFIL!E163="","",PERFIL!E163)</f>
        <v/>
      </c>
      <c r="AZ164" s="368" t="str">
        <f t="shared" si="16"/>
        <v/>
      </c>
      <c r="BA164" s="368" t="str">
        <f t="shared" si="17"/>
        <v/>
      </c>
    </row>
    <row r="165" spans="2:53" ht="33.75" customHeight="1" x14ac:dyDescent="0.2">
      <c r="B165" s="551"/>
      <c r="C165" s="517"/>
      <c r="D165" s="503" t="str">
        <f>IF(C165="","",VLOOKUP(C165,'REL LINHAS'!$B$2:$K$2205,5,0))</f>
        <v/>
      </c>
      <c r="E165" s="321" t="str">
        <f t="shared" si="18"/>
        <v/>
      </c>
      <c r="F165" s="493"/>
      <c r="G165" s="494"/>
      <c r="H165" s="649"/>
      <c r="I165" s="650"/>
      <c r="J165" s="651"/>
      <c r="K165" s="652"/>
      <c r="L165" s="653"/>
      <c r="M165" s="654"/>
      <c r="N165" s="652"/>
      <c r="O165" s="653"/>
      <c r="P165" s="653"/>
      <c r="Q165" s="654"/>
      <c r="R165" s="655"/>
      <c r="S165" s="656"/>
      <c r="T165" s="652"/>
      <c r="U165" s="654"/>
      <c r="V165" s="652"/>
      <c r="W165" s="653"/>
      <c r="X165" s="654"/>
      <c r="Y165" s="495"/>
      <c r="Z165" s="496"/>
      <c r="AA165" s="63"/>
      <c r="AB165" s="497" t="s">
        <v>2505</v>
      </c>
      <c r="AC165" s="63"/>
      <c r="AD165" s="497" t="s">
        <v>2506</v>
      </c>
      <c r="AE165" s="63"/>
      <c r="AF165" s="497" t="s">
        <v>2507</v>
      </c>
      <c r="AG165" s="63"/>
      <c r="AH165" s="498" t="s">
        <v>441</v>
      </c>
      <c r="AJ165" s="490" t="str">
        <f>IF($B165="","",IF($R165=AJ$5,(SUM($D165*VLOOKUP($C165,ESCALA!$B$3:$O$19,14,0)+10)*2)*27,""))</f>
        <v/>
      </c>
      <c r="AK165" s="490" t="str">
        <f>IF($B165="","",IF($R165=AK$5,(SUM($D165*VLOOKUP($C165,ESCALA!$B$3:$O$19,14,0)+10)*2)*27,""))</f>
        <v/>
      </c>
      <c r="AL165" s="490" t="str">
        <f>IF($B165="","",IF($R165=AL$5,(SUM($D165*VLOOKUP($C165,ESCALA!$B$3:$O$19,14,0)+10)*2)*27,""))</f>
        <v/>
      </c>
      <c r="AM165" s="490" t="str">
        <f>IF($B165="","",IF($R165=AM$5,(SUM($D165*VLOOKUP($C165,ESCALA!$B$3:$O$19,14,0)+10)*2)*27,""))</f>
        <v/>
      </c>
      <c r="AN165" s="490" t="str">
        <f>IF($B165="","",IF($R165=AN$5,(SUM($D165*VLOOKUP($C165,ESCALA!$B$3:$O$19,14,0)+10)*2)*27,""))</f>
        <v/>
      </c>
      <c r="AO165" s="490" t="str">
        <f>IF($B165="","",IF($R165=AO$5,(SUM($D165*VLOOKUP($C165,ESCALA!$B$3:$O$19,14,0)+10)*2)*27,""))</f>
        <v/>
      </c>
      <c r="AP165" s="490" t="str">
        <f>IF($B165="","",IF($R165=AP$5,(SUM($D165*VLOOKUP($C165,ESCALA!$B$3:$O$19,14,0)+10)*2)*27,""))</f>
        <v/>
      </c>
      <c r="AY165" s="368" t="str">
        <f>IF(PERFIL!E164="","",PERFIL!E164)</f>
        <v/>
      </c>
      <c r="AZ165" s="368" t="str">
        <f t="shared" si="16"/>
        <v/>
      </c>
      <c r="BA165" s="368" t="str">
        <f t="shared" si="17"/>
        <v/>
      </c>
    </row>
    <row r="166" spans="2:53" ht="33.75" customHeight="1" x14ac:dyDescent="0.2">
      <c r="B166" s="551"/>
      <c r="C166" s="517"/>
      <c r="D166" s="503" t="str">
        <f>IF(C166="","",VLOOKUP(C166,'REL LINHAS'!$B$2:$K$2205,5,0))</f>
        <v/>
      </c>
      <c r="E166" s="321" t="str">
        <f t="shared" si="18"/>
        <v/>
      </c>
      <c r="F166" s="493"/>
      <c r="G166" s="494"/>
      <c r="H166" s="649"/>
      <c r="I166" s="650"/>
      <c r="J166" s="651"/>
      <c r="K166" s="652"/>
      <c r="L166" s="653"/>
      <c r="M166" s="654"/>
      <c r="N166" s="652"/>
      <c r="O166" s="653"/>
      <c r="P166" s="653"/>
      <c r="Q166" s="654"/>
      <c r="R166" s="655"/>
      <c r="S166" s="656"/>
      <c r="T166" s="652"/>
      <c r="U166" s="654"/>
      <c r="V166" s="652"/>
      <c r="W166" s="653"/>
      <c r="X166" s="654"/>
      <c r="Y166" s="495"/>
      <c r="Z166" s="496"/>
      <c r="AA166" s="63"/>
      <c r="AB166" s="497" t="s">
        <v>2505</v>
      </c>
      <c r="AC166" s="63"/>
      <c r="AD166" s="497" t="s">
        <v>2506</v>
      </c>
      <c r="AE166" s="63"/>
      <c r="AF166" s="497" t="s">
        <v>2507</v>
      </c>
      <c r="AG166" s="63"/>
      <c r="AH166" s="498" t="s">
        <v>441</v>
      </c>
      <c r="AJ166" s="490" t="str">
        <f>IF($B166="","",IF($R166=AJ$5,(SUM($D166*VLOOKUP($C166,ESCALA!$B$3:$O$19,14,0)+10)*2)*27,""))</f>
        <v/>
      </c>
      <c r="AK166" s="490" t="str">
        <f>IF($B166="","",IF($R166=AK$5,(SUM($D166*VLOOKUP($C166,ESCALA!$B$3:$O$19,14,0)+10)*2)*27,""))</f>
        <v/>
      </c>
      <c r="AL166" s="490" t="str">
        <f>IF($B166="","",IF($R166=AL$5,(SUM($D166*VLOOKUP($C166,ESCALA!$B$3:$O$19,14,0)+10)*2)*27,""))</f>
        <v/>
      </c>
      <c r="AM166" s="490" t="str">
        <f>IF($B166="","",IF($R166=AM$5,(SUM($D166*VLOOKUP($C166,ESCALA!$B$3:$O$19,14,0)+10)*2)*27,""))</f>
        <v/>
      </c>
      <c r="AN166" s="490" t="str">
        <f>IF($B166="","",IF($R166=AN$5,(SUM($D166*VLOOKUP($C166,ESCALA!$B$3:$O$19,14,0)+10)*2)*27,""))</f>
        <v/>
      </c>
      <c r="AO166" s="490" t="str">
        <f>IF($B166="","",IF($R166=AO$5,(SUM($D166*VLOOKUP($C166,ESCALA!$B$3:$O$19,14,0)+10)*2)*27,""))</f>
        <v/>
      </c>
      <c r="AP166" s="490" t="str">
        <f>IF($B166="","",IF($R166=AP$5,(SUM($D166*VLOOKUP($C166,ESCALA!$B$3:$O$19,14,0)+10)*2)*27,""))</f>
        <v/>
      </c>
      <c r="AY166" s="368" t="str">
        <f>IF(PERFIL!E165="","",PERFIL!E165)</f>
        <v/>
      </c>
      <c r="AZ166" s="368" t="str">
        <f t="shared" si="16"/>
        <v/>
      </c>
      <c r="BA166" s="368" t="str">
        <f t="shared" si="17"/>
        <v/>
      </c>
    </row>
    <row r="167" spans="2:53" ht="33.75" customHeight="1" x14ac:dyDescent="0.2">
      <c r="B167" s="551"/>
      <c r="C167" s="517"/>
      <c r="D167" s="503" t="str">
        <f>IF(C167="","",VLOOKUP(C167,'REL LINHAS'!$B$2:$K$2205,5,0))</f>
        <v/>
      </c>
      <c r="E167" s="321" t="str">
        <f t="shared" si="18"/>
        <v/>
      </c>
      <c r="F167" s="493"/>
      <c r="G167" s="494"/>
      <c r="H167" s="649"/>
      <c r="I167" s="650"/>
      <c r="J167" s="651"/>
      <c r="K167" s="652"/>
      <c r="L167" s="653"/>
      <c r="M167" s="654"/>
      <c r="N167" s="652"/>
      <c r="O167" s="653"/>
      <c r="P167" s="653"/>
      <c r="Q167" s="654"/>
      <c r="R167" s="655"/>
      <c r="S167" s="656"/>
      <c r="T167" s="652"/>
      <c r="U167" s="654"/>
      <c r="V167" s="652"/>
      <c r="W167" s="653"/>
      <c r="X167" s="654"/>
      <c r="Y167" s="495"/>
      <c r="Z167" s="496"/>
      <c r="AA167" s="63"/>
      <c r="AB167" s="497" t="s">
        <v>2505</v>
      </c>
      <c r="AC167" s="63"/>
      <c r="AD167" s="497" t="s">
        <v>2506</v>
      </c>
      <c r="AE167" s="63"/>
      <c r="AF167" s="497" t="s">
        <v>2507</v>
      </c>
      <c r="AG167" s="63"/>
      <c r="AH167" s="498" t="s">
        <v>441</v>
      </c>
      <c r="AJ167" s="490" t="str">
        <f>IF($B167="","",IF($R167=AJ$5,(SUM($D167*VLOOKUP($C167,ESCALA!$B$3:$O$19,14,0)+10)*2)*27,""))</f>
        <v/>
      </c>
      <c r="AK167" s="490" t="str">
        <f>IF($B167="","",IF($R167=AK$5,(SUM($D167*VLOOKUP($C167,ESCALA!$B$3:$O$19,14,0)+10)*2)*27,""))</f>
        <v/>
      </c>
      <c r="AL167" s="490" t="str">
        <f>IF($B167="","",IF($R167=AL$5,(SUM($D167*VLOOKUP($C167,ESCALA!$B$3:$O$19,14,0)+10)*2)*27,""))</f>
        <v/>
      </c>
      <c r="AM167" s="490" t="str">
        <f>IF($B167="","",IF($R167=AM$5,(SUM($D167*VLOOKUP($C167,ESCALA!$B$3:$O$19,14,0)+10)*2)*27,""))</f>
        <v/>
      </c>
      <c r="AN167" s="490" t="str">
        <f>IF($B167="","",IF($R167=AN$5,(SUM($D167*VLOOKUP($C167,ESCALA!$B$3:$O$19,14,0)+10)*2)*27,""))</f>
        <v/>
      </c>
      <c r="AO167" s="490" t="str">
        <f>IF($B167="","",IF($R167=AO$5,(SUM($D167*VLOOKUP($C167,ESCALA!$B$3:$O$19,14,0)+10)*2)*27,""))</f>
        <v/>
      </c>
      <c r="AP167" s="490" t="str">
        <f>IF($B167="","",IF($R167=AP$5,(SUM($D167*VLOOKUP($C167,ESCALA!$B$3:$O$19,14,0)+10)*2)*27,""))</f>
        <v/>
      </c>
      <c r="AY167" s="368" t="str">
        <f>IF(PERFIL!E166="","",PERFIL!E166)</f>
        <v/>
      </c>
      <c r="AZ167" s="368" t="str">
        <f t="shared" si="16"/>
        <v/>
      </c>
      <c r="BA167" s="368" t="str">
        <f t="shared" si="17"/>
        <v/>
      </c>
    </row>
    <row r="168" spans="2:53" ht="33.75" customHeight="1" x14ac:dyDescent="0.2">
      <c r="B168" s="551"/>
      <c r="C168" s="517"/>
      <c r="D168" s="503" t="str">
        <f>IF(C168="","",VLOOKUP(C168,'REL LINHAS'!$B$2:$K$2205,5,0))</f>
        <v/>
      </c>
      <c r="E168" s="321" t="str">
        <f t="shared" si="18"/>
        <v/>
      </c>
      <c r="F168" s="493"/>
      <c r="G168" s="494"/>
      <c r="H168" s="649"/>
      <c r="I168" s="650"/>
      <c r="J168" s="651"/>
      <c r="K168" s="652"/>
      <c r="L168" s="653"/>
      <c r="M168" s="654"/>
      <c r="N168" s="652"/>
      <c r="O168" s="653"/>
      <c r="P168" s="653"/>
      <c r="Q168" s="654"/>
      <c r="R168" s="655"/>
      <c r="S168" s="656"/>
      <c r="T168" s="652"/>
      <c r="U168" s="654"/>
      <c r="V168" s="652"/>
      <c r="W168" s="653"/>
      <c r="X168" s="654"/>
      <c r="Y168" s="495"/>
      <c r="Z168" s="496"/>
      <c r="AA168" s="63"/>
      <c r="AB168" s="497" t="s">
        <v>2505</v>
      </c>
      <c r="AC168" s="63"/>
      <c r="AD168" s="497" t="s">
        <v>2506</v>
      </c>
      <c r="AE168" s="63"/>
      <c r="AF168" s="497" t="s">
        <v>2507</v>
      </c>
      <c r="AG168" s="63"/>
      <c r="AH168" s="498" t="s">
        <v>229</v>
      </c>
      <c r="AJ168" s="490" t="str">
        <f>IF($B168="","",IF($R168=AJ$5,(SUM($D168*VLOOKUP($C168,ESCALA!$B$3:$O$19,14,0)+10)*2)*27,""))</f>
        <v/>
      </c>
      <c r="AK168" s="490" t="str">
        <f>IF($B168="","",IF($R168=AK$5,(SUM($D168*VLOOKUP($C168,ESCALA!$B$3:$O$19,14,0)+10)*2)*27,""))</f>
        <v/>
      </c>
      <c r="AL168" s="490" t="str">
        <f>IF($B168="","",IF($R168=AL$5,(SUM($D168*VLOOKUP($C168,ESCALA!$B$3:$O$19,14,0)+10)*2)*27,""))</f>
        <v/>
      </c>
      <c r="AM168" s="490" t="str">
        <f>IF($B168="","",IF($R168=AM$5,(SUM($D168*VLOOKUP($C168,ESCALA!$B$3:$O$19,14,0)+10)*2)*27,""))</f>
        <v/>
      </c>
      <c r="AN168" s="490" t="str">
        <f>IF($B168="","",IF($R168=AN$5,(SUM($D168*VLOOKUP($C168,ESCALA!$B$3:$O$19,14,0)+10)*2)*27,""))</f>
        <v/>
      </c>
      <c r="AO168" s="490" t="str">
        <f>IF($B168="","",IF($R168=AO$5,(SUM($D168*VLOOKUP($C168,ESCALA!$B$3:$O$19,14,0)+10)*2)*27,""))</f>
        <v/>
      </c>
      <c r="AP168" s="490" t="str">
        <f>IF($B168="","",IF($R168=AP$5,(SUM($D168*VLOOKUP($C168,ESCALA!$B$3:$O$19,14,0)+10)*2)*27,""))</f>
        <v/>
      </c>
      <c r="AY168" s="368" t="str">
        <f>IF(PERFIL!E167="","",PERFIL!E167)</f>
        <v/>
      </c>
      <c r="AZ168" s="368" t="str">
        <f t="shared" si="16"/>
        <v/>
      </c>
      <c r="BA168" s="368" t="str">
        <f t="shared" si="17"/>
        <v/>
      </c>
    </row>
    <row r="169" spans="2:53" ht="33.75" customHeight="1" x14ac:dyDescent="0.2">
      <c r="B169" s="551"/>
      <c r="C169" s="517"/>
      <c r="D169" s="503" t="str">
        <f>IF(C169="","",VLOOKUP(C169,'REL LINHAS'!$B$2:$K$2205,5,0))</f>
        <v/>
      </c>
      <c r="E169" s="321" t="str">
        <f t="shared" si="18"/>
        <v/>
      </c>
      <c r="F169" s="493"/>
      <c r="G169" s="494"/>
      <c r="H169" s="649"/>
      <c r="I169" s="650"/>
      <c r="J169" s="651"/>
      <c r="K169" s="652"/>
      <c r="L169" s="653"/>
      <c r="M169" s="654"/>
      <c r="N169" s="652"/>
      <c r="O169" s="653"/>
      <c r="P169" s="653"/>
      <c r="Q169" s="654"/>
      <c r="R169" s="655"/>
      <c r="S169" s="656"/>
      <c r="T169" s="652"/>
      <c r="U169" s="654"/>
      <c r="V169" s="652"/>
      <c r="W169" s="653"/>
      <c r="X169" s="654"/>
      <c r="Y169" s="495"/>
      <c r="Z169" s="496"/>
      <c r="AA169" s="63"/>
      <c r="AB169" s="497" t="s">
        <v>2505</v>
      </c>
      <c r="AC169" s="63"/>
      <c r="AD169" s="497" t="s">
        <v>2506</v>
      </c>
      <c r="AE169" s="63"/>
      <c r="AF169" s="497" t="s">
        <v>2507</v>
      </c>
      <c r="AG169" s="63"/>
      <c r="AH169" s="498" t="s">
        <v>229</v>
      </c>
      <c r="AJ169" s="490" t="str">
        <f>IF($B169="","",IF($R169=AJ$5,(SUM($D169*VLOOKUP($C169,ESCALA!$B$3:$O$19,14,0)+10)*2)*27,""))</f>
        <v/>
      </c>
      <c r="AK169" s="490" t="str">
        <f>IF($B169="","",IF($R169=AK$5,(SUM($D169*VLOOKUP($C169,ESCALA!$B$3:$O$19,14,0)+10)*2)*27,""))</f>
        <v/>
      </c>
      <c r="AL169" s="490" t="str">
        <f>IF($B169="","",IF($R169=AL$5,(SUM($D169*VLOOKUP($C169,ESCALA!$B$3:$O$19,14,0)+10)*2)*27,""))</f>
        <v/>
      </c>
      <c r="AM169" s="490" t="str">
        <f>IF($B169="","",IF($R169=AM$5,(SUM($D169*VLOOKUP($C169,ESCALA!$B$3:$O$19,14,0)+10)*2)*27,""))</f>
        <v/>
      </c>
      <c r="AN169" s="490" t="str">
        <f>IF($B169="","",IF($R169=AN$5,(SUM($D169*VLOOKUP($C169,ESCALA!$B$3:$O$19,14,0)+10)*2)*27,""))</f>
        <v/>
      </c>
      <c r="AO169" s="490" t="str">
        <f>IF($B169="","",IF($R169=AO$5,(SUM($D169*VLOOKUP($C169,ESCALA!$B$3:$O$19,14,0)+10)*2)*27,""))</f>
        <v/>
      </c>
      <c r="AP169" s="490" t="str">
        <f>IF($B169="","",IF($R169=AP$5,(SUM($D169*VLOOKUP($C169,ESCALA!$B$3:$O$19,14,0)+10)*2)*27,""))</f>
        <v/>
      </c>
      <c r="AY169" s="368" t="str">
        <f>IF(PERFIL!E168="","",PERFIL!E168)</f>
        <v/>
      </c>
      <c r="AZ169" s="368" t="str">
        <f t="shared" si="16"/>
        <v/>
      </c>
      <c r="BA169" s="368" t="str">
        <f t="shared" si="17"/>
        <v/>
      </c>
    </row>
    <row r="170" spans="2:53" ht="33.75" customHeight="1" x14ac:dyDescent="0.2">
      <c r="B170" s="551"/>
      <c r="C170" s="517"/>
      <c r="D170" s="503" t="str">
        <f>IF(C170="","",VLOOKUP(C170,'REL LINHAS'!$B$2:$K$2205,5,0))</f>
        <v/>
      </c>
      <c r="E170" s="321" t="str">
        <f t="shared" si="18"/>
        <v/>
      </c>
      <c r="F170" s="493"/>
      <c r="G170" s="494"/>
      <c r="H170" s="649"/>
      <c r="I170" s="650"/>
      <c r="J170" s="651"/>
      <c r="K170" s="652"/>
      <c r="L170" s="653"/>
      <c r="M170" s="654"/>
      <c r="N170" s="652"/>
      <c r="O170" s="653"/>
      <c r="P170" s="653"/>
      <c r="Q170" s="654"/>
      <c r="R170" s="655"/>
      <c r="S170" s="656"/>
      <c r="T170" s="652"/>
      <c r="U170" s="654"/>
      <c r="V170" s="652"/>
      <c r="W170" s="653"/>
      <c r="X170" s="654"/>
      <c r="Y170" s="495"/>
      <c r="Z170" s="496"/>
      <c r="AA170" s="63"/>
      <c r="AB170" s="497" t="s">
        <v>2505</v>
      </c>
      <c r="AC170" s="63"/>
      <c r="AD170" s="497" t="s">
        <v>2506</v>
      </c>
      <c r="AE170" s="63"/>
      <c r="AF170" s="497" t="s">
        <v>2507</v>
      </c>
      <c r="AG170" s="63"/>
      <c r="AH170" s="498" t="s">
        <v>229</v>
      </c>
      <c r="AJ170" s="490" t="str">
        <f>IF($B170="","",IF($R170=AJ$5,(SUM($D170*VLOOKUP($C170,ESCALA!$B$3:$O$19,14,0)+10)*2)*27,""))</f>
        <v/>
      </c>
      <c r="AK170" s="490" t="str">
        <f>IF($B170="","",IF($R170=AK$5,(SUM($D170*VLOOKUP($C170,ESCALA!$B$3:$O$19,14,0)+10)*2)*27,""))</f>
        <v/>
      </c>
      <c r="AL170" s="490" t="str">
        <f>IF($B170="","",IF($R170=AL$5,(SUM($D170*VLOOKUP($C170,ESCALA!$B$3:$O$19,14,0)+10)*2)*27,""))</f>
        <v/>
      </c>
      <c r="AM170" s="490" t="str">
        <f>IF($B170="","",IF($R170=AM$5,(SUM($D170*VLOOKUP($C170,ESCALA!$B$3:$O$19,14,0)+10)*2)*27,""))</f>
        <v/>
      </c>
      <c r="AN170" s="490" t="str">
        <f>IF($B170="","",IF($R170=AN$5,(SUM($D170*VLOOKUP($C170,ESCALA!$B$3:$O$19,14,0)+10)*2)*27,""))</f>
        <v/>
      </c>
      <c r="AO170" s="490" t="str">
        <f>IF($B170="","",IF($R170=AO$5,(SUM($D170*VLOOKUP($C170,ESCALA!$B$3:$O$19,14,0)+10)*2)*27,""))</f>
        <v/>
      </c>
      <c r="AP170" s="490" t="str">
        <f>IF($B170="","",IF($R170=AP$5,(SUM($D170*VLOOKUP($C170,ESCALA!$B$3:$O$19,14,0)+10)*2)*27,""))</f>
        <v/>
      </c>
      <c r="AY170" s="368" t="str">
        <f>IF(PERFIL!E169="","",PERFIL!E169)</f>
        <v/>
      </c>
      <c r="AZ170" s="368" t="str">
        <f t="shared" si="16"/>
        <v/>
      </c>
      <c r="BA170" s="368" t="str">
        <f t="shared" si="17"/>
        <v/>
      </c>
    </row>
    <row r="171" spans="2:53" ht="33.75" customHeight="1" x14ac:dyDescent="0.2">
      <c r="B171" s="551"/>
      <c r="C171" s="517"/>
      <c r="D171" s="503" t="str">
        <f>IF(C171="","",VLOOKUP(C171,'REL LINHAS'!$B$2:$K$2205,5,0))</f>
        <v/>
      </c>
      <c r="E171" s="321" t="str">
        <f t="shared" si="18"/>
        <v/>
      </c>
      <c r="F171" s="493"/>
      <c r="G171" s="494"/>
      <c r="H171" s="649"/>
      <c r="I171" s="650"/>
      <c r="J171" s="651"/>
      <c r="K171" s="652"/>
      <c r="L171" s="653"/>
      <c r="M171" s="654"/>
      <c r="N171" s="652"/>
      <c r="O171" s="653"/>
      <c r="P171" s="653"/>
      <c r="Q171" s="654"/>
      <c r="R171" s="655"/>
      <c r="S171" s="656"/>
      <c r="T171" s="652"/>
      <c r="U171" s="654"/>
      <c r="V171" s="652"/>
      <c r="W171" s="653"/>
      <c r="X171" s="654"/>
      <c r="Y171" s="495"/>
      <c r="Z171" s="496"/>
      <c r="AA171" s="63"/>
      <c r="AB171" s="497" t="s">
        <v>2505</v>
      </c>
      <c r="AC171" s="63"/>
      <c r="AD171" s="497" t="s">
        <v>2506</v>
      </c>
      <c r="AE171" s="63"/>
      <c r="AF171" s="497" t="s">
        <v>2507</v>
      </c>
      <c r="AG171" s="63"/>
      <c r="AH171" s="498" t="s">
        <v>229</v>
      </c>
      <c r="AJ171" s="490" t="str">
        <f>IF($B171="","",IF($R171=AJ$5,(SUM($D171*VLOOKUP($C171,ESCALA!$B$3:$O$19,14,0)+10)*2)*27,""))</f>
        <v/>
      </c>
      <c r="AK171" s="490" t="str">
        <f>IF($B171="","",IF($R171=AK$5,(SUM($D171*VLOOKUP($C171,ESCALA!$B$3:$O$19,14,0)+10)*2)*27,""))</f>
        <v/>
      </c>
      <c r="AL171" s="490" t="str">
        <f>IF($B171="","",IF($R171=AL$5,(SUM($D171*VLOOKUP($C171,ESCALA!$B$3:$O$19,14,0)+10)*2)*27,""))</f>
        <v/>
      </c>
      <c r="AM171" s="490" t="str">
        <f>IF($B171="","",IF($R171=AM$5,(SUM($D171*VLOOKUP($C171,ESCALA!$B$3:$O$19,14,0)+10)*2)*27,""))</f>
        <v/>
      </c>
      <c r="AN171" s="490" t="str">
        <f>IF($B171="","",IF($R171=AN$5,(SUM($D171*VLOOKUP($C171,ESCALA!$B$3:$O$19,14,0)+10)*2)*27,""))</f>
        <v/>
      </c>
      <c r="AO171" s="490" t="str">
        <f>IF($B171="","",IF($R171=AO$5,(SUM($D171*VLOOKUP($C171,ESCALA!$B$3:$O$19,14,0)+10)*2)*27,""))</f>
        <v/>
      </c>
      <c r="AP171" s="490" t="str">
        <f>IF($B171="","",IF($R171=AP$5,(SUM($D171*VLOOKUP($C171,ESCALA!$B$3:$O$19,14,0)+10)*2)*27,""))</f>
        <v/>
      </c>
      <c r="AY171" s="368" t="str">
        <f>IF(PERFIL!E170="","",PERFIL!E170)</f>
        <v/>
      </c>
      <c r="AZ171" s="368" t="str">
        <f t="shared" si="16"/>
        <v/>
      </c>
      <c r="BA171" s="368" t="str">
        <f t="shared" si="17"/>
        <v/>
      </c>
    </row>
    <row r="172" spans="2:53" ht="33.75" customHeight="1" x14ac:dyDescent="0.2">
      <c r="B172" s="551"/>
      <c r="C172" s="517"/>
      <c r="D172" s="503" t="str">
        <f>IF(C172="","",VLOOKUP(C172,'REL LINHAS'!$B$2:$K$2205,5,0))</f>
        <v/>
      </c>
      <c r="E172" s="321" t="str">
        <f t="shared" si="18"/>
        <v/>
      </c>
      <c r="F172" s="493"/>
      <c r="G172" s="494"/>
      <c r="H172" s="649"/>
      <c r="I172" s="650"/>
      <c r="J172" s="651"/>
      <c r="K172" s="652"/>
      <c r="L172" s="653"/>
      <c r="M172" s="654"/>
      <c r="N172" s="652"/>
      <c r="O172" s="653"/>
      <c r="P172" s="653"/>
      <c r="Q172" s="654"/>
      <c r="R172" s="655"/>
      <c r="S172" s="656"/>
      <c r="T172" s="652"/>
      <c r="U172" s="654"/>
      <c r="V172" s="652"/>
      <c r="W172" s="653"/>
      <c r="X172" s="654"/>
      <c r="Y172" s="495"/>
      <c r="Z172" s="496"/>
      <c r="AA172" s="63"/>
      <c r="AB172" s="497" t="s">
        <v>2505</v>
      </c>
      <c r="AC172" s="63"/>
      <c r="AD172" s="497" t="s">
        <v>2506</v>
      </c>
      <c r="AE172" s="63"/>
      <c r="AF172" s="497" t="s">
        <v>2507</v>
      </c>
      <c r="AG172" s="63"/>
      <c r="AH172" s="498" t="s">
        <v>229</v>
      </c>
      <c r="AJ172" s="490" t="str">
        <f>IF($B172="","",IF($R172=AJ$5,(SUM($D172*VLOOKUP($C172,ESCALA!$B$3:$O$19,14,0)+10)*2)*27,""))</f>
        <v/>
      </c>
      <c r="AK172" s="490" t="str">
        <f>IF($B172="","",IF($R172=AK$5,(SUM($D172*VLOOKUP($C172,ESCALA!$B$3:$O$19,14,0)+10)*2)*27,""))</f>
        <v/>
      </c>
      <c r="AL172" s="490" t="str">
        <f>IF($B172="","",IF($R172=AL$5,(SUM($D172*VLOOKUP($C172,ESCALA!$B$3:$O$19,14,0)+10)*2)*27,""))</f>
        <v/>
      </c>
      <c r="AM172" s="490" t="str">
        <f>IF($B172="","",IF($R172=AM$5,(SUM($D172*VLOOKUP($C172,ESCALA!$B$3:$O$19,14,0)+10)*2)*27,""))</f>
        <v/>
      </c>
      <c r="AN172" s="490" t="str">
        <f>IF($B172="","",IF($R172=AN$5,(SUM($D172*VLOOKUP($C172,ESCALA!$B$3:$O$19,14,0)+10)*2)*27,""))</f>
        <v/>
      </c>
      <c r="AO172" s="490" t="str">
        <f>IF($B172="","",IF($R172=AO$5,(SUM($D172*VLOOKUP($C172,ESCALA!$B$3:$O$19,14,0)+10)*2)*27,""))</f>
        <v/>
      </c>
      <c r="AP172" s="490" t="str">
        <f>IF($B172="","",IF($R172=AP$5,(SUM($D172*VLOOKUP($C172,ESCALA!$B$3:$O$19,14,0)+10)*2)*27,""))</f>
        <v/>
      </c>
      <c r="AY172" s="368" t="str">
        <f>IF(PERFIL!E171="","",PERFIL!E171)</f>
        <v/>
      </c>
      <c r="AZ172" s="368" t="str">
        <f t="shared" si="16"/>
        <v/>
      </c>
      <c r="BA172" s="368" t="str">
        <f t="shared" si="17"/>
        <v/>
      </c>
    </row>
    <row r="173" spans="2:53" ht="33.75" customHeight="1" x14ac:dyDescent="0.2">
      <c r="B173" s="551"/>
      <c r="C173" s="517"/>
      <c r="D173" s="503" t="str">
        <f>IF(C173="","",VLOOKUP(C173,'REL LINHAS'!$B$2:$K$2205,5,0))</f>
        <v/>
      </c>
      <c r="E173" s="321" t="str">
        <f t="shared" si="18"/>
        <v/>
      </c>
      <c r="F173" s="493"/>
      <c r="G173" s="494"/>
      <c r="H173" s="649"/>
      <c r="I173" s="650"/>
      <c r="J173" s="651"/>
      <c r="K173" s="652"/>
      <c r="L173" s="653"/>
      <c r="M173" s="654"/>
      <c r="N173" s="652"/>
      <c r="O173" s="653"/>
      <c r="P173" s="653"/>
      <c r="Q173" s="654"/>
      <c r="R173" s="655"/>
      <c r="S173" s="656"/>
      <c r="T173" s="652"/>
      <c r="U173" s="654"/>
      <c r="V173" s="652"/>
      <c r="W173" s="653"/>
      <c r="X173" s="654"/>
      <c r="Y173" s="495"/>
      <c r="Z173" s="496"/>
      <c r="AA173" s="63"/>
      <c r="AB173" s="497" t="s">
        <v>2505</v>
      </c>
      <c r="AC173" s="63"/>
      <c r="AD173" s="497" t="s">
        <v>2506</v>
      </c>
      <c r="AE173" s="63"/>
      <c r="AF173" s="497" t="s">
        <v>2507</v>
      </c>
      <c r="AG173" s="63"/>
      <c r="AH173" s="498" t="s">
        <v>229</v>
      </c>
      <c r="AJ173" s="490" t="str">
        <f>IF($B173="","",IF($R173=AJ$5,(SUM($D173*VLOOKUP($C173,ESCALA!$B$3:$O$19,14,0)+10)*2)*27,""))</f>
        <v/>
      </c>
      <c r="AK173" s="490" t="str">
        <f>IF($B173="","",IF($R173=AK$5,(SUM($D173*VLOOKUP($C173,ESCALA!$B$3:$O$19,14,0)+10)*2)*27,""))</f>
        <v/>
      </c>
      <c r="AL173" s="490" t="str">
        <f>IF($B173="","",IF($R173=AL$5,(SUM($D173*VLOOKUP($C173,ESCALA!$B$3:$O$19,14,0)+10)*2)*27,""))</f>
        <v/>
      </c>
      <c r="AM173" s="490" t="str">
        <f>IF($B173="","",IF($R173=AM$5,(SUM($D173*VLOOKUP($C173,ESCALA!$B$3:$O$19,14,0)+10)*2)*27,""))</f>
        <v/>
      </c>
      <c r="AN173" s="490" t="str">
        <f>IF($B173="","",IF($R173=AN$5,(SUM($D173*VLOOKUP($C173,ESCALA!$B$3:$O$19,14,0)+10)*2)*27,""))</f>
        <v/>
      </c>
      <c r="AO173" s="490" t="str">
        <f>IF($B173="","",IF($R173=AO$5,(SUM($D173*VLOOKUP($C173,ESCALA!$B$3:$O$19,14,0)+10)*2)*27,""))</f>
        <v/>
      </c>
      <c r="AP173" s="490" t="str">
        <f>IF($B173="","",IF($R173=AP$5,(SUM($D173*VLOOKUP($C173,ESCALA!$B$3:$O$19,14,0)+10)*2)*27,""))</f>
        <v/>
      </c>
      <c r="AY173" s="368" t="str">
        <f>IF(PERFIL!E172="","",PERFIL!E172)</f>
        <v/>
      </c>
      <c r="AZ173" s="368" t="str">
        <f t="shared" si="16"/>
        <v/>
      </c>
      <c r="BA173" s="368" t="str">
        <f t="shared" si="17"/>
        <v/>
      </c>
    </row>
    <row r="174" spans="2:53" ht="33.75" customHeight="1" x14ac:dyDescent="0.2">
      <c r="B174" s="551"/>
      <c r="C174" s="517"/>
      <c r="D174" s="503" t="str">
        <f>IF(C174="","",VLOOKUP(C174,'REL LINHAS'!$B$2:$K$2205,5,0))</f>
        <v/>
      </c>
      <c r="E174" s="321" t="str">
        <f t="shared" si="18"/>
        <v/>
      </c>
      <c r="F174" s="493"/>
      <c r="G174" s="494"/>
      <c r="H174" s="649"/>
      <c r="I174" s="650"/>
      <c r="J174" s="651"/>
      <c r="K174" s="652"/>
      <c r="L174" s="653"/>
      <c r="M174" s="654"/>
      <c r="N174" s="652"/>
      <c r="O174" s="653"/>
      <c r="P174" s="653"/>
      <c r="Q174" s="654"/>
      <c r="R174" s="655"/>
      <c r="S174" s="656"/>
      <c r="T174" s="652"/>
      <c r="U174" s="654"/>
      <c r="V174" s="652"/>
      <c r="W174" s="653"/>
      <c r="X174" s="654"/>
      <c r="Y174" s="495"/>
      <c r="Z174" s="496"/>
      <c r="AA174" s="63"/>
      <c r="AB174" s="497" t="s">
        <v>2505</v>
      </c>
      <c r="AC174" s="63"/>
      <c r="AD174" s="497" t="s">
        <v>2506</v>
      </c>
      <c r="AE174" s="63"/>
      <c r="AF174" s="497" t="s">
        <v>2507</v>
      </c>
      <c r="AG174" s="63"/>
      <c r="AH174" s="498" t="s">
        <v>229</v>
      </c>
      <c r="AJ174" s="490" t="str">
        <f>IF($B174="","",IF($R174=AJ$5,(SUM($D174*VLOOKUP($C174,ESCALA!$B$3:$O$19,14,0)+10)*2)*27,""))</f>
        <v/>
      </c>
      <c r="AK174" s="490" t="str">
        <f>IF($B174="","",IF($R174=AK$5,(SUM($D174*VLOOKUP($C174,ESCALA!$B$3:$O$19,14,0)+10)*2)*27,""))</f>
        <v/>
      </c>
      <c r="AL174" s="490" t="str">
        <f>IF($B174="","",IF($R174=AL$5,(SUM($D174*VLOOKUP($C174,ESCALA!$B$3:$O$19,14,0)+10)*2)*27,""))</f>
        <v/>
      </c>
      <c r="AM174" s="490" t="str">
        <f>IF($B174="","",IF($R174=AM$5,(SUM($D174*VLOOKUP($C174,ESCALA!$B$3:$O$19,14,0)+10)*2)*27,""))</f>
        <v/>
      </c>
      <c r="AN174" s="490" t="str">
        <f>IF($B174="","",IF($R174=AN$5,(SUM($D174*VLOOKUP($C174,ESCALA!$B$3:$O$19,14,0)+10)*2)*27,""))</f>
        <v/>
      </c>
      <c r="AO174" s="490" t="str">
        <f>IF($B174="","",IF($R174=AO$5,(SUM($D174*VLOOKUP($C174,ESCALA!$B$3:$O$19,14,0)+10)*2)*27,""))</f>
        <v/>
      </c>
      <c r="AP174" s="490" t="str">
        <f>IF($B174="","",IF($R174=AP$5,(SUM($D174*VLOOKUP($C174,ESCALA!$B$3:$O$19,14,0)+10)*2)*27,""))</f>
        <v/>
      </c>
      <c r="AY174" s="368" t="str">
        <f>IF(PERFIL!E173="","",PERFIL!E173)</f>
        <v/>
      </c>
      <c r="AZ174" s="368" t="str">
        <f t="shared" si="16"/>
        <v/>
      </c>
      <c r="BA174" s="368" t="str">
        <f t="shared" si="17"/>
        <v/>
      </c>
    </row>
    <row r="175" spans="2:53" ht="33.75" customHeight="1" x14ac:dyDescent="0.2">
      <c r="B175" s="551"/>
      <c r="C175" s="517"/>
      <c r="D175" s="503" t="str">
        <f>IF(C175="","",VLOOKUP(C175,'REL LINHAS'!$B$2:$K$2205,5,0))</f>
        <v/>
      </c>
      <c r="E175" s="321" t="str">
        <f t="shared" si="18"/>
        <v/>
      </c>
      <c r="F175" s="493"/>
      <c r="G175" s="494"/>
      <c r="H175" s="649"/>
      <c r="I175" s="650"/>
      <c r="J175" s="651"/>
      <c r="K175" s="652"/>
      <c r="L175" s="653"/>
      <c r="M175" s="654"/>
      <c r="N175" s="652"/>
      <c r="O175" s="653"/>
      <c r="P175" s="653"/>
      <c r="Q175" s="654"/>
      <c r="R175" s="655"/>
      <c r="S175" s="656"/>
      <c r="T175" s="652"/>
      <c r="U175" s="654"/>
      <c r="V175" s="652"/>
      <c r="W175" s="653"/>
      <c r="X175" s="654"/>
      <c r="Y175" s="495"/>
      <c r="Z175" s="496"/>
      <c r="AA175" s="63"/>
      <c r="AB175" s="497" t="s">
        <v>2505</v>
      </c>
      <c r="AC175" s="63"/>
      <c r="AD175" s="497" t="s">
        <v>2506</v>
      </c>
      <c r="AE175" s="63"/>
      <c r="AF175" s="497" t="s">
        <v>2507</v>
      </c>
      <c r="AG175" s="63"/>
      <c r="AH175" s="498" t="s">
        <v>229</v>
      </c>
      <c r="AJ175" s="490" t="str">
        <f>IF($B175="","",IF($R175=AJ$5,(SUM($D175*VLOOKUP($C175,ESCALA!$B$3:$O$19,14,0)+10)*2)*27,""))</f>
        <v/>
      </c>
      <c r="AK175" s="490" t="str">
        <f>IF($B175="","",IF($R175=AK$5,(SUM($D175*VLOOKUP($C175,ESCALA!$B$3:$O$19,14,0)+10)*2)*27,""))</f>
        <v/>
      </c>
      <c r="AL175" s="490" t="str">
        <f>IF($B175="","",IF($R175=AL$5,(SUM($D175*VLOOKUP($C175,ESCALA!$B$3:$O$19,14,0)+10)*2)*27,""))</f>
        <v/>
      </c>
      <c r="AM175" s="490" t="str">
        <f>IF($B175="","",IF($R175=AM$5,(SUM($D175*VLOOKUP($C175,ESCALA!$B$3:$O$19,14,0)+10)*2)*27,""))</f>
        <v/>
      </c>
      <c r="AN175" s="490" t="str">
        <f>IF($B175="","",IF($R175=AN$5,(SUM($D175*VLOOKUP($C175,ESCALA!$B$3:$O$19,14,0)+10)*2)*27,""))</f>
        <v/>
      </c>
      <c r="AO175" s="490" t="str">
        <f>IF($B175="","",IF($R175=AO$5,(SUM($D175*VLOOKUP($C175,ESCALA!$B$3:$O$19,14,0)+10)*2)*27,""))</f>
        <v/>
      </c>
      <c r="AP175" s="490" t="str">
        <f>IF($B175="","",IF($R175=AP$5,(SUM($D175*VLOOKUP($C175,ESCALA!$B$3:$O$19,14,0)+10)*2)*27,""))</f>
        <v/>
      </c>
      <c r="AY175" s="368" t="str">
        <f>IF(PERFIL!E174="","",PERFIL!E174)</f>
        <v/>
      </c>
      <c r="AZ175" s="368" t="str">
        <f t="shared" si="16"/>
        <v/>
      </c>
      <c r="BA175" s="368" t="str">
        <f t="shared" si="17"/>
        <v/>
      </c>
    </row>
    <row r="176" spans="2:53" ht="33.75" customHeight="1" x14ac:dyDescent="0.2">
      <c r="B176" s="551"/>
      <c r="C176" s="517"/>
      <c r="D176" s="503" t="str">
        <f>IF(C176="","",VLOOKUP(C176,'REL LINHAS'!$B$2:$K$2205,5,0))</f>
        <v/>
      </c>
      <c r="E176" s="321" t="str">
        <f t="shared" si="18"/>
        <v/>
      </c>
      <c r="F176" s="493"/>
      <c r="G176" s="494"/>
      <c r="H176" s="649"/>
      <c r="I176" s="650"/>
      <c r="J176" s="651"/>
      <c r="K176" s="652"/>
      <c r="L176" s="653"/>
      <c r="M176" s="654"/>
      <c r="N176" s="652"/>
      <c r="O176" s="653"/>
      <c r="P176" s="653"/>
      <c r="Q176" s="654"/>
      <c r="R176" s="655"/>
      <c r="S176" s="656"/>
      <c r="T176" s="652"/>
      <c r="U176" s="654"/>
      <c r="V176" s="652"/>
      <c r="W176" s="653"/>
      <c r="X176" s="654"/>
      <c r="Y176" s="495"/>
      <c r="Z176" s="496"/>
      <c r="AA176" s="63"/>
      <c r="AB176" s="497" t="s">
        <v>2505</v>
      </c>
      <c r="AC176" s="63"/>
      <c r="AD176" s="497" t="s">
        <v>2506</v>
      </c>
      <c r="AE176" s="63"/>
      <c r="AF176" s="497" t="s">
        <v>2507</v>
      </c>
      <c r="AG176" s="63"/>
      <c r="AH176" s="498" t="s">
        <v>229</v>
      </c>
      <c r="AJ176" s="490" t="str">
        <f>IF($B176="","",IF($R176=AJ$5,(SUM($D176*VLOOKUP($C176,ESCALA!$B$3:$O$19,14,0)+10)*2)*27,""))</f>
        <v/>
      </c>
      <c r="AK176" s="490" t="str">
        <f>IF($B176="","",IF($R176=AK$5,(SUM($D176*VLOOKUP($C176,ESCALA!$B$3:$O$19,14,0)+10)*2)*27,""))</f>
        <v/>
      </c>
      <c r="AL176" s="490" t="str">
        <f>IF($B176="","",IF($R176=AL$5,(SUM($D176*VLOOKUP($C176,ESCALA!$B$3:$O$19,14,0)+10)*2)*27,""))</f>
        <v/>
      </c>
      <c r="AM176" s="490" t="str">
        <f>IF($B176="","",IF($R176=AM$5,(SUM($D176*VLOOKUP($C176,ESCALA!$B$3:$O$19,14,0)+10)*2)*27,""))</f>
        <v/>
      </c>
      <c r="AN176" s="490" t="str">
        <f>IF($B176="","",IF($R176=AN$5,(SUM($D176*VLOOKUP($C176,ESCALA!$B$3:$O$19,14,0)+10)*2)*27,""))</f>
        <v/>
      </c>
      <c r="AO176" s="490" t="str">
        <f>IF($B176="","",IF($R176=AO$5,(SUM($D176*VLOOKUP($C176,ESCALA!$B$3:$O$19,14,0)+10)*2)*27,""))</f>
        <v/>
      </c>
      <c r="AP176" s="490" t="str">
        <f>IF($B176="","",IF($R176=AP$5,(SUM($D176*VLOOKUP($C176,ESCALA!$B$3:$O$19,14,0)+10)*2)*27,""))</f>
        <v/>
      </c>
      <c r="AY176" s="368" t="str">
        <f>IF(PERFIL!E175="","",PERFIL!E175)</f>
        <v/>
      </c>
      <c r="AZ176" s="368" t="str">
        <f t="shared" si="16"/>
        <v/>
      </c>
      <c r="BA176" s="368" t="str">
        <f t="shared" si="17"/>
        <v/>
      </c>
    </row>
    <row r="177" spans="2:53" ht="33.75" customHeight="1" x14ac:dyDescent="0.2">
      <c r="B177" s="551"/>
      <c r="C177" s="517"/>
      <c r="D177" s="503" t="str">
        <f>IF(C177="","",VLOOKUP(C177,'REL LINHAS'!$B$2:$K$2205,5,0))</f>
        <v/>
      </c>
      <c r="E177" s="321" t="str">
        <f t="shared" si="18"/>
        <v/>
      </c>
      <c r="F177" s="493"/>
      <c r="G177" s="494"/>
      <c r="H177" s="649"/>
      <c r="I177" s="650"/>
      <c r="J177" s="651"/>
      <c r="K177" s="652"/>
      <c r="L177" s="653"/>
      <c r="M177" s="654"/>
      <c r="N177" s="652"/>
      <c r="O177" s="653"/>
      <c r="P177" s="653"/>
      <c r="Q177" s="654"/>
      <c r="R177" s="655"/>
      <c r="S177" s="656"/>
      <c r="T177" s="652"/>
      <c r="U177" s="654"/>
      <c r="V177" s="652"/>
      <c r="W177" s="653"/>
      <c r="X177" s="654"/>
      <c r="Y177" s="495"/>
      <c r="Z177" s="496"/>
      <c r="AA177" s="63"/>
      <c r="AB177" s="497" t="s">
        <v>2505</v>
      </c>
      <c r="AC177" s="63"/>
      <c r="AD177" s="497" t="s">
        <v>2506</v>
      </c>
      <c r="AE177" s="63"/>
      <c r="AF177" s="497" t="s">
        <v>2507</v>
      </c>
      <c r="AG177" s="63"/>
      <c r="AH177" s="498" t="s">
        <v>229</v>
      </c>
      <c r="AJ177" s="490" t="str">
        <f>IF($B177="","",IF($R177=AJ$5,(SUM($D177*VLOOKUP($C177,ESCALA!$B$3:$O$19,14,0)+10)*2)*27,""))</f>
        <v/>
      </c>
      <c r="AK177" s="490" t="str">
        <f>IF($B177="","",IF($R177=AK$5,(SUM($D177*VLOOKUP($C177,ESCALA!$B$3:$O$19,14,0)+10)*2)*27,""))</f>
        <v/>
      </c>
      <c r="AL177" s="490" t="str">
        <f>IF($B177="","",IF($R177=AL$5,(SUM($D177*VLOOKUP($C177,ESCALA!$B$3:$O$19,14,0)+10)*2)*27,""))</f>
        <v/>
      </c>
      <c r="AM177" s="490" t="str">
        <f>IF($B177="","",IF($R177=AM$5,(SUM($D177*VLOOKUP($C177,ESCALA!$B$3:$O$19,14,0)+10)*2)*27,""))</f>
        <v/>
      </c>
      <c r="AN177" s="490" t="str">
        <f>IF($B177="","",IF($R177=AN$5,(SUM($D177*VLOOKUP($C177,ESCALA!$B$3:$O$19,14,0)+10)*2)*27,""))</f>
        <v/>
      </c>
      <c r="AO177" s="490" t="str">
        <f>IF($B177="","",IF($R177=AO$5,(SUM($D177*VLOOKUP($C177,ESCALA!$B$3:$O$19,14,0)+10)*2)*27,""))</f>
        <v/>
      </c>
      <c r="AP177" s="490" t="str">
        <f>IF($B177="","",IF($R177=AP$5,(SUM($D177*VLOOKUP($C177,ESCALA!$B$3:$O$19,14,0)+10)*2)*27,""))</f>
        <v/>
      </c>
      <c r="AY177" s="368" t="str">
        <f>IF(PERFIL!E176="","",PERFIL!E176)</f>
        <v/>
      </c>
      <c r="AZ177" s="368" t="str">
        <f t="shared" si="16"/>
        <v/>
      </c>
      <c r="BA177" s="368" t="str">
        <f t="shared" si="17"/>
        <v/>
      </c>
    </row>
    <row r="178" spans="2:53" ht="33.75" customHeight="1" x14ac:dyDescent="0.2">
      <c r="B178" s="551"/>
      <c r="C178" s="517"/>
      <c r="D178" s="503" t="str">
        <f>IF(C178="","",VLOOKUP(C178,'REL LINHAS'!$B$2:$K$2205,5,0))</f>
        <v/>
      </c>
      <c r="E178" s="321" t="str">
        <f t="shared" si="18"/>
        <v/>
      </c>
      <c r="F178" s="493"/>
      <c r="G178" s="494"/>
      <c r="H178" s="649"/>
      <c r="I178" s="650"/>
      <c r="J178" s="651"/>
      <c r="K178" s="652"/>
      <c r="L178" s="653"/>
      <c r="M178" s="654"/>
      <c r="N178" s="652"/>
      <c r="O178" s="653"/>
      <c r="P178" s="653"/>
      <c r="Q178" s="654"/>
      <c r="R178" s="655"/>
      <c r="S178" s="656"/>
      <c r="T178" s="652"/>
      <c r="U178" s="654"/>
      <c r="V178" s="652"/>
      <c r="W178" s="653"/>
      <c r="X178" s="654"/>
      <c r="Y178" s="495"/>
      <c r="Z178" s="496"/>
      <c r="AA178" s="63"/>
      <c r="AB178" s="497" t="s">
        <v>2505</v>
      </c>
      <c r="AC178" s="63"/>
      <c r="AD178" s="497" t="s">
        <v>2506</v>
      </c>
      <c r="AE178" s="63"/>
      <c r="AF178" s="497" t="s">
        <v>2507</v>
      </c>
      <c r="AG178" s="63"/>
      <c r="AH178" s="498" t="s">
        <v>229</v>
      </c>
      <c r="AJ178" s="490" t="str">
        <f>IF($B178="","",IF($R178=AJ$5,(SUM($D178*VLOOKUP($C178,ESCALA!$B$3:$O$19,14,0)+10)*2)*27,""))</f>
        <v/>
      </c>
      <c r="AK178" s="490" t="str">
        <f>IF($B178="","",IF($R178=AK$5,(SUM($D178*VLOOKUP($C178,ESCALA!$B$3:$O$19,14,0)+10)*2)*27,""))</f>
        <v/>
      </c>
      <c r="AL178" s="490" t="str">
        <f>IF($B178="","",IF($R178=AL$5,(SUM($D178*VLOOKUP($C178,ESCALA!$B$3:$O$19,14,0)+10)*2)*27,""))</f>
        <v/>
      </c>
      <c r="AM178" s="490" t="str">
        <f>IF($B178="","",IF($R178=AM$5,(SUM($D178*VLOOKUP($C178,ESCALA!$B$3:$O$19,14,0)+10)*2)*27,""))</f>
        <v/>
      </c>
      <c r="AN178" s="490" t="str">
        <f>IF($B178="","",IF($R178=AN$5,(SUM($D178*VLOOKUP($C178,ESCALA!$B$3:$O$19,14,0)+10)*2)*27,""))</f>
        <v/>
      </c>
      <c r="AO178" s="490" t="str">
        <f>IF($B178="","",IF($R178=AO$5,(SUM($D178*VLOOKUP($C178,ESCALA!$B$3:$O$19,14,0)+10)*2)*27,""))</f>
        <v/>
      </c>
      <c r="AP178" s="490" t="str">
        <f>IF($B178="","",IF($R178=AP$5,(SUM($D178*VLOOKUP($C178,ESCALA!$B$3:$O$19,14,0)+10)*2)*27,""))</f>
        <v/>
      </c>
      <c r="AY178" s="368" t="str">
        <f>IF(PERFIL!E177="","",PERFIL!E177)</f>
        <v/>
      </c>
      <c r="AZ178" s="368" t="str">
        <f t="shared" si="16"/>
        <v/>
      </c>
      <c r="BA178" s="368" t="str">
        <f t="shared" si="17"/>
        <v/>
      </c>
    </row>
    <row r="179" spans="2:53" ht="33.75" customHeight="1" x14ac:dyDescent="0.2">
      <c r="B179" s="551"/>
      <c r="C179" s="517"/>
      <c r="D179" s="503" t="str">
        <f>IF(C179="","",VLOOKUP(C179,'REL LINHAS'!$B$2:$K$2205,5,0))</f>
        <v/>
      </c>
      <c r="E179" s="321" t="str">
        <f t="shared" si="18"/>
        <v/>
      </c>
      <c r="F179" s="493"/>
      <c r="G179" s="494"/>
      <c r="H179" s="649"/>
      <c r="I179" s="650"/>
      <c r="J179" s="651"/>
      <c r="K179" s="652"/>
      <c r="L179" s="653"/>
      <c r="M179" s="654"/>
      <c r="N179" s="652"/>
      <c r="O179" s="653"/>
      <c r="P179" s="653"/>
      <c r="Q179" s="654"/>
      <c r="R179" s="655"/>
      <c r="S179" s="656"/>
      <c r="T179" s="652"/>
      <c r="U179" s="654"/>
      <c r="V179" s="652"/>
      <c r="W179" s="653"/>
      <c r="X179" s="654"/>
      <c r="Y179" s="495"/>
      <c r="Z179" s="496"/>
      <c r="AA179" s="63"/>
      <c r="AB179" s="497" t="s">
        <v>2505</v>
      </c>
      <c r="AC179" s="63"/>
      <c r="AD179" s="497" t="s">
        <v>2506</v>
      </c>
      <c r="AE179" s="63"/>
      <c r="AF179" s="497" t="s">
        <v>2507</v>
      </c>
      <c r="AG179" s="63"/>
      <c r="AH179" s="498" t="s">
        <v>229</v>
      </c>
      <c r="AJ179" s="490" t="str">
        <f>IF($B179="","",IF($R179=AJ$5,(SUM($D179*VLOOKUP($C179,ESCALA!$B$3:$O$19,14,0)+10)*2)*27,""))</f>
        <v/>
      </c>
      <c r="AK179" s="490" t="str">
        <f>IF($B179="","",IF($R179=AK$5,(SUM($D179*VLOOKUP($C179,ESCALA!$B$3:$O$19,14,0)+10)*2)*27,""))</f>
        <v/>
      </c>
      <c r="AL179" s="490" t="str">
        <f>IF($B179="","",IF($R179=AL$5,(SUM($D179*VLOOKUP($C179,ESCALA!$B$3:$O$19,14,0)+10)*2)*27,""))</f>
        <v/>
      </c>
      <c r="AM179" s="490" t="str">
        <f>IF($B179="","",IF($R179=AM$5,(SUM($D179*VLOOKUP($C179,ESCALA!$B$3:$O$19,14,0)+10)*2)*27,""))</f>
        <v/>
      </c>
      <c r="AN179" s="490" t="str">
        <f>IF($B179="","",IF($R179=AN$5,(SUM($D179*VLOOKUP($C179,ESCALA!$B$3:$O$19,14,0)+10)*2)*27,""))</f>
        <v/>
      </c>
      <c r="AO179" s="490" t="str">
        <f>IF($B179="","",IF($R179=AO$5,(SUM($D179*VLOOKUP($C179,ESCALA!$B$3:$O$19,14,0)+10)*2)*27,""))</f>
        <v/>
      </c>
      <c r="AP179" s="490" t="str">
        <f>IF($B179="","",IF($R179=AP$5,(SUM($D179*VLOOKUP($C179,ESCALA!$B$3:$O$19,14,0)+10)*2)*27,""))</f>
        <v/>
      </c>
      <c r="AY179" s="368" t="str">
        <f>IF(PERFIL!E178="","",PERFIL!E178)</f>
        <v/>
      </c>
      <c r="AZ179" s="368" t="str">
        <f t="shared" si="16"/>
        <v/>
      </c>
      <c r="BA179" s="368" t="str">
        <f t="shared" si="17"/>
        <v/>
      </c>
    </row>
    <row r="180" spans="2:53" ht="33.75" customHeight="1" x14ac:dyDescent="0.2">
      <c r="B180" s="551"/>
      <c r="C180" s="517"/>
      <c r="D180" s="503" t="str">
        <f>IF(C180="","",VLOOKUP(C180,'REL LINHAS'!$B$2:$K$2205,5,0))</f>
        <v/>
      </c>
      <c r="E180" s="321" t="str">
        <f t="shared" si="18"/>
        <v/>
      </c>
      <c r="F180" s="493"/>
      <c r="G180" s="494"/>
      <c r="H180" s="649"/>
      <c r="I180" s="650"/>
      <c r="J180" s="651"/>
      <c r="K180" s="652"/>
      <c r="L180" s="653"/>
      <c r="M180" s="654"/>
      <c r="N180" s="652"/>
      <c r="O180" s="653"/>
      <c r="P180" s="653"/>
      <c r="Q180" s="654"/>
      <c r="R180" s="655"/>
      <c r="S180" s="656"/>
      <c r="T180" s="652"/>
      <c r="U180" s="654"/>
      <c r="V180" s="652"/>
      <c r="W180" s="653"/>
      <c r="X180" s="654"/>
      <c r="Y180" s="495"/>
      <c r="Z180" s="496"/>
      <c r="AA180" s="63"/>
      <c r="AB180" s="497" t="s">
        <v>2505</v>
      </c>
      <c r="AC180" s="63"/>
      <c r="AD180" s="497" t="s">
        <v>2506</v>
      </c>
      <c r="AE180" s="63"/>
      <c r="AF180" s="497" t="s">
        <v>2507</v>
      </c>
      <c r="AG180" s="63"/>
      <c r="AH180" s="498" t="s">
        <v>229</v>
      </c>
      <c r="AJ180" s="490" t="str">
        <f>IF($B180="","",IF($R180=AJ$5,(SUM($D180*VLOOKUP($C180,ESCALA!$B$3:$O$19,14,0)+10)*2)*27,""))</f>
        <v/>
      </c>
      <c r="AK180" s="490" t="str">
        <f>IF($B180="","",IF($R180=AK$5,(SUM($D180*VLOOKUP($C180,ESCALA!$B$3:$O$19,14,0)+10)*2)*27,""))</f>
        <v/>
      </c>
      <c r="AL180" s="490" t="str">
        <f>IF($B180="","",IF($R180=AL$5,(SUM($D180*VLOOKUP($C180,ESCALA!$B$3:$O$19,14,0)+10)*2)*27,""))</f>
        <v/>
      </c>
      <c r="AM180" s="490" t="str">
        <f>IF($B180="","",IF($R180=AM$5,(SUM($D180*VLOOKUP($C180,ESCALA!$B$3:$O$19,14,0)+10)*2)*27,""))</f>
        <v/>
      </c>
      <c r="AN180" s="490" t="str">
        <f>IF($B180="","",IF($R180=AN$5,(SUM($D180*VLOOKUP($C180,ESCALA!$B$3:$O$19,14,0)+10)*2)*27,""))</f>
        <v/>
      </c>
      <c r="AO180" s="490" t="str">
        <f>IF($B180="","",IF($R180=AO$5,(SUM($D180*VLOOKUP($C180,ESCALA!$B$3:$O$19,14,0)+10)*2)*27,""))</f>
        <v/>
      </c>
      <c r="AP180" s="490" t="str">
        <f>IF($B180="","",IF($R180=AP$5,(SUM($D180*VLOOKUP($C180,ESCALA!$B$3:$O$19,14,0)+10)*2)*27,""))</f>
        <v/>
      </c>
      <c r="AY180" s="368" t="str">
        <f>IF(PERFIL!E179="","",PERFIL!E179)</f>
        <v/>
      </c>
      <c r="AZ180" s="368" t="str">
        <f t="shared" si="16"/>
        <v/>
      </c>
      <c r="BA180" s="368" t="str">
        <f t="shared" si="17"/>
        <v/>
      </c>
    </row>
    <row r="181" spans="2:53" ht="33.75" customHeight="1" x14ac:dyDescent="0.2">
      <c r="B181" s="551"/>
      <c r="C181" s="517"/>
      <c r="D181" s="503" t="str">
        <f>IF(C181="","",VLOOKUP(C181,'REL LINHAS'!$B$2:$K$2205,5,0))</f>
        <v/>
      </c>
      <c r="E181" s="321" t="str">
        <f t="shared" ref="E181:E185" si="19">IF($C181="","",IF($C181="LINHA","",IF(VLOOKUP($C181,$AX$6:$BA$21,2,0)=$H181,"ATENDE",IF(VLOOKUP($C181,$AX$6:$BA$21,3,0)=$H181,"ATENDE",IF(VLOOKUP($C181,$AX$6:$BA$21,4,0)=$H181,"ATENDE","NÃO ATENDE")))))</f>
        <v/>
      </c>
      <c r="F181" s="493"/>
      <c r="G181" s="494"/>
      <c r="H181" s="649"/>
      <c r="I181" s="650"/>
      <c r="J181" s="651"/>
      <c r="K181" s="652"/>
      <c r="L181" s="653"/>
      <c r="M181" s="654"/>
      <c r="N181" s="652"/>
      <c r="O181" s="653"/>
      <c r="P181" s="653"/>
      <c r="Q181" s="654"/>
      <c r="R181" s="655"/>
      <c r="S181" s="656"/>
      <c r="T181" s="652"/>
      <c r="U181" s="654"/>
      <c r="V181" s="652"/>
      <c r="W181" s="653"/>
      <c r="X181" s="654"/>
      <c r="Y181" s="495"/>
      <c r="Z181" s="496"/>
      <c r="AA181" s="63"/>
      <c r="AB181" s="497" t="s">
        <v>2505</v>
      </c>
      <c r="AC181" s="63"/>
      <c r="AD181" s="497" t="s">
        <v>2506</v>
      </c>
      <c r="AE181" s="63"/>
      <c r="AF181" s="497" t="s">
        <v>2507</v>
      </c>
      <c r="AG181" s="63"/>
      <c r="AH181" s="498" t="s">
        <v>229</v>
      </c>
      <c r="AJ181" s="490" t="str">
        <f>IF($B181="","",IF($R181=AJ$5,(SUM($D181*VLOOKUP($C181,ESCALA!$B$3:$O$19,14,0)+10)*2)*27,""))</f>
        <v/>
      </c>
      <c r="AK181" s="490" t="str">
        <f>IF($B181="","",IF($R181=AK$5,(SUM($D181*VLOOKUP($C181,ESCALA!$B$3:$O$19,14,0)+10)*2)*27,""))</f>
        <v/>
      </c>
      <c r="AL181" s="490" t="str">
        <f>IF($B181="","",IF($R181=AL$5,(SUM($D181*VLOOKUP($C181,ESCALA!$B$3:$O$19,14,0)+10)*2)*27,""))</f>
        <v/>
      </c>
      <c r="AM181" s="490" t="str">
        <f>IF($B181="","",IF($R181=AM$5,(SUM($D181*VLOOKUP($C181,ESCALA!$B$3:$O$19,14,0)+10)*2)*27,""))</f>
        <v/>
      </c>
      <c r="AN181" s="490" t="str">
        <f>IF($B181="","",IF($R181=AN$5,(SUM($D181*VLOOKUP($C181,ESCALA!$B$3:$O$19,14,0)+10)*2)*27,""))</f>
        <v/>
      </c>
      <c r="AO181" s="490" t="str">
        <f>IF($B181="","",IF($R181=AO$5,(SUM($D181*VLOOKUP($C181,ESCALA!$B$3:$O$19,14,0)+10)*2)*27,""))</f>
        <v/>
      </c>
      <c r="AP181" s="490" t="str">
        <f>IF($B181="","",IF($R181=AP$5,(SUM($D181*VLOOKUP($C181,ESCALA!$B$3:$O$19,14,0)+10)*2)*27,""))</f>
        <v/>
      </c>
      <c r="AY181" s="368" t="str">
        <f>IF(PERFIL!E180="","",PERFIL!E180)</f>
        <v/>
      </c>
      <c r="AZ181" s="368" t="str">
        <f t="shared" si="16"/>
        <v/>
      </c>
      <c r="BA181" s="368" t="str">
        <f t="shared" si="17"/>
        <v/>
      </c>
    </row>
    <row r="182" spans="2:53" ht="33.75" customHeight="1" x14ac:dyDescent="0.2">
      <c r="B182" s="551"/>
      <c r="C182" s="517"/>
      <c r="D182" s="503" t="str">
        <f>IF(C182="","",VLOOKUP(C182,'REL LINHAS'!$B$2:$K$2205,5,0))</f>
        <v/>
      </c>
      <c r="E182" s="321" t="str">
        <f t="shared" si="19"/>
        <v/>
      </c>
      <c r="F182" s="493"/>
      <c r="G182" s="494"/>
      <c r="H182" s="649"/>
      <c r="I182" s="650"/>
      <c r="J182" s="651"/>
      <c r="K182" s="652"/>
      <c r="L182" s="653"/>
      <c r="M182" s="654"/>
      <c r="N182" s="652"/>
      <c r="O182" s="653"/>
      <c r="P182" s="653"/>
      <c r="Q182" s="654"/>
      <c r="R182" s="655"/>
      <c r="S182" s="656"/>
      <c r="T182" s="652"/>
      <c r="U182" s="654"/>
      <c r="V182" s="652"/>
      <c r="W182" s="653"/>
      <c r="X182" s="654"/>
      <c r="Y182" s="495"/>
      <c r="Z182" s="496"/>
      <c r="AA182" s="63"/>
      <c r="AB182" s="497" t="s">
        <v>2505</v>
      </c>
      <c r="AC182" s="63"/>
      <c r="AD182" s="497" t="s">
        <v>2506</v>
      </c>
      <c r="AE182" s="63"/>
      <c r="AF182" s="497" t="s">
        <v>2507</v>
      </c>
      <c r="AG182" s="63"/>
      <c r="AH182" s="498" t="s">
        <v>229</v>
      </c>
      <c r="AJ182" s="490" t="str">
        <f>IF($B182="","",IF($R182=AJ$5,(SUM($D182*VLOOKUP($C182,ESCALA!$B$3:$O$19,14,0)+10)*2)*27,""))</f>
        <v/>
      </c>
      <c r="AK182" s="490" t="str">
        <f>IF($B182="","",IF($R182=AK$5,(SUM($D182*VLOOKUP($C182,ESCALA!$B$3:$O$19,14,0)+10)*2)*27,""))</f>
        <v/>
      </c>
      <c r="AL182" s="490" t="str">
        <f>IF($B182="","",IF($R182=AL$5,(SUM($D182*VLOOKUP($C182,ESCALA!$B$3:$O$19,14,0)+10)*2)*27,""))</f>
        <v/>
      </c>
      <c r="AM182" s="490" t="str">
        <f>IF($B182="","",IF($R182=AM$5,(SUM($D182*VLOOKUP($C182,ESCALA!$B$3:$O$19,14,0)+10)*2)*27,""))</f>
        <v/>
      </c>
      <c r="AN182" s="490" t="str">
        <f>IF($B182="","",IF($R182=AN$5,(SUM($D182*VLOOKUP($C182,ESCALA!$B$3:$O$19,14,0)+10)*2)*27,""))</f>
        <v/>
      </c>
      <c r="AO182" s="490" t="str">
        <f>IF($B182="","",IF($R182=AO$5,(SUM($D182*VLOOKUP($C182,ESCALA!$B$3:$O$19,14,0)+10)*2)*27,""))</f>
        <v/>
      </c>
      <c r="AP182" s="490" t="str">
        <f>IF($B182="","",IF($R182=AP$5,(SUM($D182*VLOOKUP($C182,ESCALA!$B$3:$O$19,14,0)+10)*2)*27,""))</f>
        <v/>
      </c>
      <c r="AY182" s="368" t="str">
        <f>IF(PERFIL!E181="","",PERFIL!E181)</f>
        <v/>
      </c>
      <c r="AZ182" s="368" t="str">
        <f t="shared" si="16"/>
        <v/>
      </c>
      <c r="BA182" s="368" t="str">
        <f t="shared" si="17"/>
        <v/>
      </c>
    </row>
    <row r="183" spans="2:53" ht="33.75" customHeight="1" x14ac:dyDescent="0.2">
      <c r="B183" s="551"/>
      <c r="C183" s="517"/>
      <c r="D183" s="503" t="str">
        <f>IF(C183="","",VLOOKUP(C183,'REL LINHAS'!$B$2:$K$2205,5,0))</f>
        <v/>
      </c>
      <c r="E183" s="321" t="str">
        <f t="shared" si="19"/>
        <v/>
      </c>
      <c r="F183" s="493"/>
      <c r="G183" s="494"/>
      <c r="H183" s="649"/>
      <c r="I183" s="650"/>
      <c r="J183" s="651"/>
      <c r="K183" s="652"/>
      <c r="L183" s="653"/>
      <c r="M183" s="654"/>
      <c r="N183" s="652"/>
      <c r="O183" s="653"/>
      <c r="P183" s="653"/>
      <c r="Q183" s="654"/>
      <c r="R183" s="655"/>
      <c r="S183" s="656"/>
      <c r="T183" s="652"/>
      <c r="U183" s="654"/>
      <c r="V183" s="652"/>
      <c r="W183" s="653"/>
      <c r="X183" s="654"/>
      <c r="Y183" s="495"/>
      <c r="Z183" s="496"/>
      <c r="AA183" s="63"/>
      <c r="AB183" s="497" t="s">
        <v>2505</v>
      </c>
      <c r="AC183" s="63"/>
      <c r="AD183" s="497" t="s">
        <v>2506</v>
      </c>
      <c r="AE183" s="63"/>
      <c r="AF183" s="497" t="s">
        <v>2507</v>
      </c>
      <c r="AG183" s="63"/>
      <c r="AH183" s="498" t="s">
        <v>229</v>
      </c>
      <c r="AJ183" s="490" t="str">
        <f>IF($B183="","",IF($R183=AJ$5,(SUM($D183*VLOOKUP($C183,ESCALA!$B$3:$O$19,14,0)+10)*2)*27,""))</f>
        <v/>
      </c>
      <c r="AK183" s="490" t="str">
        <f>IF($B183="","",IF($R183=AK$5,(SUM($D183*VLOOKUP($C183,ESCALA!$B$3:$O$19,14,0)+10)*2)*27,""))</f>
        <v/>
      </c>
      <c r="AL183" s="490" t="str">
        <f>IF($B183="","",IF($R183=AL$5,(SUM($D183*VLOOKUP($C183,ESCALA!$B$3:$O$19,14,0)+10)*2)*27,""))</f>
        <v/>
      </c>
      <c r="AM183" s="490" t="str">
        <f>IF($B183="","",IF($R183=AM$5,(SUM($D183*VLOOKUP($C183,ESCALA!$B$3:$O$19,14,0)+10)*2)*27,""))</f>
        <v/>
      </c>
      <c r="AN183" s="490" t="str">
        <f>IF($B183="","",IF($R183=AN$5,(SUM($D183*VLOOKUP($C183,ESCALA!$B$3:$O$19,14,0)+10)*2)*27,""))</f>
        <v/>
      </c>
      <c r="AO183" s="490" t="str">
        <f>IF($B183="","",IF($R183=AO$5,(SUM($D183*VLOOKUP($C183,ESCALA!$B$3:$O$19,14,0)+10)*2)*27,""))</f>
        <v/>
      </c>
      <c r="AP183" s="490" t="str">
        <f>IF($B183="","",IF($R183=AP$5,(SUM($D183*VLOOKUP($C183,ESCALA!$B$3:$O$19,14,0)+10)*2)*27,""))</f>
        <v/>
      </c>
      <c r="AY183" s="368" t="str">
        <f>IF(PERFIL!E182="","",PERFIL!E182)</f>
        <v/>
      </c>
      <c r="AZ183" s="368" t="str">
        <f t="shared" si="16"/>
        <v/>
      </c>
      <c r="BA183" s="368" t="str">
        <f t="shared" si="17"/>
        <v/>
      </c>
    </row>
    <row r="184" spans="2:53" ht="33.75" customHeight="1" x14ac:dyDescent="0.2">
      <c r="B184" s="551"/>
      <c r="C184" s="517"/>
      <c r="D184" s="503" t="str">
        <f>IF(C184="","",VLOOKUP(C184,'REL LINHAS'!$B$2:$K$2205,5,0))</f>
        <v/>
      </c>
      <c r="E184" s="321" t="str">
        <f t="shared" si="19"/>
        <v/>
      </c>
      <c r="F184" s="493"/>
      <c r="G184" s="494"/>
      <c r="H184" s="649"/>
      <c r="I184" s="650"/>
      <c r="J184" s="651"/>
      <c r="K184" s="652"/>
      <c r="L184" s="653"/>
      <c r="M184" s="654"/>
      <c r="N184" s="652"/>
      <c r="O184" s="653"/>
      <c r="P184" s="653"/>
      <c r="Q184" s="654"/>
      <c r="R184" s="655"/>
      <c r="S184" s="656"/>
      <c r="T184" s="652"/>
      <c r="U184" s="654"/>
      <c r="V184" s="652"/>
      <c r="W184" s="653"/>
      <c r="X184" s="654"/>
      <c r="Y184" s="495"/>
      <c r="Z184" s="496"/>
      <c r="AA184" s="63"/>
      <c r="AB184" s="497" t="s">
        <v>2505</v>
      </c>
      <c r="AC184" s="63"/>
      <c r="AD184" s="497" t="s">
        <v>2506</v>
      </c>
      <c r="AE184" s="63"/>
      <c r="AF184" s="497" t="s">
        <v>2507</v>
      </c>
      <c r="AG184" s="63"/>
      <c r="AH184" s="498" t="s">
        <v>229</v>
      </c>
      <c r="AJ184" s="490" t="str">
        <f>IF($B184="","",IF($R184=AJ$5,(SUM($D184*VLOOKUP($C184,ESCALA!$B$3:$O$19,14,0)+10)*2)*27,""))</f>
        <v/>
      </c>
      <c r="AK184" s="490" t="str">
        <f>IF($B184="","",IF($R184=AK$5,(SUM($D184*VLOOKUP($C184,ESCALA!$B$3:$O$19,14,0)+10)*2)*27,""))</f>
        <v/>
      </c>
      <c r="AL184" s="490" t="str">
        <f>IF($B184="","",IF($R184=AL$5,(SUM($D184*VLOOKUP($C184,ESCALA!$B$3:$O$19,14,0)+10)*2)*27,""))</f>
        <v/>
      </c>
      <c r="AM184" s="490" t="str">
        <f>IF($B184="","",IF($R184=AM$5,(SUM($D184*VLOOKUP($C184,ESCALA!$B$3:$O$19,14,0)+10)*2)*27,""))</f>
        <v/>
      </c>
      <c r="AN184" s="490" t="str">
        <f>IF($B184="","",IF($R184=AN$5,(SUM($D184*VLOOKUP($C184,ESCALA!$B$3:$O$19,14,0)+10)*2)*27,""))</f>
        <v/>
      </c>
      <c r="AO184" s="490" t="str">
        <f>IF($B184="","",IF($R184=AO$5,(SUM($D184*VLOOKUP($C184,ESCALA!$B$3:$O$19,14,0)+10)*2)*27,""))</f>
        <v/>
      </c>
      <c r="AP184" s="490" t="str">
        <f>IF($B184="","",IF($R184=AP$5,(SUM($D184*VLOOKUP($C184,ESCALA!$B$3:$O$19,14,0)+10)*2)*27,""))</f>
        <v/>
      </c>
      <c r="AY184" s="368" t="str">
        <f>IF(PERFIL!E183="","",PERFIL!E183)</f>
        <v/>
      </c>
      <c r="AZ184" s="368" t="str">
        <f t="shared" ref="AZ184:AZ205" si="20">IF($AY184="","",VLOOKUP($AY184,$BI$5:$BK$13,2,0))</f>
        <v/>
      </c>
      <c r="BA184" s="368" t="str">
        <f t="shared" ref="BA184:BA205" si="21">IF($AY184="","",VLOOKUP($AY184,$BI$5:$BK$13,3,0))</f>
        <v/>
      </c>
    </row>
    <row r="185" spans="2:53" ht="33.75" customHeight="1" x14ac:dyDescent="0.2">
      <c r="B185" s="551"/>
      <c r="C185" s="517"/>
      <c r="D185" s="503" t="str">
        <f>IF(C185="","",VLOOKUP(C185,'REL LINHAS'!$B$2:$K$2205,5,0))</f>
        <v/>
      </c>
      <c r="E185" s="321" t="str">
        <f t="shared" si="19"/>
        <v/>
      </c>
      <c r="F185" s="493"/>
      <c r="G185" s="494"/>
      <c r="H185" s="649"/>
      <c r="I185" s="650"/>
      <c r="J185" s="651"/>
      <c r="K185" s="652"/>
      <c r="L185" s="653"/>
      <c r="M185" s="654"/>
      <c r="N185" s="652"/>
      <c r="O185" s="653"/>
      <c r="P185" s="653"/>
      <c r="Q185" s="654"/>
      <c r="R185" s="655"/>
      <c r="S185" s="656"/>
      <c r="T185" s="652"/>
      <c r="U185" s="654"/>
      <c r="V185" s="652"/>
      <c r="W185" s="653"/>
      <c r="X185" s="654"/>
      <c r="Y185" s="495"/>
      <c r="Z185" s="496"/>
      <c r="AA185" s="63"/>
      <c r="AB185" s="497" t="s">
        <v>2505</v>
      </c>
      <c r="AC185" s="63"/>
      <c r="AD185" s="497" t="s">
        <v>2506</v>
      </c>
      <c r="AE185" s="63"/>
      <c r="AF185" s="497" t="s">
        <v>2507</v>
      </c>
      <c r="AG185" s="63"/>
      <c r="AH185" s="498" t="s">
        <v>229</v>
      </c>
      <c r="AJ185" s="490" t="str">
        <f>IF($B185="","",IF($R185=AJ$5,(SUM($D185*VLOOKUP($C185,ESCALA!$B$3:$O$19,14,0)+10)*2)*27,""))</f>
        <v/>
      </c>
      <c r="AK185" s="490" t="str">
        <f>IF($B185="","",IF($R185=AK$5,(SUM($D185*VLOOKUP($C185,ESCALA!$B$3:$O$19,14,0)+10)*2)*27,""))</f>
        <v/>
      </c>
      <c r="AL185" s="490" t="str">
        <f>IF($B185="","",IF($R185=AL$5,(SUM($D185*VLOOKUP($C185,ESCALA!$B$3:$O$19,14,0)+10)*2)*27,""))</f>
        <v/>
      </c>
      <c r="AM185" s="490" t="str">
        <f>IF($B185="","",IF($R185=AM$5,(SUM($D185*VLOOKUP($C185,ESCALA!$B$3:$O$19,14,0)+10)*2)*27,""))</f>
        <v/>
      </c>
      <c r="AN185" s="490" t="str">
        <f>IF($B185="","",IF($R185=AN$5,(SUM($D185*VLOOKUP($C185,ESCALA!$B$3:$O$19,14,0)+10)*2)*27,""))</f>
        <v/>
      </c>
      <c r="AO185" s="490" t="str">
        <f>IF($B185="","",IF($R185=AO$5,(SUM($D185*VLOOKUP($C185,ESCALA!$B$3:$O$19,14,0)+10)*2)*27,""))</f>
        <v/>
      </c>
      <c r="AP185" s="490" t="str">
        <f>IF($B185="","",IF($R185=AP$5,(SUM($D185*VLOOKUP($C185,ESCALA!$B$3:$O$19,14,0)+10)*2)*27,""))</f>
        <v/>
      </c>
      <c r="AY185" s="368" t="str">
        <f>IF(PERFIL!E184="","",PERFIL!E184)</f>
        <v/>
      </c>
      <c r="AZ185" s="368" t="str">
        <f t="shared" si="20"/>
        <v/>
      </c>
      <c r="BA185" s="368" t="str">
        <f t="shared" si="21"/>
        <v/>
      </c>
    </row>
    <row r="186" spans="2:53" ht="33.75" customHeight="1" x14ac:dyDescent="0.2">
      <c r="B186" s="551"/>
      <c r="C186" s="517"/>
      <c r="D186" s="503" t="str">
        <f>IF(C186="","",VLOOKUP(C186,'REL LINHAS'!$B$2:$K$2205,5,0))</f>
        <v/>
      </c>
      <c r="E186" s="321" t="str">
        <f t="shared" ref="E186:E195" si="22">IF($C186="","",IF($C186="LINHA","",IF(VLOOKUP($C186,$AX$6:$BA$21,2,0)=$H186,"ATENDE",IF(VLOOKUP($C186,$AX$6:$BA$21,3,0)=$H186,"ATENDE",IF(VLOOKUP($C186,$AX$6:$BA$21,4,0)=$H186,"ATENDE","NÃO ATENDE")))))</f>
        <v/>
      </c>
      <c r="F186" s="493"/>
      <c r="G186" s="494"/>
      <c r="H186" s="649"/>
      <c r="I186" s="650"/>
      <c r="J186" s="651"/>
      <c r="K186" s="652"/>
      <c r="L186" s="653"/>
      <c r="M186" s="654"/>
      <c r="N186" s="652"/>
      <c r="O186" s="653"/>
      <c r="P186" s="653"/>
      <c r="Q186" s="654"/>
      <c r="R186" s="655"/>
      <c r="S186" s="656"/>
      <c r="T186" s="652"/>
      <c r="U186" s="654"/>
      <c r="V186" s="652"/>
      <c r="W186" s="653"/>
      <c r="X186" s="654"/>
      <c r="Y186" s="495"/>
      <c r="Z186" s="496"/>
      <c r="AA186" s="63"/>
      <c r="AB186" s="497" t="s">
        <v>2505</v>
      </c>
      <c r="AC186" s="63"/>
      <c r="AD186" s="497" t="s">
        <v>2506</v>
      </c>
      <c r="AE186" s="63"/>
      <c r="AF186" s="497" t="s">
        <v>2507</v>
      </c>
      <c r="AG186" s="63"/>
      <c r="AH186" s="498" t="s">
        <v>229</v>
      </c>
      <c r="AJ186" s="490" t="str">
        <f>IF($B186="","",IF($R186=AJ$5,(SUM($D186*VLOOKUP($C186,ESCALA!$B$3:$O$19,14,0)+10)*2)*27,""))</f>
        <v/>
      </c>
      <c r="AK186" s="490" t="str">
        <f>IF($B186="","",IF($R186=AK$5,(SUM($D186*VLOOKUP($C186,ESCALA!$B$3:$O$19,14,0)+10)*2)*27,""))</f>
        <v/>
      </c>
      <c r="AL186" s="490" t="str">
        <f>IF($B186="","",IF($R186=AL$5,(SUM($D186*VLOOKUP($C186,ESCALA!$B$3:$O$19,14,0)+10)*2)*27,""))</f>
        <v/>
      </c>
      <c r="AM186" s="490" t="str">
        <f>IF($B186="","",IF($R186=AM$5,(SUM($D186*VLOOKUP($C186,ESCALA!$B$3:$O$19,14,0)+10)*2)*27,""))</f>
        <v/>
      </c>
      <c r="AN186" s="490" t="str">
        <f>IF($B186="","",IF($R186=AN$5,(SUM($D186*VLOOKUP($C186,ESCALA!$B$3:$O$19,14,0)+10)*2)*27,""))</f>
        <v/>
      </c>
      <c r="AO186" s="490" t="str">
        <f>IF($B186="","",IF($R186=AO$5,(SUM($D186*VLOOKUP($C186,ESCALA!$B$3:$O$19,14,0)+10)*2)*27,""))</f>
        <v/>
      </c>
      <c r="AP186" s="490" t="str">
        <f>IF($B186="","",IF($R186=AP$5,(SUM($D186*VLOOKUP($C186,ESCALA!$B$3:$O$19,14,0)+10)*2)*27,""))</f>
        <v/>
      </c>
      <c r="AY186" s="368" t="str">
        <f>IF(PERFIL!E185="","",PERFIL!E185)</f>
        <v/>
      </c>
      <c r="AZ186" s="368" t="str">
        <f t="shared" si="20"/>
        <v/>
      </c>
      <c r="BA186" s="368" t="str">
        <f t="shared" si="21"/>
        <v/>
      </c>
    </row>
    <row r="187" spans="2:53" ht="33.75" customHeight="1" x14ac:dyDescent="0.2">
      <c r="B187" s="551"/>
      <c r="C187" s="517"/>
      <c r="D187" s="503" t="str">
        <f>IF(C187="","",VLOOKUP(C187,'REL LINHAS'!$B$2:$K$2205,5,0))</f>
        <v/>
      </c>
      <c r="E187" s="321" t="str">
        <f t="shared" si="22"/>
        <v/>
      </c>
      <c r="F187" s="493"/>
      <c r="G187" s="494"/>
      <c r="H187" s="649"/>
      <c r="I187" s="650"/>
      <c r="J187" s="651"/>
      <c r="K187" s="652"/>
      <c r="L187" s="653"/>
      <c r="M187" s="654"/>
      <c r="N187" s="652"/>
      <c r="O187" s="653"/>
      <c r="P187" s="653"/>
      <c r="Q187" s="654"/>
      <c r="R187" s="655"/>
      <c r="S187" s="656"/>
      <c r="T187" s="652"/>
      <c r="U187" s="654"/>
      <c r="V187" s="652"/>
      <c r="W187" s="653"/>
      <c r="X187" s="654"/>
      <c r="Y187" s="495"/>
      <c r="Z187" s="496"/>
      <c r="AA187" s="63"/>
      <c r="AB187" s="497" t="s">
        <v>2505</v>
      </c>
      <c r="AC187" s="63"/>
      <c r="AD187" s="497" t="s">
        <v>2506</v>
      </c>
      <c r="AE187" s="63"/>
      <c r="AF187" s="497" t="s">
        <v>2507</v>
      </c>
      <c r="AG187" s="63"/>
      <c r="AH187" s="498" t="s">
        <v>229</v>
      </c>
      <c r="AJ187" s="490" t="str">
        <f>IF($B187="","",IF($R187=AJ$5,(SUM($D187*VLOOKUP($C187,ESCALA!$B$3:$O$19,14,0)+10)*2)*27,""))</f>
        <v/>
      </c>
      <c r="AK187" s="490" t="str">
        <f>IF($B187="","",IF($R187=AK$5,(SUM($D187*VLOOKUP($C187,ESCALA!$B$3:$O$19,14,0)+10)*2)*27,""))</f>
        <v/>
      </c>
      <c r="AL187" s="490" t="str">
        <f>IF($B187="","",IF($R187=AL$5,(SUM($D187*VLOOKUP($C187,ESCALA!$B$3:$O$19,14,0)+10)*2)*27,""))</f>
        <v/>
      </c>
      <c r="AM187" s="490" t="str">
        <f>IF($B187="","",IF($R187=AM$5,(SUM($D187*VLOOKUP($C187,ESCALA!$B$3:$O$19,14,0)+10)*2)*27,""))</f>
        <v/>
      </c>
      <c r="AN187" s="490" t="str">
        <f>IF($B187="","",IF($R187=AN$5,(SUM($D187*VLOOKUP($C187,ESCALA!$B$3:$O$19,14,0)+10)*2)*27,""))</f>
        <v/>
      </c>
      <c r="AO187" s="490" t="str">
        <f>IF($B187="","",IF($R187=AO$5,(SUM($D187*VLOOKUP($C187,ESCALA!$B$3:$O$19,14,0)+10)*2)*27,""))</f>
        <v/>
      </c>
      <c r="AP187" s="490" t="str">
        <f>IF($B187="","",IF($R187=AP$5,(SUM($D187*VLOOKUP($C187,ESCALA!$B$3:$O$19,14,0)+10)*2)*27,""))</f>
        <v/>
      </c>
      <c r="AY187" s="368" t="str">
        <f>IF(PERFIL!E186="","",PERFIL!E186)</f>
        <v/>
      </c>
      <c r="AZ187" s="368" t="str">
        <f t="shared" si="20"/>
        <v/>
      </c>
      <c r="BA187" s="368" t="str">
        <f t="shared" si="21"/>
        <v/>
      </c>
    </row>
    <row r="188" spans="2:53" ht="33.75" customHeight="1" x14ac:dyDescent="0.2">
      <c r="B188" s="551"/>
      <c r="C188" s="517"/>
      <c r="D188" s="503" t="str">
        <f>IF(C188="","",VLOOKUP(C188,'REL LINHAS'!$B$2:$K$2205,5,0))</f>
        <v/>
      </c>
      <c r="E188" s="321" t="str">
        <f t="shared" si="22"/>
        <v/>
      </c>
      <c r="F188" s="493"/>
      <c r="G188" s="494"/>
      <c r="H188" s="649"/>
      <c r="I188" s="650"/>
      <c r="J188" s="651"/>
      <c r="K188" s="652"/>
      <c r="L188" s="653"/>
      <c r="M188" s="654"/>
      <c r="N188" s="652"/>
      <c r="O188" s="653"/>
      <c r="P188" s="653"/>
      <c r="Q188" s="654"/>
      <c r="R188" s="655"/>
      <c r="S188" s="656"/>
      <c r="T188" s="652"/>
      <c r="U188" s="654"/>
      <c r="V188" s="652"/>
      <c r="W188" s="653"/>
      <c r="X188" s="654"/>
      <c r="Y188" s="495"/>
      <c r="Z188" s="496"/>
      <c r="AA188" s="63"/>
      <c r="AB188" s="497" t="s">
        <v>2505</v>
      </c>
      <c r="AC188" s="63"/>
      <c r="AD188" s="497" t="s">
        <v>2506</v>
      </c>
      <c r="AE188" s="63"/>
      <c r="AF188" s="497" t="s">
        <v>2507</v>
      </c>
      <c r="AG188" s="63"/>
      <c r="AH188" s="498" t="s">
        <v>229</v>
      </c>
      <c r="AJ188" s="490" t="str">
        <f>IF($B188="","",IF($R188=AJ$5,(SUM($D188*VLOOKUP($C188,ESCALA!$B$3:$O$19,14,0)+10)*2)*27,""))</f>
        <v/>
      </c>
      <c r="AK188" s="490" t="str">
        <f>IF($B188="","",IF($R188=AK$5,(SUM($D188*VLOOKUP($C188,ESCALA!$B$3:$O$19,14,0)+10)*2)*27,""))</f>
        <v/>
      </c>
      <c r="AL188" s="490" t="str">
        <f>IF($B188="","",IF($R188=AL$5,(SUM($D188*VLOOKUP($C188,ESCALA!$B$3:$O$19,14,0)+10)*2)*27,""))</f>
        <v/>
      </c>
      <c r="AM188" s="490" t="str">
        <f>IF($B188="","",IF($R188=AM$5,(SUM($D188*VLOOKUP($C188,ESCALA!$B$3:$O$19,14,0)+10)*2)*27,""))</f>
        <v/>
      </c>
      <c r="AN188" s="490" t="str">
        <f>IF($B188="","",IF($R188=AN$5,(SUM($D188*VLOOKUP($C188,ESCALA!$B$3:$O$19,14,0)+10)*2)*27,""))</f>
        <v/>
      </c>
      <c r="AO188" s="490" t="str">
        <f>IF($B188="","",IF($R188=AO$5,(SUM($D188*VLOOKUP($C188,ESCALA!$B$3:$O$19,14,0)+10)*2)*27,""))</f>
        <v/>
      </c>
      <c r="AP188" s="490" t="str">
        <f>IF($B188="","",IF($R188=AP$5,(SUM($D188*VLOOKUP($C188,ESCALA!$B$3:$O$19,14,0)+10)*2)*27,""))</f>
        <v/>
      </c>
      <c r="AY188" s="368" t="str">
        <f>IF(PERFIL!E187="","",PERFIL!E187)</f>
        <v/>
      </c>
      <c r="AZ188" s="368" t="str">
        <f t="shared" si="20"/>
        <v/>
      </c>
      <c r="BA188" s="368" t="str">
        <f t="shared" si="21"/>
        <v/>
      </c>
    </row>
    <row r="189" spans="2:53" ht="33.75" customHeight="1" x14ac:dyDescent="0.2">
      <c r="B189" s="551"/>
      <c r="C189" s="517"/>
      <c r="D189" s="503" t="str">
        <f>IF(C189="","",VLOOKUP(C189,'REL LINHAS'!$B$2:$K$2205,5,0))</f>
        <v/>
      </c>
      <c r="E189" s="321" t="str">
        <f t="shared" si="22"/>
        <v/>
      </c>
      <c r="F189" s="493"/>
      <c r="G189" s="494"/>
      <c r="H189" s="649"/>
      <c r="I189" s="650"/>
      <c r="J189" s="651"/>
      <c r="K189" s="652"/>
      <c r="L189" s="653"/>
      <c r="M189" s="654"/>
      <c r="N189" s="652"/>
      <c r="O189" s="653"/>
      <c r="P189" s="653"/>
      <c r="Q189" s="654"/>
      <c r="R189" s="655"/>
      <c r="S189" s="656"/>
      <c r="T189" s="652"/>
      <c r="U189" s="654"/>
      <c r="V189" s="652"/>
      <c r="W189" s="653"/>
      <c r="X189" s="654"/>
      <c r="Y189" s="495"/>
      <c r="Z189" s="496"/>
      <c r="AA189" s="63"/>
      <c r="AB189" s="497" t="s">
        <v>2505</v>
      </c>
      <c r="AC189" s="63"/>
      <c r="AD189" s="497" t="s">
        <v>2506</v>
      </c>
      <c r="AE189" s="63"/>
      <c r="AF189" s="497" t="s">
        <v>2507</v>
      </c>
      <c r="AG189" s="63"/>
      <c r="AH189" s="498" t="s">
        <v>229</v>
      </c>
      <c r="AJ189" s="490" t="str">
        <f>IF($B189="","",IF($R189=AJ$5,(SUM($D189*VLOOKUP($C189,ESCALA!$B$3:$O$19,14,0)+10)*2)*27,""))</f>
        <v/>
      </c>
      <c r="AK189" s="490" t="str">
        <f>IF($B189="","",IF($R189=AK$5,(SUM($D189*VLOOKUP($C189,ESCALA!$B$3:$O$19,14,0)+10)*2)*27,""))</f>
        <v/>
      </c>
      <c r="AL189" s="490" t="str">
        <f>IF($B189="","",IF($R189=AL$5,(SUM($D189*VLOOKUP($C189,ESCALA!$B$3:$O$19,14,0)+10)*2)*27,""))</f>
        <v/>
      </c>
      <c r="AM189" s="490" t="str">
        <f>IF($B189="","",IF($R189=AM$5,(SUM($D189*VLOOKUP($C189,ESCALA!$B$3:$O$19,14,0)+10)*2)*27,""))</f>
        <v/>
      </c>
      <c r="AN189" s="490" t="str">
        <f>IF($B189="","",IF($R189=AN$5,(SUM($D189*VLOOKUP($C189,ESCALA!$B$3:$O$19,14,0)+10)*2)*27,""))</f>
        <v/>
      </c>
      <c r="AO189" s="490" t="str">
        <f>IF($B189="","",IF($R189=AO$5,(SUM($D189*VLOOKUP($C189,ESCALA!$B$3:$O$19,14,0)+10)*2)*27,""))</f>
        <v/>
      </c>
      <c r="AP189" s="490" t="str">
        <f>IF($B189="","",IF($R189=AP$5,(SUM($D189*VLOOKUP($C189,ESCALA!$B$3:$O$19,14,0)+10)*2)*27,""))</f>
        <v/>
      </c>
      <c r="AY189" s="368" t="str">
        <f>IF(PERFIL!E188="","",PERFIL!E188)</f>
        <v/>
      </c>
      <c r="AZ189" s="368" t="str">
        <f t="shared" si="20"/>
        <v/>
      </c>
      <c r="BA189" s="368" t="str">
        <f t="shared" si="21"/>
        <v/>
      </c>
    </row>
    <row r="190" spans="2:53" ht="33.75" customHeight="1" x14ac:dyDescent="0.2">
      <c r="B190" s="551"/>
      <c r="C190" s="517"/>
      <c r="D190" s="503" t="str">
        <f>IF(C190="","",VLOOKUP(C190,'REL LINHAS'!$B$2:$K$2205,5,0))</f>
        <v/>
      </c>
      <c r="E190" s="321" t="str">
        <f t="shared" si="22"/>
        <v/>
      </c>
      <c r="F190" s="493"/>
      <c r="G190" s="494"/>
      <c r="H190" s="649"/>
      <c r="I190" s="650"/>
      <c r="J190" s="651"/>
      <c r="K190" s="652"/>
      <c r="L190" s="653"/>
      <c r="M190" s="654"/>
      <c r="N190" s="652"/>
      <c r="O190" s="653"/>
      <c r="P190" s="653"/>
      <c r="Q190" s="654"/>
      <c r="R190" s="655"/>
      <c r="S190" s="656"/>
      <c r="T190" s="652"/>
      <c r="U190" s="654"/>
      <c r="V190" s="652"/>
      <c r="W190" s="653"/>
      <c r="X190" s="654"/>
      <c r="Y190" s="495"/>
      <c r="Z190" s="496"/>
      <c r="AA190" s="63"/>
      <c r="AB190" s="497" t="s">
        <v>2505</v>
      </c>
      <c r="AC190" s="63"/>
      <c r="AD190" s="497" t="s">
        <v>2506</v>
      </c>
      <c r="AE190" s="63"/>
      <c r="AF190" s="497" t="s">
        <v>2507</v>
      </c>
      <c r="AG190" s="63"/>
      <c r="AH190" s="498" t="s">
        <v>229</v>
      </c>
      <c r="AJ190" s="490" t="str">
        <f>IF($B190="","",IF($R190=AJ$5,(SUM($D190*VLOOKUP($C190,ESCALA!$B$3:$O$19,14,0)+10)*2)*27,""))</f>
        <v/>
      </c>
      <c r="AK190" s="490" t="str">
        <f>IF($B190="","",IF($R190=AK$5,(SUM($D190*VLOOKUP($C190,ESCALA!$B$3:$O$19,14,0)+10)*2)*27,""))</f>
        <v/>
      </c>
      <c r="AL190" s="490" t="str">
        <f>IF($B190="","",IF($R190=AL$5,(SUM($D190*VLOOKUP($C190,ESCALA!$B$3:$O$19,14,0)+10)*2)*27,""))</f>
        <v/>
      </c>
      <c r="AM190" s="490" t="str">
        <f>IF($B190="","",IF($R190=AM$5,(SUM($D190*VLOOKUP($C190,ESCALA!$B$3:$O$19,14,0)+10)*2)*27,""))</f>
        <v/>
      </c>
      <c r="AN190" s="490" t="str">
        <f>IF($B190="","",IF($R190=AN$5,(SUM($D190*VLOOKUP($C190,ESCALA!$B$3:$O$19,14,0)+10)*2)*27,""))</f>
        <v/>
      </c>
      <c r="AO190" s="490" t="str">
        <f>IF($B190="","",IF($R190=AO$5,(SUM($D190*VLOOKUP($C190,ESCALA!$B$3:$O$19,14,0)+10)*2)*27,""))</f>
        <v/>
      </c>
      <c r="AP190" s="490" t="str">
        <f>IF($B190="","",IF($R190=AP$5,(SUM($D190*VLOOKUP($C190,ESCALA!$B$3:$O$19,14,0)+10)*2)*27,""))</f>
        <v/>
      </c>
      <c r="AY190" s="368" t="str">
        <f>IF(PERFIL!E189="","",PERFIL!E189)</f>
        <v/>
      </c>
      <c r="AZ190" s="368" t="str">
        <f t="shared" si="20"/>
        <v/>
      </c>
      <c r="BA190" s="368" t="str">
        <f t="shared" si="21"/>
        <v/>
      </c>
    </row>
    <row r="191" spans="2:53" ht="33.75" customHeight="1" x14ac:dyDescent="0.2">
      <c r="B191" s="551"/>
      <c r="C191" s="517"/>
      <c r="D191" s="503" t="str">
        <f>IF(C191="","",VLOOKUP(C191,'REL LINHAS'!$B$2:$K$2205,5,0))</f>
        <v/>
      </c>
      <c r="E191" s="321" t="str">
        <f t="shared" si="22"/>
        <v/>
      </c>
      <c r="F191" s="493"/>
      <c r="G191" s="494"/>
      <c r="H191" s="649"/>
      <c r="I191" s="650"/>
      <c r="J191" s="651"/>
      <c r="K191" s="652"/>
      <c r="L191" s="653"/>
      <c r="M191" s="654"/>
      <c r="N191" s="652"/>
      <c r="O191" s="653"/>
      <c r="P191" s="653"/>
      <c r="Q191" s="654"/>
      <c r="R191" s="655"/>
      <c r="S191" s="656"/>
      <c r="T191" s="652"/>
      <c r="U191" s="654"/>
      <c r="V191" s="652"/>
      <c r="W191" s="653"/>
      <c r="X191" s="654"/>
      <c r="Y191" s="495"/>
      <c r="Z191" s="496"/>
      <c r="AA191" s="63"/>
      <c r="AB191" s="497" t="s">
        <v>2505</v>
      </c>
      <c r="AC191" s="63"/>
      <c r="AD191" s="497" t="s">
        <v>2506</v>
      </c>
      <c r="AE191" s="63"/>
      <c r="AF191" s="497" t="s">
        <v>2507</v>
      </c>
      <c r="AG191" s="63"/>
      <c r="AH191" s="498" t="s">
        <v>229</v>
      </c>
      <c r="AJ191" s="490" t="str">
        <f>IF($B191="","",IF($R191=AJ$5,(SUM($D191*VLOOKUP($C191,ESCALA!$B$3:$O$19,14,0)+10)*2)*27,""))</f>
        <v/>
      </c>
      <c r="AK191" s="490" t="str">
        <f>IF($B191="","",IF($R191=AK$5,(SUM($D191*VLOOKUP($C191,ESCALA!$B$3:$O$19,14,0)+10)*2)*27,""))</f>
        <v/>
      </c>
      <c r="AL191" s="490" t="str">
        <f>IF($B191="","",IF($R191=AL$5,(SUM($D191*VLOOKUP($C191,ESCALA!$B$3:$O$19,14,0)+10)*2)*27,""))</f>
        <v/>
      </c>
      <c r="AM191" s="490" t="str">
        <f>IF($B191="","",IF($R191=AM$5,(SUM($D191*VLOOKUP($C191,ESCALA!$B$3:$O$19,14,0)+10)*2)*27,""))</f>
        <v/>
      </c>
      <c r="AN191" s="490" t="str">
        <f>IF($B191="","",IF($R191=AN$5,(SUM($D191*VLOOKUP($C191,ESCALA!$B$3:$O$19,14,0)+10)*2)*27,""))</f>
        <v/>
      </c>
      <c r="AO191" s="490" t="str">
        <f>IF($B191="","",IF($R191=AO$5,(SUM($D191*VLOOKUP($C191,ESCALA!$B$3:$O$19,14,0)+10)*2)*27,""))</f>
        <v/>
      </c>
      <c r="AP191" s="490" t="str">
        <f>IF($B191="","",IF($R191=AP$5,(SUM($D191*VLOOKUP($C191,ESCALA!$B$3:$O$19,14,0)+10)*2)*27,""))</f>
        <v/>
      </c>
      <c r="AY191" s="368" t="str">
        <f>IF(PERFIL!E190="","",PERFIL!E190)</f>
        <v/>
      </c>
      <c r="AZ191" s="368" t="str">
        <f t="shared" si="20"/>
        <v/>
      </c>
      <c r="BA191" s="368" t="str">
        <f t="shared" si="21"/>
        <v/>
      </c>
    </row>
    <row r="192" spans="2:53" ht="33.75" customHeight="1" x14ac:dyDescent="0.2">
      <c r="B192" s="551"/>
      <c r="C192" s="517"/>
      <c r="D192" s="503" t="str">
        <f>IF(C192="","",VLOOKUP(C192,'REL LINHAS'!$B$2:$K$2205,5,0))</f>
        <v/>
      </c>
      <c r="E192" s="321" t="str">
        <f t="shared" si="22"/>
        <v/>
      </c>
      <c r="F192" s="493"/>
      <c r="G192" s="494"/>
      <c r="H192" s="649"/>
      <c r="I192" s="650"/>
      <c r="J192" s="651"/>
      <c r="K192" s="652"/>
      <c r="L192" s="653"/>
      <c r="M192" s="654"/>
      <c r="N192" s="652"/>
      <c r="O192" s="653"/>
      <c r="P192" s="653"/>
      <c r="Q192" s="654"/>
      <c r="R192" s="655"/>
      <c r="S192" s="656"/>
      <c r="T192" s="652"/>
      <c r="U192" s="654"/>
      <c r="V192" s="652"/>
      <c r="W192" s="653"/>
      <c r="X192" s="654"/>
      <c r="Y192" s="495"/>
      <c r="Z192" s="496"/>
      <c r="AA192" s="63"/>
      <c r="AB192" s="497" t="s">
        <v>2505</v>
      </c>
      <c r="AC192" s="63"/>
      <c r="AD192" s="497" t="s">
        <v>2506</v>
      </c>
      <c r="AE192" s="63"/>
      <c r="AF192" s="497" t="s">
        <v>2507</v>
      </c>
      <c r="AG192" s="63"/>
      <c r="AH192" s="498" t="s">
        <v>229</v>
      </c>
      <c r="AJ192" s="490" t="str">
        <f>IF($B192="","",IF($R192=AJ$5,(SUM($D192*VLOOKUP($C192,ESCALA!$B$3:$O$19,14,0)+10)*2)*27,""))</f>
        <v/>
      </c>
      <c r="AK192" s="490" t="str">
        <f>IF($B192="","",IF($R192=AK$5,(SUM($D192*VLOOKUP($C192,ESCALA!$B$3:$O$19,14,0)+10)*2)*27,""))</f>
        <v/>
      </c>
      <c r="AL192" s="490" t="str">
        <f>IF($B192="","",IF($R192=AL$5,(SUM($D192*VLOOKUP($C192,ESCALA!$B$3:$O$19,14,0)+10)*2)*27,""))</f>
        <v/>
      </c>
      <c r="AM192" s="490" t="str">
        <f>IF($B192="","",IF($R192=AM$5,(SUM($D192*VLOOKUP($C192,ESCALA!$B$3:$O$19,14,0)+10)*2)*27,""))</f>
        <v/>
      </c>
      <c r="AN192" s="490" t="str">
        <f>IF($B192="","",IF($R192=AN$5,(SUM($D192*VLOOKUP($C192,ESCALA!$B$3:$O$19,14,0)+10)*2)*27,""))</f>
        <v/>
      </c>
      <c r="AO192" s="490" t="str">
        <f>IF($B192="","",IF($R192=AO$5,(SUM($D192*VLOOKUP($C192,ESCALA!$B$3:$O$19,14,0)+10)*2)*27,""))</f>
        <v/>
      </c>
      <c r="AP192" s="490" t="str">
        <f>IF($B192="","",IF($R192=AP$5,(SUM($D192*VLOOKUP($C192,ESCALA!$B$3:$O$19,14,0)+10)*2)*27,""))</f>
        <v/>
      </c>
      <c r="AY192" s="368" t="str">
        <f>IF(PERFIL!E191="","",PERFIL!E191)</f>
        <v/>
      </c>
      <c r="AZ192" s="368" t="str">
        <f t="shared" si="20"/>
        <v/>
      </c>
      <c r="BA192" s="368" t="str">
        <f t="shared" si="21"/>
        <v/>
      </c>
    </row>
    <row r="193" spans="2:53" ht="33.75" customHeight="1" x14ac:dyDescent="0.2">
      <c r="B193" s="551"/>
      <c r="C193" s="517"/>
      <c r="D193" s="503" t="str">
        <f>IF(C193="","",VLOOKUP(C193,'REL LINHAS'!$B$2:$K$2205,5,0))</f>
        <v/>
      </c>
      <c r="E193" s="321" t="str">
        <f t="shared" si="22"/>
        <v/>
      </c>
      <c r="F193" s="493"/>
      <c r="G193" s="494"/>
      <c r="H193" s="649"/>
      <c r="I193" s="650"/>
      <c r="J193" s="651"/>
      <c r="K193" s="652"/>
      <c r="L193" s="653"/>
      <c r="M193" s="654"/>
      <c r="N193" s="652"/>
      <c r="O193" s="653"/>
      <c r="P193" s="653"/>
      <c r="Q193" s="654"/>
      <c r="R193" s="655"/>
      <c r="S193" s="656"/>
      <c r="T193" s="652"/>
      <c r="U193" s="654"/>
      <c r="V193" s="652"/>
      <c r="W193" s="653"/>
      <c r="X193" s="654"/>
      <c r="Y193" s="495"/>
      <c r="Z193" s="496"/>
      <c r="AA193" s="63"/>
      <c r="AB193" s="497" t="s">
        <v>2505</v>
      </c>
      <c r="AC193" s="63"/>
      <c r="AD193" s="497" t="s">
        <v>2506</v>
      </c>
      <c r="AE193" s="63"/>
      <c r="AF193" s="497" t="s">
        <v>2507</v>
      </c>
      <c r="AG193" s="63"/>
      <c r="AH193" s="498" t="s">
        <v>229</v>
      </c>
      <c r="AJ193" s="490" t="str">
        <f>IF($B193="","",IF($R193=AJ$5,(SUM($D193*VLOOKUP($C193,ESCALA!$B$3:$O$19,14,0)+10)*2)*27,""))</f>
        <v/>
      </c>
      <c r="AK193" s="490" t="str">
        <f>IF($B193="","",IF($R193=AK$5,(SUM($D193*VLOOKUP($C193,ESCALA!$B$3:$O$19,14,0)+10)*2)*27,""))</f>
        <v/>
      </c>
      <c r="AL193" s="490" t="str">
        <f>IF($B193="","",IF($R193=AL$5,(SUM($D193*VLOOKUP($C193,ESCALA!$B$3:$O$19,14,0)+10)*2)*27,""))</f>
        <v/>
      </c>
      <c r="AM193" s="490" t="str">
        <f>IF($B193="","",IF($R193=AM$5,(SUM($D193*VLOOKUP($C193,ESCALA!$B$3:$O$19,14,0)+10)*2)*27,""))</f>
        <v/>
      </c>
      <c r="AN193" s="490" t="str">
        <f>IF($B193="","",IF($R193=AN$5,(SUM($D193*VLOOKUP($C193,ESCALA!$B$3:$O$19,14,0)+10)*2)*27,""))</f>
        <v/>
      </c>
      <c r="AO193" s="490" t="str">
        <f>IF($B193="","",IF($R193=AO$5,(SUM($D193*VLOOKUP($C193,ESCALA!$B$3:$O$19,14,0)+10)*2)*27,""))</f>
        <v/>
      </c>
      <c r="AP193" s="490" t="str">
        <f>IF($B193="","",IF($R193=AP$5,(SUM($D193*VLOOKUP($C193,ESCALA!$B$3:$O$19,14,0)+10)*2)*27,""))</f>
        <v/>
      </c>
      <c r="AY193" s="368" t="str">
        <f>IF(PERFIL!E192="","",PERFIL!E192)</f>
        <v/>
      </c>
      <c r="AZ193" s="368" t="str">
        <f t="shared" si="20"/>
        <v/>
      </c>
      <c r="BA193" s="368" t="str">
        <f t="shared" si="21"/>
        <v/>
      </c>
    </row>
    <row r="194" spans="2:53" ht="33.75" customHeight="1" x14ac:dyDescent="0.2">
      <c r="B194" s="551"/>
      <c r="C194" s="517"/>
      <c r="D194" s="503" t="str">
        <f>IF(C194="","",VLOOKUP(C194,'REL LINHAS'!$B$2:$K$2205,5,0))</f>
        <v/>
      </c>
      <c r="E194" s="321" t="str">
        <f t="shared" si="22"/>
        <v/>
      </c>
      <c r="F194" s="493"/>
      <c r="G194" s="494"/>
      <c r="H194" s="649"/>
      <c r="I194" s="650"/>
      <c r="J194" s="651"/>
      <c r="K194" s="652"/>
      <c r="L194" s="653"/>
      <c r="M194" s="654"/>
      <c r="N194" s="652"/>
      <c r="O194" s="653"/>
      <c r="P194" s="653"/>
      <c r="Q194" s="654"/>
      <c r="R194" s="655"/>
      <c r="S194" s="656"/>
      <c r="T194" s="652"/>
      <c r="U194" s="654"/>
      <c r="V194" s="652"/>
      <c r="W194" s="653"/>
      <c r="X194" s="654"/>
      <c r="Y194" s="495"/>
      <c r="Z194" s="496"/>
      <c r="AA194" s="63"/>
      <c r="AB194" s="497" t="s">
        <v>2505</v>
      </c>
      <c r="AC194" s="63"/>
      <c r="AD194" s="497" t="s">
        <v>2506</v>
      </c>
      <c r="AE194" s="63"/>
      <c r="AF194" s="497" t="s">
        <v>2507</v>
      </c>
      <c r="AG194" s="63"/>
      <c r="AH194" s="498" t="s">
        <v>229</v>
      </c>
      <c r="AJ194" s="490" t="str">
        <f>IF($B194="","",IF($R194=AJ$5,(SUM($D194*VLOOKUP($C194,ESCALA!$B$3:$O$19,14,0)+10)*2)*27,""))</f>
        <v/>
      </c>
      <c r="AK194" s="490" t="str">
        <f>IF($B194="","",IF($R194=AK$5,(SUM($D194*VLOOKUP($C194,ESCALA!$B$3:$O$19,14,0)+10)*2)*27,""))</f>
        <v/>
      </c>
      <c r="AL194" s="490" t="str">
        <f>IF($B194="","",IF($R194=AL$5,(SUM($D194*VLOOKUP($C194,ESCALA!$B$3:$O$19,14,0)+10)*2)*27,""))</f>
        <v/>
      </c>
      <c r="AM194" s="490" t="str">
        <f>IF($B194="","",IF($R194=AM$5,(SUM($D194*VLOOKUP($C194,ESCALA!$B$3:$O$19,14,0)+10)*2)*27,""))</f>
        <v/>
      </c>
      <c r="AN194" s="490" t="str">
        <f>IF($B194="","",IF($R194=AN$5,(SUM($D194*VLOOKUP($C194,ESCALA!$B$3:$O$19,14,0)+10)*2)*27,""))</f>
        <v/>
      </c>
      <c r="AO194" s="490" t="str">
        <f>IF($B194="","",IF($R194=AO$5,(SUM($D194*VLOOKUP($C194,ESCALA!$B$3:$O$19,14,0)+10)*2)*27,""))</f>
        <v/>
      </c>
      <c r="AP194" s="490" t="str">
        <f>IF($B194="","",IF($R194=AP$5,(SUM($D194*VLOOKUP($C194,ESCALA!$B$3:$O$19,14,0)+10)*2)*27,""))</f>
        <v/>
      </c>
      <c r="AY194" s="368" t="str">
        <f>IF(PERFIL!E193="","",PERFIL!E193)</f>
        <v/>
      </c>
      <c r="AZ194" s="368" t="str">
        <f t="shared" si="20"/>
        <v/>
      </c>
      <c r="BA194" s="368" t="str">
        <f t="shared" si="21"/>
        <v/>
      </c>
    </row>
    <row r="195" spans="2:53" ht="33.75" customHeight="1" x14ac:dyDescent="0.2">
      <c r="B195" s="551"/>
      <c r="C195" s="517"/>
      <c r="D195" s="503" t="str">
        <f>IF(C195="","",VLOOKUP(C195,'REL LINHAS'!$B$2:$K$2205,5,0))</f>
        <v/>
      </c>
      <c r="E195" s="321" t="str">
        <f t="shared" si="22"/>
        <v/>
      </c>
      <c r="F195" s="493"/>
      <c r="G195" s="494"/>
      <c r="H195" s="649"/>
      <c r="I195" s="650"/>
      <c r="J195" s="651"/>
      <c r="K195" s="652"/>
      <c r="L195" s="653"/>
      <c r="M195" s="654"/>
      <c r="N195" s="652"/>
      <c r="O195" s="653"/>
      <c r="P195" s="653"/>
      <c r="Q195" s="654"/>
      <c r="R195" s="655"/>
      <c r="S195" s="656"/>
      <c r="T195" s="652"/>
      <c r="U195" s="654"/>
      <c r="V195" s="652"/>
      <c r="W195" s="653"/>
      <c r="X195" s="654"/>
      <c r="Y195" s="495"/>
      <c r="Z195" s="496"/>
      <c r="AA195" s="63"/>
      <c r="AB195" s="497" t="s">
        <v>2505</v>
      </c>
      <c r="AC195" s="63"/>
      <c r="AD195" s="497" t="s">
        <v>2506</v>
      </c>
      <c r="AE195" s="63"/>
      <c r="AF195" s="497" t="s">
        <v>2507</v>
      </c>
      <c r="AG195" s="63"/>
      <c r="AH195" s="498" t="s">
        <v>229</v>
      </c>
      <c r="AJ195" s="490" t="str">
        <f>IF($B195="","",IF($R195=AJ$5,(SUM($D195*VLOOKUP($C195,ESCALA!$B$3:$O$19,14,0)+10)*2)*27,""))</f>
        <v/>
      </c>
      <c r="AK195" s="490" t="str">
        <f>IF($B195="","",IF($R195=AK$5,(SUM($D195*VLOOKUP($C195,ESCALA!$B$3:$O$19,14,0)+10)*2)*27,""))</f>
        <v/>
      </c>
      <c r="AL195" s="490" t="str">
        <f>IF($B195="","",IF($R195=AL$5,(SUM($D195*VLOOKUP($C195,ESCALA!$B$3:$O$19,14,0)+10)*2)*27,""))</f>
        <v/>
      </c>
      <c r="AM195" s="490" t="str">
        <f>IF($B195="","",IF($R195=AM$5,(SUM($D195*VLOOKUP($C195,ESCALA!$B$3:$O$19,14,0)+10)*2)*27,""))</f>
        <v/>
      </c>
      <c r="AN195" s="490" t="str">
        <f>IF($B195="","",IF($R195=AN$5,(SUM($D195*VLOOKUP($C195,ESCALA!$B$3:$O$19,14,0)+10)*2)*27,""))</f>
        <v/>
      </c>
      <c r="AO195" s="490" t="str">
        <f>IF($B195="","",IF($R195=AO$5,(SUM($D195*VLOOKUP($C195,ESCALA!$B$3:$O$19,14,0)+10)*2)*27,""))</f>
        <v/>
      </c>
      <c r="AP195" s="490" t="str">
        <f>IF($B195="","",IF($R195=AP$5,(SUM($D195*VLOOKUP($C195,ESCALA!$B$3:$O$19,14,0)+10)*2)*27,""))</f>
        <v/>
      </c>
      <c r="AY195" s="368" t="str">
        <f>IF(PERFIL!E194="","",PERFIL!E194)</f>
        <v/>
      </c>
      <c r="AZ195" s="368" t="str">
        <f t="shared" si="20"/>
        <v/>
      </c>
      <c r="BA195" s="368" t="str">
        <f t="shared" si="21"/>
        <v/>
      </c>
    </row>
    <row r="196" spans="2:53" ht="33.75" customHeight="1" x14ac:dyDescent="0.2">
      <c r="B196" s="551"/>
      <c r="C196" s="517"/>
      <c r="D196" s="503" t="str">
        <f>IF(C196="","",VLOOKUP(C196,'REL LINHAS'!$B$2:$K$2205,5,0))</f>
        <v/>
      </c>
      <c r="E196" s="321" t="str">
        <f>IF($C196="","",IF($C196="LINHA","",IF(VLOOKUP($C196,$AX$6:$BA$21,2,0)=$H196,"ATENDE",IF(VLOOKUP($C196,$AX$6:$BA$21,3,0)=$H196,"ATENDE",IF(VLOOKUP($C196,$AX$6:$BA$21,4,0)=$H196,"ATENDE","NÃO ATENDE")))))</f>
        <v/>
      </c>
      <c r="F196" s="493"/>
      <c r="G196" s="494"/>
      <c r="H196" s="649"/>
      <c r="I196" s="650"/>
      <c r="J196" s="651"/>
      <c r="K196" s="652"/>
      <c r="L196" s="653"/>
      <c r="M196" s="654"/>
      <c r="N196" s="652"/>
      <c r="O196" s="653"/>
      <c r="P196" s="653"/>
      <c r="Q196" s="654"/>
      <c r="R196" s="655"/>
      <c r="S196" s="656"/>
      <c r="T196" s="652"/>
      <c r="U196" s="654"/>
      <c r="V196" s="652"/>
      <c r="W196" s="653"/>
      <c r="X196" s="654"/>
      <c r="Y196" s="495"/>
      <c r="Z196" s="496"/>
      <c r="AA196" s="63"/>
      <c r="AB196" s="497" t="s">
        <v>2505</v>
      </c>
      <c r="AC196" s="63"/>
      <c r="AD196" s="497" t="s">
        <v>2506</v>
      </c>
      <c r="AE196" s="63"/>
      <c r="AF196" s="497" t="s">
        <v>2507</v>
      </c>
      <c r="AG196" s="63"/>
      <c r="AH196" s="498" t="s">
        <v>229</v>
      </c>
      <c r="AJ196" s="490" t="str">
        <f>IF($B196="","",IF($R196=AJ$5,(SUM($D196*VLOOKUP($C196,ESCALA!$B$3:$O$19,14,0)+10)*2)*27,""))</f>
        <v/>
      </c>
      <c r="AK196" s="490" t="str">
        <f>IF($B196="","",IF($R196=AK$5,(SUM($D196*VLOOKUP($C196,ESCALA!$B$3:$O$19,14,0)+10)*2)*27,""))</f>
        <v/>
      </c>
      <c r="AL196" s="490" t="str">
        <f>IF($B196="","",IF($R196=AL$5,(SUM($D196*VLOOKUP($C196,ESCALA!$B$3:$O$19,14,0)+10)*2)*27,""))</f>
        <v/>
      </c>
      <c r="AM196" s="490" t="str">
        <f>IF($B196="","",IF($R196=AM$5,(SUM($D196*VLOOKUP($C196,ESCALA!$B$3:$O$19,14,0)+10)*2)*27,""))</f>
        <v/>
      </c>
      <c r="AN196" s="490" t="str">
        <f>IF($B196="","",IF($R196=AN$5,(SUM($D196*VLOOKUP($C196,ESCALA!$B$3:$O$19,14,0)+10)*2)*27,""))</f>
        <v/>
      </c>
      <c r="AO196" s="490" t="str">
        <f>IF($B196="","",IF($R196=AO$5,(SUM($D196*VLOOKUP($C196,ESCALA!$B$3:$O$19,14,0)+10)*2)*27,""))</f>
        <v/>
      </c>
      <c r="AP196" s="490" t="str">
        <f>IF($B196="","",IF($R196=AP$5,(SUM($D196*VLOOKUP($C196,ESCALA!$B$3:$O$19,14,0)+10)*2)*27,""))</f>
        <v/>
      </c>
      <c r="AY196" s="368" t="str">
        <f>IF(PERFIL!E195="","",PERFIL!E195)</f>
        <v/>
      </c>
      <c r="AZ196" s="368" t="str">
        <f t="shared" si="20"/>
        <v/>
      </c>
      <c r="BA196" s="368" t="str">
        <f t="shared" si="21"/>
        <v/>
      </c>
    </row>
    <row r="197" spans="2:53" ht="33.75" customHeight="1" x14ac:dyDescent="0.2">
      <c r="B197" s="551"/>
      <c r="C197" s="517"/>
      <c r="D197" s="503" t="str">
        <f>IF(C197="","",VLOOKUP(C197,'REL LINHAS'!$B$2:$K$2205,5,0))</f>
        <v/>
      </c>
      <c r="E197" s="321" t="str">
        <f>IF($C197="","",IF($C197="LINHA","",IF(VLOOKUP($C197,$AX$6:$BA$21,2,0)=$H197,"ATENDE",IF(VLOOKUP($C197,$AX$6:$BA$21,3,0)=$H197,"ATENDE",IF(VLOOKUP($C197,$AX$6:$BA$21,4,0)=$H197,"ATENDE","NÃO ATENDE")))))</f>
        <v/>
      </c>
      <c r="F197" s="493"/>
      <c r="G197" s="494"/>
      <c r="H197" s="649"/>
      <c r="I197" s="650"/>
      <c r="J197" s="651"/>
      <c r="K197" s="652"/>
      <c r="L197" s="653"/>
      <c r="M197" s="654"/>
      <c r="N197" s="652"/>
      <c r="O197" s="653"/>
      <c r="P197" s="653"/>
      <c r="Q197" s="654"/>
      <c r="R197" s="655"/>
      <c r="S197" s="656"/>
      <c r="T197" s="652"/>
      <c r="U197" s="654"/>
      <c r="V197" s="652"/>
      <c r="W197" s="653"/>
      <c r="X197" s="654"/>
      <c r="Y197" s="495"/>
      <c r="Z197" s="496"/>
      <c r="AA197" s="63"/>
      <c r="AB197" s="497" t="s">
        <v>2505</v>
      </c>
      <c r="AC197" s="63"/>
      <c r="AD197" s="497" t="s">
        <v>2506</v>
      </c>
      <c r="AE197" s="63"/>
      <c r="AF197" s="497" t="s">
        <v>2507</v>
      </c>
      <c r="AG197" s="63"/>
      <c r="AH197" s="498" t="s">
        <v>229</v>
      </c>
      <c r="AJ197" s="490" t="str">
        <f>IF($B197="","",IF($R197=AJ$5,(SUM($D197*VLOOKUP($C197,ESCALA!$B$3:$O$19,14,0)+10)*2)*27,""))</f>
        <v/>
      </c>
      <c r="AK197" s="490" t="str">
        <f>IF($B197="","",IF($R197=AK$5,(SUM($D197*VLOOKUP($C197,ESCALA!$B$3:$O$19,14,0)+10)*2)*27,""))</f>
        <v/>
      </c>
      <c r="AL197" s="490" t="str">
        <f>IF($B197="","",IF($R197=AL$5,(SUM($D197*VLOOKUP($C197,ESCALA!$B$3:$O$19,14,0)+10)*2)*27,""))</f>
        <v/>
      </c>
      <c r="AM197" s="490" t="str">
        <f>IF($B197="","",IF($R197=AM$5,(SUM($D197*VLOOKUP($C197,ESCALA!$B$3:$O$19,14,0)+10)*2)*27,""))</f>
        <v/>
      </c>
      <c r="AN197" s="490" t="str">
        <f>IF($B197="","",IF($R197=AN$5,(SUM($D197*VLOOKUP($C197,ESCALA!$B$3:$O$19,14,0)+10)*2)*27,""))</f>
        <v/>
      </c>
      <c r="AO197" s="490" t="str">
        <f>IF($B197="","",IF($R197=AO$5,(SUM($D197*VLOOKUP($C197,ESCALA!$B$3:$O$19,14,0)+10)*2)*27,""))</f>
        <v/>
      </c>
      <c r="AP197" s="490" t="str">
        <f>IF($B197="","",IF($R197=AP$5,(SUM($D197*VLOOKUP($C197,ESCALA!$B$3:$O$19,14,0)+10)*2)*27,""))</f>
        <v/>
      </c>
      <c r="AY197" s="368" t="str">
        <f>IF(PERFIL!E196="","",PERFIL!E196)</f>
        <v/>
      </c>
      <c r="AZ197" s="368" t="str">
        <f t="shared" si="20"/>
        <v/>
      </c>
      <c r="BA197" s="368" t="str">
        <f t="shared" si="21"/>
        <v/>
      </c>
    </row>
    <row r="198" spans="2:53" ht="33.75" customHeight="1" x14ac:dyDescent="0.2">
      <c r="B198" s="551"/>
      <c r="C198" s="517"/>
      <c r="D198" s="503" t="str">
        <f>IF(C198="","",VLOOKUP(C198,'REL LINHAS'!$B$2:$K$2205,5,0))</f>
        <v/>
      </c>
      <c r="E198" s="321" t="str">
        <f t="shared" ref="E198:E261" si="23">IF($C198="","",IF($C198="LINHA","",IF(VLOOKUP($C198,$AX$6:$BA$21,2,0)=$H198,"ATENDE",IF(VLOOKUP($C198,$AX$6:$BA$21,3,0)=$H198,"ATENDE",IF(VLOOKUP($C198,$AX$6:$BA$21,4,0)=$H198,"ATENDE","NÃO ATENDE")))))</f>
        <v/>
      </c>
      <c r="F198" s="493"/>
      <c r="G198" s="494"/>
      <c r="H198" s="649"/>
      <c r="I198" s="650"/>
      <c r="J198" s="651"/>
      <c r="K198" s="652"/>
      <c r="L198" s="653"/>
      <c r="M198" s="654"/>
      <c r="N198" s="652"/>
      <c r="O198" s="653"/>
      <c r="P198" s="653"/>
      <c r="Q198" s="654"/>
      <c r="R198" s="655"/>
      <c r="S198" s="656"/>
      <c r="T198" s="652"/>
      <c r="U198" s="654"/>
      <c r="V198" s="652"/>
      <c r="W198" s="653"/>
      <c r="X198" s="654"/>
      <c r="Y198" s="495"/>
      <c r="Z198" s="496"/>
      <c r="AA198" s="63"/>
      <c r="AB198" s="497" t="s">
        <v>2505</v>
      </c>
      <c r="AC198" s="63"/>
      <c r="AD198" s="497" t="s">
        <v>2506</v>
      </c>
      <c r="AE198" s="63"/>
      <c r="AF198" s="497" t="s">
        <v>2507</v>
      </c>
      <c r="AG198" s="63"/>
      <c r="AH198" s="498" t="s">
        <v>229</v>
      </c>
      <c r="AJ198" s="490" t="str">
        <f>IF($B198="","",IF($R198=AJ$5,(SUM($D198*VLOOKUP($C198,ESCALA!$B$3:$O$19,14,0)+10)*2)*27,""))</f>
        <v/>
      </c>
      <c r="AK198" s="490" t="str">
        <f>IF($B198="","",IF($R198=AK$5,(SUM($D198*VLOOKUP($C198,ESCALA!$B$3:$O$19,14,0)+10)*2)*27,""))</f>
        <v/>
      </c>
      <c r="AL198" s="490" t="str">
        <f>IF($B198="","",IF($R198=AL$5,(SUM($D198*VLOOKUP($C198,ESCALA!$B$3:$O$19,14,0)+10)*2)*27,""))</f>
        <v/>
      </c>
      <c r="AM198" s="490" t="str">
        <f>IF($B198="","",IF($R198=AM$5,(SUM($D198*VLOOKUP($C198,ESCALA!$B$3:$O$19,14,0)+10)*2)*27,""))</f>
        <v/>
      </c>
      <c r="AN198" s="490" t="str">
        <f>IF($B198="","",IF($R198=AN$5,(SUM($D198*VLOOKUP($C198,ESCALA!$B$3:$O$19,14,0)+10)*2)*27,""))</f>
        <v/>
      </c>
      <c r="AO198" s="490" t="str">
        <f>IF($B198="","",IF($R198=AO$5,(SUM($D198*VLOOKUP($C198,ESCALA!$B$3:$O$19,14,0)+10)*2)*27,""))</f>
        <v/>
      </c>
      <c r="AP198" s="490" t="str">
        <f>IF($B198="","",IF($R198=AP$5,(SUM($D198*VLOOKUP($C198,ESCALA!$B$3:$O$19,14,0)+10)*2)*27,""))</f>
        <v/>
      </c>
      <c r="AY198" s="368" t="str">
        <f>IF(PERFIL!E197="","",PERFIL!E197)</f>
        <v/>
      </c>
      <c r="AZ198" s="368" t="str">
        <f t="shared" si="20"/>
        <v/>
      </c>
      <c r="BA198" s="368" t="str">
        <f t="shared" si="21"/>
        <v/>
      </c>
    </row>
    <row r="199" spans="2:53" ht="33.75" customHeight="1" x14ac:dyDescent="0.2">
      <c r="B199" s="551"/>
      <c r="C199" s="517"/>
      <c r="D199" s="503" t="str">
        <f>IF(C199="","",VLOOKUP(C199,'REL LINHAS'!$B$2:$K$2205,5,0))</f>
        <v/>
      </c>
      <c r="E199" s="321" t="str">
        <f t="shared" si="23"/>
        <v/>
      </c>
      <c r="F199" s="493"/>
      <c r="G199" s="494"/>
      <c r="H199" s="649"/>
      <c r="I199" s="650"/>
      <c r="J199" s="651"/>
      <c r="K199" s="652"/>
      <c r="L199" s="653"/>
      <c r="M199" s="654"/>
      <c r="N199" s="652"/>
      <c r="O199" s="653"/>
      <c r="P199" s="653"/>
      <c r="Q199" s="654"/>
      <c r="R199" s="655"/>
      <c r="S199" s="656"/>
      <c r="T199" s="652"/>
      <c r="U199" s="654"/>
      <c r="V199" s="652"/>
      <c r="W199" s="653"/>
      <c r="X199" s="654"/>
      <c r="Y199" s="495"/>
      <c r="Z199" s="496"/>
      <c r="AA199" s="63"/>
      <c r="AB199" s="497" t="s">
        <v>2505</v>
      </c>
      <c r="AC199" s="63"/>
      <c r="AD199" s="497" t="s">
        <v>2506</v>
      </c>
      <c r="AE199" s="63"/>
      <c r="AF199" s="497" t="s">
        <v>2507</v>
      </c>
      <c r="AG199" s="63"/>
      <c r="AH199" s="498" t="s">
        <v>229</v>
      </c>
      <c r="AJ199" s="490" t="str">
        <f>IF($B199="","",IF($R199=AJ$5,(SUM($D199*VLOOKUP($C199,ESCALA!$B$3:$O$19,14,0)+10)*2)*27,""))</f>
        <v/>
      </c>
      <c r="AK199" s="490" t="str">
        <f>IF($B199="","",IF($R199=AK$5,(SUM($D199*VLOOKUP($C199,ESCALA!$B$3:$O$19,14,0)+10)*2)*27,""))</f>
        <v/>
      </c>
      <c r="AL199" s="490" t="str">
        <f>IF($B199="","",IF($R199=AL$5,(SUM($D199*VLOOKUP($C199,ESCALA!$B$3:$O$19,14,0)+10)*2)*27,""))</f>
        <v/>
      </c>
      <c r="AM199" s="490" t="str">
        <f>IF($B199="","",IF($R199=AM$5,(SUM($D199*VLOOKUP($C199,ESCALA!$B$3:$O$19,14,0)+10)*2)*27,""))</f>
        <v/>
      </c>
      <c r="AN199" s="490" t="str">
        <f>IF($B199="","",IF($R199=AN$5,(SUM($D199*VLOOKUP($C199,ESCALA!$B$3:$O$19,14,0)+10)*2)*27,""))</f>
        <v/>
      </c>
      <c r="AO199" s="490" t="str">
        <f>IF($B199="","",IF($R199=AO$5,(SUM($D199*VLOOKUP($C199,ESCALA!$B$3:$O$19,14,0)+10)*2)*27,""))</f>
        <v/>
      </c>
      <c r="AP199" s="490" t="str">
        <f>IF($B199="","",IF($R199=AP$5,(SUM($D199*VLOOKUP($C199,ESCALA!$B$3:$O$19,14,0)+10)*2)*27,""))</f>
        <v/>
      </c>
      <c r="AY199" s="368" t="str">
        <f>IF(PERFIL!E198="","",PERFIL!E198)</f>
        <v/>
      </c>
      <c r="AZ199" s="368" t="str">
        <f t="shared" si="20"/>
        <v/>
      </c>
      <c r="BA199" s="368" t="str">
        <f t="shared" si="21"/>
        <v/>
      </c>
    </row>
    <row r="200" spans="2:53" ht="33.75" customHeight="1" x14ac:dyDescent="0.2">
      <c r="B200" s="551"/>
      <c r="C200" s="517"/>
      <c r="D200" s="503" t="str">
        <f>IF(C200="","",VLOOKUP(C200,'REL LINHAS'!$B$2:$K$2205,5,0))</f>
        <v/>
      </c>
      <c r="E200" s="321" t="str">
        <f t="shared" si="23"/>
        <v/>
      </c>
      <c r="F200" s="493"/>
      <c r="G200" s="494"/>
      <c r="H200" s="649"/>
      <c r="I200" s="650"/>
      <c r="J200" s="651"/>
      <c r="K200" s="652"/>
      <c r="L200" s="653"/>
      <c r="M200" s="654"/>
      <c r="N200" s="652"/>
      <c r="O200" s="653"/>
      <c r="P200" s="653"/>
      <c r="Q200" s="654"/>
      <c r="R200" s="655"/>
      <c r="S200" s="656"/>
      <c r="T200" s="652"/>
      <c r="U200" s="654"/>
      <c r="V200" s="652"/>
      <c r="W200" s="653"/>
      <c r="X200" s="654"/>
      <c r="Y200" s="495"/>
      <c r="Z200" s="496"/>
      <c r="AA200" s="63"/>
      <c r="AB200" s="497" t="s">
        <v>2505</v>
      </c>
      <c r="AC200" s="63"/>
      <c r="AD200" s="497" t="s">
        <v>2506</v>
      </c>
      <c r="AE200" s="63"/>
      <c r="AF200" s="497" t="s">
        <v>2507</v>
      </c>
      <c r="AG200" s="63"/>
      <c r="AH200" s="498" t="s">
        <v>229</v>
      </c>
      <c r="AJ200" s="490" t="str">
        <f>IF($B200="","",IF($R200=AJ$5,(SUM($D200*VLOOKUP($C200,ESCALA!$B$3:$O$19,14,0)+10)*2)*27,""))</f>
        <v/>
      </c>
      <c r="AK200" s="490" t="str">
        <f>IF($B200="","",IF($R200=AK$5,(SUM($D200*VLOOKUP($C200,ESCALA!$B$3:$O$19,14,0)+10)*2)*27,""))</f>
        <v/>
      </c>
      <c r="AL200" s="490" t="str">
        <f>IF($B200="","",IF($R200=AL$5,(SUM($D200*VLOOKUP($C200,ESCALA!$B$3:$O$19,14,0)+10)*2)*27,""))</f>
        <v/>
      </c>
      <c r="AM200" s="490" t="str">
        <f>IF($B200="","",IF($R200=AM$5,(SUM($D200*VLOOKUP($C200,ESCALA!$B$3:$O$19,14,0)+10)*2)*27,""))</f>
        <v/>
      </c>
      <c r="AN200" s="490" t="str">
        <f>IF($B200="","",IF($R200=AN$5,(SUM($D200*VLOOKUP($C200,ESCALA!$B$3:$O$19,14,0)+10)*2)*27,""))</f>
        <v/>
      </c>
      <c r="AO200" s="490" t="str">
        <f>IF($B200="","",IF($R200=AO$5,(SUM($D200*VLOOKUP($C200,ESCALA!$B$3:$O$19,14,0)+10)*2)*27,""))</f>
        <v/>
      </c>
      <c r="AP200" s="490" t="str">
        <f>IF($B200="","",IF($R200=AP$5,(SUM($D200*VLOOKUP($C200,ESCALA!$B$3:$O$19,14,0)+10)*2)*27,""))</f>
        <v/>
      </c>
      <c r="AY200" s="368" t="str">
        <f>IF(PERFIL!E199="","",PERFIL!E199)</f>
        <v/>
      </c>
      <c r="AZ200" s="368" t="str">
        <f t="shared" si="20"/>
        <v/>
      </c>
      <c r="BA200" s="368" t="str">
        <f t="shared" si="21"/>
        <v/>
      </c>
    </row>
    <row r="201" spans="2:53" ht="33.75" customHeight="1" x14ac:dyDescent="0.2">
      <c r="B201" s="551"/>
      <c r="C201" s="517"/>
      <c r="D201" s="503" t="str">
        <f>IF(C201="","",VLOOKUP(C201,'REL LINHAS'!$B$2:$K$2205,5,0))</f>
        <v/>
      </c>
      <c r="E201" s="321" t="str">
        <f t="shared" si="23"/>
        <v/>
      </c>
      <c r="F201" s="493"/>
      <c r="G201" s="494"/>
      <c r="H201" s="649"/>
      <c r="I201" s="650"/>
      <c r="J201" s="651"/>
      <c r="K201" s="652"/>
      <c r="L201" s="653"/>
      <c r="M201" s="654"/>
      <c r="N201" s="652"/>
      <c r="O201" s="653"/>
      <c r="P201" s="653"/>
      <c r="Q201" s="654"/>
      <c r="R201" s="655"/>
      <c r="S201" s="656"/>
      <c r="T201" s="652"/>
      <c r="U201" s="654"/>
      <c r="V201" s="652"/>
      <c r="W201" s="653"/>
      <c r="X201" s="654"/>
      <c r="Y201" s="495"/>
      <c r="Z201" s="496"/>
      <c r="AA201" s="63"/>
      <c r="AB201" s="497" t="s">
        <v>2505</v>
      </c>
      <c r="AC201" s="63"/>
      <c r="AD201" s="497" t="s">
        <v>2506</v>
      </c>
      <c r="AE201" s="63"/>
      <c r="AF201" s="497" t="s">
        <v>2507</v>
      </c>
      <c r="AG201" s="63"/>
      <c r="AH201" s="498" t="s">
        <v>229</v>
      </c>
      <c r="AJ201" s="490" t="str">
        <f>IF($B201="","",IF($R201=AJ$5,(SUM($D201*VLOOKUP($C201,ESCALA!$B$3:$O$19,14,0)+10)*2)*27,""))</f>
        <v/>
      </c>
      <c r="AK201" s="490" t="str">
        <f>IF($B201="","",IF($R201=AK$5,(SUM($D201*VLOOKUP($C201,ESCALA!$B$3:$O$19,14,0)+10)*2)*27,""))</f>
        <v/>
      </c>
      <c r="AL201" s="490" t="str">
        <f>IF($B201="","",IF($R201=AL$5,(SUM($D201*VLOOKUP($C201,ESCALA!$B$3:$O$19,14,0)+10)*2)*27,""))</f>
        <v/>
      </c>
      <c r="AM201" s="490" t="str">
        <f>IF($B201="","",IF($R201=AM$5,(SUM($D201*VLOOKUP($C201,ESCALA!$B$3:$O$19,14,0)+10)*2)*27,""))</f>
        <v/>
      </c>
      <c r="AN201" s="490" t="str">
        <f>IF($B201="","",IF($R201=AN$5,(SUM($D201*VLOOKUP($C201,ESCALA!$B$3:$O$19,14,0)+10)*2)*27,""))</f>
        <v/>
      </c>
      <c r="AO201" s="490" t="str">
        <f>IF($B201="","",IF($R201=AO$5,(SUM($D201*VLOOKUP($C201,ESCALA!$B$3:$O$19,14,0)+10)*2)*27,""))</f>
        <v/>
      </c>
      <c r="AP201" s="490" t="str">
        <f>IF($B201="","",IF($R201=AP$5,(SUM($D201*VLOOKUP($C201,ESCALA!$B$3:$O$19,14,0)+10)*2)*27,""))</f>
        <v/>
      </c>
      <c r="AY201" s="368" t="str">
        <f>IF(PERFIL!E200="","",PERFIL!E200)</f>
        <v/>
      </c>
      <c r="AZ201" s="368" t="str">
        <f t="shared" si="20"/>
        <v/>
      </c>
      <c r="BA201" s="368" t="str">
        <f t="shared" si="21"/>
        <v/>
      </c>
    </row>
    <row r="202" spans="2:53" ht="33.75" customHeight="1" x14ac:dyDescent="0.2">
      <c r="B202" s="551"/>
      <c r="C202" s="517"/>
      <c r="D202" s="503" t="str">
        <f>IF(C202="","",VLOOKUP(C202,'REL LINHAS'!$B$2:$K$2205,5,0))</f>
        <v/>
      </c>
      <c r="E202" s="321" t="str">
        <f t="shared" si="23"/>
        <v/>
      </c>
      <c r="F202" s="493"/>
      <c r="G202" s="494"/>
      <c r="H202" s="649"/>
      <c r="I202" s="650"/>
      <c r="J202" s="651"/>
      <c r="K202" s="652"/>
      <c r="L202" s="653"/>
      <c r="M202" s="654"/>
      <c r="N202" s="652"/>
      <c r="O202" s="653"/>
      <c r="P202" s="653"/>
      <c r="Q202" s="654"/>
      <c r="R202" s="655"/>
      <c r="S202" s="656"/>
      <c r="T202" s="652"/>
      <c r="U202" s="654"/>
      <c r="V202" s="652"/>
      <c r="W202" s="653"/>
      <c r="X202" s="654"/>
      <c r="Y202" s="495"/>
      <c r="Z202" s="496"/>
      <c r="AA202" s="63"/>
      <c r="AB202" s="497" t="s">
        <v>2505</v>
      </c>
      <c r="AC202" s="63"/>
      <c r="AD202" s="497" t="s">
        <v>2506</v>
      </c>
      <c r="AE202" s="63"/>
      <c r="AF202" s="497" t="s">
        <v>2507</v>
      </c>
      <c r="AG202" s="63"/>
      <c r="AH202" s="498" t="s">
        <v>229</v>
      </c>
      <c r="AJ202" s="490" t="str">
        <f>IF($B202="","",IF($R202=AJ$5,(SUM($D202*VLOOKUP($C202,ESCALA!$B$3:$O$19,14,0)+10)*2)*27,""))</f>
        <v/>
      </c>
      <c r="AK202" s="490" t="str">
        <f>IF($B202="","",IF($R202=AK$5,(SUM($D202*VLOOKUP($C202,ESCALA!$B$3:$O$19,14,0)+10)*2)*27,""))</f>
        <v/>
      </c>
      <c r="AL202" s="490" t="str">
        <f>IF($B202="","",IF($R202=AL$5,(SUM($D202*VLOOKUP($C202,ESCALA!$B$3:$O$19,14,0)+10)*2)*27,""))</f>
        <v/>
      </c>
      <c r="AM202" s="490" t="str">
        <f>IF($B202="","",IF($R202=AM$5,(SUM($D202*VLOOKUP($C202,ESCALA!$B$3:$O$19,14,0)+10)*2)*27,""))</f>
        <v/>
      </c>
      <c r="AN202" s="490" t="str">
        <f>IF($B202="","",IF($R202=AN$5,(SUM($D202*VLOOKUP($C202,ESCALA!$B$3:$O$19,14,0)+10)*2)*27,""))</f>
        <v/>
      </c>
      <c r="AO202" s="490" t="str">
        <f>IF($B202="","",IF($R202=AO$5,(SUM($D202*VLOOKUP($C202,ESCALA!$B$3:$O$19,14,0)+10)*2)*27,""))</f>
        <v/>
      </c>
      <c r="AP202" s="490" t="str">
        <f>IF($B202="","",IF($R202=AP$5,(SUM($D202*VLOOKUP($C202,ESCALA!$B$3:$O$19,14,0)+10)*2)*27,""))</f>
        <v/>
      </c>
      <c r="AY202" s="368" t="str">
        <f>IF(PERFIL!E201="","",PERFIL!E201)</f>
        <v/>
      </c>
      <c r="AZ202" s="368" t="str">
        <f t="shared" si="20"/>
        <v/>
      </c>
      <c r="BA202" s="368" t="str">
        <f t="shared" si="21"/>
        <v/>
      </c>
    </row>
    <row r="203" spans="2:53" ht="33.75" customHeight="1" x14ac:dyDescent="0.2">
      <c r="B203" s="551"/>
      <c r="C203" s="517"/>
      <c r="D203" s="503" t="str">
        <f>IF(C203="","",VLOOKUP(C203,'REL LINHAS'!$B$2:$K$2205,5,0))</f>
        <v/>
      </c>
      <c r="E203" s="321" t="str">
        <f t="shared" si="23"/>
        <v/>
      </c>
      <c r="F203" s="493"/>
      <c r="G203" s="494"/>
      <c r="H203" s="649"/>
      <c r="I203" s="650"/>
      <c r="J203" s="651"/>
      <c r="K203" s="652"/>
      <c r="L203" s="653"/>
      <c r="M203" s="654"/>
      <c r="N203" s="652"/>
      <c r="O203" s="653"/>
      <c r="P203" s="653"/>
      <c r="Q203" s="654"/>
      <c r="R203" s="655"/>
      <c r="S203" s="656"/>
      <c r="T203" s="652"/>
      <c r="U203" s="654"/>
      <c r="V203" s="652"/>
      <c r="W203" s="653"/>
      <c r="X203" s="654"/>
      <c r="Y203" s="495"/>
      <c r="Z203" s="496"/>
      <c r="AA203" s="63"/>
      <c r="AB203" s="497" t="s">
        <v>2505</v>
      </c>
      <c r="AC203" s="63"/>
      <c r="AD203" s="497" t="s">
        <v>2506</v>
      </c>
      <c r="AE203" s="63"/>
      <c r="AF203" s="497" t="s">
        <v>2507</v>
      </c>
      <c r="AG203" s="63"/>
      <c r="AH203" s="498" t="s">
        <v>229</v>
      </c>
      <c r="AJ203" s="490" t="str">
        <f>IF($B203="","",IF($R203=AJ$5,(SUM($D203*VLOOKUP($C203,ESCALA!$B$3:$O$19,14,0)+10)*2)*27,""))</f>
        <v/>
      </c>
      <c r="AK203" s="490" t="str">
        <f>IF($B203="","",IF($R203=AK$5,(SUM($D203*VLOOKUP($C203,ESCALA!$B$3:$O$19,14,0)+10)*2)*27,""))</f>
        <v/>
      </c>
      <c r="AL203" s="490" t="str">
        <f>IF($B203="","",IF($R203=AL$5,(SUM($D203*VLOOKUP($C203,ESCALA!$B$3:$O$19,14,0)+10)*2)*27,""))</f>
        <v/>
      </c>
      <c r="AM203" s="490" t="str">
        <f>IF($B203="","",IF($R203=AM$5,(SUM($D203*VLOOKUP($C203,ESCALA!$B$3:$O$19,14,0)+10)*2)*27,""))</f>
        <v/>
      </c>
      <c r="AN203" s="490" t="str">
        <f>IF($B203="","",IF($R203=AN$5,(SUM($D203*VLOOKUP($C203,ESCALA!$B$3:$O$19,14,0)+10)*2)*27,""))</f>
        <v/>
      </c>
      <c r="AO203" s="490" t="str">
        <f>IF($B203="","",IF($R203=AO$5,(SUM($D203*VLOOKUP($C203,ESCALA!$B$3:$O$19,14,0)+10)*2)*27,""))</f>
        <v/>
      </c>
      <c r="AP203" s="490" t="str">
        <f>IF($B203="","",IF($R203=AP$5,(SUM($D203*VLOOKUP($C203,ESCALA!$B$3:$O$19,14,0)+10)*2)*27,""))</f>
        <v/>
      </c>
      <c r="AY203" s="368" t="str">
        <f>IF(PERFIL!E202="","",PERFIL!E202)</f>
        <v/>
      </c>
      <c r="AZ203" s="368" t="str">
        <f t="shared" si="20"/>
        <v/>
      </c>
      <c r="BA203" s="368" t="str">
        <f t="shared" si="21"/>
        <v/>
      </c>
    </row>
    <row r="204" spans="2:53" ht="33.75" customHeight="1" x14ac:dyDescent="0.2">
      <c r="B204" s="551"/>
      <c r="C204" s="517"/>
      <c r="D204" s="503" t="str">
        <f>IF(C204="","",VLOOKUP(C204,'REL LINHAS'!$B$2:$K$2205,5,0))</f>
        <v/>
      </c>
      <c r="E204" s="321" t="str">
        <f t="shared" si="23"/>
        <v/>
      </c>
      <c r="F204" s="493"/>
      <c r="G204" s="494"/>
      <c r="H204" s="649"/>
      <c r="I204" s="650"/>
      <c r="J204" s="651"/>
      <c r="K204" s="652"/>
      <c r="L204" s="653"/>
      <c r="M204" s="654"/>
      <c r="N204" s="652"/>
      <c r="O204" s="653"/>
      <c r="P204" s="653"/>
      <c r="Q204" s="654"/>
      <c r="R204" s="655"/>
      <c r="S204" s="656"/>
      <c r="T204" s="652"/>
      <c r="U204" s="654"/>
      <c r="V204" s="652"/>
      <c r="W204" s="653"/>
      <c r="X204" s="654"/>
      <c r="Y204" s="495"/>
      <c r="Z204" s="496"/>
      <c r="AA204" s="63"/>
      <c r="AB204" s="497" t="s">
        <v>2505</v>
      </c>
      <c r="AC204" s="63"/>
      <c r="AD204" s="497" t="s">
        <v>2506</v>
      </c>
      <c r="AE204" s="63"/>
      <c r="AF204" s="497" t="s">
        <v>2507</v>
      </c>
      <c r="AG204" s="63"/>
      <c r="AH204" s="498" t="s">
        <v>229</v>
      </c>
      <c r="AJ204" s="490" t="str">
        <f>IF($B204="","",IF($R204=AJ$5,(SUM($D204*VLOOKUP($C204,ESCALA!$B$3:$O$19,14,0)+10)*2)*27,""))</f>
        <v/>
      </c>
      <c r="AK204" s="490" t="str">
        <f>IF($B204="","",IF($R204=AK$5,(SUM($D204*VLOOKUP($C204,ESCALA!$B$3:$O$19,14,0)+10)*2)*27,""))</f>
        <v/>
      </c>
      <c r="AL204" s="490" t="str">
        <f>IF($B204="","",IF($R204=AL$5,(SUM($D204*VLOOKUP($C204,ESCALA!$B$3:$O$19,14,0)+10)*2)*27,""))</f>
        <v/>
      </c>
      <c r="AM204" s="490" t="str">
        <f>IF($B204="","",IF($R204=AM$5,(SUM($D204*VLOOKUP($C204,ESCALA!$B$3:$O$19,14,0)+10)*2)*27,""))</f>
        <v/>
      </c>
      <c r="AN204" s="490" t="str">
        <f>IF($B204="","",IF($R204=AN$5,(SUM($D204*VLOOKUP($C204,ESCALA!$B$3:$O$19,14,0)+10)*2)*27,""))</f>
        <v/>
      </c>
      <c r="AO204" s="490" t="str">
        <f>IF($B204="","",IF($R204=AO$5,(SUM($D204*VLOOKUP($C204,ESCALA!$B$3:$O$19,14,0)+10)*2)*27,""))</f>
        <v/>
      </c>
      <c r="AP204" s="490" t="str">
        <f>IF($B204="","",IF($R204=AP$5,(SUM($D204*VLOOKUP($C204,ESCALA!$B$3:$O$19,14,0)+10)*2)*27,""))</f>
        <v/>
      </c>
      <c r="AY204" s="368" t="str">
        <f>IF(PERFIL!E203="","",PERFIL!E203)</f>
        <v/>
      </c>
      <c r="AZ204" s="368" t="str">
        <f t="shared" si="20"/>
        <v/>
      </c>
      <c r="BA204" s="368" t="str">
        <f t="shared" si="21"/>
        <v/>
      </c>
    </row>
    <row r="205" spans="2:53" ht="33.75" customHeight="1" x14ac:dyDescent="0.2">
      <c r="B205" s="551"/>
      <c r="C205" s="517"/>
      <c r="D205" s="503" t="str">
        <f>IF(C205="","",VLOOKUP(C205,'REL LINHAS'!$B$2:$K$2205,5,0))</f>
        <v/>
      </c>
      <c r="E205" s="321" t="str">
        <f t="shared" si="23"/>
        <v/>
      </c>
      <c r="F205" s="493"/>
      <c r="G205" s="494"/>
      <c r="H205" s="649"/>
      <c r="I205" s="650"/>
      <c r="J205" s="651"/>
      <c r="K205" s="652"/>
      <c r="L205" s="653"/>
      <c r="M205" s="654"/>
      <c r="N205" s="652"/>
      <c r="O205" s="653"/>
      <c r="P205" s="653"/>
      <c r="Q205" s="654"/>
      <c r="R205" s="655"/>
      <c r="S205" s="656"/>
      <c r="T205" s="652"/>
      <c r="U205" s="654"/>
      <c r="V205" s="652"/>
      <c r="W205" s="653"/>
      <c r="X205" s="654"/>
      <c r="Y205" s="495"/>
      <c r="Z205" s="496"/>
      <c r="AA205" s="63"/>
      <c r="AB205" s="497" t="s">
        <v>2505</v>
      </c>
      <c r="AC205" s="63"/>
      <c r="AD205" s="497" t="s">
        <v>2506</v>
      </c>
      <c r="AE205" s="63"/>
      <c r="AF205" s="497" t="s">
        <v>2507</v>
      </c>
      <c r="AG205" s="63"/>
      <c r="AH205" s="498" t="s">
        <v>229</v>
      </c>
      <c r="AJ205" s="490" t="str">
        <f>IF($B205="","",IF($R205=AJ$5,(SUM($D205*VLOOKUP($C205,ESCALA!$B$3:$O$19,14,0)+10)*2)*27,""))</f>
        <v/>
      </c>
      <c r="AK205" s="490" t="str">
        <f>IF($B205="","",IF($R205=AK$5,(SUM($D205*VLOOKUP($C205,ESCALA!$B$3:$O$19,14,0)+10)*2)*27,""))</f>
        <v/>
      </c>
      <c r="AL205" s="490" t="str">
        <f>IF($B205="","",IF($R205=AL$5,(SUM($D205*VLOOKUP($C205,ESCALA!$B$3:$O$19,14,0)+10)*2)*27,""))</f>
        <v/>
      </c>
      <c r="AM205" s="490" t="str">
        <f>IF($B205="","",IF($R205=AM$5,(SUM($D205*VLOOKUP($C205,ESCALA!$B$3:$O$19,14,0)+10)*2)*27,""))</f>
        <v/>
      </c>
      <c r="AN205" s="490" t="str">
        <f>IF($B205="","",IF($R205=AN$5,(SUM($D205*VLOOKUP($C205,ESCALA!$B$3:$O$19,14,0)+10)*2)*27,""))</f>
        <v/>
      </c>
      <c r="AO205" s="490" t="str">
        <f>IF($B205="","",IF($R205=AO$5,(SUM($D205*VLOOKUP($C205,ESCALA!$B$3:$O$19,14,0)+10)*2)*27,""))</f>
        <v/>
      </c>
      <c r="AP205" s="490" t="str">
        <f>IF($B205="","",IF($R205=AP$5,(SUM($D205*VLOOKUP($C205,ESCALA!$B$3:$O$19,14,0)+10)*2)*27,""))</f>
        <v/>
      </c>
      <c r="AY205" s="368" t="str">
        <f>IF(PERFIL!E204="","",PERFIL!E204)</f>
        <v/>
      </c>
      <c r="AZ205" s="368" t="str">
        <f t="shared" si="20"/>
        <v/>
      </c>
      <c r="BA205" s="368" t="str">
        <f t="shared" si="21"/>
        <v/>
      </c>
    </row>
    <row r="206" spans="2:53" ht="33.75" customHeight="1" x14ac:dyDescent="0.2">
      <c r="B206" s="551"/>
      <c r="C206" s="517"/>
      <c r="D206" s="503" t="str">
        <f>IF(C206="","",VLOOKUP(C206,'REL LINHAS'!$B$2:$K$2205,5,0))</f>
        <v/>
      </c>
      <c r="E206" s="321" t="str">
        <f t="shared" si="23"/>
        <v/>
      </c>
      <c r="F206" s="493"/>
      <c r="G206" s="494"/>
      <c r="H206" s="649"/>
      <c r="I206" s="650"/>
      <c r="J206" s="651"/>
      <c r="K206" s="652"/>
      <c r="L206" s="653"/>
      <c r="M206" s="654"/>
      <c r="N206" s="652"/>
      <c r="O206" s="653"/>
      <c r="P206" s="653"/>
      <c r="Q206" s="654"/>
      <c r="R206" s="655"/>
      <c r="S206" s="656"/>
      <c r="T206" s="652"/>
      <c r="U206" s="654"/>
      <c r="V206" s="652"/>
      <c r="W206" s="653"/>
      <c r="X206" s="654"/>
      <c r="Y206" s="495"/>
      <c r="Z206" s="496"/>
      <c r="AA206" s="63"/>
      <c r="AB206" s="497" t="s">
        <v>2505</v>
      </c>
      <c r="AC206" s="63"/>
      <c r="AD206" s="497" t="s">
        <v>2506</v>
      </c>
      <c r="AE206" s="63"/>
      <c r="AF206" s="497" t="s">
        <v>2507</v>
      </c>
      <c r="AG206" s="63"/>
      <c r="AH206" s="498" t="s">
        <v>229</v>
      </c>
      <c r="AJ206" s="490" t="str">
        <f>IF($B206="","",IF($R206=AJ$5,(SUM($D206*VLOOKUP($C206,ESCALA!$B$3:$O$19,14,0)+10)*2)*27,""))</f>
        <v/>
      </c>
      <c r="AK206" s="490" t="str">
        <f>IF($B206="","",IF($R206=AK$5,(SUM($D206*VLOOKUP($C206,ESCALA!$B$3:$O$19,14,0)+10)*2)*27,""))</f>
        <v/>
      </c>
      <c r="AL206" s="490" t="str">
        <f>IF($B206="","",IF($R206=AL$5,(SUM($D206*VLOOKUP($C206,ESCALA!$B$3:$O$19,14,0)+10)*2)*27,""))</f>
        <v/>
      </c>
      <c r="AM206" s="490" t="str">
        <f>IF($B206="","",IF($R206=AM$5,(SUM($D206*VLOOKUP($C206,ESCALA!$B$3:$O$19,14,0)+10)*2)*27,""))</f>
        <v/>
      </c>
      <c r="AN206" s="490" t="str">
        <f>IF($B206="","",IF($R206=AN$5,(SUM($D206*VLOOKUP($C206,ESCALA!$B$3:$O$19,14,0)+10)*2)*27,""))</f>
        <v/>
      </c>
      <c r="AO206" s="490" t="str">
        <f>IF($B206="","",IF($R206=AO$5,(SUM($D206*VLOOKUP($C206,ESCALA!$B$3:$O$19,14,0)+10)*2)*27,""))</f>
        <v/>
      </c>
      <c r="AP206" s="490" t="str">
        <f>IF($B206="","",IF($R206=AP$5,(SUM($D206*VLOOKUP($C206,ESCALA!$B$3:$O$19,14,0)+10)*2)*27,""))</f>
        <v/>
      </c>
    </row>
    <row r="207" spans="2:53" ht="33.75" customHeight="1" x14ac:dyDescent="0.2">
      <c r="B207" s="551"/>
      <c r="C207" s="517"/>
      <c r="D207" s="503" t="str">
        <f>IF(C207="","",VLOOKUP(C207,'REL LINHAS'!$B$2:$K$2205,5,0))</f>
        <v/>
      </c>
      <c r="E207" s="321" t="str">
        <f t="shared" si="23"/>
        <v/>
      </c>
      <c r="F207" s="493"/>
      <c r="G207" s="494"/>
      <c r="H207" s="649"/>
      <c r="I207" s="650"/>
      <c r="J207" s="651"/>
      <c r="K207" s="652"/>
      <c r="L207" s="653"/>
      <c r="M207" s="654"/>
      <c r="N207" s="652"/>
      <c r="O207" s="653"/>
      <c r="P207" s="653"/>
      <c r="Q207" s="654"/>
      <c r="R207" s="655"/>
      <c r="S207" s="656"/>
      <c r="T207" s="652"/>
      <c r="U207" s="654"/>
      <c r="V207" s="652"/>
      <c r="W207" s="653"/>
      <c r="X207" s="654"/>
      <c r="Y207" s="495"/>
      <c r="Z207" s="496"/>
      <c r="AA207" s="63"/>
      <c r="AB207" s="497" t="s">
        <v>2505</v>
      </c>
      <c r="AC207" s="63"/>
      <c r="AD207" s="497" t="s">
        <v>2506</v>
      </c>
      <c r="AE207" s="63"/>
      <c r="AF207" s="497" t="s">
        <v>2507</v>
      </c>
      <c r="AG207" s="63"/>
      <c r="AH207" s="498" t="s">
        <v>229</v>
      </c>
      <c r="AJ207" s="490" t="str">
        <f>IF($B207="","",IF($R207=AJ$5,(SUM($D207*VLOOKUP($C207,ESCALA!$B$3:$O$19,14,0)+10)*2)*27,""))</f>
        <v/>
      </c>
      <c r="AK207" s="490" t="str">
        <f>IF($B207="","",IF($R207=AK$5,(SUM($D207*VLOOKUP($C207,ESCALA!$B$3:$O$19,14,0)+10)*2)*27,""))</f>
        <v/>
      </c>
      <c r="AL207" s="490" t="str">
        <f>IF($B207="","",IF($R207=AL$5,(SUM($D207*VLOOKUP($C207,ESCALA!$B$3:$O$19,14,0)+10)*2)*27,""))</f>
        <v/>
      </c>
      <c r="AM207" s="490" t="str">
        <f>IF($B207="","",IF($R207=AM$5,(SUM($D207*VLOOKUP($C207,ESCALA!$B$3:$O$19,14,0)+10)*2)*27,""))</f>
        <v/>
      </c>
      <c r="AN207" s="490" t="str">
        <f>IF($B207="","",IF($R207=AN$5,(SUM($D207*VLOOKUP($C207,ESCALA!$B$3:$O$19,14,0)+10)*2)*27,""))</f>
        <v/>
      </c>
      <c r="AO207" s="490" t="str">
        <f>IF($B207="","",IF($R207=AO$5,(SUM($D207*VLOOKUP($C207,ESCALA!$B$3:$O$19,14,0)+10)*2)*27,""))</f>
        <v/>
      </c>
      <c r="AP207" s="490" t="str">
        <f>IF($B207="","",IF($R207=AP$5,(SUM($D207*VLOOKUP($C207,ESCALA!$B$3:$O$19,14,0)+10)*2)*27,""))</f>
        <v/>
      </c>
    </row>
    <row r="208" spans="2:53" ht="33.75" customHeight="1" x14ac:dyDescent="0.2">
      <c r="B208" s="551"/>
      <c r="C208" s="517"/>
      <c r="D208" s="503" t="str">
        <f>IF(C208="","",VLOOKUP(C208,'REL LINHAS'!$B$2:$K$2205,5,0))</f>
        <v/>
      </c>
      <c r="E208" s="321" t="str">
        <f t="shared" si="23"/>
        <v/>
      </c>
      <c r="F208" s="493"/>
      <c r="G208" s="494"/>
      <c r="H208" s="649"/>
      <c r="I208" s="650"/>
      <c r="J208" s="651"/>
      <c r="K208" s="652"/>
      <c r="L208" s="653"/>
      <c r="M208" s="654"/>
      <c r="N208" s="652"/>
      <c r="O208" s="653"/>
      <c r="P208" s="653"/>
      <c r="Q208" s="654"/>
      <c r="R208" s="655"/>
      <c r="S208" s="656"/>
      <c r="T208" s="652"/>
      <c r="U208" s="654"/>
      <c r="V208" s="652"/>
      <c r="W208" s="653"/>
      <c r="X208" s="654"/>
      <c r="Y208" s="495"/>
      <c r="Z208" s="496"/>
      <c r="AA208" s="63"/>
      <c r="AB208" s="497" t="s">
        <v>2505</v>
      </c>
      <c r="AC208" s="63"/>
      <c r="AD208" s="497" t="s">
        <v>2506</v>
      </c>
      <c r="AE208" s="63"/>
      <c r="AF208" s="497" t="s">
        <v>2507</v>
      </c>
      <c r="AG208" s="63"/>
      <c r="AH208" s="498" t="s">
        <v>229</v>
      </c>
      <c r="AJ208" s="490" t="str">
        <f>IF($B208="","",IF($R208=AJ$5,(SUM($D208*VLOOKUP($C208,ESCALA!$B$3:$O$19,14,0)+10)*2)*27,""))</f>
        <v/>
      </c>
      <c r="AK208" s="490" t="str">
        <f>IF($B208="","",IF($R208=AK$5,(SUM($D208*VLOOKUP($C208,ESCALA!$B$3:$O$19,14,0)+10)*2)*27,""))</f>
        <v/>
      </c>
      <c r="AL208" s="490" t="str">
        <f>IF($B208="","",IF($R208=AL$5,(SUM($D208*VLOOKUP($C208,ESCALA!$B$3:$O$19,14,0)+10)*2)*27,""))</f>
        <v/>
      </c>
      <c r="AM208" s="490" t="str">
        <f>IF($B208="","",IF($R208=AM$5,(SUM($D208*VLOOKUP($C208,ESCALA!$B$3:$O$19,14,0)+10)*2)*27,""))</f>
        <v/>
      </c>
      <c r="AN208" s="490" t="str">
        <f>IF($B208="","",IF($R208=AN$5,(SUM($D208*VLOOKUP($C208,ESCALA!$B$3:$O$19,14,0)+10)*2)*27,""))</f>
        <v/>
      </c>
      <c r="AO208" s="490" t="str">
        <f>IF($B208="","",IF($R208=AO$5,(SUM($D208*VLOOKUP($C208,ESCALA!$B$3:$O$19,14,0)+10)*2)*27,""))</f>
        <v/>
      </c>
      <c r="AP208" s="490" t="str">
        <f>IF($B208="","",IF($R208=AP$5,(SUM($D208*VLOOKUP($C208,ESCALA!$B$3:$O$19,14,0)+10)*2)*27,""))</f>
        <v/>
      </c>
    </row>
    <row r="209" spans="2:42" ht="33.75" customHeight="1" x14ac:dyDescent="0.2">
      <c r="B209" s="551"/>
      <c r="C209" s="517"/>
      <c r="D209" s="503" t="str">
        <f>IF(C209="","",VLOOKUP(C209,'REL LINHAS'!$B$2:$K$2205,5,0))</f>
        <v/>
      </c>
      <c r="E209" s="321" t="str">
        <f t="shared" si="23"/>
        <v/>
      </c>
      <c r="F209" s="493"/>
      <c r="G209" s="494"/>
      <c r="H209" s="649"/>
      <c r="I209" s="650"/>
      <c r="J209" s="651"/>
      <c r="K209" s="652"/>
      <c r="L209" s="653"/>
      <c r="M209" s="654"/>
      <c r="N209" s="652"/>
      <c r="O209" s="653"/>
      <c r="P209" s="653"/>
      <c r="Q209" s="654"/>
      <c r="R209" s="655"/>
      <c r="S209" s="656"/>
      <c r="T209" s="652"/>
      <c r="U209" s="654"/>
      <c r="V209" s="652"/>
      <c r="W209" s="653"/>
      <c r="X209" s="654"/>
      <c r="Y209" s="495"/>
      <c r="Z209" s="496"/>
      <c r="AA209" s="63"/>
      <c r="AB209" s="497" t="s">
        <v>2505</v>
      </c>
      <c r="AC209" s="63"/>
      <c r="AD209" s="497" t="s">
        <v>2506</v>
      </c>
      <c r="AE209" s="63"/>
      <c r="AF209" s="497" t="s">
        <v>2507</v>
      </c>
      <c r="AG209" s="63"/>
      <c r="AH209" s="498" t="s">
        <v>229</v>
      </c>
      <c r="AJ209" s="490" t="str">
        <f>IF($B209="","",IF($R209=AJ$5,(SUM($D209*VLOOKUP($C209,ESCALA!$B$3:$O$19,14,0)+10)*2)*27,""))</f>
        <v/>
      </c>
      <c r="AK209" s="490" t="str">
        <f>IF($B209="","",IF($R209=AK$5,(SUM($D209*VLOOKUP($C209,ESCALA!$B$3:$O$19,14,0)+10)*2)*27,""))</f>
        <v/>
      </c>
      <c r="AL209" s="490" t="str">
        <f>IF($B209="","",IF($R209=AL$5,(SUM($D209*VLOOKUP($C209,ESCALA!$B$3:$O$19,14,0)+10)*2)*27,""))</f>
        <v/>
      </c>
      <c r="AM209" s="490" t="str">
        <f>IF($B209="","",IF($R209=AM$5,(SUM($D209*VLOOKUP($C209,ESCALA!$B$3:$O$19,14,0)+10)*2)*27,""))</f>
        <v/>
      </c>
      <c r="AN209" s="490" t="str">
        <f>IF($B209="","",IF($R209=AN$5,(SUM($D209*VLOOKUP($C209,ESCALA!$B$3:$O$19,14,0)+10)*2)*27,""))</f>
        <v/>
      </c>
      <c r="AO209" s="490" t="str">
        <f>IF($B209="","",IF($R209=AO$5,(SUM($D209*VLOOKUP($C209,ESCALA!$B$3:$O$19,14,0)+10)*2)*27,""))</f>
        <v/>
      </c>
      <c r="AP209" s="490" t="str">
        <f>IF($B209="","",IF($R209=AP$5,(SUM($D209*VLOOKUP($C209,ESCALA!$B$3:$O$19,14,0)+10)*2)*27,""))</f>
        <v/>
      </c>
    </row>
    <row r="210" spans="2:42" ht="33.75" customHeight="1" x14ac:dyDescent="0.2">
      <c r="B210" s="551"/>
      <c r="C210" s="517"/>
      <c r="D210" s="503" t="str">
        <f>IF(C210="","",VLOOKUP(C210,'REL LINHAS'!$B$2:$K$2205,5,0))</f>
        <v/>
      </c>
      <c r="E210" s="321" t="str">
        <f t="shared" si="23"/>
        <v/>
      </c>
      <c r="F210" s="493"/>
      <c r="G210" s="494"/>
      <c r="H210" s="649"/>
      <c r="I210" s="650"/>
      <c r="J210" s="651"/>
      <c r="K210" s="652"/>
      <c r="L210" s="653"/>
      <c r="M210" s="654"/>
      <c r="N210" s="652"/>
      <c r="O210" s="653"/>
      <c r="P210" s="653"/>
      <c r="Q210" s="654"/>
      <c r="R210" s="655"/>
      <c r="S210" s="656"/>
      <c r="T210" s="652"/>
      <c r="U210" s="654"/>
      <c r="V210" s="652"/>
      <c r="W210" s="653"/>
      <c r="X210" s="654"/>
      <c r="Y210" s="495"/>
      <c r="Z210" s="496"/>
      <c r="AA210" s="63"/>
      <c r="AB210" s="497" t="s">
        <v>2505</v>
      </c>
      <c r="AC210" s="63"/>
      <c r="AD210" s="497" t="s">
        <v>2506</v>
      </c>
      <c r="AE210" s="63"/>
      <c r="AF210" s="497" t="s">
        <v>2507</v>
      </c>
      <c r="AG210" s="63"/>
      <c r="AH210" s="498" t="s">
        <v>229</v>
      </c>
      <c r="AJ210" s="490" t="str">
        <f>IF($B210="","",IF($R210=AJ$5,(SUM($D210*VLOOKUP($C210,ESCALA!$B$3:$O$19,14,0)+10)*2)*27,""))</f>
        <v/>
      </c>
      <c r="AK210" s="490" t="str">
        <f>IF($B210="","",IF($R210=AK$5,(SUM($D210*VLOOKUP($C210,ESCALA!$B$3:$O$19,14,0)+10)*2)*27,""))</f>
        <v/>
      </c>
      <c r="AL210" s="490" t="str">
        <f>IF($B210="","",IF($R210=AL$5,(SUM($D210*VLOOKUP($C210,ESCALA!$B$3:$O$19,14,0)+10)*2)*27,""))</f>
        <v/>
      </c>
      <c r="AM210" s="490" t="str">
        <f>IF($B210="","",IF($R210=AM$5,(SUM($D210*VLOOKUP($C210,ESCALA!$B$3:$O$19,14,0)+10)*2)*27,""))</f>
        <v/>
      </c>
      <c r="AN210" s="490" t="str">
        <f>IF($B210="","",IF($R210=AN$5,(SUM($D210*VLOOKUP($C210,ESCALA!$B$3:$O$19,14,0)+10)*2)*27,""))</f>
        <v/>
      </c>
      <c r="AO210" s="490" t="str">
        <f>IF($B210="","",IF($R210=AO$5,(SUM($D210*VLOOKUP($C210,ESCALA!$B$3:$O$19,14,0)+10)*2)*27,""))</f>
        <v/>
      </c>
      <c r="AP210" s="490" t="str">
        <f>IF($B210="","",IF($R210=AP$5,(SUM($D210*VLOOKUP($C210,ESCALA!$B$3:$O$19,14,0)+10)*2)*27,""))</f>
        <v/>
      </c>
    </row>
    <row r="211" spans="2:42" ht="33.75" customHeight="1" x14ac:dyDescent="0.2">
      <c r="B211" s="551"/>
      <c r="C211" s="517"/>
      <c r="D211" s="503" t="str">
        <f>IF(C211="","",VLOOKUP(C211,'REL LINHAS'!$B$2:$K$2205,5,0))</f>
        <v/>
      </c>
      <c r="E211" s="321" t="str">
        <f t="shared" si="23"/>
        <v/>
      </c>
      <c r="F211" s="493"/>
      <c r="G211" s="494"/>
      <c r="H211" s="649"/>
      <c r="I211" s="650"/>
      <c r="J211" s="651"/>
      <c r="K211" s="652"/>
      <c r="L211" s="653"/>
      <c r="M211" s="654"/>
      <c r="N211" s="652"/>
      <c r="O211" s="653"/>
      <c r="P211" s="653"/>
      <c r="Q211" s="654"/>
      <c r="R211" s="655"/>
      <c r="S211" s="656"/>
      <c r="T211" s="652"/>
      <c r="U211" s="654"/>
      <c r="V211" s="652"/>
      <c r="W211" s="653"/>
      <c r="X211" s="654"/>
      <c r="Y211" s="495"/>
      <c r="Z211" s="496"/>
      <c r="AA211" s="63"/>
      <c r="AB211" s="497" t="s">
        <v>2505</v>
      </c>
      <c r="AC211" s="63"/>
      <c r="AD211" s="497" t="s">
        <v>2506</v>
      </c>
      <c r="AE211" s="63"/>
      <c r="AF211" s="497" t="s">
        <v>2507</v>
      </c>
      <c r="AG211" s="63"/>
      <c r="AH211" s="498" t="s">
        <v>229</v>
      </c>
      <c r="AJ211" s="490" t="str">
        <f>IF($B211="","",IF($R211=AJ$5,(SUM($D211*VLOOKUP($C211,ESCALA!$B$3:$O$19,14,0)+10)*2)*27,""))</f>
        <v/>
      </c>
      <c r="AK211" s="490" t="str">
        <f>IF($B211="","",IF($R211=AK$5,(SUM($D211*VLOOKUP($C211,ESCALA!$B$3:$O$19,14,0)+10)*2)*27,""))</f>
        <v/>
      </c>
      <c r="AL211" s="490" t="str">
        <f>IF($B211="","",IF($R211=AL$5,(SUM($D211*VLOOKUP($C211,ESCALA!$B$3:$O$19,14,0)+10)*2)*27,""))</f>
        <v/>
      </c>
      <c r="AM211" s="490" t="str">
        <f>IF($B211="","",IF($R211=AM$5,(SUM($D211*VLOOKUP($C211,ESCALA!$B$3:$O$19,14,0)+10)*2)*27,""))</f>
        <v/>
      </c>
      <c r="AN211" s="490" t="str">
        <f>IF($B211="","",IF($R211=AN$5,(SUM($D211*VLOOKUP($C211,ESCALA!$B$3:$O$19,14,0)+10)*2)*27,""))</f>
        <v/>
      </c>
      <c r="AO211" s="490" t="str">
        <f>IF($B211="","",IF($R211=AO$5,(SUM($D211*VLOOKUP($C211,ESCALA!$B$3:$O$19,14,0)+10)*2)*27,""))</f>
        <v/>
      </c>
      <c r="AP211" s="490" t="str">
        <f>IF($B211="","",IF($R211=AP$5,(SUM($D211*VLOOKUP($C211,ESCALA!$B$3:$O$19,14,0)+10)*2)*27,""))</f>
        <v/>
      </c>
    </row>
    <row r="212" spans="2:42" ht="33.75" customHeight="1" x14ac:dyDescent="0.2">
      <c r="B212" s="551"/>
      <c r="C212" s="517"/>
      <c r="D212" s="503" t="str">
        <f>IF(C212="","",VLOOKUP(C212,'REL LINHAS'!$B$2:$K$2205,5,0))</f>
        <v/>
      </c>
      <c r="E212" s="321" t="str">
        <f t="shared" si="23"/>
        <v/>
      </c>
      <c r="F212" s="493"/>
      <c r="G212" s="494"/>
      <c r="H212" s="649"/>
      <c r="I212" s="650"/>
      <c r="J212" s="651"/>
      <c r="K212" s="652"/>
      <c r="L212" s="653"/>
      <c r="M212" s="654"/>
      <c r="N212" s="652"/>
      <c r="O212" s="653"/>
      <c r="P212" s="653"/>
      <c r="Q212" s="654"/>
      <c r="R212" s="655"/>
      <c r="S212" s="656"/>
      <c r="T212" s="652"/>
      <c r="U212" s="654"/>
      <c r="V212" s="652"/>
      <c r="W212" s="653"/>
      <c r="X212" s="654"/>
      <c r="Y212" s="495"/>
      <c r="Z212" s="496"/>
      <c r="AA212" s="63"/>
      <c r="AB212" s="497" t="s">
        <v>2505</v>
      </c>
      <c r="AC212" s="63"/>
      <c r="AD212" s="497" t="s">
        <v>2506</v>
      </c>
      <c r="AE212" s="63"/>
      <c r="AF212" s="497" t="s">
        <v>2507</v>
      </c>
      <c r="AG212" s="63"/>
      <c r="AH212" s="498" t="s">
        <v>229</v>
      </c>
      <c r="AJ212" s="490" t="str">
        <f>IF($B212="","",IF($R212=AJ$5,(SUM($D212*VLOOKUP($C212,ESCALA!$B$3:$O$19,14,0)+10)*2)*27,""))</f>
        <v/>
      </c>
      <c r="AK212" s="490" t="str">
        <f>IF($B212="","",IF($R212=AK$5,(SUM($D212*VLOOKUP($C212,ESCALA!$B$3:$O$19,14,0)+10)*2)*27,""))</f>
        <v/>
      </c>
      <c r="AL212" s="490" t="str">
        <f>IF($B212="","",IF($R212=AL$5,(SUM($D212*VLOOKUP($C212,ESCALA!$B$3:$O$19,14,0)+10)*2)*27,""))</f>
        <v/>
      </c>
      <c r="AM212" s="490" t="str">
        <f>IF($B212="","",IF($R212=AM$5,(SUM($D212*VLOOKUP($C212,ESCALA!$B$3:$O$19,14,0)+10)*2)*27,""))</f>
        <v/>
      </c>
      <c r="AN212" s="490" t="str">
        <f>IF($B212="","",IF($R212=AN$5,(SUM($D212*VLOOKUP($C212,ESCALA!$B$3:$O$19,14,0)+10)*2)*27,""))</f>
        <v/>
      </c>
      <c r="AO212" s="490" t="str">
        <f>IF($B212="","",IF($R212=AO$5,(SUM($D212*VLOOKUP($C212,ESCALA!$B$3:$O$19,14,0)+10)*2)*27,""))</f>
        <v/>
      </c>
      <c r="AP212" s="490" t="str">
        <f>IF($B212="","",IF($R212=AP$5,(SUM($D212*VLOOKUP($C212,ESCALA!$B$3:$O$19,14,0)+10)*2)*27,""))</f>
        <v/>
      </c>
    </row>
    <row r="213" spans="2:42" ht="33.75" customHeight="1" x14ac:dyDescent="0.2">
      <c r="B213" s="551"/>
      <c r="C213" s="517"/>
      <c r="D213" s="503" t="str">
        <f>IF(C213="","",VLOOKUP(C213,'REL LINHAS'!$B$2:$K$2205,5,0))</f>
        <v/>
      </c>
      <c r="E213" s="321" t="str">
        <f t="shared" si="23"/>
        <v/>
      </c>
      <c r="F213" s="493"/>
      <c r="G213" s="494"/>
      <c r="H213" s="649"/>
      <c r="I213" s="650"/>
      <c r="J213" s="651"/>
      <c r="K213" s="652"/>
      <c r="L213" s="653"/>
      <c r="M213" s="654"/>
      <c r="N213" s="652"/>
      <c r="O213" s="653"/>
      <c r="P213" s="653"/>
      <c r="Q213" s="654"/>
      <c r="R213" s="655"/>
      <c r="S213" s="656"/>
      <c r="T213" s="652"/>
      <c r="U213" s="654"/>
      <c r="V213" s="652"/>
      <c r="W213" s="653"/>
      <c r="X213" s="654"/>
      <c r="Y213" s="495"/>
      <c r="Z213" s="496"/>
      <c r="AA213" s="63"/>
      <c r="AB213" s="497" t="s">
        <v>2505</v>
      </c>
      <c r="AC213" s="63"/>
      <c r="AD213" s="497" t="s">
        <v>2506</v>
      </c>
      <c r="AE213" s="63"/>
      <c r="AF213" s="497" t="s">
        <v>2507</v>
      </c>
      <c r="AG213" s="63"/>
      <c r="AH213" s="498" t="s">
        <v>229</v>
      </c>
      <c r="AJ213" s="490" t="str">
        <f>IF($B213="","",IF($R213=AJ$5,(SUM($D213*VLOOKUP($C213,ESCALA!$B$3:$O$19,14,0)+10)*2)*27,""))</f>
        <v/>
      </c>
      <c r="AK213" s="490" t="str">
        <f>IF($B213="","",IF($R213=AK$5,(SUM($D213*VLOOKUP($C213,ESCALA!$B$3:$O$19,14,0)+10)*2)*27,""))</f>
        <v/>
      </c>
      <c r="AL213" s="490" t="str">
        <f>IF($B213="","",IF($R213=AL$5,(SUM($D213*VLOOKUP($C213,ESCALA!$B$3:$O$19,14,0)+10)*2)*27,""))</f>
        <v/>
      </c>
      <c r="AM213" s="490" t="str">
        <f>IF($B213="","",IF($R213=AM$5,(SUM($D213*VLOOKUP($C213,ESCALA!$B$3:$O$19,14,0)+10)*2)*27,""))</f>
        <v/>
      </c>
      <c r="AN213" s="490" t="str">
        <f>IF($B213="","",IF($R213=AN$5,(SUM($D213*VLOOKUP($C213,ESCALA!$B$3:$O$19,14,0)+10)*2)*27,""))</f>
        <v/>
      </c>
      <c r="AO213" s="490" t="str">
        <f>IF($B213="","",IF($R213=AO$5,(SUM($D213*VLOOKUP($C213,ESCALA!$B$3:$O$19,14,0)+10)*2)*27,""))</f>
        <v/>
      </c>
      <c r="AP213" s="490" t="str">
        <f>IF($B213="","",IF($R213=AP$5,(SUM($D213*VLOOKUP($C213,ESCALA!$B$3:$O$19,14,0)+10)*2)*27,""))</f>
        <v/>
      </c>
    </row>
    <row r="214" spans="2:42" ht="33.75" customHeight="1" x14ac:dyDescent="0.2">
      <c r="B214" s="551"/>
      <c r="C214" s="517"/>
      <c r="D214" s="503" t="str">
        <f>IF(C214="","",VLOOKUP(C214,'REL LINHAS'!$B$2:$K$2205,5,0))</f>
        <v/>
      </c>
      <c r="E214" s="321" t="str">
        <f t="shared" si="23"/>
        <v/>
      </c>
      <c r="F214" s="493"/>
      <c r="G214" s="494"/>
      <c r="H214" s="649"/>
      <c r="I214" s="650"/>
      <c r="J214" s="651"/>
      <c r="K214" s="652"/>
      <c r="L214" s="653"/>
      <c r="M214" s="654"/>
      <c r="N214" s="652"/>
      <c r="O214" s="653"/>
      <c r="P214" s="653"/>
      <c r="Q214" s="654"/>
      <c r="R214" s="655"/>
      <c r="S214" s="656"/>
      <c r="T214" s="652"/>
      <c r="U214" s="654"/>
      <c r="V214" s="652"/>
      <c r="W214" s="653"/>
      <c r="X214" s="654"/>
      <c r="Y214" s="495"/>
      <c r="Z214" s="496"/>
      <c r="AA214" s="63"/>
      <c r="AB214" s="497" t="s">
        <v>2505</v>
      </c>
      <c r="AC214" s="63"/>
      <c r="AD214" s="497" t="s">
        <v>2506</v>
      </c>
      <c r="AE214" s="63"/>
      <c r="AF214" s="497" t="s">
        <v>2507</v>
      </c>
      <c r="AG214" s="63"/>
      <c r="AH214" s="498" t="s">
        <v>229</v>
      </c>
      <c r="AJ214" s="490" t="str">
        <f>IF($B214="","",IF($R214=AJ$5,(SUM($D214*VLOOKUP($C214,ESCALA!$B$3:$O$19,14,0)+10)*2)*27,""))</f>
        <v/>
      </c>
      <c r="AK214" s="490" t="str">
        <f>IF($B214="","",IF($R214=AK$5,(SUM($D214*VLOOKUP($C214,ESCALA!$B$3:$O$19,14,0)+10)*2)*27,""))</f>
        <v/>
      </c>
      <c r="AL214" s="490" t="str">
        <f>IF($B214="","",IF($R214=AL$5,(SUM($D214*VLOOKUP($C214,ESCALA!$B$3:$O$19,14,0)+10)*2)*27,""))</f>
        <v/>
      </c>
      <c r="AM214" s="490" t="str">
        <f>IF($B214="","",IF($R214=AM$5,(SUM($D214*VLOOKUP($C214,ESCALA!$B$3:$O$19,14,0)+10)*2)*27,""))</f>
        <v/>
      </c>
      <c r="AN214" s="490" t="str">
        <f>IF($B214="","",IF($R214=AN$5,(SUM($D214*VLOOKUP($C214,ESCALA!$B$3:$O$19,14,0)+10)*2)*27,""))</f>
        <v/>
      </c>
      <c r="AO214" s="490" t="str">
        <f>IF($B214="","",IF($R214=AO$5,(SUM($D214*VLOOKUP($C214,ESCALA!$B$3:$O$19,14,0)+10)*2)*27,""))</f>
        <v/>
      </c>
      <c r="AP214" s="490" t="str">
        <f>IF($B214="","",IF($R214=AP$5,(SUM($D214*VLOOKUP($C214,ESCALA!$B$3:$O$19,14,0)+10)*2)*27,""))</f>
        <v/>
      </c>
    </row>
    <row r="215" spans="2:42" ht="33.75" customHeight="1" x14ac:dyDescent="0.2">
      <c r="B215" s="551"/>
      <c r="C215" s="517"/>
      <c r="D215" s="503" t="str">
        <f>IF(C215="","",VLOOKUP(C215,'REL LINHAS'!$B$2:$K$2205,5,0))</f>
        <v/>
      </c>
      <c r="E215" s="321" t="str">
        <f t="shared" si="23"/>
        <v/>
      </c>
      <c r="F215" s="493"/>
      <c r="G215" s="494"/>
      <c r="H215" s="649"/>
      <c r="I215" s="650"/>
      <c r="J215" s="651"/>
      <c r="K215" s="652"/>
      <c r="L215" s="653"/>
      <c r="M215" s="654"/>
      <c r="N215" s="652"/>
      <c r="O215" s="653"/>
      <c r="P215" s="653"/>
      <c r="Q215" s="654"/>
      <c r="R215" s="655"/>
      <c r="S215" s="656"/>
      <c r="T215" s="652"/>
      <c r="U215" s="654"/>
      <c r="V215" s="652"/>
      <c r="W215" s="653"/>
      <c r="X215" s="654"/>
      <c r="Y215" s="495"/>
      <c r="Z215" s="496"/>
      <c r="AA215" s="63"/>
      <c r="AB215" s="497" t="s">
        <v>2505</v>
      </c>
      <c r="AC215" s="63"/>
      <c r="AD215" s="497" t="s">
        <v>2506</v>
      </c>
      <c r="AE215" s="63"/>
      <c r="AF215" s="497" t="s">
        <v>2507</v>
      </c>
      <c r="AG215" s="63"/>
      <c r="AH215" s="498" t="s">
        <v>229</v>
      </c>
      <c r="AJ215" s="490" t="str">
        <f>IF($B215="","",IF($R215=AJ$5,(SUM($D215*VLOOKUP($C215,ESCALA!$B$3:$O$19,14,0)+10)*2)*27,""))</f>
        <v/>
      </c>
      <c r="AK215" s="490" t="str">
        <f>IF($B215="","",IF($R215=AK$5,(SUM($D215*VLOOKUP($C215,ESCALA!$B$3:$O$19,14,0)+10)*2)*27,""))</f>
        <v/>
      </c>
      <c r="AL215" s="490" t="str">
        <f>IF($B215="","",IF($R215=AL$5,(SUM($D215*VLOOKUP($C215,ESCALA!$B$3:$O$19,14,0)+10)*2)*27,""))</f>
        <v/>
      </c>
      <c r="AM215" s="490" t="str">
        <f>IF($B215="","",IF($R215=AM$5,(SUM($D215*VLOOKUP($C215,ESCALA!$B$3:$O$19,14,0)+10)*2)*27,""))</f>
        <v/>
      </c>
      <c r="AN215" s="490" t="str">
        <f>IF($B215="","",IF($R215=AN$5,(SUM($D215*VLOOKUP($C215,ESCALA!$B$3:$O$19,14,0)+10)*2)*27,""))</f>
        <v/>
      </c>
      <c r="AO215" s="490" t="str">
        <f>IF($B215="","",IF($R215=AO$5,(SUM($D215*VLOOKUP($C215,ESCALA!$B$3:$O$19,14,0)+10)*2)*27,""))</f>
        <v/>
      </c>
      <c r="AP215" s="490" t="str">
        <f>IF($B215="","",IF($R215=AP$5,(SUM($D215*VLOOKUP($C215,ESCALA!$B$3:$O$19,14,0)+10)*2)*27,""))</f>
        <v/>
      </c>
    </row>
    <row r="216" spans="2:42" ht="33.75" customHeight="1" x14ac:dyDescent="0.2">
      <c r="B216" s="551"/>
      <c r="C216" s="517"/>
      <c r="D216" s="503" t="str">
        <f>IF(C216="","",VLOOKUP(C216,'REL LINHAS'!$B$2:$K$2205,5,0))</f>
        <v/>
      </c>
      <c r="E216" s="321" t="str">
        <f t="shared" si="23"/>
        <v/>
      </c>
      <c r="F216" s="493"/>
      <c r="G216" s="494"/>
      <c r="H216" s="649"/>
      <c r="I216" s="650"/>
      <c r="J216" s="651"/>
      <c r="K216" s="652"/>
      <c r="L216" s="653"/>
      <c r="M216" s="654"/>
      <c r="N216" s="652"/>
      <c r="O216" s="653"/>
      <c r="P216" s="653"/>
      <c r="Q216" s="654"/>
      <c r="R216" s="655"/>
      <c r="S216" s="656"/>
      <c r="T216" s="652"/>
      <c r="U216" s="654"/>
      <c r="V216" s="652"/>
      <c r="W216" s="653"/>
      <c r="X216" s="654"/>
      <c r="Y216" s="495"/>
      <c r="Z216" s="496"/>
      <c r="AA216" s="63"/>
      <c r="AB216" s="497" t="s">
        <v>2505</v>
      </c>
      <c r="AC216" s="63"/>
      <c r="AD216" s="497" t="s">
        <v>2506</v>
      </c>
      <c r="AE216" s="63"/>
      <c r="AF216" s="497" t="s">
        <v>2507</v>
      </c>
      <c r="AG216" s="63"/>
      <c r="AH216" s="498" t="s">
        <v>229</v>
      </c>
      <c r="AJ216" s="490" t="str">
        <f>IF($B216="","",IF($R216=AJ$5,(SUM($D216*VLOOKUP($C216,ESCALA!$B$3:$O$19,14,0)+10)*2)*27,""))</f>
        <v/>
      </c>
      <c r="AK216" s="490" t="str">
        <f>IF($B216="","",IF($R216=AK$5,(SUM($D216*VLOOKUP($C216,ESCALA!$B$3:$O$19,14,0)+10)*2)*27,""))</f>
        <v/>
      </c>
      <c r="AL216" s="490" t="str">
        <f>IF($B216="","",IF($R216=AL$5,(SUM($D216*VLOOKUP($C216,ESCALA!$B$3:$O$19,14,0)+10)*2)*27,""))</f>
        <v/>
      </c>
      <c r="AM216" s="490" t="str">
        <f>IF($B216="","",IF($R216=AM$5,(SUM($D216*VLOOKUP($C216,ESCALA!$B$3:$O$19,14,0)+10)*2)*27,""))</f>
        <v/>
      </c>
      <c r="AN216" s="490" t="str">
        <f>IF($B216="","",IF($R216=AN$5,(SUM($D216*VLOOKUP($C216,ESCALA!$B$3:$O$19,14,0)+10)*2)*27,""))</f>
        <v/>
      </c>
      <c r="AO216" s="490" t="str">
        <f>IF($B216="","",IF($R216=AO$5,(SUM($D216*VLOOKUP($C216,ESCALA!$B$3:$O$19,14,0)+10)*2)*27,""))</f>
        <v/>
      </c>
      <c r="AP216" s="490" t="str">
        <f>IF($B216="","",IF($R216=AP$5,(SUM($D216*VLOOKUP($C216,ESCALA!$B$3:$O$19,14,0)+10)*2)*27,""))</f>
        <v/>
      </c>
    </row>
    <row r="217" spans="2:42" ht="33.75" customHeight="1" x14ac:dyDescent="0.2">
      <c r="B217" s="551"/>
      <c r="C217" s="517"/>
      <c r="D217" s="503" t="str">
        <f>IF(C217="","",VLOOKUP(C217,'REL LINHAS'!$B$2:$K$2205,5,0))</f>
        <v/>
      </c>
      <c r="E217" s="321" t="str">
        <f t="shared" si="23"/>
        <v/>
      </c>
      <c r="F217" s="493"/>
      <c r="G217" s="494"/>
      <c r="H217" s="649"/>
      <c r="I217" s="650"/>
      <c r="J217" s="651"/>
      <c r="K217" s="652"/>
      <c r="L217" s="653"/>
      <c r="M217" s="654"/>
      <c r="N217" s="652"/>
      <c r="O217" s="653"/>
      <c r="P217" s="653"/>
      <c r="Q217" s="654"/>
      <c r="R217" s="655"/>
      <c r="S217" s="656"/>
      <c r="T217" s="652"/>
      <c r="U217" s="654"/>
      <c r="V217" s="652"/>
      <c r="W217" s="653"/>
      <c r="X217" s="654"/>
      <c r="Y217" s="495"/>
      <c r="Z217" s="496"/>
      <c r="AA217" s="63"/>
      <c r="AB217" s="497" t="s">
        <v>2505</v>
      </c>
      <c r="AC217" s="63"/>
      <c r="AD217" s="497" t="s">
        <v>2506</v>
      </c>
      <c r="AE217" s="63"/>
      <c r="AF217" s="497" t="s">
        <v>2507</v>
      </c>
      <c r="AG217" s="63"/>
      <c r="AH217" s="498" t="s">
        <v>229</v>
      </c>
      <c r="AJ217" s="490" t="str">
        <f>IF($B217="","",IF($R217=AJ$5,(SUM($D217*VLOOKUP($C217,ESCALA!$B$3:$O$19,14,0)+10)*2)*27,""))</f>
        <v/>
      </c>
      <c r="AK217" s="490" t="str">
        <f>IF($B217="","",IF($R217=AK$5,(SUM($D217*VLOOKUP($C217,ESCALA!$B$3:$O$19,14,0)+10)*2)*27,""))</f>
        <v/>
      </c>
      <c r="AL217" s="490" t="str">
        <f>IF($B217="","",IF($R217=AL$5,(SUM($D217*VLOOKUP($C217,ESCALA!$B$3:$O$19,14,0)+10)*2)*27,""))</f>
        <v/>
      </c>
      <c r="AM217" s="490" t="str">
        <f>IF($B217="","",IF($R217=AM$5,(SUM($D217*VLOOKUP($C217,ESCALA!$B$3:$O$19,14,0)+10)*2)*27,""))</f>
        <v/>
      </c>
      <c r="AN217" s="490" t="str">
        <f>IF($B217="","",IF($R217=AN$5,(SUM($D217*VLOOKUP($C217,ESCALA!$B$3:$O$19,14,0)+10)*2)*27,""))</f>
        <v/>
      </c>
      <c r="AO217" s="490" t="str">
        <f>IF($B217="","",IF($R217=AO$5,(SUM($D217*VLOOKUP($C217,ESCALA!$B$3:$O$19,14,0)+10)*2)*27,""))</f>
        <v/>
      </c>
      <c r="AP217" s="490" t="str">
        <f>IF($B217="","",IF($R217=AP$5,(SUM($D217*VLOOKUP($C217,ESCALA!$B$3:$O$19,14,0)+10)*2)*27,""))</f>
        <v/>
      </c>
    </row>
    <row r="218" spans="2:42" ht="33.75" customHeight="1" x14ac:dyDescent="0.2">
      <c r="B218" s="551"/>
      <c r="C218" s="517"/>
      <c r="D218" s="503" t="str">
        <f>IF(C218="","",VLOOKUP(C218,'REL LINHAS'!$B$2:$K$2205,5,0))</f>
        <v/>
      </c>
      <c r="E218" s="321" t="str">
        <f t="shared" si="23"/>
        <v/>
      </c>
      <c r="F218" s="493"/>
      <c r="G218" s="494"/>
      <c r="H218" s="649"/>
      <c r="I218" s="650"/>
      <c r="J218" s="651"/>
      <c r="K218" s="652"/>
      <c r="L218" s="653"/>
      <c r="M218" s="654"/>
      <c r="N218" s="652"/>
      <c r="O218" s="653"/>
      <c r="P218" s="653"/>
      <c r="Q218" s="654"/>
      <c r="R218" s="655"/>
      <c r="S218" s="656"/>
      <c r="T218" s="652"/>
      <c r="U218" s="654"/>
      <c r="V218" s="652"/>
      <c r="W218" s="653"/>
      <c r="X218" s="654"/>
      <c r="Y218" s="495"/>
      <c r="Z218" s="496"/>
      <c r="AA218" s="63"/>
      <c r="AB218" s="497" t="s">
        <v>2505</v>
      </c>
      <c r="AC218" s="63"/>
      <c r="AD218" s="497" t="s">
        <v>2506</v>
      </c>
      <c r="AE218" s="63"/>
      <c r="AF218" s="497" t="s">
        <v>2507</v>
      </c>
      <c r="AG218" s="63"/>
      <c r="AH218" s="498" t="s">
        <v>229</v>
      </c>
      <c r="AJ218" s="490" t="str">
        <f>IF($B218="","",IF($R218=AJ$5,(SUM($D218*VLOOKUP($C218,ESCALA!$B$3:$O$19,14,0)+10)*2)*27,""))</f>
        <v/>
      </c>
      <c r="AK218" s="490" t="str">
        <f>IF($B218="","",IF($R218=AK$5,(SUM($D218*VLOOKUP($C218,ESCALA!$B$3:$O$19,14,0)+10)*2)*27,""))</f>
        <v/>
      </c>
      <c r="AL218" s="490" t="str">
        <f>IF($B218="","",IF($R218=AL$5,(SUM($D218*VLOOKUP($C218,ESCALA!$B$3:$O$19,14,0)+10)*2)*27,""))</f>
        <v/>
      </c>
      <c r="AM218" s="490" t="str">
        <f>IF($B218="","",IF($R218=AM$5,(SUM($D218*VLOOKUP($C218,ESCALA!$B$3:$O$19,14,0)+10)*2)*27,""))</f>
        <v/>
      </c>
      <c r="AN218" s="490" t="str">
        <f>IF($B218="","",IF($R218=AN$5,(SUM($D218*VLOOKUP($C218,ESCALA!$B$3:$O$19,14,0)+10)*2)*27,""))</f>
        <v/>
      </c>
      <c r="AO218" s="490" t="str">
        <f>IF($B218="","",IF($R218=AO$5,(SUM($D218*VLOOKUP($C218,ESCALA!$B$3:$O$19,14,0)+10)*2)*27,""))</f>
        <v/>
      </c>
      <c r="AP218" s="490" t="str">
        <f>IF($B218="","",IF($R218=AP$5,(SUM($D218*VLOOKUP($C218,ESCALA!$B$3:$O$19,14,0)+10)*2)*27,""))</f>
        <v/>
      </c>
    </row>
    <row r="219" spans="2:42" ht="33.75" customHeight="1" x14ac:dyDescent="0.2">
      <c r="B219" s="551"/>
      <c r="C219" s="517"/>
      <c r="D219" s="503" t="str">
        <f>IF(C219="","",VLOOKUP(C219,'REL LINHAS'!$B$2:$K$2205,5,0))</f>
        <v/>
      </c>
      <c r="E219" s="321" t="str">
        <f t="shared" si="23"/>
        <v/>
      </c>
      <c r="F219" s="493"/>
      <c r="G219" s="494"/>
      <c r="H219" s="649"/>
      <c r="I219" s="650"/>
      <c r="J219" s="651"/>
      <c r="K219" s="652"/>
      <c r="L219" s="653"/>
      <c r="M219" s="654"/>
      <c r="N219" s="652"/>
      <c r="O219" s="653"/>
      <c r="P219" s="653"/>
      <c r="Q219" s="654"/>
      <c r="R219" s="655"/>
      <c r="S219" s="656"/>
      <c r="T219" s="652"/>
      <c r="U219" s="654"/>
      <c r="V219" s="652"/>
      <c r="W219" s="653"/>
      <c r="X219" s="654"/>
      <c r="Y219" s="495"/>
      <c r="Z219" s="496"/>
      <c r="AA219" s="63"/>
      <c r="AB219" s="497" t="s">
        <v>2505</v>
      </c>
      <c r="AC219" s="63"/>
      <c r="AD219" s="497" t="s">
        <v>2506</v>
      </c>
      <c r="AE219" s="63"/>
      <c r="AF219" s="497" t="s">
        <v>2507</v>
      </c>
      <c r="AG219" s="63"/>
      <c r="AH219" s="498" t="s">
        <v>229</v>
      </c>
      <c r="AJ219" s="490" t="str">
        <f>IF($B219="","",IF($R219=AJ$5,(SUM($D219*VLOOKUP($C219,ESCALA!$B$3:$O$19,14,0)+10)*2)*27,""))</f>
        <v/>
      </c>
      <c r="AK219" s="490" t="str">
        <f>IF($B219="","",IF($R219=AK$5,(SUM($D219*VLOOKUP($C219,ESCALA!$B$3:$O$19,14,0)+10)*2)*27,""))</f>
        <v/>
      </c>
      <c r="AL219" s="490" t="str">
        <f>IF($B219="","",IF($R219=AL$5,(SUM($D219*VLOOKUP($C219,ESCALA!$B$3:$O$19,14,0)+10)*2)*27,""))</f>
        <v/>
      </c>
      <c r="AM219" s="490" t="str">
        <f>IF($B219="","",IF($R219=AM$5,(SUM($D219*VLOOKUP($C219,ESCALA!$B$3:$O$19,14,0)+10)*2)*27,""))</f>
        <v/>
      </c>
      <c r="AN219" s="490" t="str">
        <f>IF($B219="","",IF($R219=AN$5,(SUM($D219*VLOOKUP($C219,ESCALA!$B$3:$O$19,14,0)+10)*2)*27,""))</f>
        <v/>
      </c>
      <c r="AO219" s="490" t="str">
        <f>IF($B219="","",IF($R219=AO$5,(SUM($D219*VLOOKUP($C219,ESCALA!$B$3:$O$19,14,0)+10)*2)*27,""))</f>
        <v/>
      </c>
      <c r="AP219" s="490" t="str">
        <f>IF($B219="","",IF($R219=AP$5,(SUM($D219*VLOOKUP($C219,ESCALA!$B$3:$O$19,14,0)+10)*2)*27,""))</f>
        <v/>
      </c>
    </row>
    <row r="220" spans="2:42" ht="33.75" customHeight="1" x14ac:dyDescent="0.2">
      <c r="B220" s="551"/>
      <c r="C220" s="517"/>
      <c r="D220" s="503" t="str">
        <f>IF(C220="","",VLOOKUP(C220,'REL LINHAS'!$B$2:$K$2205,5,0))</f>
        <v/>
      </c>
      <c r="E220" s="321" t="str">
        <f t="shared" si="23"/>
        <v/>
      </c>
      <c r="F220" s="493"/>
      <c r="G220" s="494"/>
      <c r="H220" s="649"/>
      <c r="I220" s="650"/>
      <c r="J220" s="651"/>
      <c r="K220" s="652"/>
      <c r="L220" s="653"/>
      <c r="M220" s="654"/>
      <c r="N220" s="652"/>
      <c r="O220" s="653"/>
      <c r="P220" s="653"/>
      <c r="Q220" s="654"/>
      <c r="R220" s="655"/>
      <c r="S220" s="656"/>
      <c r="T220" s="652"/>
      <c r="U220" s="654"/>
      <c r="V220" s="652"/>
      <c r="W220" s="653"/>
      <c r="X220" s="654"/>
      <c r="Y220" s="495"/>
      <c r="Z220" s="496"/>
      <c r="AA220" s="63"/>
      <c r="AB220" s="497" t="s">
        <v>2505</v>
      </c>
      <c r="AC220" s="63"/>
      <c r="AD220" s="497" t="s">
        <v>2506</v>
      </c>
      <c r="AE220" s="63"/>
      <c r="AF220" s="497" t="s">
        <v>2507</v>
      </c>
      <c r="AG220" s="63"/>
      <c r="AH220" s="498" t="s">
        <v>229</v>
      </c>
      <c r="AJ220" s="490" t="str">
        <f>IF($B220="","",IF($R220=AJ$5,(SUM($D220*VLOOKUP($C220,ESCALA!$B$3:$O$19,14,0)+10)*2)*27,""))</f>
        <v/>
      </c>
      <c r="AK220" s="490" t="str">
        <f>IF($B220="","",IF($R220=AK$5,(SUM($D220*VLOOKUP($C220,ESCALA!$B$3:$O$19,14,0)+10)*2)*27,""))</f>
        <v/>
      </c>
      <c r="AL220" s="490" t="str">
        <f>IF($B220="","",IF($R220=AL$5,(SUM($D220*VLOOKUP($C220,ESCALA!$B$3:$O$19,14,0)+10)*2)*27,""))</f>
        <v/>
      </c>
      <c r="AM220" s="490" t="str">
        <f>IF($B220="","",IF($R220=AM$5,(SUM($D220*VLOOKUP($C220,ESCALA!$B$3:$O$19,14,0)+10)*2)*27,""))</f>
        <v/>
      </c>
      <c r="AN220" s="490" t="str">
        <f>IF($B220="","",IF($R220=AN$5,(SUM($D220*VLOOKUP($C220,ESCALA!$B$3:$O$19,14,0)+10)*2)*27,""))</f>
        <v/>
      </c>
      <c r="AO220" s="490" t="str">
        <f>IF($B220="","",IF($R220=AO$5,(SUM($D220*VLOOKUP($C220,ESCALA!$B$3:$O$19,14,0)+10)*2)*27,""))</f>
        <v/>
      </c>
      <c r="AP220" s="490" t="str">
        <f>IF($B220="","",IF($R220=AP$5,(SUM($D220*VLOOKUP($C220,ESCALA!$B$3:$O$19,14,0)+10)*2)*27,""))</f>
        <v/>
      </c>
    </row>
    <row r="221" spans="2:42" ht="33.75" customHeight="1" x14ac:dyDescent="0.2">
      <c r="B221" s="551"/>
      <c r="C221" s="517"/>
      <c r="D221" s="503" t="str">
        <f>IF(C221="","",VLOOKUP(C221,'REL LINHAS'!$B$2:$K$2205,5,0))</f>
        <v/>
      </c>
      <c r="E221" s="321" t="str">
        <f t="shared" si="23"/>
        <v/>
      </c>
      <c r="F221" s="493"/>
      <c r="G221" s="494"/>
      <c r="H221" s="649"/>
      <c r="I221" s="650"/>
      <c r="J221" s="651"/>
      <c r="K221" s="652"/>
      <c r="L221" s="653"/>
      <c r="M221" s="654"/>
      <c r="N221" s="652"/>
      <c r="O221" s="653"/>
      <c r="P221" s="653"/>
      <c r="Q221" s="654"/>
      <c r="R221" s="655"/>
      <c r="S221" s="656"/>
      <c r="T221" s="652"/>
      <c r="U221" s="654"/>
      <c r="V221" s="652"/>
      <c r="W221" s="653"/>
      <c r="X221" s="654"/>
      <c r="Y221" s="495"/>
      <c r="Z221" s="496"/>
      <c r="AA221" s="63"/>
      <c r="AB221" s="497" t="s">
        <v>2505</v>
      </c>
      <c r="AC221" s="63"/>
      <c r="AD221" s="497" t="s">
        <v>2506</v>
      </c>
      <c r="AE221" s="63"/>
      <c r="AF221" s="497" t="s">
        <v>2507</v>
      </c>
      <c r="AG221" s="63"/>
      <c r="AH221" s="498" t="s">
        <v>229</v>
      </c>
      <c r="AJ221" s="490" t="str">
        <f>IF($B221="","",IF($R221=AJ$5,(SUM($D221*VLOOKUP($C221,ESCALA!$B$3:$O$19,14,0)+10)*2)*27,""))</f>
        <v/>
      </c>
      <c r="AK221" s="490" t="str">
        <f>IF($B221="","",IF($R221=AK$5,(SUM($D221*VLOOKUP($C221,ESCALA!$B$3:$O$19,14,0)+10)*2)*27,""))</f>
        <v/>
      </c>
      <c r="AL221" s="490" t="str">
        <f>IF($B221="","",IF($R221=AL$5,(SUM($D221*VLOOKUP($C221,ESCALA!$B$3:$O$19,14,0)+10)*2)*27,""))</f>
        <v/>
      </c>
      <c r="AM221" s="490" t="str">
        <f>IF($B221="","",IF($R221=AM$5,(SUM($D221*VLOOKUP($C221,ESCALA!$B$3:$O$19,14,0)+10)*2)*27,""))</f>
        <v/>
      </c>
      <c r="AN221" s="490" t="str">
        <f>IF($B221="","",IF($R221=AN$5,(SUM($D221*VLOOKUP($C221,ESCALA!$B$3:$O$19,14,0)+10)*2)*27,""))</f>
        <v/>
      </c>
      <c r="AO221" s="490" t="str">
        <f>IF($B221="","",IF($R221=AO$5,(SUM($D221*VLOOKUP($C221,ESCALA!$B$3:$O$19,14,0)+10)*2)*27,""))</f>
        <v/>
      </c>
      <c r="AP221" s="490" t="str">
        <f>IF($B221="","",IF($R221=AP$5,(SUM($D221*VLOOKUP($C221,ESCALA!$B$3:$O$19,14,0)+10)*2)*27,""))</f>
        <v/>
      </c>
    </row>
    <row r="222" spans="2:42" ht="33.75" customHeight="1" x14ac:dyDescent="0.2">
      <c r="B222" s="551"/>
      <c r="C222" s="517"/>
      <c r="D222" s="503" t="str">
        <f>IF(C222="","",VLOOKUP(C222,'REL LINHAS'!$B$2:$K$2205,5,0))</f>
        <v/>
      </c>
      <c r="E222" s="321" t="str">
        <f t="shared" si="23"/>
        <v/>
      </c>
      <c r="F222" s="493"/>
      <c r="G222" s="494"/>
      <c r="H222" s="649"/>
      <c r="I222" s="650"/>
      <c r="J222" s="651"/>
      <c r="K222" s="652"/>
      <c r="L222" s="653"/>
      <c r="M222" s="654"/>
      <c r="N222" s="652"/>
      <c r="O222" s="653"/>
      <c r="P222" s="653"/>
      <c r="Q222" s="654"/>
      <c r="R222" s="655"/>
      <c r="S222" s="656"/>
      <c r="T222" s="652"/>
      <c r="U222" s="654"/>
      <c r="V222" s="652"/>
      <c r="W222" s="653"/>
      <c r="X222" s="654"/>
      <c r="Y222" s="495"/>
      <c r="Z222" s="496"/>
      <c r="AA222" s="63"/>
      <c r="AB222" s="497" t="s">
        <v>2505</v>
      </c>
      <c r="AC222" s="63"/>
      <c r="AD222" s="497" t="s">
        <v>2506</v>
      </c>
      <c r="AE222" s="63"/>
      <c r="AF222" s="497" t="s">
        <v>2507</v>
      </c>
      <c r="AG222" s="63"/>
      <c r="AH222" s="498" t="s">
        <v>229</v>
      </c>
      <c r="AJ222" s="490" t="str">
        <f>IF($B222="","",IF($R222=AJ$5,(SUM($D222*VLOOKUP($C222,ESCALA!$B$3:$O$19,14,0)+10)*2)*27,""))</f>
        <v/>
      </c>
      <c r="AK222" s="490" t="str">
        <f>IF($B222="","",IF($R222=AK$5,(SUM($D222*VLOOKUP($C222,ESCALA!$B$3:$O$19,14,0)+10)*2)*27,""))</f>
        <v/>
      </c>
      <c r="AL222" s="490" t="str">
        <f>IF($B222="","",IF($R222=AL$5,(SUM($D222*VLOOKUP($C222,ESCALA!$B$3:$O$19,14,0)+10)*2)*27,""))</f>
        <v/>
      </c>
      <c r="AM222" s="490" t="str">
        <f>IF($B222="","",IF($R222=AM$5,(SUM($D222*VLOOKUP($C222,ESCALA!$B$3:$O$19,14,0)+10)*2)*27,""))</f>
        <v/>
      </c>
      <c r="AN222" s="490" t="str">
        <f>IF($B222="","",IF($R222=AN$5,(SUM($D222*VLOOKUP($C222,ESCALA!$B$3:$O$19,14,0)+10)*2)*27,""))</f>
        <v/>
      </c>
      <c r="AO222" s="490" t="str">
        <f>IF($B222="","",IF($R222=AO$5,(SUM($D222*VLOOKUP($C222,ESCALA!$B$3:$O$19,14,0)+10)*2)*27,""))</f>
        <v/>
      </c>
      <c r="AP222" s="490" t="str">
        <f>IF($B222="","",IF($R222=AP$5,(SUM($D222*VLOOKUP($C222,ESCALA!$B$3:$O$19,14,0)+10)*2)*27,""))</f>
        <v/>
      </c>
    </row>
    <row r="223" spans="2:42" ht="33.75" customHeight="1" x14ac:dyDescent="0.2">
      <c r="B223" s="551"/>
      <c r="C223" s="517"/>
      <c r="D223" s="503" t="str">
        <f>IF(C223="","",VLOOKUP(C223,'REL LINHAS'!$B$2:$K$2205,5,0))</f>
        <v/>
      </c>
      <c r="E223" s="321" t="str">
        <f t="shared" si="23"/>
        <v/>
      </c>
      <c r="F223" s="493"/>
      <c r="G223" s="494"/>
      <c r="H223" s="649"/>
      <c r="I223" s="650"/>
      <c r="J223" s="651"/>
      <c r="K223" s="652"/>
      <c r="L223" s="653"/>
      <c r="M223" s="654"/>
      <c r="N223" s="652"/>
      <c r="O223" s="653"/>
      <c r="P223" s="653"/>
      <c r="Q223" s="654"/>
      <c r="R223" s="655"/>
      <c r="S223" s="656"/>
      <c r="T223" s="652"/>
      <c r="U223" s="654"/>
      <c r="V223" s="652"/>
      <c r="W223" s="653"/>
      <c r="X223" s="654"/>
      <c r="Y223" s="495"/>
      <c r="Z223" s="496"/>
      <c r="AA223" s="63"/>
      <c r="AB223" s="497" t="s">
        <v>2505</v>
      </c>
      <c r="AC223" s="63"/>
      <c r="AD223" s="497" t="s">
        <v>2506</v>
      </c>
      <c r="AE223" s="63"/>
      <c r="AF223" s="497" t="s">
        <v>2507</v>
      </c>
      <c r="AG223" s="63"/>
      <c r="AH223" s="498" t="s">
        <v>229</v>
      </c>
      <c r="AJ223" s="490" t="str">
        <f>IF($B223="","",IF($R223=AJ$5,(SUM($D223*VLOOKUP($C223,ESCALA!$B$3:$O$19,14,0)+10)*2)*27,""))</f>
        <v/>
      </c>
      <c r="AK223" s="490" t="str">
        <f>IF($B223="","",IF($R223=AK$5,(SUM($D223*VLOOKUP($C223,ESCALA!$B$3:$O$19,14,0)+10)*2)*27,""))</f>
        <v/>
      </c>
      <c r="AL223" s="490" t="str">
        <f>IF($B223="","",IF($R223=AL$5,(SUM($D223*VLOOKUP($C223,ESCALA!$B$3:$O$19,14,0)+10)*2)*27,""))</f>
        <v/>
      </c>
      <c r="AM223" s="490" t="str">
        <f>IF($B223="","",IF($R223=AM$5,(SUM($D223*VLOOKUP($C223,ESCALA!$B$3:$O$19,14,0)+10)*2)*27,""))</f>
        <v/>
      </c>
      <c r="AN223" s="490" t="str">
        <f>IF($B223="","",IF($R223=AN$5,(SUM($D223*VLOOKUP($C223,ESCALA!$B$3:$O$19,14,0)+10)*2)*27,""))</f>
        <v/>
      </c>
      <c r="AO223" s="490" t="str">
        <f>IF($B223="","",IF($R223=AO$5,(SUM($D223*VLOOKUP($C223,ESCALA!$B$3:$O$19,14,0)+10)*2)*27,""))</f>
        <v/>
      </c>
      <c r="AP223" s="490" t="str">
        <f>IF($B223="","",IF($R223=AP$5,(SUM($D223*VLOOKUP($C223,ESCALA!$B$3:$O$19,14,0)+10)*2)*27,""))</f>
        <v/>
      </c>
    </row>
    <row r="224" spans="2:42" ht="33.75" customHeight="1" x14ac:dyDescent="0.2">
      <c r="B224" s="551"/>
      <c r="C224" s="517"/>
      <c r="D224" s="503" t="str">
        <f>IF(C224="","",VLOOKUP(C224,'REL LINHAS'!$B$2:$K$2205,5,0))</f>
        <v/>
      </c>
      <c r="E224" s="321" t="str">
        <f t="shared" si="23"/>
        <v/>
      </c>
      <c r="F224" s="493"/>
      <c r="G224" s="494"/>
      <c r="H224" s="649"/>
      <c r="I224" s="650"/>
      <c r="J224" s="651"/>
      <c r="K224" s="652"/>
      <c r="L224" s="653"/>
      <c r="M224" s="654"/>
      <c r="N224" s="652"/>
      <c r="O224" s="653"/>
      <c r="P224" s="653"/>
      <c r="Q224" s="654"/>
      <c r="R224" s="655"/>
      <c r="S224" s="656"/>
      <c r="T224" s="652"/>
      <c r="U224" s="654"/>
      <c r="V224" s="652"/>
      <c r="W224" s="653"/>
      <c r="X224" s="654"/>
      <c r="Y224" s="495"/>
      <c r="Z224" s="496"/>
      <c r="AA224" s="63"/>
      <c r="AB224" s="497" t="s">
        <v>2505</v>
      </c>
      <c r="AC224" s="63"/>
      <c r="AD224" s="497" t="s">
        <v>2506</v>
      </c>
      <c r="AE224" s="63"/>
      <c r="AF224" s="497" t="s">
        <v>2507</v>
      </c>
      <c r="AG224" s="63"/>
      <c r="AH224" s="498" t="s">
        <v>229</v>
      </c>
      <c r="AJ224" s="490" t="str">
        <f>IF($B224="","",IF($R224=AJ$5,(SUM($D224*VLOOKUP($C224,ESCALA!$B$3:$O$19,14,0)+10)*2)*27,""))</f>
        <v/>
      </c>
      <c r="AK224" s="490" t="str">
        <f>IF($B224="","",IF($R224=AK$5,(SUM($D224*VLOOKUP($C224,ESCALA!$B$3:$O$19,14,0)+10)*2)*27,""))</f>
        <v/>
      </c>
      <c r="AL224" s="490" t="str">
        <f>IF($B224="","",IF($R224=AL$5,(SUM($D224*VLOOKUP($C224,ESCALA!$B$3:$O$19,14,0)+10)*2)*27,""))</f>
        <v/>
      </c>
      <c r="AM224" s="490" t="str">
        <f>IF($B224="","",IF($R224=AM$5,(SUM($D224*VLOOKUP($C224,ESCALA!$B$3:$O$19,14,0)+10)*2)*27,""))</f>
        <v/>
      </c>
      <c r="AN224" s="490" t="str">
        <f>IF($B224="","",IF($R224=AN$5,(SUM($D224*VLOOKUP($C224,ESCALA!$B$3:$O$19,14,0)+10)*2)*27,""))</f>
        <v/>
      </c>
      <c r="AO224" s="490" t="str">
        <f>IF($B224="","",IF($R224=AO$5,(SUM($D224*VLOOKUP($C224,ESCALA!$B$3:$O$19,14,0)+10)*2)*27,""))</f>
        <v/>
      </c>
      <c r="AP224" s="490" t="str">
        <f>IF($B224="","",IF($R224=AP$5,(SUM($D224*VLOOKUP($C224,ESCALA!$B$3:$O$19,14,0)+10)*2)*27,""))</f>
        <v/>
      </c>
    </row>
    <row r="225" spans="2:42" ht="33.75" customHeight="1" x14ac:dyDescent="0.2">
      <c r="B225" s="551"/>
      <c r="C225" s="517"/>
      <c r="D225" s="503" t="str">
        <f>IF(C225="","",VLOOKUP(C225,'REL LINHAS'!$B$2:$K$2205,5,0))</f>
        <v/>
      </c>
      <c r="E225" s="321" t="str">
        <f t="shared" si="23"/>
        <v/>
      </c>
      <c r="F225" s="493"/>
      <c r="G225" s="494"/>
      <c r="H225" s="649"/>
      <c r="I225" s="650"/>
      <c r="J225" s="651"/>
      <c r="K225" s="652"/>
      <c r="L225" s="653"/>
      <c r="M225" s="654"/>
      <c r="N225" s="652"/>
      <c r="O225" s="653"/>
      <c r="P225" s="653"/>
      <c r="Q225" s="654"/>
      <c r="R225" s="655"/>
      <c r="S225" s="656"/>
      <c r="T225" s="652"/>
      <c r="U225" s="654"/>
      <c r="V225" s="652"/>
      <c r="W225" s="653"/>
      <c r="X225" s="654"/>
      <c r="Y225" s="495"/>
      <c r="Z225" s="496"/>
      <c r="AA225" s="63"/>
      <c r="AB225" s="497" t="s">
        <v>2505</v>
      </c>
      <c r="AC225" s="63"/>
      <c r="AD225" s="497" t="s">
        <v>2506</v>
      </c>
      <c r="AE225" s="63"/>
      <c r="AF225" s="497" t="s">
        <v>2507</v>
      </c>
      <c r="AG225" s="63"/>
      <c r="AH225" s="498" t="s">
        <v>229</v>
      </c>
      <c r="AJ225" s="490" t="str">
        <f>IF($B225="","",IF($R225=AJ$5,(SUM($D225*VLOOKUP($C225,ESCALA!$B$3:$O$19,14,0)+10)*2)*27,""))</f>
        <v/>
      </c>
      <c r="AK225" s="490" t="str">
        <f>IF($B225="","",IF($R225=AK$5,(SUM($D225*VLOOKUP($C225,ESCALA!$B$3:$O$19,14,0)+10)*2)*27,""))</f>
        <v/>
      </c>
      <c r="AL225" s="490" t="str">
        <f>IF($B225="","",IF($R225=AL$5,(SUM($D225*VLOOKUP($C225,ESCALA!$B$3:$O$19,14,0)+10)*2)*27,""))</f>
        <v/>
      </c>
      <c r="AM225" s="490" t="str">
        <f>IF($B225="","",IF($R225=AM$5,(SUM($D225*VLOOKUP($C225,ESCALA!$B$3:$O$19,14,0)+10)*2)*27,""))</f>
        <v/>
      </c>
      <c r="AN225" s="490" t="str">
        <f>IF($B225="","",IF($R225=AN$5,(SUM($D225*VLOOKUP($C225,ESCALA!$B$3:$O$19,14,0)+10)*2)*27,""))</f>
        <v/>
      </c>
      <c r="AO225" s="490" t="str">
        <f>IF($B225="","",IF($R225=AO$5,(SUM($D225*VLOOKUP($C225,ESCALA!$B$3:$O$19,14,0)+10)*2)*27,""))</f>
        <v/>
      </c>
      <c r="AP225" s="490" t="str">
        <f>IF($B225="","",IF($R225=AP$5,(SUM($D225*VLOOKUP($C225,ESCALA!$B$3:$O$19,14,0)+10)*2)*27,""))</f>
        <v/>
      </c>
    </row>
    <row r="226" spans="2:42" ht="33.75" customHeight="1" x14ac:dyDescent="0.2">
      <c r="B226" s="551"/>
      <c r="C226" s="517"/>
      <c r="D226" s="503" t="str">
        <f>IF(C226="","",VLOOKUP(C226,'REL LINHAS'!$B$2:$K$2205,5,0))</f>
        <v/>
      </c>
      <c r="E226" s="321" t="str">
        <f t="shared" si="23"/>
        <v/>
      </c>
      <c r="F226" s="493"/>
      <c r="G226" s="494"/>
      <c r="H226" s="649"/>
      <c r="I226" s="650"/>
      <c r="J226" s="651"/>
      <c r="K226" s="652"/>
      <c r="L226" s="653"/>
      <c r="M226" s="654"/>
      <c r="N226" s="652"/>
      <c r="O226" s="653"/>
      <c r="P226" s="653"/>
      <c r="Q226" s="654"/>
      <c r="R226" s="655"/>
      <c r="S226" s="656"/>
      <c r="T226" s="652"/>
      <c r="U226" s="654"/>
      <c r="V226" s="652"/>
      <c r="W226" s="653"/>
      <c r="X226" s="654"/>
      <c r="Y226" s="495"/>
      <c r="Z226" s="496"/>
      <c r="AA226" s="63"/>
      <c r="AB226" s="497" t="s">
        <v>226</v>
      </c>
      <c r="AC226" s="63"/>
      <c r="AD226" s="497" t="s">
        <v>227</v>
      </c>
      <c r="AE226" s="63"/>
      <c r="AF226" s="497" t="s">
        <v>228</v>
      </c>
      <c r="AG226" s="63"/>
      <c r="AH226" s="498" t="s">
        <v>229</v>
      </c>
      <c r="AJ226" s="490" t="str">
        <f>IF($B226="","",IF($R226=AJ$5,(SUM($D226*VLOOKUP($C226,ESCALA!$B$3:$O$19,14,0)+10)*2)*27,""))</f>
        <v/>
      </c>
      <c r="AK226" s="490" t="str">
        <f>IF($B226="","",IF($R226=AK$5,(SUM($D226*VLOOKUP($C226,ESCALA!$B$3:$O$19,14,0)+10)*2)*27,""))</f>
        <v/>
      </c>
      <c r="AL226" s="490" t="str">
        <f>IF($B226="","",IF($R226=AL$5,(SUM($D226*VLOOKUP($C226,ESCALA!$B$3:$O$19,14,0)+10)*2)*27,""))</f>
        <v/>
      </c>
      <c r="AM226" s="490" t="str">
        <f>IF($B226="","",IF($R226=AM$5,(SUM($D226*VLOOKUP($C226,ESCALA!$B$3:$O$19,14,0)+10)*2)*27,""))</f>
        <v/>
      </c>
      <c r="AN226" s="490" t="str">
        <f>IF($B226="","",IF($R226=AN$5,(SUM($D226*VLOOKUP($C226,ESCALA!$B$3:$O$19,14,0)+10)*2)*27,""))</f>
        <v/>
      </c>
      <c r="AO226" s="490" t="str">
        <f>IF($B226="","",IF($R226=AO$5,(SUM($D226*VLOOKUP($C226,ESCALA!$B$3:$O$19,14,0)+10)*2)*27,""))</f>
        <v/>
      </c>
      <c r="AP226" s="490" t="str">
        <f>IF($B226="","",IF($R226=AP$5,(SUM($D226*VLOOKUP($C226,ESCALA!$B$3:$O$19,14,0)+10)*2)*27,""))</f>
        <v/>
      </c>
    </row>
    <row r="227" spans="2:42" ht="33.75" customHeight="1" x14ac:dyDescent="0.2">
      <c r="B227" s="551"/>
      <c r="C227" s="517"/>
      <c r="D227" s="503" t="str">
        <f>IF(C227="","",VLOOKUP(C227,'REL LINHAS'!$B$2:$K$2205,5,0))</f>
        <v/>
      </c>
      <c r="E227" s="321" t="str">
        <f t="shared" si="23"/>
        <v/>
      </c>
      <c r="F227" s="493"/>
      <c r="G227" s="494"/>
      <c r="H227" s="649"/>
      <c r="I227" s="650"/>
      <c r="J227" s="651"/>
      <c r="K227" s="652"/>
      <c r="L227" s="653"/>
      <c r="M227" s="654"/>
      <c r="N227" s="652"/>
      <c r="O227" s="653"/>
      <c r="P227" s="653"/>
      <c r="Q227" s="654"/>
      <c r="R227" s="655"/>
      <c r="S227" s="656"/>
      <c r="T227" s="652"/>
      <c r="U227" s="654"/>
      <c r="V227" s="652"/>
      <c r="W227" s="653"/>
      <c r="X227" s="654"/>
      <c r="Y227" s="495"/>
      <c r="Z227" s="496"/>
      <c r="AA227" s="63"/>
      <c r="AB227" s="497" t="s">
        <v>226</v>
      </c>
      <c r="AC227" s="63"/>
      <c r="AD227" s="497" t="s">
        <v>227</v>
      </c>
      <c r="AE227" s="63"/>
      <c r="AF227" s="497" t="s">
        <v>228</v>
      </c>
      <c r="AG227" s="63"/>
      <c r="AH227" s="498" t="s">
        <v>229</v>
      </c>
      <c r="AJ227" s="490" t="str">
        <f>IF($B227="","",IF($R227=AJ$5,(SUM($D227*VLOOKUP($C227,ESCALA!$B$3:$O$19,14,0)+10)*2)*27,""))</f>
        <v/>
      </c>
      <c r="AK227" s="490" t="str">
        <f>IF($B227="","",IF($R227=AK$5,(SUM($D227*VLOOKUP($C227,ESCALA!$B$3:$O$19,14,0)+10)*2)*27,""))</f>
        <v/>
      </c>
      <c r="AL227" s="490" t="str">
        <f>IF($B227="","",IF($R227=AL$5,(SUM($D227*VLOOKUP($C227,ESCALA!$B$3:$O$19,14,0)+10)*2)*27,""))</f>
        <v/>
      </c>
      <c r="AM227" s="490" t="str">
        <f>IF($B227="","",IF($R227=AM$5,(SUM($D227*VLOOKUP($C227,ESCALA!$B$3:$O$19,14,0)+10)*2)*27,""))</f>
        <v/>
      </c>
      <c r="AN227" s="490" t="str">
        <f>IF($B227="","",IF($R227=AN$5,(SUM($D227*VLOOKUP($C227,ESCALA!$B$3:$O$19,14,0)+10)*2)*27,""))</f>
        <v/>
      </c>
      <c r="AO227" s="490" t="str">
        <f>IF($B227="","",IF($R227=AO$5,(SUM($D227*VLOOKUP($C227,ESCALA!$B$3:$O$19,14,0)+10)*2)*27,""))</f>
        <v/>
      </c>
      <c r="AP227" s="490" t="str">
        <f>IF($B227="","",IF($R227=AP$5,(SUM($D227*VLOOKUP($C227,ESCALA!$B$3:$O$19,14,0)+10)*2)*27,""))</f>
        <v/>
      </c>
    </row>
    <row r="228" spans="2:42" ht="33.75" customHeight="1" x14ac:dyDescent="0.2">
      <c r="B228" s="551"/>
      <c r="C228" s="517"/>
      <c r="D228" s="503" t="str">
        <f>IF(C228="","",VLOOKUP(C228,'REL LINHAS'!$B$2:$K$2205,5,0))</f>
        <v/>
      </c>
      <c r="E228" s="321" t="str">
        <f t="shared" si="23"/>
        <v/>
      </c>
      <c r="F228" s="493"/>
      <c r="G228" s="494"/>
      <c r="H228" s="649"/>
      <c r="I228" s="650"/>
      <c r="J228" s="651"/>
      <c r="K228" s="652"/>
      <c r="L228" s="653"/>
      <c r="M228" s="654"/>
      <c r="N228" s="652"/>
      <c r="O228" s="653"/>
      <c r="P228" s="653"/>
      <c r="Q228" s="654"/>
      <c r="R228" s="655"/>
      <c r="S228" s="656"/>
      <c r="T228" s="652"/>
      <c r="U228" s="654"/>
      <c r="V228" s="652"/>
      <c r="W228" s="653"/>
      <c r="X228" s="654"/>
      <c r="Y228" s="495"/>
      <c r="Z228" s="496"/>
      <c r="AA228" s="63"/>
      <c r="AB228" s="497" t="s">
        <v>226</v>
      </c>
      <c r="AC228" s="63"/>
      <c r="AD228" s="497" t="s">
        <v>227</v>
      </c>
      <c r="AE228" s="63"/>
      <c r="AF228" s="497" t="s">
        <v>228</v>
      </c>
      <c r="AG228" s="63"/>
      <c r="AH228" s="498" t="s">
        <v>229</v>
      </c>
      <c r="AJ228" s="490" t="str">
        <f>IF($B228="","",IF($R228=AJ$5,(SUM($D228*VLOOKUP($C228,ESCALA!$B$3:$O$19,14,0)+10)*2)*27,""))</f>
        <v/>
      </c>
      <c r="AK228" s="490" t="str">
        <f>IF($B228="","",IF($R228=AK$5,(SUM($D228*VLOOKUP($C228,ESCALA!$B$3:$O$19,14,0)+10)*2)*27,""))</f>
        <v/>
      </c>
      <c r="AL228" s="490" t="str">
        <f>IF($B228="","",IF($R228=AL$5,(SUM($D228*VLOOKUP($C228,ESCALA!$B$3:$O$19,14,0)+10)*2)*27,""))</f>
        <v/>
      </c>
      <c r="AM228" s="490" t="str">
        <f>IF($B228="","",IF($R228=AM$5,(SUM($D228*VLOOKUP($C228,ESCALA!$B$3:$O$19,14,0)+10)*2)*27,""))</f>
        <v/>
      </c>
      <c r="AN228" s="490" t="str">
        <f>IF($B228="","",IF($R228=AN$5,(SUM($D228*VLOOKUP($C228,ESCALA!$B$3:$O$19,14,0)+10)*2)*27,""))</f>
        <v/>
      </c>
      <c r="AO228" s="490" t="str">
        <f>IF($B228="","",IF($R228=AO$5,(SUM($D228*VLOOKUP($C228,ESCALA!$B$3:$O$19,14,0)+10)*2)*27,""))</f>
        <v/>
      </c>
      <c r="AP228" s="490" t="str">
        <f>IF($B228="","",IF($R228=AP$5,(SUM($D228*VLOOKUP($C228,ESCALA!$B$3:$O$19,14,0)+10)*2)*27,""))</f>
        <v/>
      </c>
    </row>
    <row r="229" spans="2:42" ht="33.75" customHeight="1" x14ac:dyDescent="0.2">
      <c r="B229" s="551"/>
      <c r="C229" s="517"/>
      <c r="D229" s="503" t="str">
        <f>IF(C229="","",VLOOKUP(C229,'REL LINHAS'!$B$2:$K$2205,5,0))</f>
        <v/>
      </c>
      <c r="E229" s="321" t="str">
        <f t="shared" si="23"/>
        <v/>
      </c>
      <c r="F229" s="493"/>
      <c r="G229" s="494"/>
      <c r="H229" s="649"/>
      <c r="I229" s="650"/>
      <c r="J229" s="651"/>
      <c r="K229" s="652"/>
      <c r="L229" s="653"/>
      <c r="M229" s="654"/>
      <c r="N229" s="652"/>
      <c r="O229" s="653"/>
      <c r="P229" s="653"/>
      <c r="Q229" s="654"/>
      <c r="R229" s="655"/>
      <c r="S229" s="656"/>
      <c r="T229" s="652"/>
      <c r="U229" s="654"/>
      <c r="V229" s="652"/>
      <c r="W229" s="653"/>
      <c r="X229" s="654"/>
      <c r="Y229" s="495"/>
      <c r="Z229" s="496"/>
      <c r="AA229" s="63"/>
      <c r="AB229" s="497" t="s">
        <v>226</v>
      </c>
      <c r="AC229" s="63"/>
      <c r="AD229" s="497" t="s">
        <v>227</v>
      </c>
      <c r="AE229" s="63"/>
      <c r="AF229" s="497" t="s">
        <v>228</v>
      </c>
      <c r="AG229" s="63"/>
      <c r="AH229" s="498" t="s">
        <v>229</v>
      </c>
      <c r="AJ229" s="490" t="str">
        <f>IF($B229="","",IF($R229=AJ$5,(SUM($D229*VLOOKUP($C229,ESCALA!$B$3:$O$19,14,0)+10)*2)*27,""))</f>
        <v/>
      </c>
      <c r="AK229" s="490" t="str">
        <f>IF($B229="","",IF($R229=AK$5,(SUM($D229*VLOOKUP($C229,ESCALA!$B$3:$O$19,14,0)+10)*2)*27,""))</f>
        <v/>
      </c>
      <c r="AL229" s="490" t="str">
        <f>IF($B229="","",IF($R229=AL$5,(SUM($D229*VLOOKUP($C229,ESCALA!$B$3:$O$19,14,0)+10)*2)*27,""))</f>
        <v/>
      </c>
      <c r="AM229" s="490" t="str">
        <f>IF($B229="","",IF($R229=AM$5,(SUM($D229*VLOOKUP($C229,ESCALA!$B$3:$O$19,14,0)+10)*2)*27,""))</f>
        <v/>
      </c>
      <c r="AN229" s="490" t="str">
        <f>IF($B229="","",IF($R229=AN$5,(SUM($D229*VLOOKUP($C229,ESCALA!$B$3:$O$19,14,0)+10)*2)*27,""))</f>
        <v/>
      </c>
      <c r="AO229" s="490" t="str">
        <f>IF($B229="","",IF($R229=AO$5,(SUM($D229*VLOOKUP($C229,ESCALA!$B$3:$O$19,14,0)+10)*2)*27,""))</f>
        <v/>
      </c>
      <c r="AP229" s="490" t="str">
        <f>IF($B229="","",IF($R229=AP$5,(SUM($D229*VLOOKUP($C229,ESCALA!$B$3:$O$19,14,0)+10)*2)*27,""))</f>
        <v/>
      </c>
    </row>
    <row r="230" spans="2:42" ht="33.75" customHeight="1" x14ac:dyDescent="0.2">
      <c r="B230" s="551"/>
      <c r="C230" s="517"/>
      <c r="D230" s="503" t="str">
        <f>IF(C230="","",VLOOKUP(C230,'REL LINHAS'!$B$2:$K$2205,5,0))</f>
        <v/>
      </c>
      <c r="E230" s="321" t="str">
        <f t="shared" si="23"/>
        <v/>
      </c>
      <c r="F230" s="493"/>
      <c r="G230" s="494"/>
      <c r="H230" s="649"/>
      <c r="I230" s="650"/>
      <c r="J230" s="651"/>
      <c r="K230" s="652"/>
      <c r="L230" s="653"/>
      <c r="M230" s="654"/>
      <c r="N230" s="652"/>
      <c r="O230" s="653"/>
      <c r="P230" s="653"/>
      <c r="Q230" s="654"/>
      <c r="R230" s="655"/>
      <c r="S230" s="656"/>
      <c r="T230" s="652"/>
      <c r="U230" s="654"/>
      <c r="V230" s="652"/>
      <c r="W230" s="653"/>
      <c r="X230" s="654"/>
      <c r="Y230" s="495"/>
      <c r="Z230" s="496"/>
      <c r="AA230" s="63"/>
      <c r="AB230" s="497" t="s">
        <v>226</v>
      </c>
      <c r="AC230" s="63"/>
      <c r="AD230" s="497" t="s">
        <v>227</v>
      </c>
      <c r="AE230" s="63"/>
      <c r="AF230" s="497" t="s">
        <v>228</v>
      </c>
      <c r="AG230" s="63"/>
      <c r="AH230" s="498" t="s">
        <v>229</v>
      </c>
      <c r="AJ230" s="490" t="str">
        <f>IF($B230="","",IF($R230=AJ$5,(SUM($D230*VLOOKUP($C230,ESCALA!$B$3:$O$19,14,0)+10)*2)*27,""))</f>
        <v/>
      </c>
      <c r="AK230" s="490" t="str">
        <f>IF($B230="","",IF($R230=AK$5,(SUM($D230*VLOOKUP($C230,ESCALA!$B$3:$O$19,14,0)+10)*2)*27,""))</f>
        <v/>
      </c>
      <c r="AL230" s="490" t="str">
        <f>IF($B230="","",IF($R230=AL$5,(SUM($D230*VLOOKUP($C230,ESCALA!$B$3:$O$19,14,0)+10)*2)*27,""))</f>
        <v/>
      </c>
      <c r="AM230" s="490" t="str">
        <f>IF($B230="","",IF($R230=AM$5,(SUM($D230*VLOOKUP($C230,ESCALA!$B$3:$O$19,14,0)+10)*2)*27,""))</f>
        <v/>
      </c>
      <c r="AN230" s="490" t="str">
        <f>IF($B230="","",IF($R230=AN$5,(SUM($D230*VLOOKUP($C230,ESCALA!$B$3:$O$19,14,0)+10)*2)*27,""))</f>
        <v/>
      </c>
      <c r="AO230" s="490" t="str">
        <f>IF($B230="","",IF($R230=AO$5,(SUM($D230*VLOOKUP($C230,ESCALA!$B$3:$O$19,14,0)+10)*2)*27,""))</f>
        <v/>
      </c>
      <c r="AP230" s="490" t="str">
        <f>IF($B230="","",IF($R230=AP$5,(SUM($D230*VLOOKUP($C230,ESCALA!$B$3:$O$19,14,0)+10)*2)*27,""))</f>
        <v/>
      </c>
    </row>
    <row r="231" spans="2:42" ht="33.75" customHeight="1" x14ac:dyDescent="0.2">
      <c r="B231" s="551"/>
      <c r="C231" s="517"/>
      <c r="D231" s="503" t="str">
        <f>IF(C231="","",VLOOKUP(C231,'REL LINHAS'!$B$2:$K$2205,5,0))</f>
        <v/>
      </c>
      <c r="E231" s="321" t="str">
        <f t="shared" si="23"/>
        <v/>
      </c>
      <c r="F231" s="493"/>
      <c r="G231" s="494"/>
      <c r="H231" s="649"/>
      <c r="I231" s="650"/>
      <c r="J231" s="651"/>
      <c r="K231" s="652"/>
      <c r="L231" s="653"/>
      <c r="M231" s="654"/>
      <c r="N231" s="652"/>
      <c r="O231" s="653"/>
      <c r="P231" s="653"/>
      <c r="Q231" s="654"/>
      <c r="R231" s="655"/>
      <c r="S231" s="656"/>
      <c r="T231" s="652"/>
      <c r="U231" s="654"/>
      <c r="V231" s="652"/>
      <c r="W231" s="653"/>
      <c r="X231" s="654"/>
      <c r="Y231" s="495"/>
      <c r="Z231" s="496"/>
      <c r="AA231" s="63"/>
      <c r="AB231" s="497" t="s">
        <v>226</v>
      </c>
      <c r="AC231" s="63"/>
      <c r="AD231" s="497" t="s">
        <v>227</v>
      </c>
      <c r="AE231" s="63"/>
      <c r="AF231" s="497" t="s">
        <v>228</v>
      </c>
      <c r="AG231" s="63"/>
      <c r="AH231" s="498" t="s">
        <v>229</v>
      </c>
      <c r="AJ231" s="490" t="str">
        <f>IF($B231="","",IF($R231=AJ$5,(SUM($D231*VLOOKUP($C231,ESCALA!$B$3:$O$19,14,0)+10)*2)*27,""))</f>
        <v/>
      </c>
      <c r="AK231" s="490" t="str">
        <f>IF($B231="","",IF($R231=AK$5,(SUM($D231*VLOOKUP($C231,ESCALA!$B$3:$O$19,14,0)+10)*2)*27,""))</f>
        <v/>
      </c>
      <c r="AL231" s="490" t="str">
        <f>IF($B231="","",IF($R231=AL$5,(SUM($D231*VLOOKUP($C231,ESCALA!$B$3:$O$19,14,0)+10)*2)*27,""))</f>
        <v/>
      </c>
      <c r="AM231" s="490" t="str">
        <f>IF($B231="","",IF($R231=AM$5,(SUM($D231*VLOOKUP($C231,ESCALA!$B$3:$O$19,14,0)+10)*2)*27,""))</f>
        <v/>
      </c>
      <c r="AN231" s="490" t="str">
        <f>IF($B231="","",IF($R231=AN$5,(SUM($D231*VLOOKUP($C231,ESCALA!$B$3:$O$19,14,0)+10)*2)*27,""))</f>
        <v/>
      </c>
      <c r="AO231" s="490" t="str">
        <f>IF($B231="","",IF($R231=AO$5,(SUM($D231*VLOOKUP($C231,ESCALA!$B$3:$O$19,14,0)+10)*2)*27,""))</f>
        <v/>
      </c>
      <c r="AP231" s="490" t="str">
        <f>IF($B231="","",IF($R231=AP$5,(SUM($D231*VLOOKUP($C231,ESCALA!$B$3:$O$19,14,0)+10)*2)*27,""))</f>
        <v/>
      </c>
    </row>
    <row r="232" spans="2:42" ht="33.75" customHeight="1" x14ac:dyDescent="0.2">
      <c r="B232" s="551"/>
      <c r="C232" s="517"/>
      <c r="D232" s="503" t="str">
        <f>IF(C232="","",VLOOKUP(C232,'REL LINHAS'!$B$2:$K$2205,5,0))</f>
        <v/>
      </c>
      <c r="E232" s="321" t="str">
        <f t="shared" si="23"/>
        <v/>
      </c>
      <c r="F232" s="493"/>
      <c r="G232" s="494"/>
      <c r="H232" s="649"/>
      <c r="I232" s="650"/>
      <c r="J232" s="651"/>
      <c r="K232" s="652"/>
      <c r="L232" s="653"/>
      <c r="M232" s="654"/>
      <c r="N232" s="652"/>
      <c r="O232" s="653"/>
      <c r="P232" s="653"/>
      <c r="Q232" s="654"/>
      <c r="R232" s="655"/>
      <c r="S232" s="656"/>
      <c r="T232" s="652"/>
      <c r="U232" s="654"/>
      <c r="V232" s="652"/>
      <c r="W232" s="653"/>
      <c r="X232" s="654"/>
      <c r="Y232" s="495"/>
      <c r="Z232" s="496"/>
      <c r="AA232" s="63"/>
      <c r="AB232" s="497" t="s">
        <v>226</v>
      </c>
      <c r="AC232" s="63"/>
      <c r="AD232" s="497" t="s">
        <v>227</v>
      </c>
      <c r="AE232" s="63"/>
      <c r="AF232" s="497" t="s">
        <v>228</v>
      </c>
      <c r="AG232" s="63"/>
      <c r="AH232" s="498" t="s">
        <v>229</v>
      </c>
      <c r="AJ232" s="490" t="str">
        <f>IF($B232="","",IF($R232=AJ$5,(SUM($D232*VLOOKUP($C232,ESCALA!$B$3:$O$19,14,0)+10)*2)*27,""))</f>
        <v/>
      </c>
      <c r="AK232" s="490" t="str">
        <f>IF($B232="","",IF($R232=AK$5,(SUM($D232*VLOOKUP($C232,ESCALA!$B$3:$O$19,14,0)+10)*2)*27,""))</f>
        <v/>
      </c>
      <c r="AL232" s="490" t="str">
        <f>IF($B232="","",IF($R232=AL$5,(SUM($D232*VLOOKUP($C232,ESCALA!$B$3:$O$19,14,0)+10)*2)*27,""))</f>
        <v/>
      </c>
      <c r="AM232" s="490" t="str">
        <f>IF($B232="","",IF($R232=AM$5,(SUM($D232*VLOOKUP($C232,ESCALA!$B$3:$O$19,14,0)+10)*2)*27,""))</f>
        <v/>
      </c>
      <c r="AN232" s="490" t="str">
        <f>IF($B232="","",IF($R232=AN$5,(SUM($D232*VLOOKUP($C232,ESCALA!$B$3:$O$19,14,0)+10)*2)*27,""))</f>
        <v/>
      </c>
      <c r="AO232" s="490" t="str">
        <f>IF($B232="","",IF($R232=AO$5,(SUM($D232*VLOOKUP($C232,ESCALA!$B$3:$O$19,14,0)+10)*2)*27,""))</f>
        <v/>
      </c>
      <c r="AP232" s="490" t="str">
        <f>IF($B232="","",IF($R232=AP$5,(SUM($D232*VLOOKUP($C232,ESCALA!$B$3:$O$19,14,0)+10)*2)*27,""))</f>
        <v/>
      </c>
    </row>
    <row r="233" spans="2:42" ht="33.75" customHeight="1" x14ac:dyDescent="0.2">
      <c r="B233" s="551"/>
      <c r="C233" s="517"/>
      <c r="D233" s="503" t="str">
        <f>IF(C233="","",VLOOKUP(C233,'REL LINHAS'!$B$2:$K$2205,5,0))</f>
        <v/>
      </c>
      <c r="E233" s="321" t="str">
        <f t="shared" si="23"/>
        <v/>
      </c>
      <c r="F233" s="493"/>
      <c r="G233" s="494"/>
      <c r="H233" s="649"/>
      <c r="I233" s="650"/>
      <c r="J233" s="651"/>
      <c r="K233" s="652"/>
      <c r="L233" s="653"/>
      <c r="M233" s="654"/>
      <c r="N233" s="652"/>
      <c r="O233" s="653"/>
      <c r="P233" s="653"/>
      <c r="Q233" s="654"/>
      <c r="R233" s="655"/>
      <c r="S233" s="656"/>
      <c r="T233" s="652"/>
      <c r="U233" s="654"/>
      <c r="V233" s="652"/>
      <c r="W233" s="653"/>
      <c r="X233" s="654"/>
      <c r="Y233" s="495"/>
      <c r="Z233" s="496"/>
      <c r="AA233" s="63"/>
      <c r="AB233" s="497" t="s">
        <v>226</v>
      </c>
      <c r="AC233" s="63"/>
      <c r="AD233" s="497" t="s">
        <v>227</v>
      </c>
      <c r="AE233" s="63"/>
      <c r="AF233" s="497" t="s">
        <v>228</v>
      </c>
      <c r="AG233" s="63"/>
      <c r="AH233" s="498" t="s">
        <v>229</v>
      </c>
      <c r="AJ233" s="490" t="str">
        <f>IF($B233="","",IF($R233=AJ$5,(SUM($D233*VLOOKUP($C233,ESCALA!$B$3:$O$19,14,0)+10)*2)*27,""))</f>
        <v/>
      </c>
      <c r="AK233" s="490" t="str">
        <f>IF($B233="","",IF($R233=AK$5,(SUM($D233*VLOOKUP($C233,ESCALA!$B$3:$O$19,14,0)+10)*2)*27,""))</f>
        <v/>
      </c>
      <c r="AL233" s="490" t="str">
        <f>IF($B233="","",IF($R233=AL$5,(SUM($D233*VLOOKUP($C233,ESCALA!$B$3:$O$19,14,0)+10)*2)*27,""))</f>
        <v/>
      </c>
      <c r="AM233" s="490" t="str">
        <f>IF($B233="","",IF($R233=AM$5,(SUM($D233*VLOOKUP($C233,ESCALA!$B$3:$O$19,14,0)+10)*2)*27,""))</f>
        <v/>
      </c>
      <c r="AN233" s="490" t="str">
        <f>IF($B233="","",IF($R233=AN$5,(SUM($D233*VLOOKUP($C233,ESCALA!$B$3:$O$19,14,0)+10)*2)*27,""))</f>
        <v/>
      </c>
      <c r="AO233" s="490" t="str">
        <f>IF($B233="","",IF($R233=AO$5,(SUM($D233*VLOOKUP($C233,ESCALA!$B$3:$O$19,14,0)+10)*2)*27,""))</f>
        <v/>
      </c>
      <c r="AP233" s="490" t="str">
        <f>IF($B233="","",IF($R233=AP$5,(SUM($D233*VLOOKUP($C233,ESCALA!$B$3:$O$19,14,0)+10)*2)*27,""))</f>
        <v/>
      </c>
    </row>
    <row r="234" spans="2:42" ht="33.75" customHeight="1" x14ac:dyDescent="0.2">
      <c r="B234" s="551"/>
      <c r="C234" s="517"/>
      <c r="D234" s="503" t="str">
        <f>IF(C234="","",VLOOKUP(C234,'REL LINHAS'!$B$2:$K$2205,5,0))</f>
        <v/>
      </c>
      <c r="E234" s="321" t="str">
        <f t="shared" si="23"/>
        <v/>
      </c>
      <c r="F234" s="493"/>
      <c r="G234" s="494"/>
      <c r="H234" s="649"/>
      <c r="I234" s="650"/>
      <c r="J234" s="651"/>
      <c r="K234" s="652"/>
      <c r="L234" s="653"/>
      <c r="M234" s="654"/>
      <c r="N234" s="652"/>
      <c r="O234" s="653"/>
      <c r="P234" s="653"/>
      <c r="Q234" s="654"/>
      <c r="R234" s="655"/>
      <c r="S234" s="656"/>
      <c r="T234" s="652"/>
      <c r="U234" s="654"/>
      <c r="V234" s="652"/>
      <c r="W234" s="653"/>
      <c r="X234" s="654"/>
      <c r="Y234" s="495"/>
      <c r="Z234" s="496"/>
      <c r="AA234" s="63"/>
      <c r="AB234" s="497" t="s">
        <v>226</v>
      </c>
      <c r="AC234" s="63"/>
      <c r="AD234" s="497" t="s">
        <v>227</v>
      </c>
      <c r="AE234" s="63"/>
      <c r="AF234" s="497" t="s">
        <v>228</v>
      </c>
      <c r="AG234" s="63"/>
      <c r="AH234" s="498" t="s">
        <v>229</v>
      </c>
      <c r="AJ234" s="490" t="str">
        <f>IF($B234="","",IF($R234=AJ$5,(SUM($D234*VLOOKUP($C234,ESCALA!$B$3:$O$19,14,0)+10)*2)*27,""))</f>
        <v/>
      </c>
      <c r="AK234" s="490" t="str">
        <f>IF($B234="","",IF($R234=AK$5,(SUM($D234*VLOOKUP($C234,ESCALA!$B$3:$O$19,14,0)+10)*2)*27,""))</f>
        <v/>
      </c>
      <c r="AL234" s="490" t="str">
        <f>IF($B234="","",IF($R234=AL$5,(SUM($D234*VLOOKUP($C234,ESCALA!$B$3:$O$19,14,0)+10)*2)*27,""))</f>
        <v/>
      </c>
      <c r="AM234" s="490" t="str">
        <f>IF($B234="","",IF($R234=AM$5,(SUM($D234*VLOOKUP($C234,ESCALA!$B$3:$O$19,14,0)+10)*2)*27,""))</f>
        <v/>
      </c>
      <c r="AN234" s="490" t="str">
        <f>IF($B234="","",IF($R234=AN$5,(SUM($D234*VLOOKUP($C234,ESCALA!$B$3:$O$19,14,0)+10)*2)*27,""))</f>
        <v/>
      </c>
      <c r="AO234" s="490" t="str">
        <f>IF($B234="","",IF($R234=AO$5,(SUM($D234*VLOOKUP($C234,ESCALA!$B$3:$O$19,14,0)+10)*2)*27,""))</f>
        <v/>
      </c>
      <c r="AP234" s="490" t="str">
        <f>IF($B234="","",IF($R234=AP$5,(SUM($D234*VLOOKUP($C234,ESCALA!$B$3:$O$19,14,0)+10)*2)*27,""))</f>
        <v/>
      </c>
    </row>
    <row r="235" spans="2:42" ht="33.75" customHeight="1" x14ac:dyDescent="0.2">
      <c r="B235" s="551"/>
      <c r="C235" s="517"/>
      <c r="D235" s="503" t="str">
        <f>IF(C235="","",VLOOKUP(C235,'REL LINHAS'!$B$2:$K$2205,5,0))</f>
        <v/>
      </c>
      <c r="E235" s="321" t="str">
        <f t="shared" si="23"/>
        <v/>
      </c>
      <c r="F235" s="493"/>
      <c r="G235" s="494"/>
      <c r="H235" s="649"/>
      <c r="I235" s="650"/>
      <c r="J235" s="651"/>
      <c r="K235" s="652"/>
      <c r="L235" s="653"/>
      <c r="M235" s="654"/>
      <c r="N235" s="652"/>
      <c r="O235" s="653"/>
      <c r="P235" s="653"/>
      <c r="Q235" s="654"/>
      <c r="R235" s="655"/>
      <c r="S235" s="656"/>
      <c r="T235" s="652"/>
      <c r="U235" s="654"/>
      <c r="V235" s="652"/>
      <c r="W235" s="653"/>
      <c r="X235" s="654"/>
      <c r="Y235" s="495"/>
      <c r="Z235" s="496"/>
      <c r="AA235" s="63"/>
      <c r="AB235" s="497" t="s">
        <v>226</v>
      </c>
      <c r="AC235" s="63"/>
      <c r="AD235" s="497" t="s">
        <v>227</v>
      </c>
      <c r="AE235" s="63"/>
      <c r="AF235" s="497" t="s">
        <v>228</v>
      </c>
      <c r="AG235" s="63"/>
      <c r="AH235" s="498" t="s">
        <v>229</v>
      </c>
      <c r="AJ235" s="490" t="str">
        <f>IF($B235="","",IF($R235=AJ$5,(SUM($D235*VLOOKUP($C235,ESCALA!$B$3:$O$19,14,0)+10)*2)*27,""))</f>
        <v/>
      </c>
      <c r="AK235" s="490" t="str">
        <f>IF($B235="","",IF($R235=AK$5,(SUM($D235*VLOOKUP($C235,ESCALA!$B$3:$O$19,14,0)+10)*2)*27,""))</f>
        <v/>
      </c>
      <c r="AL235" s="490" t="str">
        <f>IF($B235="","",IF($R235=AL$5,(SUM($D235*VLOOKUP($C235,ESCALA!$B$3:$O$19,14,0)+10)*2)*27,""))</f>
        <v/>
      </c>
      <c r="AM235" s="490" t="str">
        <f>IF($B235="","",IF($R235=AM$5,(SUM($D235*VLOOKUP($C235,ESCALA!$B$3:$O$19,14,0)+10)*2)*27,""))</f>
        <v/>
      </c>
      <c r="AN235" s="490" t="str">
        <f>IF($B235="","",IF($R235=AN$5,(SUM($D235*VLOOKUP($C235,ESCALA!$B$3:$O$19,14,0)+10)*2)*27,""))</f>
        <v/>
      </c>
      <c r="AO235" s="490" t="str">
        <f>IF($B235="","",IF($R235=AO$5,(SUM($D235*VLOOKUP($C235,ESCALA!$B$3:$O$19,14,0)+10)*2)*27,""))</f>
        <v/>
      </c>
      <c r="AP235" s="490" t="str">
        <f>IF($B235="","",IF($R235=AP$5,(SUM($D235*VLOOKUP($C235,ESCALA!$B$3:$O$19,14,0)+10)*2)*27,""))</f>
        <v/>
      </c>
    </row>
    <row r="236" spans="2:42" ht="33.75" customHeight="1" x14ac:dyDescent="0.2">
      <c r="B236" s="551"/>
      <c r="C236" s="517"/>
      <c r="D236" s="503" t="str">
        <f>IF(C236="","",VLOOKUP(C236,'REL LINHAS'!$B$2:$K$2205,5,0))</f>
        <v/>
      </c>
      <c r="E236" s="321" t="str">
        <f t="shared" si="23"/>
        <v/>
      </c>
      <c r="F236" s="493"/>
      <c r="G236" s="494"/>
      <c r="H236" s="649"/>
      <c r="I236" s="650"/>
      <c r="J236" s="651"/>
      <c r="K236" s="652"/>
      <c r="L236" s="653"/>
      <c r="M236" s="654"/>
      <c r="N236" s="652"/>
      <c r="O236" s="653"/>
      <c r="P236" s="653"/>
      <c r="Q236" s="654"/>
      <c r="R236" s="655"/>
      <c r="S236" s="656"/>
      <c r="T236" s="652"/>
      <c r="U236" s="654"/>
      <c r="V236" s="652"/>
      <c r="W236" s="653"/>
      <c r="X236" s="654"/>
      <c r="Y236" s="495"/>
      <c r="Z236" s="496"/>
      <c r="AA236" s="63"/>
      <c r="AB236" s="497" t="s">
        <v>226</v>
      </c>
      <c r="AC236" s="63"/>
      <c r="AD236" s="497" t="s">
        <v>227</v>
      </c>
      <c r="AE236" s="63"/>
      <c r="AF236" s="497" t="s">
        <v>228</v>
      </c>
      <c r="AG236" s="63"/>
      <c r="AH236" s="498" t="s">
        <v>229</v>
      </c>
      <c r="AJ236" s="490" t="str">
        <f>IF($B236="","",IF($R236=AJ$5,(SUM($D236*VLOOKUP($C236,ESCALA!$B$3:$O$19,14,0)+10)*2)*27,""))</f>
        <v/>
      </c>
      <c r="AK236" s="490" t="str">
        <f>IF($B236="","",IF($R236=AK$5,(SUM($D236*VLOOKUP($C236,ESCALA!$B$3:$O$19,14,0)+10)*2)*27,""))</f>
        <v/>
      </c>
      <c r="AL236" s="490" t="str">
        <f>IF($B236="","",IF($R236=AL$5,(SUM($D236*VLOOKUP($C236,ESCALA!$B$3:$O$19,14,0)+10)*2)*27,""))</f>
        <v/>
      </c>
      <c r="AM236" s="490" t="str">
        <f>IF($B236="","",IF($R236=AM$5,(SUM($D236*VLOOKUP($C236,ESCALA!$B$3:$O$19,14,0)+10)*2)*27,""))</f>
        <v/>
      </c>
      <c r="AN236" s="490" t="str">
        <f>IF($B236="","",IF($R236=AN$5,(SUM($D236*VLOOKUP($C236,ESCALA!$B$3:$O$19,14,0)+10)*2)*27,""))</f>
        <v/>
      </c>
      <c r="AO236" s="490" t="str">
        <f>IF($B236="","",IF($R236=AO$5,(SUM($D236*VLOOKUP($C236,ESCALA!$B$3:$O$19,14,0)+10)*2)*27,""))</f>
        <v/>
      </c>
      <c r="AP236" s="490" t="str">
        <f>IF($B236="","",IF($R236=AP$5,(SUM($D236*VLOOKUP($C236,ESCALA!$B$3:$O$19,14,0)+10)*2)*27,""))</f>
        <v/>
      </c>
    </row>
    <row r="237" spans="2:42" ht="33.75" customHeight="1" x14ac:dyDescent="0.2">
      <c r="B237" s="551"/>
      <c r="C237" s="517"/>
      <c r="D237" s="503" t="str">
        <f>IF(C237="","",VLOOKUP(C237,'REL LINHAS'!$B$2:$K$2205,5,0))</f>
        <v/>
      </c>
      <c r="E237" s="321" t="str">
        <f t="shared" si="23"/>
        <v/>
      </c>
      <c r="F237" s="493"/>
      <c r="G237" s="494"/>
      <c r="H237" s="649"/>
      <c r="I237" s="650"/>
      <c r="J237" s="651"/>
      <c r="K237" s="652"/>
      <c r="L237" s="653"/>
      <c r="M237" s="654"/>
      <c r="N237" s="652"/>
      <c r="O237" s="653"/>
      <c r="P237" s="653"/>
      <c r="Q237" s="654"/>
      <c r="R237" s="655"/>
      <c r="S237" s="656"/>
      <c r="T237" s="652"/>
      <c r="U237" s="654"/>
      <c r="V237" s="652"/>
      <c r="W237" s="653"/>
      <c r="X237" s="654"/>
      <c r="Y237" s="495"/>
      <c r="Z237" s="496"/>
      <c r="AA237" s="63"/>
      <c r="AB237" s="497" t="s">
        <v>226</v>
      </c>
      <c r="AC237" s="63"/>
      <c r="AD237" s="497" t="s">
        <v>227</v>
      </c>
      <c r="AE237" s="63"/>
      <c r="AF237" s="497" t="s">
        <v>228</v>
      </c>
      <c r="AG237" s="63"/>
      <c r="AH237" s="498" t="s">
        <v>229</v>
      </c>
      <c r="AJ237" s="490" t="str">
        <f>IF($B237="","",IF($R237=AJ$5,(SUM($D237*VLOOKUP($C237,ESCALA!$B$3:$O$19,14,0)+10)*2)*27,""))</f>
        <v/>
      </c>
      <c r="AK237" s="490" t="str">
        <f>IF($B237="","",IF($R237=AK$5,(SUM($D237*VLOOKUP($C237,ESCALA!$B$3:$O$19,14,0)+10)*2)*27,""))</f>
        <v/>
      </c>
      <c r="AL237" s="490" t="str">
        <f>IF($B237="","",IF($R237=AL$5,(SUM($D237*VLOOKUP($C237,ESCALA!$B$3:$O$19,14,0)+10)*2)*27,""))</f>
        <v/>
      </c>
      <c r="AM237" s="490" t="str">
        <f>IF($B237="","",IF($R237=AM$5,(SUM($D237*VLOOKUP($C237,ESCALA!$B$3:$O$19,14,0)+10)*2)*27,""))</f>
        <v/>
      </c>
      <c r="AN237" s="490" t="str">
        <f>IF($B237="","",IF($R237=AN$5,(SUM($D237*VLOOKUP($C237,ESCALA!$B$3:$O$19,14,0)+10)*2)*27,""))</f>
        <v/>
      </c>
      <c r="AO237" s="490" t="str">
        <f>IF($B237="","",IF($R237=AO$5,(SUM($D237*VLOOKUP($C237,ESCALA!$B$3:$O$19,14,0)+10)*2)*27,""))</f>
        <v/>
      </c>
      <c r="AP237" s="490" t="str">
        <f>IF($B237="","",IF($R237=AP$5,(SUM($D237*VLOOKUP($C237,ESCALA!$B$3:$O$19,14,0)+10)*2)*27,""))</f>
        <v/>
      </c>
    </row>
    <row r="238" spans="2:42" ht="33.75" customHeight="1" x14ac:dyDescent="0.2">
      <c r="B238" s="551"/>
      <c r="C238" s="517"/>
      <c r="D238" s="503" t="str">
        <f>IF(C238="","",VLOOKUP(C238,'REL LINHAS'!$B$2:$K$2205,5,0))</f>
        <v/>
      </c>
      <c r="E238" s="321" t="str">
        <f t="shared" si="23"/>
        <v/>
      </c>
      <c r="F238" s="493"/>
      <c r="G238" s="494"/>
      <c r="H238" s="649"/>
      <c r="I238" s="650"/>
      <c r="J238" s="651"/>
      <c r="K238" s="652"/>
      <c r="L238" s="653"/>
      <c r="M238" s="654"/>
      <c r="N238" s="652"/>
      <c r="O238" s="653"/>
      <c r="P238" s="653"/>
      <c r="Q238" s="654"/>
      <c r="R238" s="655"/>
      <c r="S238" s="656"/>
      <c r="T238" s="652"/>
      <c r="U238" s="654"/>
      <c r="V238" s="652"/>
      <c r="W238" s="653"/>
      <c r="X238" s="654"/>
      <c r="Y238" s="495"/>
      <c r="Z238" s="496"/>
      <c r="AA238" s="63"/>
      <c r="AB238" s="497" t="s">
        <v>226</v>
      </c>
      <c r="AC238" s="63"/>
      <c r="AD238" s="497" t="s">
        <v>227</v>
      </c>
      <c r="AE238" s="63"/>
      <c r="AF238" s="497" t="s">
        <v>228</v>
      </c>
      <c r="AG238" s="63"/>
      <c r="AH238" s="498" t="s">
        <v>229</v>
      </c>
      <c r="AJ238" s="490" t="str">
        <f>IF($B238="","",IF($R238=AJ$5,(SUM($D238*VLOOKUP($C238,ESCALA!$B$3:$O$19,14,0)+10)*2)*27,""))</f>
        <v/>
      </c>
      <c r="AK238" s="490" t="str">
        <f>IF($B238="","",IF($R238=AK$5,(SUM($D238*VLOOKUP($C238,ESCALA!$B$3:$O$19,14,0)+10)*2)*27,""))</f>
        <v/>
      </c>
      <c r="AL238" s="490" t="str">
        <f>IF($B238="","",IF($R238=AL$5,(SUM($D238*VLOOKUP($C238,ESCALA!$B$3:$O$19,14,0)+10)*2)*27,""))</f>
        <v/>
      </c>
      <c r="AM238" s="490" t="str">
        <f>IF($B238="","",IF($R238=AM$5,(SUM($D238*VLOOKUP($C238,ESCALA!$B$3:$O$19,14,0)+10)*2)*27,""))</f>
        <v/>
      </c>
      <c r="AN238" s="490" t="str">
        <f>IF($B238="","",IF($R238=AN$5,(SUM($D238*VLOOKUP($C238,ESCALA!$B$3:$O$19,14,0)+10)*2)*27,""))</f>
        <v/>
      </c>
      <c r="AO238" s="490" t="str">
        <f>IF($B238="","",IF($R238=AO$5,(SUM($D238*VLOOKUP($C238,ESCALA!$B$3:$O$19,14,0)+10)*2)*27,""))</f>
        <v/>
      </c>
      <c r="AP238" s="490" t="str">
        <f>IF($B238="","",IF($R238=AP$5,(SUM($D238*VLOOKUP($C238,ESCALA!$B$3:$O$19,14,0)+10)*2)*27,""))</f>
        <v/>
      </c>
    </row>
    <row r="239" spans="2:42" ht="33.75" customHeight="1" x14ac:dyDescent="0.2">
      <c r="B239" s="551"/>
      <c r="C239" s="517"/>
      <c r="D239" s="503" t="str">
        <f>IF(C239="","",VLOOKUP(C239,'REL LINHAS'!$B$2:$K$2205,5,0))</f>
        <v/>
      </c>
      <c r="E239" s="321" t="str">
        <f t="shared" si="23"/>
        <v/>
      </c>
      <c r="F239" s="493"/>
      <c r="G239" s="494"/>
      <c r="H239" s="649"/>
      <c r="I239" s="650"/>
      <c r="J239" s="651"/>
      <c r="K239" s="652"/>
      <c r="L239" s="653"/>
      <c r="M239" s="654"/>
      <c r="N239" s="652"/>
      <c r="O239" s="653"/>
      <c r="P239" s="653"/>
      <c r="Q239" s="654"/>
      <c r="R239" s="655"/>
      <c r="S239" s="656"/>
      <c r="T239" s="652"/>
      <c r="U239" s="654"/>
      <c r="V239" s="652"/>
      <c r="W239" s="653"/>
      <c r="X239" s="654"/>
      <c r="Y239" s="495"/>
      <c r="Z239" s="496"/>
      <c r="AA239" s="63"/>
      <c r="AB239" s="497" t="s">
        <v>226</v>
      </c>
      <c r="AC239" s="63"/>
      <c r="AD239" s="497" t="s">
        <v>227</v>
      </c>
      <c r="AE239" s="63"/>
      <c r="AF239" s="497" t="s">
        <v>228</v>
      </c>
      <c r="AG239" s="63"/>
      <c r="AH239" s="498" t="s">
        <v>229</v>
      </c>
      <c r="AJ239" s="490" t="str">
        <f>IF($B239="","",IF($R239=AJ$5,(SUM($D239*VLOOKUP($C239,ESCALA!$B$3:$O$19,14,0)+10)*2)*27,""))</f>
        <v/>
      </c>
      <c r="AK239" s="490" t="str">
        <f>IF($B239="","",IF($R239=AK$5,(SUM($D239*VLOOKUP($C239,ESCALA!$B$3:$O$19,14,0)+10)*2)*27,""))</f>
        <v/>
      </c>
      <c r="AL239" s="490" t="str">
        <f>IF($B239="","",IF($R239=AL$5,(SUM($D239*VLOOKUP($C239,ESCALA!$B$3:$O$19,14,0)+10)*2)*27,""))</f>
        <v/>
      </c>
      <c r="AM239" s="490" t="str">
        <f>IF($B239="","",IF($R239=AM$5,(SUM($D239*VLOOKUP($C239,ESCALA!$B$3:$O$19,14,0)+10)*2)*27,""))</f>
        <v/>
      </c>
      <c r="AN239" s="490" t="str">
        <f>IF($B239="","",IF($R239=AN$5,(SUM($D239*VLOOKUP($C239,ESCALA!$B$3:$O$19,14,0)+10)*2)*27,""))</f>
        <v/>
      </c>
      <c r="AO239" s="490" t="str">
        <f>IF($B239="","",IF($R239=AO$5,(SUM($D239*VLOOKUP($C239,ESCALA!$B$3:$O$19,14,0)+10)*2)*27,""))</f>
        <v/>
      </c>
      <c r="AP239" s="490" t="str">
        <f>IF($B239="","",IF($R239=AP$5,(SUM($D239*VLOOKUP($C239,ESCALA!$B$3:$O$19,14,0)+10)*2)*27,""))</f>
        <v/>
      </c>
    </row>
    <row r="240" spans="2:42" ht="33.75" customHeight="1" x14ac:dyDescent="0.2">
      <c r="B240" s="551"/>
      <c r="C240" s="517"/>
      <c r="D240" s="503" t="str">
        <f>IF(C240="","",VLOOKUP(C240,'REL LINHAS'!$B$2:$K$2205,5,0))</f>
        <v/>
      </c>
      <c r="E240" s="321" t="str">
        <f t="shared" si="23"/>
        <v/>
      </c>
      <c r="F240" s="493"/>
      <c r="G240" s="494"/>
      <c r="H240" s="649"/>
      <c r="I240" s="650"/>
      <c r="J240" s="651"/>
      <c r="K240" s="652"/>
      <c r="L240" s="653"/>
      <c r="M240" s="654"/>
      <c r="N240" s="652"/>
      <c r="O240" s="653"/>
      <c r="P240" s="653"/>
      <c r="Q240" s="654"/>
      <c r="R240" s="655"/>
      <c r="S240" s="656"/>
      <c r="T240" s="652"/>
      <c r="U240" s="654"/>
      <c r="V240" s="652"/>
      <c r="W240" s="653"/>
      <c r="X240" s="654"/>
      <c r="Y240" s="495"/>
      <c r="Z240" s="496"/>
      <c r="AA240" s="63"/>
      <c r="AB240" s="497" t="s">
        <v>226</v>
      </c>
      <c r="AC240" s="63"/>
      <c r="AD240" s="497" t="s">
        <v>227</v>
      </c>
      <c r="AE240" s="63"/>
      <c r="AF240" s="497" t="s">
        <v>228</v>
      </c>
      <c r="AG240" s="63"/>
      <c r="AH240" s="498" t="s">
        <v>229</v>
      </c>
      <c r="AJ240" s="490" t="str">
        <f>IF($B240="","",IF($R240=AJ$5,(SUM($D240*VLOOKUP($C240,ESCALA!$B$3:$O$19,14,0)+10)*2)*27,""))</f>
        <v/>
      </c>
      <c r="AK240" s="490" t="str">
        <f>IF($B240="","",IF($R240=AK$5,(SUM($D240*VLOOKUP($C240,ESCALA!$B$3:$O$19,14,0)+10)*2)*27,""))</f>
        <v/>
      </c>
      <c r="AL240" s="490" t="str">
        <f>IF($B240="","",IF($R240=AL$5,(SUM($D240*VLOOKUP($C240,ESCALA!$B$3:$O$19,14,0)+10)*2)*27,""))</f>
        <v/>
      </c>
      <c r="AM240" s="490" t="str">
        <f>IF($B240="","",IF($R240=AM$5,(SUM($D240*VLOOKUP($C240,ESCALA!$B$3:$O$19,14,0)+10)*2)*27,""))</f>
        <v/>
      </c>
      <c r="AN240" s="490" t="str">
        <f>IF($B240="","",IF($R240=AN$5,(SUM($D240*VLOOKUP($C240,ESCALA!$B$3:$O$19,14,0)+10)*2)*27,""))</f>
        <v/>
      </c>
      <c r="AO240" s="490" t="str">
        <f>IF($B240="","",IF($R240=AO$5,(SUM($D240*VLOOKUP($C240,ESCALA!$B$3:$O$19,14,0)+10)*2)*27,""))</f>
        <v/>
      </c>
      <c r="AP240" s="490" t="str">
        <f>IF($B240="","",IF($R240=AP$5,(SUM($D240*VLOOKUP($C240,ESCALA!$B$3:$O$19,14,0)+10)*2)*27,""))</f>
        <v/>
      </c>
    </row>
    <row r="241" spans="2:42" ht="33.75" customHeight="1" x14ac:dyDescent="0.2">
      <c r="B241" s="551"/>
      <c r="C241" s="517"/>
      <c r="D241" s="503" t="str">
        <f>IF(C241="","",VLOOKUP(C241,'REL LINHAS'!$B$2:$K$2205,5,0))</f>
        <v/>
      </c>
      <c r="E241" s="321" t="str">
        <f t="shared" si="23"/>
        <v/>
      </c>
      <c r="F241" s="493"/>
      <c r="G241" s="494"/>
      <c r="H241" s="649"/>
      <c r="I241" s="650"/>
      <c r="J241" s="651"/>
      <c r="K241" s="652"/>
      <c r="L241" s="653"/>
      <c r="M241" s="654"/>
      <c r="N241" s="652"/>
      <c r="O241" s="653"/>
      <c r="P241" s="653"/>
      <c r="Q241" s="654"/>
      <c r="R241" s="655"/>
      <c r="S241" s="656"/>
      <c r="T241" s="652"/>
      <c r="U241" s="654"/>
      <c r="V241" s="652"/>
      <c r="W241" s="653"/>
      <c r="X241" s="654"/>
      <c r="Y241" s="495"/>
      <c r="Z241" s="496"/>
      <c r="AA241" s="63"/>
      <c r="AB241" s="497" t="s">
        <v>226</v>
      </c>
      <c r="AC241" s="63"/>
      <c r="AD241" s="497" t="s">
        <v>227</v>
      </c>
      <c r="AE241" s="63"/>
      <c r="AF241" s="497" t="s">
        <v>228</v>
      </c>
      <c r="AG241" s="63"/>
      <c r="AH241" s="498" t="s">
        <v>229</v>
      </c>
      <c r="AJ241" s="490" t="str">
        <f>IF($B241="","",IF($R241=AJ$5,(SUM($D241*VLOOKUP($C241,ESCALA!$B$3:$O$19,14,0)+10)*2)*27,""))</f>
        <v/>
      </c>
      <c r="AK241" s="490" t="str">
        <f>IF($B241="","",IF($R241=AK$5,(SUM($D241*VLOOKUP($C241,ESCALA!$B$3:$O$19,14,0)+10)*2)*27,""))</f>
        <v/>
      </c>
      <c r="AL241" s="490" t="str">
        <f>IF($B241="","",IF($R241=AL$5,(SUM($D241*VLOOKUP($C241,ESCALA!$B$3:$O$19,14,0)+10)*2)*27,""))</f>
        <v/>
      </c>
      <c r="AM241" s="490" t="str">
        <f>IF($B241="","",IF($R241=AM$5,(SUM($D241*VLOOKUP($C241,ESCALA!$B$3:$O$19,14,0)+10)*2)*27,""))</f>
        <v/>
      </c>
      <c r="AN241" s="490" t="str">
        <f>IF($B241="","",IF($R241=AN$5,(SUM($D241*VLOOKUP($C241,ESCALA!$B$3:$O$19,14,0)+10)*2)*27,""))</f>
        <v/>
      </c>
      <c r="AO241" s="490" t="str">
        <f>IF($B241="","",IF($R241=AO$5,(SUM($D241*VLOOKUP($C241,ESCALA!$B$3:$O$19,14,0)+10)*2)*27,""))</f>
        <v/>
      </c>
      <c r="AP241" s="490" t="str">
        <f>IF($B241="","",IF($R241=AP$5,(SUM($D241*VLOOKUP($C241,ESCALA!$B$3:$O$19,14,0)+10)*2)*27,""))</f>
        <v/>
      </c>
    </row>
    <row r="242" spans="2:42" ht="33.75" customHeight="1" x14ac:dyDescent="0.2">
      <c r="B242" s="551"/>
      <c r="C242" s="517"/>
      <c r="D242" s="503" t="str">
        <f>IF(C242="","",VLOOKUP(C242,'REL LINHAS'!$B$2:$K$2205,5,0))</f>
        <v/>
      </c>
      <c r="E242" s="321" t="str">
        <f t="shared" si="23"/>
        <v/>
      </c>
      <c r="F242" s="493"/>
      <c r="G242" s="494"/>
      <c r="H242" s="649"/>
      <c r="I242" s="650"/>
      <c r="J242" s="651"/>
      <c r="K242" s="652"/>
      <c r="L242" s="653"/>
      <c r="M242" s="654"/>
      <c r="N242" s="652"/>
      <c r="O242" s="653"/>
      <c r="P242" s="653"/>
      <c r="Q242" s="654"/>
      <c r="R242" s="655"/>
      <c r="S242" s="656"/>
      <c r="T242" s="652"/>
      <c r="U242" s="654"/>
      <c r="V242" s="652"/>
      <c r="W242" s="653"/>
      <c r="X242" s="654"/>
      <c r="Y242" s="495"/>
      <c r="Z242" s="496"/>
      <c r="AA242" s="63"/>
      <c r="AB242" s="497" t="s">
        <v>226</v>
      </c>
      <c r="AC242" s="63"/>
      <c r="AD242" s="497" t="s">
        <v>227</v>
      </c>
      <c r="AE242" s="63"/>
      <c r="AF242" s="497" t="s">
        <v>228</v>
      </c>
      <c r="AG242" s="63"/>
      <c r="AH242" s="498" t="s">
        <v>229</v>
      </c>
      <c r="AJ242" s="490" t="str">
        <f>IF($B242="","",IF($R242=AJ$5,(SUM($D242*VLOOKUP($C242,ESCALA!$B$3:$O$19,14,0)+10)*2)*27,""))</f>
        <v/>
      </c>
      <c r="AK242" s="490" t="str">
        <f>IF($B242="","",IF($R242=AK$5,(SUM($D242*VLOOKUP($C242,ESCALA!$B$3:$O$19,14,0)+10)*2)*27,""))</f>
        <v/>
      </c>
      <c r="AL242" s="490" t="str">
        <f>IF($B242="","",IF($R242=AL$5,(SUM($D242*VLOOKUP($C242,ESCALA!$B$3:$O$19,14,0)+10)*2)*27,""))</f>
        <v/>
      </c>
      <c r="AM242" s="490" t="str">
        <f>IF($B242="","",IF($R242=AM$5,(SUM($D242*VLOOKUP($C242,ESCALA!$B$3:$O$19,14,0)+10)*2)*27,""))</f>
        <v/>
      </c>
      <c r="AN242" s="490" t="str">
        <f>IF($B242="","",IF($R242=AN$5,(SUM($D242*VLOOKUP($C242,ESCALA!$B$3:$O$19,14,0)+10)*2)*27,""))</f>
        <v/>
      </c>
      <c r="AO242" s="490" t="str">
        <f>IF($B242="","",IF($R242=AO$5,(SUM($D242*VLOOKUP($C242,ESCALA!$B$3:$O$19,14,0)+10)*2)*27,""))</f>
        <v/>
      </c>
      <c r="AP242" s="490" t="str">
        <f>IF($B242="","",IF($R242=AP$5,(SUM($D242*VLOOKUP($C242,ESCALA!$B$3:$O$19,14,0)+10)*2)*27,""))</f>
        <v/>
      </c>
    </row>
    <row r="243" spans="2:42" ht="33.75" customHeight="1" x14ac:dyDescent="0.2">
      <c r="B243" s="551"/>
      <c r="C243" s="517"/>
      <c r="D243" s="503" t="str">
        <f>IF(C243="","",VLOOKUP(C243,'REL LINHAS'!$B$2:$K$2205,5,0))</f>
        <v/>
      </c>
      <c r="E243" s="321" t="str">
        <f t="shared" si="23"/>
        <v/>
      </c>
      <c r="F243" s="493"/>
      <c r="G243" s="494"/>
      <c r="H243" s="649"/>
      <c r="I243" s="650"/>
      <c r="J243" s="651"/>
      <c r="K243" s="652"/>
      <c r="L243" s="653"/>
      <c r="M243" s="654"/>
      <c r="N243" s="652"/>
      <c r="O243" s="653"/>
      <c r="P243" s="653"/>
      <c r="Q243" s="654"/>
      <c r="R243" s="655"/>
      <c r="S243" s="656"/>
      <c r="T243" s="652"/>
      <c r="U243" s="654"/>
      <c r="V243" s="652"/>
      <c r="W243" s="653"/>
      <c r="X243" s="654"/>
      <c r="Y243" s="495"/>
      <c r="Z243" s="496"/>
      <c r="AA243" s="63"/>
      <c r="AB243" s="497" t="s">
        <v>226</v>
      </c>
      <c r="AC243" s="63"/>
      <c r="AD243" s="497" t="s">
        <v>227</v>
      </c>
      <c r="AE243" s="63"/>
      <c r="AF243" s="497" t="s">
        <v>228</v>
      </c>
      <c r="AG243" s="63"/>
      <c r="AH243" s="498" t="s">
        <v>229</v>
      </c>
      <c r="AJ243" s="490" t="str">
        <f>IF($B243="","",IF($R243=AJ$5,(SUM($D243*VLOOKUP($C243,ESCALA!$B$3:$O$19,14,0)+10)*2)*27,""))</f>
        <v/>
      </c>
      <c r="AK243" s="490" t="str">
        <f>IF($B243="","",IF($R243=AK$5,(SUM($D243*VLOOKUP($C243,ESCALA!$B$3:$O$19,14,0)+10)*2)*27,""))</f>
        <v/>
      </c>
      <c r="AL243" s="490" t="str">
        <f>IF($B243="","",IF($R243=AL$5,(SUM($D243*VLOOKUP($C243,ESCALA!$B$3:$O$19,14,0)+10)*2)*27,""))</f>
        <v/>
      </c>
      <c r="AM243" s="490" t="str">
        <f>IF($B243="","",IF($R243=AM$5,(SUM($D243*VLOOKUP($C243,ESCALA!$B$3:$O$19,14,0)+10)*2)*27,""))</f>
        <v/>
      </c>
      <c r="AN243" s="490" t="str">
        <f>IF($B243="","",IF($R243=AN$5,(SUM($D243*VLOOKUP($C243,ESCALA!$B$3:$O$19,14,0)+10)*2)*27,""))</f>
        <v/>
      </c>
      <c r="AO243" s="490" t="str">
        <f>IF($B243="","",IF($R243=AO$5,(SUM($D243*VLOOKUP($C243,ESCALA!$B$3:$O$19,14,0)+10)*2)*27,""))</f>
        <v/>
      </c>
      <c r="AP243" s="490" t="str">
        <f>IF($B243="","",IF($R243=AP$5,(SUM($D243*VLOOKUP($C243,ESCALA!$B$3:$O$19,14,0)+10)*2)*27,""))</f>
        <v/>
      </c>
    </row>
    <row r="244" spans="2:42" ht="33.75" customHeight="1" x14ac:dyDescent="0.2">
      <c r="B244" s="551"/>
      <c r="C244" s="517"/>
      <c r="D244" s="503" t="str">
        <f>IF(C244="","",VLOOKUP(C244,'REL LINHAS'!$B$2:$K$2205,5,0))</f>
        <v/>
      </c>
      <c r="E244" s="321" t="str">
        <f t="shared" si="23"/>
        <v/>
      </c>
      <c r="F244" s="493"/>
      <c r="G244" s="494"/>
      <c r="H244" s="649"/>
      <c r="I244" s="650"/>
      <c r="J244" s="651"/>
      <c r="K244" s="652"/>
      <c r="L244" s="653"/>
      <c r="M244" s="654"/>
      <c r="N244" s="652"/>
      <c r="O244" s="653"/>
      <c r="P244" s="653"/>
      <c r="Q244" s="654"/>
      <c r="R244" s="655"/>
      <c r="S244" s="656"/>
      <c r="T244" s="652"/>
      <c r="U244" s="654"/>
      <c r="V244" s="652"/>
      <c r="W244" s="653"/>
      <c r="X244" s="654"/>
      <c r="Y244" s="495"/>
      <c r="Z244" s="496"/>
      <c r="AA244" s="63"/>
      <c r="AB244" s="497" t="s">
        <v>226</v>
      </c>
      <c r="AC244" s="63"/>
      <c r="AD244" s="497" t="s">
        <v>227</v>
      </c>
      <c r="AE244" s="63"/>
      <c r="AF244" s="497" t="s">
        <v>228</v>
      </c>
      <c r="AG244" s="63"/>
      <c r="AH244" s="498" t="s">
        <v>229</v>
      </c>
      <c r="AJ244" s="490" t="str">
        <f>IF($B244="","",IF($R244=AJ$5,(SUM($D244*VLOOKUP($C244,ESCALA!$B$3:$O$19,14,0)+10)*2)*27,""))</f>
        <v/>
      </c>
      <c r="AK244" s="490" t="str">
        <f>IF($B244="","",IF($R244=AK$5,(SUM($D244*VLOOKUP($C244,ESCALA!$B$3:$O$19,14,0)+10)*2)*27,""))</f>
        <v/>
      </c>
      <c r="AL244" s="490" t="str">
        <f>IF($B244="","",IF($R244=AL$5,(SUM($D244*VLOOKUP($C244,ESCALA!$B$3:$O$19,14,0)+10)*2)*27,""))</f>
        <v/>
      </c>
      <c r="AM244" s="490" t="str">
        <f>IF($B244="","",IF($R244=AM$5,(SUM($D244*VLOOKUP($C244,ESCALA!$B$3:$O$19,14,0)+10)*2)*27,""))</f>
        <v/>
      </c>
      <c r="AN244" s="490" t="str">
        <f>IF($B244="","",IF($R244=AN$5,(SUM($D244*VLOOKUP($C244,ESCALA!$B$3:$O$19,14,0)+10)*2)*27,""))</f>
        <v/>
      </c>
      <c r="AO244" s="490" t="str">
        <f>IF($B244="","",IF($R244=AO$5,(SUM($D244*VLOOKUP($C244,ESCALA!$B$3:$O$19,14,0)+10)*2)*27,""))</f>
        <v/>
      </c>
      <c r="AP244" s="490" t="str">
        <f>IF($B244="","",IF($R244=AP$5,(SUM($D244*VLOOKUP($C244,ESCALA!$B$3:$O$19,14,0)+10)*2)*27,""))</f>
        <v/>
      </c>
    </row>
    <row r="245" spans="2:42" ht="33.75" customHeight="1" x14ac:dyDescent="0.2">
      <c r="B245" s="551"/>
      <c r="C245" s="517"/>
      <c r="D245" s="503" t="str">
        <f>IF(C245="","",VLOOKUP(C245,'REL LINHAS'!$B$2:$K$2205,5,0))</f>
        <v/>
      </c>
      <c r="E245" s="321" t="str">
        <f t="shared" si="23"/>
        <v/>
      </c>
      <c r="F245" s="493"/>
      <c r="G245" s="494"/>
      <c r="H245" s="649"/>
      <c r="I245" s="650"/>
      <c r="J245" s="651"/>
      <c r="K245" s="652"/>
      <c r="L245" s="653"/>
      <c r="M245" s="654"/>
      <c r="N245" s="652"/>
      <c r="O245" s="653"/>
      <c r="P245" s="653"/>
      <c r="Q245" s="654"/>
      <c r="R245" s="655"/>
      <c r="S245" s="656"/>
      <c r="T245" s="652"/>
      <c r="U245" s="654"/>
      <c r="V245" s="652"/>
      <c r="W245" s="653"/>
      <c r="X245" s="654"/>
      <c r="Y245" s="495"/>
      <c r="Z245" s="496"/>
      <c r="AA245" s="63"/>
      <c r="AB245" s="497" t="s">
        <v>226</v>
      </c>
      <c r="AC245" s="63"/>
      <c r="AD245" s="497" t="s">
        <v>227</v>
      </c>
      <c r="AE245" s="63"/>
      <c r="AF245" s="497" t="s">
        <v>228</v>
      </c>
      <c r="AG245" s="63"/>
      <c r="AH245" s="498" t="s">
        <v>229</v>
      </c>
      <c r="AJ245" s="490" t="str">
        <f>IF($B245="","",IF($R245=AJ$5,(SUM($D245*VLOOKUP($C245,ESCALA!$B$3:$O$19,14,0)+10)*2)*27,""))</f>
        <v/>
      </c>
      <c r="AK245" s="490" t="str">
        <f>IF($B245="","",IF($R245=AK$5,(SUM($D245*VLOOKUP($C245,ESCALA!$B$3:$O$19,14,0)+10)*2)*27,""))</f>
        <v/>
      </c>
      <c r="AL245" s="490" t="str">
        <f>IF($B245="","",IF($R245=AL$5,(SUM($D245*VLOOKUP($C245,ESCALA!$B$3:$O$19,14,0)+10)*2)*27,""))</f>
        <v/>
      </c>
      <c r="AM245" s="490" t="str">
        <f>IF($B245="","",IF($R245=AM$5,(SUM($D245*VLOOKUP($C245,ESCALA!$B$3:$O$19,14,0)+10)*2)*27,""))</f>
        <v/>
      </c>
      <c r="AN245" s="490" t="str">
        <f>IF($B245="","",IF($R245=AN$5,(SUM($D245*VLOOKUP($C245,ESCALA!$B$3:$O$19,14,0)+10)*2)*27,""))</f>
        <v/>
      </c>
      <c r="AO245" s="490" t="str">
        <f>IF($B245="","",IF($R245=AO$5,(SUM($D245*VLOOKUP($C245,ESCALA!$B$3:$O$19,14,0)+10)*2)*27,""))</f>
        <v/>
      </c>
      <c r="AP245" s="490" t="str">
        <f>IF($B245="","",IF($R245=AP$5,(SUM($D245*VLOOKUP($C245,ESCALA!$B$3:$O$19,14,0)+10)*2)*27,""))</f>
        <v/>
      </c>
    </row>
    <row r="246" spans="2:42" ht="33.75" customHeight="1" x14ac:dyDescent="0.2">
      <c r="B246" s="551"/>
      <c r="C246" s="517"/>
      <c r="D246" s="503" t="str">
        <f>IF(C246="","",VLOOKUP(C246,'REL LINHAS'!$B$2:$K$2205,5,0))</f>
        <v/>
      </c>
      <c r="E246" s="321" t="str">
        <f t="shared" si="23"/>
        <v/>
      </c>
      <c r="F246" s="493"/>
      <c r="G246" s="494"/>
      <c r="H246" s="649"/>
      <c r="I246" s="650"/>
      <c r="J246" s="651"/>
      <c r="K246" s="652"/>
      <c r="L246" s="653"/>
      <c r="M246" s="654"/>
      <c r="N246" s="652"/>
      <c r="O246" s="653"/>
      <c r="P246" s="653"/>
      <c r="Q246" s="654"/>
      <c r="R246" s="655"/>
      <c r="S246" s="656"/>
      <c r="T246" s="652"/>
      <c r="U246" s="654"/>
      <c r="V246" s="652"/>
      <c r="W246" s="653"/>
      <c r="X246" s="654"/>
      <c r="Y246" s="495"/>
      <c r="Z246" s="496"/>
      <c r="AA246" s="63"/>
      <c r="AB246" s="497" t="s">
        <v>226</v>
      </c>
      <c r="AC246" s="63"/>
      <c r="AD246" s="497" t="s">
        <v>227</v>
      </c>
      <c r="AE246" s="63"/>
      <c r="AF246" s="497" t="s">
        <v>228</v>
      </c>
      <c r="AG246" s="63"/>
      <c r="AH246" s="498" t="s">
        <v>229</v>
      </c>
      <c r="AJ246" s="490" t="str">
        <f>IF($B246="","",IF($R246=AJ$5,(SUM($D246*VLOOKUP($C246,ESCALA!$B$3:$O$19,14,0)+10)*2)*27,""))</f>
        <v/>
      </c>
      <c r="AK246" s="490" t="str">
        <f>IF($B246="","",IF($R246=AK$5,(SUM($D246*VLOOKUP($C246,ESCALA!$B$3:$O$19,14,0)+10)*2)*27,""))</f>
        <v/>
      </c>
      <c r="AL246" s="490" t="str">
        <f>IF($B246="","",IF($R246=AL$5,(SUM($D246*VLOOKUP($C246,ESCALA!$B$3:$O$19,14,0)+10)*2)*27,""))</f>
        <v/>
      </c>
      <c r="AM246" s="490" t="str">
        <f>IF($B246="","",IF($R246=AM$5,(SUM($D246*VLOOKUP($C246,ESCALA!$B$3:$O$19,14,0)+10)*2)*27,""))</f>
        <v/>
      </c>
      <c r="AN246" s="490" t="str">
        <f>IF($B246="","",IF($R246=AN$5,(SUM($D246*VLOOKUP($C246,ESCALA!$B$3:$O$19,14,0)+10)*2)*27,""))</f>
        <v/>
      </c>
      <c r="AO246" s="490" t="str">
        <f>IF($B246="","",IF($R246=AO$5,(SUM($D246*VLOOKUP($C246,ESCALA!$B$3:$O$19,14,0)+10)*2)*27,""))</f>
        <v/>
      </c>
      <c r="AP246" s="490" t="str">
        <f>IF($B246="","",IF($R246=AP$5,(SUM($D246*VLOOKUP($C246,ESCALA!$B$3:$O$19,14,0)+10)*2)*27,""))</f>
        <v/>
      </c>
    </row>
    <row r="247" spans="2:42" ht="33.75" customHeight="1" x14ac:dyDescent="0.2">
      <c r="B247" s="551"/>
      <c r="C247" s="517"/>
      <c r="D247" s="503" t="str">
        <f>IF(C247="","",VLOOKUP(C247,'REL LINHAS'!$B$2:$K$2205,5,0))</f>
        <v/>
      </c>
      <c r="E247" s="321" t="str">
        <f t="shared" si="23"/>
        <v/>
      </c>
      <c r="F247" s="493"/>
      <c r="G247" s="494"/>
      <c r="H247" s="649"/>
      <c r="I247" s="650"/>
      <c r="J247" s="651"/>
      <c r="K247" s="652"/>
      <c r="L247" s="653"/>
      <c r="M247" s="654"/>
      <c r="N247" s="652"/>
      <c r="O247" s="653"/>
      <c r="P247" s="653"/>
      <c r="Q247" s="654"/>
      <c r="R247" s="655"/>
      <c r="S247" s="656"/>
      <c r="T247" s="652"/>
      <c r="U247" s="654"/>
      <c r="V247" s="652"/>
      <c r="W247" s="653"/>
      <c r="X247" s="654"/>
      <c r="Y247" s="495"/>
      <c r="Z247" s="496"/>
      <c r="AA247" s="63"/>
      <c r="AB247" s="497" t="s">
        <v>226</v>
      </c>
      <c r="AC247" s="63"/>
      <c r="AD247" s="497" t="s">
        <v>227</v>
      </c>
      <c r="AE247" s="63"/>
      <c r="AF247" s="497" t="s">
        <v>228</v>
      </c>
      <c r="AG247" s="63"/>
      <c r="AH247" s="498" t="s">
        <v>229</v>
      </c>
      <c r="AJ247" s="490" t="str">
        <f>IF($B247="","",IF($R247=AJ$5,(SUM($D247*VLOOKUP($C247,ESCALA!$B$3:$O$19,14,0)+10)*2)*27,""))</f>
        <v/>
      </c>
      <c r="AK247" s="490" t="str">
        <f>IF($B247="","",IF($R247=AK$5,(SUM($D247*VLOOKUP($C247,ESCALA!$B$3:$O$19,14,0)+10)*2)*27,""))</f>
        <v/>
      </c>
      <c r="AL247" s="490" t="str">
        <f>IF($B247="","",IF($R247=AL$5,(SUM($D247*VLOOKUP($C247,ESCALA!$B$3:$O$19,14,0)+10)*2)*27,""))</f>
        <v/>
      </c>
      <c r="AM247" s="490" t="str">
        <f>IF($B247="","",IF($R247=AM$5,(SUM($D247*VLOOKUP($C247,ESCALA!$B$3:$O$19,14,0)+10)*2)*27,""))</f>
        <v/>
      </c>
      <c r="AN247" s="490" t="str">
        <f>IF($B247="","",IF($R247=AN$5,(SUM($D247*VLOOKUP($C247,ESCALA!$B$3:$O$19,14,0)+10)*2)*27,""))</f>
        <v/>
      </c>
      <c r="AO247" s="490" t="str">
        <f>IF($B247="","",IF($R247=AO$5,(SUM($D247*VLOOKUP($C247,ESCALA!$B$3:$O$19,14,0)+10)*2)*27,""))</f>
        <v/>
      </c>
      <c r="AP247" s="490" t="str">
        <f>IF($B247="","",IF($R247=AP$5,(SUM($D247*VLOOKUP($C247,ESCALA!$B$3:$O$19,14,0)+10)*2)*27,""))</f>
        <v/>
      </c>
    </row>
    <row r="248" spans="2:42" ht="33.75" customHeight="1" x14ac:dyDescent="0.2">
      <c r="B248" s="551"/>
      <c r="C248" s="517"/>
      <c r="D248" s="503" t="str">
        <f>IF(C248="","",VLOOKUP(C248,'REL LINHAS'!$B$2:$K$2205,5,0))</f>
        <v/>
      </c>
      <c r="E248" s="321" t="str">
        <f t="shared" si="23"/>
        <v/>
      </c>
      <c r="F248" s="493"/>
      <c r="G248" s="494"/>
      <c r="H248" s="649"/>
      <c r="I248" s="650"/>
      <c r="J248" s="651"/>
      <c r="K248" s="652"/>
      <c r="L248" s="653"/>
      <c r="M248" s="654"/>
      <c r="N248" s="652"/>
      <c r="O248" s="653"/>
      <c r="P248" s="653"/>
      <c r="Q248" s="654"/>
      <c r="R248" s="655"/>
      <c r="S248" s="656"/>
      <c r="T248" s="652"/>
      <c r="U248" s="654"/>
      <c r="V248" s="652"/>
      <c r="W248" s="653"/>
      <c r="X248" s="654"/>
      <c r="Y248" s="495"/>
      <c r="Z248" s="496"/>
      <c r="AA248" s="63"/>
      <c r="AB248" s="497" t="s">
        <v>226</v>
      </c>
      <c r="AC248" s="63"/>
      <c r="AD248" s="497" t="s">
        <v>227</v>
      </c>
      <c r="AE248" s="63"/>
      <c r="AF248" s="497" t="s">
        <v>228</v>
      </c>
      <c r="AG248" s="63"/>
      <c r="AH248" s="498" t="s">
        <v>229</v>
      </c>
      <c r="AJ248" s="490" t="str">
        <f>IF($B248="","",IF($R248=AJ$5,(SUM($D248*VLOOKUP($C248,ESCALA!$B$3:$O$19,14,0)+10)*2)*27,""))</f>
        <v/>
      </c>
      <c r="AK248" s="490" t="str">
        <f>IF($B248="","",IF($R248=AK$5,(SUM($D248*VLOOKUP($C248,ESCALA!$B$3:$O$19,14,0)+10)*2)*27,""))</f>
        <v/>
      </c>
      <c r="AL248" s="490" t="str">
        <f>IF($B248="","",IF($R248=AL$5,(SUM($D248*VLOOKUP($C248,ESCALA!$B$3:$O$19,14,0)+10)*2)*27,""))</f>
        <v/>
      </c>
      <c r="AM248" s="490" t="str">
        <f>IF($B248="","",IF($R248=AM$5,(SUM($D248*VLOOKUP($C248,ESCALA!$B$3:$O$19,14,0)+10)*2)*27,""))</f>
        <v/>
      </c>
      <c r="AN248" s="490" t="str">
        <f>IF($B248="","",IF($R248=AN$5,(SUM($D248*VLOOKUP($C248,ESCALA!$B$3:$O$19,14,0)+10)*2)*27,""))</f>
        <v/>
      </c>
      <c r="AO248" s="490" t="str">
        <f>IF($B248="","",IF($R248=AO$5,(SUM($D248*VLOOKUP($C248,ESCALA!$B$3:$O$19,14,0)+10)*2)*27,""))</f>
        <v/>
      </c>
      <c r="AP248" s="490" t="str">
        <f>IF($B248="","",IF($R248=AP$5,(SUM($D248*VLOOKUP($C248,ESCALA!$B$3:$O$19,14,0)+10)*2)*27,""))</f>
        <v/>
      </c>
    </row>
    <row r="249" spans="2:42" ht="33.75" customHeight="1" x14ac:dyDescent="0.2">
      <c r="B249" s="551"/>
      <c r="C249" s="517"/>
      <c r="D249" s="503" t="str">
        <f>IF(C249="","",VLOOKUP(C249,'REL LINHAS'!$B$2:$K$2205,5,0))</f>
        <v/>
      </c>
      <c r="E249" s="321" t="str">
        <f t="shared" si="23"/>
        <v/>
      </c>
      <c r="F249" s="493"/>
      <c r="G249" s="494"/>
      <c r="H249" s="649"/>
      <c r="I249" s="650"/>
      <c r="J249" s="651"/>
      <c r="K249" s="652"/>
      <c r="L249" s="653"/>
      <c r="M249" s="654"/>
      <c r="N249" s="652"/>
      <c r="O249" s="653"/>
      <c r="P249" s="653"/>
      <c r="Q249" s="654"/>
      <c r="R249" s="655"/>
      <c r="S249" s="656"/>
      <c r="T249" s="652"/>
      <c r="U249" s="654"/>
      <c r="V249" s="652"/>
      <c r="W249" s="653"/>
      <c r="X249" s="654"/>
      <c r="Y249" s="495"/>
      <c r="Z249" s="496"/>
      <c r="AA249" s="63"/>
      <c r="AB249" s="497" t="s">
        <v>226</v>
      </c>
      <c r="AC249" s="63"/>
      <c r="AD249" s="497" t="s">
        <v>227</v>
      </c>
      <c r="AE249" s="63"/>
      <c r="AF249" s="497" t="s">
        <v>228</v>
      </c>
      <c r="AG249" s="63"/>
      <c r="AH249" s="498" t="s">
        <v>229</v>
      </c>
      <c r="AJ249" s="490" t="str">
        <f>IF($B249="","",IF($R249=AJ$5,(SUM($D249*VLOOKUP($C249,ESCALA!$B$3:$O$19,14,0)+10)*2)*27,""))</f>
        <v/>
      </c>
      <c r="AK249" s="490" t="str">
        <f>IF($B249="","",IF($R249=AK$5,(SUM($D249*VLOOKUP($C249,ESCALA!$B$3:$O$19,14,0)+10)*2)*27,""))</f>
        <v/>
      </c>
      <c r="AL249" s="490" t="str">
        <f>IF($B249="","",IF($R249=AL$5,(SUM($D249*VLOOKUP($C249,ESCALA!$B$3:$O$19,14,0)+10)*2)*27,""))</f>
        <v/>
      </c>
      <c r="AM249" s="490" t="str">
        <f>IF($B249="","",IF($R249=AM$5,(SUM($D249*VLOOKUP($C249,ESCALA!$B$3:$O$19,14,0)+10)*2)*27,""))</f>
        <v/>
      </c>
      <c r="AN249" s="490" t="str">
        <f>IF($B249="","",IF($R249=AN$5,(SUM($D249*VLOOKUP($C249,ESCALA!$B$3:$O$19,14,0)+10)*2)*27,""))</f>
        <v/>
      </c>
      <c r="AO249" s="490" t="str">
        <f>IF($B249="","",IF($R249=AO$5,(SUM($D249*VLOOKUP($C249,ESCALA!$B$3:$O$19,14,0)+10)*2)*27,""))</f>
        <v/>
      </c>
      <c r="AP249" s="490" t="str">
        <f>IF($B249="","",IF($R249=AP$5,(SUM($D249*VLOOKUP($C249,ESCALA!$B$3:$O$19,14,0)+10)*2)*27,""))</f>
        <v/>
      </c>
    </row>
    <row r="250" spans="2:42" ht="33.75" customHeight="1" x14ac:dyDescent="0.2">
      <c r="B250" s="551"/>
      <c r="C250" s="517"/>
      <c r="D250" s="503" t="str">
        <f>IF(C250="","",VLOOKUP(C250,'REL LINHAS'!$B$2:$K$2205,5,0))</f>
        <v/>
      </c>
      <c r="E250" s="321" t="str">
        <f t="shared" si="23"/>
        <v/>
      </c>
      <c r="F250" s="493"/>
      <c r="G250" s="494"/>
      <c r="H250" s="649"/>
      <c r="I250" s="650"/>
      <c r="J250" s="651"/>
      <c r="K250" s="652"/>
      <c r="L250" s="653"/>
      <c r="M250" s="654"/>
      <c r="N250" s="652"/>
      <c r="O250" s="653"/>
      <c r="P250" s="653"/>
      <c r="Q250" s="654"/>
      <c r="R250" s="655"/>
      <c r="S250" s="656"/>
      <c r="T250" s="652"/>
      <c r="U250" s="654"/>
      <c r="V250" s="652"/>
      <c r="W250" s="653"/>
      <c r="X250" s="654"/>
      <c r="Y250" s="495"/>
      <c r="Z250" s="496"/>
      <c r="AA250" s="63"/>
      <c r="AB250" s="497" t="s">
        <v>226</v>
      </c>
      <c r="AC250" s="63"/>
      <c r="AD250" s="497" t="s">
        <v>227</v>
      </c>
      <c r="AE250" s="63"/>
      <c r="AF250" s="497" t="s">
        <v>228</v>
      </c>
      <c r="AG250" s="63"/>
      <c r="AH250" s="498" t="s">
        <v>229</v>
      </c>
      <c r="AJ250" s="490" t="str">
        <f>IF($B250="","",IF($R250=AJ$5,(SUM($D250*VLOOKUP($C250,ESCALA!$B$3:$O$19,14,0)+10)*2)*27,""))</f>
        <v/>
      </c>
      <c r="AK250" s="490" t="str">
        <f>IF($B250="","",IF($R250=AK$5,(SUM($D250*VLOOKUP($C250,ESCALA!$B$3:$O$19,14,0)+10)*2)*27,""))</f>
        <v/>
      </c>
      <c r="AL250" s="490" t="str">
        <f>IF($B250="","",IF($R250=AL$5,(SUM($D250*VLOOKUP($C250,ESCALA!$B$3:$O$19,14,0)+10)*2)*27,""))</f>
        <v/>
      </c>
      <c r="AM250" s="490" t="str">
        <f>IF($B250="","",IF($R250=AM$5,(SUM($D250*VLOOKUP($C250,ESCALA!$B$3:$O$19,14,0)+10)*2)*27,""))</f>
        <v/>
      </c>
      <c r="AN250" s="490" t="str">
        <f>IF($B250="","",IF($R250=AN$5,(SUM($D250*VLOOKUP($C250,ESCALA!$B$3:$O$19,14,0)+10)*2)*27,""))</f>
        <v/>
      </c>
      <c r="AO250" s="490" t="str">
        <f>IF($B250="","",IF($R250=AO$5,(SUM($D250*VLOOKUP($C250,ESCALA!$B$3:$O$19,14,0)+10)*2)*27,""))</f>
        <v/>
      </c>
      <c r="AP250" s="490" t="str">
        <f>IF($B250="","",IF($R250=AP$5,(SUM($D250*VLOOKUP($C250,ESCALA!$B$3:$O$19,14,0)+10)*2)*27,""))</f>
        <v/>
      </c>
    </row>
    <row r="251" spans="2:42" ht="33.75" customHeight="1" x14ac:dyDescent="0.2">
      <c r="B251" s="551"/>
      <c r="C251" s="517"/>
      <c r="D251" s="503" t="str">
        <f>IF(C251="","",VLOOKUP(C251,'REL LINHAS'!$B$2:$K$2205,5,0))</f>
        <v/>
      </c>
      <c r="E251" s="321" t="str">
        <f t="shared" si="23"/>
        <v/>
      </c>
      <c r="F251" s="493"/>
      <c r="G251" s="494"/>
      <c r="H251" s="649"/>
      <c r="I251" s="650"/>
      <c r="J251" s="651"/>
      <c r="K251" s="652"/>
      <c r="L251" s="653"/>
      <c r="M251" s="654"/>
      <c r="N251" s="652"/>
      <c r="O251" s="653"/>
      <c r="P251" s="653"/>
      <c r="Q251" s="654"/>
      <c r="R251" s="655"/>
      <c r="S251" s="656"/>
      <c r="T251" s="652"/>
      <c r="U251" s="654"/>
      <c r="V251" s="652"/>
      <c r="W251" s="653"/>
      <c r="X251" s="654"/>
      <c r="Y251" s="495"/>
      <c r="Z251" s="496"/>
      <c r="AA251" s="63"/>
      <c r="AB251" s="497" t="s">
        <v>226</v>
      </c>
      <c r="AC251" s="63"/>
      <c r="AD251" s="497" t="s">
        <v>227</v>
      </c>
      <c r="AE251" s="63"/>
      <c r="AF251" s="497" t="s">
        <v>228</v>
      </c>
      <c r="AG251" s="63"/>
      <c r="AH251" s="498" t="s">
        <v>229</v>
      </c>
      <c r="AJ251" s="490" t="str">
        <f>IF($B251="","",IF($R251=AJ$5,(SUM($D251*VLOOKUP($C251,ESCALA!$B$3:$O$19,14,0)+10)*2)*27,""))</f>
        <v/>
      </c>
      <c r="AK251" s="490" t="str">
        <f>IF($B251="","",IF($R251=AK$5,(SUM($D251*VLOOKUP($C251,ESCALA!$B$3:$O$19,14,0)+10)*2)*27,""))</f>
        <v/>
      </c>
      <c r="AL251" s="490" t="str">
        <f>IF($B251="","",IF($R251=AL$5,(SUM($D251*VLOOKUP($C251,ESCALA!$B$3:$O$19,14,0)+10)*2)*27,""))</f>
        <v/>
      </c>
      <c r="AM251" s="490" t="str">
        <f>IF($B251="","",IF($R251=AM$5,(SUM($D251*VLOOKUP($C251,ESCALA!$B$3:$O$19,14,0)+10)*2)*27,""))</f>
        <v/>
      </c>
      <c r="AN251" s="490" t="str">
        <f>IF($B251="","",IF($R251=AN$5,(SUM($D251*VLOOKUP($C251,ESCALA!$B$3:$O$19,14,0)+10)*2)*27,""))</f>
        <v/>
      </c>
      <c r="AO251" s="490" t="str">
        <f>IF($B251="","",IF($R251=AO$5,(SUM($D251*VLOOKUP($C251,ESCALA!$B$3:$O$19,14,0)+10)*2)*27,""))</f>
        <v/>
      </c>
      <c r="AP251" s="490" t="str">
        <f>IF($B251="","",IF($R251=AP$5,(SUM($D251*VLOOKUP($C251,ESCALA!$B$3:$O$19,14,0)+10)*2)*27,""))</f>
        <v/>
      </c>
    </row>
    <row r="252" spans="2:42" ht="33.75" customHeight="1" x14ac:dyDescent="0.2">
      <c r="B252" s="551"/>
      <c r="C252" s="517"/>
      <c r="D252" s="503" t="str">
        <f>IF(C252="","",VLOOKUP(C252,'REL LINHAS'!$B$2:$K$2205,5,0))</f>
        <v/>
      </c>
      <c r="E252" s="321" t="str">
        <f t="shared" si="23"/>
        <v/>
      </c>
      <c r="F252" s="493"/>
      <c r="G252" s="494"/>
      <c r="H252" s="649"/>
      <c r="I252" s="650"/>
      <c r="J252" s="651"/>
      <c r="K252" s="652"/>
      <c r="L252" s="653"/>
      <c r="M252" s="654"/>
      <c r="N252" s="652"/>
      <c r="O252" s="653"/>
      <c r="P252" s="653"/>
      <c r="Q252" s="654"/>
      <c r="R252" s="655"/>
      <c r="S252" s="656"/>
      <c r="T252" s="652"/>
      <c r="U252" s="654"/>
      <c r="V252" s="652"/>
      <c r="W252" s="653"/>
      <c r="X252" s="654"/>
      <c r="Y252" s="495"/>
      <c r="Z252" s="496"/>
      <c r="AA252" s="63"/>
      <c r="AB252" s="497" t="s">
        <v>226</v>
      </c>
      <c r="AC252" s="63"/>
      <c r="AD252" s="497" t="s">
        <v>227</v>
      </c>
      <c r="AE252" s="63"/>
      <c r="AF252" s="497" t="s">
        <v>228</v>
      </c>
      <c r="AG252" s="63"/>
      <c r="AH252" s="498" t="s">
        <v>229</v>
      </c>
      <c r="AJ252" s="490" t="str">
        <f>IF($B252="","",IF($R252=AJ$5,(SUM($D252*VLOOKUP($C252,ESCALA!$B$3:$O$19,14,0)+10)*2)*27,""))</f>
        <v/>
      </c>
      <c r="AK252" s="490" t="str">
        <f>IF($B252="","",IF($R252=AK$5,(SUM($D252*VLOOKUP($C252,ESCALA!$B$3:$O$19,14,0)+10)*2)*27,""))</f>
        <v/>
      </c>
      <c r="AL252" s="490" t="str">
        <f>IF($B252="","",IF($R252=AL$5,(SUM($D252*VLOOKUP($C252,ESCALA!$B$3:$O$19,14,0)+10)*2)*27,""))</f>
        <v/>
      </c>
      <c r="AM252" s="490" t="str">
        <f>IF($B252="","",IF($R252=AM$5,(SUM($D252*VLOOKUP($C252,ESCALA!$B$3:$O$19,14,0)+10)*2)*27,""))</f>
        <v/>
      </c>
      <c r="AN252" s="490" t="str">
        <f>IF($B252="","",IF($R252=AN$5,(SUM($D252*VLOOKUP($C252,ESCALA!$B$3:$O$19,14,0)+10)*2)*27,""))</f>
        <v/>
      </c>
      <c r="AO252" s="490" t="str">
        <f>IF($B252="","",IF($R252=AO$5,(SUM($D252*VLOOKUP($C252,ESCALA!$B$3:$O$19,14,0)+10)*2)*27,""))</f>
        <v/>
      </c>
      <c r="AP252" s="490" t="str">
        <f>IF($B252="","",IF($R252=AP$5,(SUM($D252*VLOOKUP($C252,ESCALA!$B$3:$O$19,14,0)+10)*2)*27,""))</f>
        <v/>
      </c>
    </row>
    <row r="253" spans="2:42" ht="33.75" customHeight="1" x14ac:dyDescent="0.2">
      <c r="B253" s="551"/>
      <c r="C253" s="517"/>
      <c r="D253" s="503" t="str">
        <f>IF(C253="","",VLOOKUP(C253,'REL LINHAS'!$B$2:$K$2205,5,0))</f>
        <v/>
      </c>
      <c r="E253" s="321" t="str">
        <f t="shared" si="23"/>
        <v/>
      </c>
      <c r="F253" s="493"/>
      <c r="G253" s="494"/>
      <c r="H253" s="649"/>
      <c r="I253" s="650"/>
      <c r="J253" s="651"/>
      <c r="K253" s="652"/>
      <c r="L253" s="653"/>
      <c r="M253" s="654"/>
      <c r="N253" s="652"/>
      <c r="O253" s="653"/>
      <c r="P253" s="653"/>
      <c r="Q253" s="654"/>
      <c r="R253" s="655"/>
      <c r="S253" s="656"/>
      <c r="T253" s="652"/>
      <c r="U253" s="654"/>
      <c r="V253" s="652"/>
      <c r="W253" s="653"/>
      <c r="X253" s="654"/>
      <c r="Y253" s="495"/>
      <c r="Z253" s="496"/>
      <c r="AA253" s="63"/>
      <c r="AB253" s="497" t="s">
        <v>226</v>
      </c>
      <c r="AC253" s="63"/>
      <c r="AD253" s="497" t="s">
        <v>227</v>
      </c>
      <c r="AE253" s="63"/>
      <c r="AF253" s="497" t="s">
        <v>228</v>
      </c>
      <c r="AG253" s="63"/>
      <c r="AH253" s="498" t="s">
        <v>229</v>
      </c>
      <c r="AJ253" s="490" t="str">
        <f>IF($B253="","",IF($R253=AJ$5,(SUM($D253*VLOOKUP($C253,ESCALA!$B$3:$O$19,14,0)+10)*2)*27,""))</f>
        <v/>
      </c>
      <c r="AK253" s="490" t="str">
        <f>IF($B253="","",IF($R253=AK$5,(SUM($D253*VLOOKUP($C253,ESCALA!$B$3:$O$19,14,0)+10)*2)*27,""))</f>
        <v/>
      </c>
      <c r="AL253" s="490" t="str">
        <f>IF($B253="","",IF($R253=AL$5,(SUM($D253*VLOOKUP($C253,ESCALA!$B$3:$O$19,14,0)+10)*2)*27,""))</f>
        <v/>
      </c>
      <c r="AM253" s="490" t="str">
        <f>IF($B253="","",IF($R253=AM$5,(SUM($D253*VLOOKUP($C253,ESCALA!$B$3:$O$19,14,0)+10)*2)*27,""))</f>
        <v/>
      </c>
      <c r="AN253" s="490" t="str">
        <f>IF($B253="","",IF($R253=AN$5,(SUM($D253*VLOOKUP($C253,ESCALA!$B$3:$O$19,14,0)+10)*2)*27,""))</f>
        <v/>
      </c>
      <c r="AO253" s="490" t="str">
        <f>IF($B253="","",IF($R253=AO$5,(SUM($D253*VLOOKUP($C253,ESCALA!$B$3:$O$19,14,0)+10)*2)*27,""))</f>
        <v/>
      </c>
      <c r="AP253" s="490" t="str">
        <f>IF($B253="","",IF($R253=AP$5,(SUM($D253*VLOOKUP($C253,ESCALA!$B$3:$O$19,14,0)+10)*2)*27,""))</f>
        <v/>
      </c>
    </row>
    <row r="254" spans="2:42" ht="33.75" customHeight="1" x14ac:dyDescent="0.2">
      <c r="B254" s="551"/>
      <c r="C254" s="517"/>
      <c r="D254" s="503" t="str">
        <f>IF(C254="","",VLOOKUP(C254,'REL LINHAS'!$B$2:$K$2205,5,0))</f>
        <v/>
      </c>
      <c r="E254" s="321" t="str">
        <f t="shared" si="23"/>
        <v/>
      </c>
      <c r="F254" s="493"/>
      <c r="G254" s="494"/>
      <c r="H254" s="649"/>
      <c r="I254" s="650"/>
      <c r="J254" s="651"/>
      <c r="K254" s="652"/>
      <c r="L254" s="653"/>
      <c r="M254" s="654"/>
      <c r="N254" s="652"/>
      <c r="O254" s="653"/>
      <c r="P254" s="653"/>
      <c r="Q254" s="654"/>
      <c r="R254" s="655"/>
      <c r="S254" s="656"/>
      <c r="T254" s="652"/>
      <c r="U254" s="654"/>
      <c r="V254" s="652"/>
      <c r="W254" s="653"/>
      <c r="X254" s="654"/>
      <c r="Y254" s="495"/>
      <c r="Z254" s="496"/>
      <c r="AA254" s="63"/>
      <c r="AB254" s="497" t="s">
        <v>226</v>
      </c>
      <c r="AC254" s="63"/>
      <c r="AD254" s="497" t="s">
        <v>227</v>
      </c>
      <c r="AE254" s="63"/>
      <c r="AF254" s="497" t="s">
        <v>228</v>
      </c>
      <c r="AG254" s="63"/>
      <c r="AH254" s="498" t="s">
        <v>229</v>
      </c>
      <c r="AJ254" s="490" t="str">
        <f>IF($B254="","",IF($R254=AJ$5,(SUM($D254*VLOOKUP($C254,ESCALA!$B$3:$O$19,14,0)+10)*2)*27,""))</f>
        <v/>
      </c>
      <c r="AK254" s="490" t="str">
        <f>IF($B254="","",IF($R254=AK$5,(SUM($D254*VLOOKUP($C254,ESCALA!$B$3:$O$19,14,0)+10)*2)*27,""))</f>
        <v/>
      </c>
      <c r="AL254" s="490" t="str">
        <f>IF($B254="","",IF($R254=AL$5,(SUM($D254*VLOOKUP($C254,ESCALA!$B$3:$O$19,14,0)+10)*2)*27,""))</f>
        <v/>
      </c>
      <c r="AM254" s="490" t="str">
        <f>IF($B254="","",IF($R254=AM$5,(SUM($D254*VLOOKUP($C254,ESCALA!$B$3:$O$19,14,0)+10)*2)*27,""))</f>
        <v/>
      </c>
      <c r="AN254" s="490" t="str">
        <f>IF($B254="","",IF($R254=AN$5,(SUM($D254*VLOOKUP($C254,ESCALA!$B$3:$O$19,14,0)+10)*2)*27,""))</f>
        <v/>
      </c>
      <c r="AO254" s="490" t="str">
        <f>IF($B254="","",IF($R254=AO$5,(SUM($D254*VLOOKUP($C254,ESCALA!$B$3:$O$19,14,0)+10)*2)*27,""))</f>
        <v/>
      </c>
      <c r="AP254" s="490" t="str">
        <f>IF($B254="","",IF($R254=AP$5,(SUM($D254*VLOOKUP($C254,ESCALA!$B$3:$O$19,14,0)+10)*2)*27,""))</f>
        <v/>
      </c>
    </row>
    <row r="255" spans="2:42" ht="33.75" customHeight="1" x14ac:dyDescent="0.2">
      <c r="B255" s="551"/>
      <c r="C255" s="517"/>
      <c r="D255" s="503" t="str">
        <f>IF(C255="","",VLOOKUP(C255,'REL LINHAS'!$B$2:$K$2205,5,0))</f>
        <v/>
      </c>
      <c r="E255" s="321" t="str">
        <f t="shared" si="23"/>
        <v/>
      </c>
      <c r="F255" s="493"/>
      <c r="G255" s="494"/>
      <c r="H255" s="649"/>
      <c r="I255" s="650"/>
      <c r="J255" s="651"/>
      <c r="K255" s="652"/>
      <c r="L255" s="653"/>
      <c r="M255" s="654"/>
      <c r="N255" s="652"/>
      <c r="O255" s="653"/>
      <c r="P255" s="653"/>
      <c r="Q255" s="654"/>
      <c r="R255" s="655"/>
      <c r="S255" s="656"/>
      <c r="T255" s="652"/>
      <c r="U255" s="654"/>
      <c r="V255" s="652"/>
      <c r="W255" s="653"/>
      <c r="X255" s="654"/>
      <c r="Y255" s="495"/>
      <c r="Z255" s="496"/>
      <c r="AA255" s="63"/>
      <c r="AB255" s="497" t="s">
        <v>226</v>
      </c>
      <c r="AC255" s="63"/>
      <c r="AD255" s="497" t="s">
        <v>227</v>
      </c>
      <c r="AE255" s="63"/>
      <c r="AF255" s="497" t="s">
        <v>228</v>
      </c>
      <c r="AG255" s="63"/>
      <c r="AH255" s="498" t="s">
        <v>229</v>
      </c>
      <c r="AJ255" s="490" t="str">
        <f>IF($B255="","",IF($R255=AJ$5,(SUM($D255*VLOOKUP($C255,ESCALA!$B$3:$O$19,14,0)+10)*2)*27,""))</f>
        <v/>
      </c>
      <c r="AK255" s="490" t="str">
        <f>IF($B255="","",IF($R255=AK$5,(SUM($D255*VLOOKUP($C255,ESCALA!$B$3:$O$19,14,0)+10)*2)*27,""))</f>
        <v/>
      </c>
      <c r="AL255" s="490" t="str">
        <f>IF($B255="","",IF($R255=AL$5,(SUM($D255*VLOOKUP($C255,ESCALA!$B$3:$O$19,14,0)+10)*2)*27,""))</f>
        <v/>
      </c>
      <c r="AM255" s="490" t="str">
        <f>IF($B255="","",IF($R255=AM$5,(SUM($D255*VLOOKUP($C255,ESCALA!$B$3:$O$19,14,0)+10)*2)*27,""))</f>
        <v/>
      </c>
      <c r="AN255" s="490" t="str">
        <f>IF($B255="","",IF($R255=AN$5,(SUM($D255*VLOOKUP($C255,ESCALA!$B$3:$O$19,14,0)+10)*2)*27,""))</f>
        <v/>
      </c>
      <c r="AO255" s="490" t="str">
        <f>IF($B255="","",IF($R255=AO$5,(SUM($D255*VLOOKUP($C255,ESCALA!$B$3:$O$19,14,0)+10)*2)*27,""))</f>
        <v/>
      </c>
      <c r="AP255" s="490" t="str">
        <f>IF($B255="","",IF($R255=AP$5,(SUM($D255*VLOOKUP($C255,ESCALA!$B$3:$O$19,14,0)+10)*2)*27,""))</f>
        <v/>
      </c>
    </row>
    <row r="256" spans="2:42" ht="33.75" customHeight="1" x14ac:dyDescent="0.2">
      <c r="B256" s="551"/>
      <c r="C256" s="517"/>
      <c r="D256" s="503" t="str">
        <f>IF(C256="","",VLOOKUP(C256,'REL LINHAS'!$B$2:$K$2205,5,0))</f>
        <v/>
      </c>
      <c r="E256" s="321" t="str">
        <f t="shared" si="23"/>
        <v/>
      </c>
      <c r="F256" s="493"/>
      <c r="G256" s="494"/>
      <c r="H256" s="649"/>
      <c r="I256" s="650"/>
      <c r="J256" s="651"/>
      <c r="K256" s="652"/>
      <c r="L256" s="653"/>
      <c r="M256" s="654"/>
      <c r="N256" s="652"/>
      <c r="O256" s="653"/>
      <c r="P256" s="653"/>
      <c r="Q256" s="654"/>
      <c r="R256" s="655"/>
      <c r="S256" s="656"/>
      <c r="T256" s="652"/>
      <c r="U256" s="654"/>
      <c r="V256" s="652"/>
      <c r="W256" s="653"/>
      <c r="X256" s="654"/>
      <c r="Y256" s="495"/>
      <c r="Z256" s="496"/>
      <c r="AA256" s="63"/>
      <c r="AB256" s="497" t="s">
        <v>226</v>
      </c>
      <c r="AC256" s="63"/>
      <c r="AD256" s="497" t="s">
        <v>227</v>
      </c>
      <c r="AE256" s="63"/>
      <c r="AF256" s="497" t="s">
        <v>228</v>
      </c>
      <c r="AG256" s="63"/>
      <c r="AH256" s="498" t="s">
        <v>229</v>
      </c>
      <c r="AJ256" s="490" t="str">
        <f>IF($B256="","",IF($R256=AJ$5,(SUM($D256*VLOOKUP($C256,ESCALA!$B$3:$O$19,14,0)+10)*2)*27,""))</f>
        <v/>
      </c>
      <c r="AK256" s="490" t="str">
        <f>IF($B256="","",IF($R256=AK$5,(SUM($D256*VLOOKUP($C256,ESCALA!$B$3:$O$19,14,0)+10)*2)*27,""))</f>
        <v/>
      </c>
      <c r="AL256" s="490" t="str">
        <f>IF($B256="","",IF($R256=AL$5,(SUM($D256*VLOOKUP($C256,ESCALA!$B$3:$O$19,14,0)+10)*2)*27,""))</f>
        <v/>
      </c>
      <c r="AM256" s="490" t="str">
        <f>IF($B256="","",IF($R256=AM$5,(SUM($D256*VLOOKUP($C256,ESCALA!$B$3:$O$19,14,0)+10)*2)*27,""))</f>
        <v/>
      </c>
      <c r="AN256" s="490" t="str">
        <f>IF($B256="","",IF($R256=AN$5,(SUM($D256*VLOOKUP($C256,ESCALA!$B$3:$O$19,14,0)+10)*2)*27,""))</f>
        <v/>
      </c>
      <c r="AO256" s="490" t="str">
        <f>IF($B256="","",IF($R256=AO$5,(SUM($D256*VLOOKUP($C256,ESCALA!$B$3:$O$19,14,0)+10)*2)*27,""))</f>
        <v/>
      </c>
      <c r="AP256" s="490" t="str">
        <f>IF($B256="","",IF($R256=AP$5,(SUM($D256*VLOOKUP($C256,ESCALA!$B$3:$O$19,14,0)+10)*2)*27,""))</f>
        <v/>
      </c>
    </row>
    <row r="257" spans="2:42" ht="33.75" customHeight="1" x14ac:dyDescent="0.2">
      <c r="B257" s="551"/>
      <c r="C257" s="517"/>
      <c r="D257" s="503" t="str">
        <f>IF(C257="","",VLOOKUP(C257,'REL LINHAS'!$B$2:$K$2205,5,0))</f>
        <v/>
      </c>
      <c r="E257" s="321" t="str">
        <f t="shared" si="23"/>
        <v/>
      </c>
      <c r="F257" s="493"/>
      <c r="G257" s="494"/>
      <c r="H257" s="649"/>
      <c r="I257" s="650"/>
      <c r="J257" s="651"/>
      <c r="K257" s="652"/>
      <c r="L257" s="653"/>
      <c r="M257" s="654"/>
      <c r="N257" s="652"/>
      <c r="O257" s="653"/>
      <c r="P257" s="653"/>
      <c r="Q257" s="654"/>
      <c r="R257" s="655"/>
      <c r="S257" s="656"/>
      <c r="T257" s="652"/>
      <c r="U257" s="654"/>
      <c r="V257" s="652"/>
      <c r="W257" s="653"/>
      <c r="X257" s="654"/>
      <c r="Y257" s="495"/>
      <c r="Z257" s="496"/>
      <c r="AA257" s="63"/>
      <c r="AB257" s="497" t="s">
        <v>226</v>
      </c>
      <c r="AC257" s="63"/>
      <c r="AD257" s="497" t="s">
        <v>227</v>
      </c>
      <c r="AE257" s="63"/>
      <c r="AF257" s="497" t="s">
        <v>228</v>
      </c>
      <c r="AG257" s="63"/>
      <c r="AH257" s="498" t="s">
        <v>229</v>
      </c>
      <c r="AJ257" s="490" t="str">
        <f>IF($B257="","",IF($R257=AJ$5,(SUM($D257*VLOOKUP($C257,ESCALA!$B$3:$O$19,14,0)+10)*2)*27,""))</f>
        <v/>
      </c>
      <c r="AK257" s="490" t="str">
        <f>IF($B257="","",IF($R257=AK$5,(SUM($D257*VLOOKUP($C257,ESCALA!$B$3:$O$19,14,0)+10)*2)*27,""))</f>
        <v/>
      </c>
      <c r="AL257" s="490" t="str">
        <f>IF($B257="","",IF($R257=AL$5,(SUM($D257*VLOOKUP($C257,ESCALA!$B$3:$O$19,14,0)+10)*2)*27,""))</f>
        <v/>
      </c>
      <c r="AM257" s="490" t="str">
        <f>IF($B257="","",IF($R257=AM$5,(SUM($D257*VLOOKUP($C257,ESCALA!$B$3:$O$19,14,0)+10)*2)*27,""))</f>
        <v/>
      </c>
      <c r="AN257" s="490" t="str">
        <f>IF($B257="","",IF($R257=AN$5,(SUM($D257*VLOOKUP($C257,ESCALA!$B$3:$O$19,14,0)+10)*2)*27,""))</f>
        <v/>
      </c>
      <c r="AO257" s="490" t="str">
        <f>IF($B257="","",IF($R257=AO$5,(SUM($D257*VLOOKUP($C257,ESCALA!$B$3:$O$19,14,0)+10)*2)*27,""))</f>
        <v/>
      </c>
      <c r="AP257" s="490" t="str">
        <f>IF($B257="","",IF($R257=AP$5,(SUM($D257*VLOOKUP($C257,ESCALA!$B$3:$O$19,14,0)+10)*2)*27,""))</f>
        <v/>
      </c>
    </row>
    <row r="258" spans="2:42" ht="33.75" customHeight="1" x14ac:dyDescent="0.2">
      <c r="B258" s="551"/>
      <c r="C258" s="517"/>
      <c r="D258" s="503" t="str">
        <f>IF(C258="","",VLOOKUP(C258,'REL LINHAS'!$B$2:$K$2205,5,0))</f>
        <v/>
      </c>
      <c r="E258" s="321" t="str">
        <f t="shared" si="23"/>
        <v/>
      </c>
      <c r="F258" s="493"/>
      <c r="G258" s="494"/>
      <c r="H258" s="649"/>
      <c r="I258" s="650"/>
      <c r="J258" s="651"/>
      <c r="K258" s="652"/>
      <c r="L258" s="653"/>
      <c r="M258" s="654"/>
      <c r="N258" s="652"/>
      <c r="O258" s="653"/>
      <c r="P258" s="653"/>
      <c r="Q258" s="654"/>
      <c r="R258" s="655"/>
      <c r="S258" s="656"/>
      <c r="T258" s="652"/>
      <c r="U258" s="654"/>
      <c r="V258" s="652"/>
      <c r="W258" s="653"/>
      <c r="X258" s="654"/>
      <c r="Y258" s="495"/>
      <c r="Z258" s="496"/>
      <c r="AA258" s="63"/>
      <c r="AB258" s="497" t="s">
        <v>226</v>
      </c>
      <c r="AC258" s="63"/>
      <c r="AD258" s="497" t="s">
        <v>227</v>
      </c>
      <c r="AE258" s="63"/>
      <c r="AF258" s="497" t="s">
        <v>228</v>
      </c>
      <c r="AG258" s="63"/>
      <c r="AH258" s="498" t="s">
        <v>229</v>
      </c>
      <c r="AJ258" s="490" t="str">
        <f>IF($B258="","",IF($R258=AJ$5,(SUM($D258*VLOOKUP($C258,ESCALA!$B$3:$O$19,14,0)+10)*2)*27,""))</f>
        <v/>
      </c>
      <c r="AK258" s="490" t="str">
        <f>IF($B258="","",IF($R258=AK$5,(SUM($D258*VLOOKUP($C258,ESCALA!$B$3:$O$19,14,0)+10)*2)*27,""))</f>
        <v/>
      </c>
      <c r="AL258" s="490" t="str">
        <f>IF($B258="","",IF($R258=AL$5,(SUM($D258*VLOOKUP($C258,ESCALA!$B$3:$O$19,14,0)+10)*2)*27,""))</f>
        <v/>
      </c>
      <c r="AM258" s="490" t="str">
        <f>IF($B258="","",IF($R258=AM$5,(SUM($D258*VLOOKUP($C258,ESCALA!$B$3:$O$19,14,0)+10)*2)*27,""))</f>
        <v/>
      </c>
      <c r="AN258" s="490" t="str">
        <f>IF($B258="","",IF($R258=AN$5,(SUM($D258*VLOOKUP($C258,ESCALA!$B$3:$O$19,14,0)+10)*2)*27,""))</f>
        <v/>
      </c>
      <c r="AO258" s="490" t="str">
        <f>IF($B258="","",IF($R258=AO$5,(SUM($D258*VLOOKUP($C258,ESCALA!$B$3:$O$19,14,0)+10)*2)*27,""))</f>
        <v/>
      </c>
      <c r="AP258" s="490" t="str">
        <f>IF($B258="","",IF($R258=AP$5,(SUM($D258*VLOOKUP($C258,ESCALA!$B$3:$O$19,14,0)+10)*2)*27,""))</f>
        <v/>
      </c>
    </row>
    <row r="259" spans="2:42" ht="33.75" customHeight="1" x14ac:dyDescent="0.2">
      <c r="B259" s="551"/>
      <c r="C259" s="517"/>
      <c r="D259" s="503" t="str">
        <f>IF(C259="","",VLOOKUP(C259,'REL LINHAS'!$B$2:$K$2205,5,0))</f>
        <v/>
      </c>
      <c r="E259" s="321" t="str">
        <f t="shared" si="23"/>
        <v/>
      </c>
      <c r="F259" s="493"/>
      <c r="G259" s="494"/>
      <c r="H259" s="649"/>
      <c r="I259" s="650"/>
      <c r="J259" s="651"/>
      <c r="K259" s="652"/>
      <c r="L259" s="653"/>
      <c r="M259" s="654"/>
      <c r="N259" s="652"/>
      <c r="O259" s="653"/>
      <c r="P259" s="653"/>
      <c r="Q259" s="654"/>
      <c r="R259" s="655"/>
      <c r="S259" s="656"/>
      <c r="T259" s="652"/>
      <c r="U259" s="654"/>
      <c r="V259" s="652"/>
      <c r="W259" s="653"/>
      <c r="X259" s="654"/>
      <c r="Y259" s="495"/>
      <c r="Z259" s="496"/>
      <c r="AA259" s="63"/>
      <c r="AB259" s="497" t="s">
        <v>226</v>
      </c>
      <c r="AC259" s="63"/>
      <c r="AD259" s="497" t="s">
        <v>227</v>
      </c>
      <c r="AE259" s="63"/>
      <c r="AF259" s="497" t="s">
        <v>228</v>
      </c>
      <c r="AG259" s="63"/>
      <c r="AH259" s="498" t="s">
        <v>229</v>
      </c>
      <c r="AJ259" s="490" t="str">
        <f>IF($B259="","",IF($R259=AJ$5,(SUM($D259*VLOOKUP($C259,ESCALA!$B$3:$O$19,14,0)+10)*2)*27,""))</f>
        <v/>
      </c>
      <c r="AK259" s="490" t="str">
        <f>IF($B259="","",IF($R259=AK$5,(SUM($D259*VLOOKUP($C259,ESCALA!$B$3:$O$19,14,0)+10)*2)*27,""))</f>
        <v/>
      </c>
      <c r="AL259" s="490" t="str">
        <f>IF($B259="","",IF($R259=AL$5,(SUM($D259*VLOOKUP($C259,ESCALA!$B$3:$O$19,14,0)+10)*2)*27,""))</f>
        <v/>
      </c>
      <c r="AM259" s="490" t="str">
        <f>IF($B259="","",IF($R259=AM$5,(SUM($D259*VLOOKUP($C259,ESCALA!$B$3:$O$19,14,0)+10)*2)*27,""))</f>
        <v/>
      </c>
      <c r="AN259" s="490" t="str">
        <f>IF($B259="","",IF($R259=AN$5,(SUM($D259*VLOOKUP($C259,ESCALA!$B$3:$O$19,14,0)+10)*2)*27,""))</f>
        <v/>
      </c>
      <c r="AO259" s="490" t="str">
        <f>IF($B259="","",IF($R259=AO$5,(SUM($D259*VLOOKUP($C259,ESCALA!$B$3:$O$19,14,0)+10)*2)*27,""))</f>
        <v/>
      </c>
      <c r="AP259" s="490" t="str">
        <f>IF($B259="","",IF($R259=AP$5,(SUM($D259*VLOOKUP($C259,ESCALA!$B$3:$O$19,14,0)+10)*2)*27,""))</f>
        <v/>
      </c>
    </row>
    <row r="260" spans="2:42" ht="33.75" customHeight="1" x14ac:dyDescent="0.2">
      <c r="B260" s="551"/>
      <c r="C260" s="517"/>
      <c r="D260" s="503" t="str">
        <f>IF(C260="","",VLOOKUP(C260,'REL LINHAS'!$B$2:$K$2205,5,0))</f>
        <v/>
      </c>
      <c r="E260" s="321" t="str">
        <f t="shared" si="23"/>
        <v/>
      </c>
      <c r="F260" s="493"/>
      <c r="G260" s="494"/>
      <c r="H260" s="649"/>
      <c r="I260" s="650"/>
      <c r="J260" s="651"/>
      <c r="K260" s="652"/>
      <c r="L260" s="653"/>
      <c r="M260" s="654"/>
      <c r="N260" s="652"/>
      <c r="O260" s="653"/>
      <c r="P260" s="653"/>
      <c r="Q260" s="654"/>
      <c r="R260" s="655"/>
      <c r="S260" s="656"/>
      <c r="T260" s="652"/>
      <c r="U260" s="654"/>
      <c r="V260" s="652"/>
      <c r="W260" s="653"/>
      <c r="X260" s="654"/>
      <c r="Y260" s="495"/>
      <c r="Z260" s="496"/>
      <c r="AA260" s="63"/>
      <c r="AB260" s="497" t="s">
        <v>226</v>
      </c>
      <c r="AC260" s="63"/>
      <c r="AD260" s="497" t="s">
        <v>227</v>
      </c>
      <c r="AE260" s="63"/>
      <c r="AF260" s="497" t="s">
        <v>228</v>
      </c>
      <c r="AG260" s="63"/>
      <c r="AH260" s="498" t="s">
        <v>229</v>
      </c>
      <c r="AJ260" s="490" t="str">
        <f>IF($B260="","",IF($R260=AJ$5,(SUM($D260*VLOOKUP($C260,ESCALA!$B$3:$O$19,14,0)+10)*2)*27,""))</f>
        <v/>
      </c>
      <c r="AK260" s="490" t="str">
        <f>IF($B260="","",IF($R260=AK$5,(SUM($D260*VLOOKUP($C260,ESCALA!$B$3:$O$19,14,0)+10)*2)*27,""))</f>
        <v/>
      </c>
      <c r="AL260" s="490" t="str">
        <f>IF($B260="","",IF($R260=AL$5,(SUM($D260*VLOOKUP($C260,ESCALA!$B$3:$O$19,14,0)+10)*2)*27,""))</f>
        <v/>
      </c>
      <c r="AM260" s="490" t="str">
        <f>IF($B260="","",IF($R260=AM$5,(SUM($D260*VLOOKUP($C260,ESCALA!$B$3:$O$19,14,0)+10)*2)*27,""))</f>
        <v/>
      </c>
      <c r="AN260" s="490" t="str">
        <f>IF($B260="","",IF($R260=AN$5,(SUM($D260*VLOOKUP($C260,ESCALA!$B$3:$O$19,14,0)+10)*2)*27,""))</f>
        <v/>
      </c>
      <c r="AO260" s="490" t="str">
        <f>IF($B260="","",IF($R260=AO$5,(SUM($D260*VLOOKUP($C260,ESCALA!$B$3:$O$19,14,0)+10)*2)*27,""))</f>
        <v/>
      </c>
      <c r="AP260" s="490" t="str">
        <f>IF($B260="","",IF($R260=AP$5,(SUM($D260*VLOOKUP($C260,ESCALA!$B$3:$O$19,14,0)+10)*2)*27,""))</f>
        <v/>
      </c>
    </row>
    <row r="261" spans="2:42" ht="33.75" customHeight="1" x14ac:dyDescent="0.2">
      <c r="B261" s="551"/>
      <c r="C261" s="517"/>
      <c r="D261" s="503" t="str">
        <f>IF(C261="","",VLOOKUP(C261,'REL LINHAS'!$B$2:$K$2205,5,0))</f>
        <v/>
      </c>
      <c r="E261" s="321" t="str">
        <f t="shared" si="23"/>
        <v/>
      </c>
      <c r="F261" s="493"/>
      <c r="G261" s="494"/>
      <c r="H261" s="649"/>
      <c r="I261" s="650"/>
      <c r="J261" s="651"/>
      <c r="K261" s="652"/>
      <c r="L261" s="653"/>
      <c r="M261" s="654"/>
      <c r="N261" s="652"/>
      <c r="O261" s="653"/>
      <c r="P261" s="653"/>
      <c r="Q261" s="654"/>
      <c r="R261" s="655"/>
      <c r="S261" s="656"/>
      <c r="T261" s="652"/>
      <c r="U261" s="654"/>
      <c r="V261" s="652"/>
      <c r="W261" s="653"/>
      <c r="X261" s="654"/>
      <c r="Y261" s="495"/>
      <c r="Z261" s="496"/>
      <c r="AA261" s="63"/>
      <c r="AB261" s="497" t="s">
        <v>226</v>
      </c>
      <c r="AC261" s="63"/>
      <c r="AD261" s="497" t="s">
        <v>227</v>
      </c>
      <c r="AE261" s="63"/>
      <c r="AF261" s="497" t="s">
        <v>228</v>
      </c>
      <c r="AG261" s="63"/>
      <c r="AH261" s="498" t="s">
        <v>229</v>
      </c>
      <c r="AJ261" s="490" t="str">
        <f>IF($B261="","",IF($R261=AJ$5,(SUM($D261*VLOOKUP($C261,ESCALA!$B$3:$O$19,14,0)+10)*2)*27,""))</f>
        <v/>
      </c>
      <c r="AK261" s="490" t="str">
        <f>IF($B261="","",IF($R261=AK$5,(SUM($D261*VLOOKUP($C261,ESCALA!$B$3:$O$19,14,0)+10)*2)*27,""))</f>
        <v/>
      </c>
      <c r="AL261" s="490" t="str">
        <f>IF($B261="","",IF($R261=AL$5,(SUM($D261*VLOOKUP($C261,ESCALA!$B$3:$O$19,14,0)+10)*2)*27,""))</f>
        <v/>
      </c>
      <c r="AM261" s="490" t="str">
        <f>IF($B261="","",IF($R261=AM$5,(SUM($D261*VLOOKUP($C261,ESCALA!$B$3:$O$19,14,0)+10)*2)*27,""))</f>
        <v/>
      </c>
      <c r="AN261" s="490" t="str">
        <f>IF($B261="","",IF($R261=AN$5,(SUM($D261*VLOOKUP($C261,ESCALA!$B$3:$O$19,14,0)+10)*2)*27,""))</f>
        <v/>
      </c>
      <c r="AO261" s="490" t="str">
        <f>IF($B261="","",IF($R261=AO$5,(SUM($D261*VLOOKUP($C261,ESCALA!$B$3:$O$19,14,0)+10)*2)*27,""))</f>
        <v/>
      </c>
      <c r="AP261" s="490" t="str">
        <f>IF($B261="","",IF($R261=AP$5,(SUM($D261*VLOOKUP($C261,ESCALA!$B$3:$O$19,14,0)+10)*2)*27,""))</f>
        <v/>
      </c>
    </row>
    <row r="262" spans="2:42" ht="33.75" customHeight="1" x14ac:dyDescent="0.2">
      <c r="B262" s="551"/>
      <c r="C262" s="517"/>
      <c r="D262" s="503" t="str">
        <f>IF(C262="","",VLOOKUP(C262,'REL LINHAS'!$B$2:$K$2205,5,0))</f>
        <v/>
      </c>
      <c r="E262" s="321" t="str">
        <f t="shared" ref="E262:E305" si="24">IF($C262="","",IF($C262="LINHA","",IF(VLOOKUP($C262,$AX$6:$BA$21,2,0)=$H262,"ATENDE",IF(VLOOKUP($C262,$AX$6:$BA$21,3,0)=$H262,"ATENDE",IF(VLOOKUP($C262,$AX$6:$BA$21,4,0)=$H262,"ATENDE","NÃO ATENDE")))))</f>
        <v/>
      </c>
      <c r="F262" s="493"/>
      <c r="G262" s="494"/>
      <c r="H262" s="649"/>
      <c r="I262" s="650"/>
      <c r="J262" s="651"/>
      <c r="K262" s="652"/>
      <c r="L262" s="653"/>
      <c r="M262" s="654"/>
      <c r="N262" s="652"/>
      <c r="O262" s="653"/>
      <c r="P262" s="653"/>
      <c r="Q262" s="654"/>
      <c r="R262" s="655"/>
      <c r="S262" s="656"/>
      <c r="T262" s="652"/>
      <c r="U262" s="654"/>
      <c r="V262" s="652"/>
      <c r="W262" s="653"/>
      <c r="X262" s="654"/>
      <c r="Y262" s="495"/>
      <c r="Z262" s="496"/>
      <c r="AA262" s="63"/>
      <c r="AB262" s="497" t="s">
        <v>226</v>
      </c>
      <c r="AC262" s="63"/>
      <c r="AD262" s="497" t="s">
        <v>227</v>
      </c>
      <c r="AE262" s="63"/>
      <c r="AF262" s="497" t="s">
        <v>228</v>
      </c>
      <c r="AG262" s="63"/>
      <c r="AH262" s="498" t="s">
        <v>229</v>
      </c>
      <c r="AJ262" s="490" t="str">
        <f>IF($B262="","",IF($R262=AJ$5,(SUM($D262*VLOOKUP($C262,ESCALA!$B$3:$O$19,14,0)+10)*2)*27,""))</f>
        <v/>
      </c>
      <c r="AK262" s="490" t="str">
        <f>IF($B262="","",IF($R262=AK$5,(SUM($D262*VLOOKUP($C262,ESCALA!$B$3:$O$19,14,0)+10)*2)*27,""))</f>
        <v/>
      </c>
      <c r="AL262" s="490" t="str">
        <f>IF($B262="","",IF($R262=AL$5,(SUM($D262*VLOOKUP($C262,ESCALA!$B$3:$O$19,14,0)+10)*2)*27,""))</f>
        <v/>
      </c>
      <c r="AM262" s="490" t="str">
        <f>IF($B262="","",IF($R262=AM$5,(SUM($D262*VLOOKUP($C262,ESCALA!$B$3:$O$19,14,0)+10)*2)*27,""))</f>
        <v/>
      </c>
      <c r="AN262" s="490" t="str">
        <f>IF($B262="","",IF($R262=AN$5,(SUM($D262*VLOOKUP($C262,ESCALA!$B$3:$O$19,14,0)+10)*2)*27,""))</f>
        <v/>
      </c>
      <c r="AO262" s="490" t="str">
        <f>IF($B262="","",IF($R262=AO$5,(SUM($D262*VLOOKUP($C262,ESCALA!$B$3:$O$19,14,0)+10)*2)*27,""))</f>
        <v/>
      </c>
      <c r="AP262" s="490" t="str">
        <f>IF($B262="","",IF($R262=AP$5,(SUM($D262*VLOOKUP($C262,ESCALA!$B$3:$O$19,14,0)+10)*2)*27,""))</f>
        <v/>
      </c>
    </row>
    <row r="263" spans="2:42" ht="33.75" customHeight="1" x14ac:dyDescent="0.2">
      <c r="B263" s="551"/>
      <c r="C263" s="517"/>
      <c r="D263" s="503" t="str">
        <f>IF(C263="","",VLOOKUP(C263,'REL LINHAS'!$B$2:$K$2205,5,0))</f>
        <v/>
      </c>
      <c r="E263" s="321" t="str">
        <f t="shared" si="24"/>
        <v/>
      </c>
      <c r="F263" s="493"/>
      <c r="G263" s="494"/>
      <c r="H263" s="649"/>
      <c r="I263" s="650"/>
      <c r="J263" s="651"/>
      <c r="K263" s="652"/>
      <c r="L263" s="653"/>
      <c r="M263" s="654"/>
      <c r="N263" s="652"/>
      <c r="O263" s="653"/>
      <c r="P263" s="653"/>
      <c r="Q263" s="654"/>
      <c r="R263" s="655"/>
      <c r="S263" s="656"/>
      <c r="T263" s="652"/>
      <c r="U263" s="654"/>
      <c r="V263" s="652"/>
      <c r="W263" s="653"/>
      <c r="X263" s="654"/>
      <c r="Y263" s="495"/>
      <c r="Z263" s="496"/>
      <c r="AA263" s="63"/>
      <c r="AB263" s="497" t="s">
        <v>226</v>
      </c>
      <c r="AC263" s="63"/>
      <c r="AD263" s="497" t="s">
        <v>227</v>
      </c>
      <c r="AE263" s="63"/>
      <c r="AF263" s="497" t="s">
        <v>228</v>
      </c>
      <c r="AG263" s="63"/>
      <c r="AH263" s="498" t="s">
        <v>229</v>
      </c>
      <c r="AJ263" s="490" t="str">
        <f>IF($B263="","",IF($R263=AJ$5,(SUM($D263*VLOOKUP($C263,ESCALA!$B$3:$O$19,14,0)+10)*2)*27,""))</f>
        <v/>
      </c>
      <c r="AK263" s="490" t="str">
        <f>IF($B263="","",IF($R263=AK$5,(SUM($D263*VLOOKUP($C263,ESCALA!$B$3:$O$19,14,0)+10)*2)*27,""))</f>
        <v/>
      </c>
      <c r="AL263" s="490" t="str">
        <f>IF($B263="","",IF($R263=AL$5,(SUM($D263*VLOOKUP($C263,ESCALA!$B$3:$O$19,14,0)+10)*2)*27,""))</f>
        <v/>
      </c>
      <c r="AM263" s="490" t="str">
        <f>IF($B263="","",IF($R263=AM$5,(SUM($D263*VLOOKUP($C263,ESCALA!$B$3:$O$19,14,0)+10)*2)*27,""))</f>
        <v/>
      </c>
      <c r="AN263" s="490" t="str">
        <f>IF($B263="","",IF($R263=AN$5,(SUM($D263*VLOOKUP($C263,ESCALA!$B$3:$O$19,14,0)+10)*2)*27,""))</f>
        <v/>
      </c>
      <c r="AO263" s="490" t="str">
        <f>IF($B263="","",IF($R263=AO$5,(SUM($D263*VLOOKUP($C263,ESCALA!$B$3:$O$19,14,0)+10)*2)*27,""))</f>
        <v/>
      </c>
      <c r="AP263" s="490" t="str">
        <f>IF($B263="","",IF($R263=AP$5,(SUM($D263*VLOOKUP($C263,ESCALA!$B$3:$O$19,14,0)+10)*2)*27,""))</f>
        <v/>
      </c>
    </row>
    <row r="264" spans="2:42" ht="33.75" customHeight="1" x14ac:dyDescent="0.2">
      <c r="B264" s="551"/>
      <c r="C264" s="517"/>
      <c r="D264" s="503" t="str">
        <f>IF(C264="","",VLOOKUP(C264,'REL LINHAS'!$B$2:$K$2205,5,0))</f>
        <v/>
      </c>
      <c r="E264" s="321" t="str">
        <f t="shared" si="24"/>
        <v/>
      </c>
      <c r="F264" s="493"/>
      <c r="G264" s="494"/>
      <c r="H264" s="649"/>
      <c r="I264" s="650"/>
      <c r="J264" s="651"/>
      <c r="K264" s="652"/>
      <c r="L264" s="653"/>
      <c r="M264" s="654"/>
      <c r="N264" s="652"/>
      <c r="O264" s="653"/>
      <c r="P264" s="653"/>
      <c r="Q264" s="654"/>
      <c r="R264" s="655"/>
      <c r="S264" s="656"/>
      <c r="T264" s="652"/>
      <c r="U264" s="654"/>
      <c r="V264" s="652"/>
      <c r="W264" s="653"/>
      <c r="X264" s="654"/>
      <c r="Y264" s="495"/>
      <c r="Z264" s="496"/>
      <c r="AA264" s="63"/>
      <c r="AB264" s="497" t="s">
        <v>226</v>
      </c>
      <c r="AC264" s="63"/>
      <c r="AD264" s="497" t="s">
        <v>227</v>
      </c>
      <c r="AE264" s="63"/>
      <c r="AF264" s="497" t="s">
        <v>228</v>
      </c>
      <c r="AG264" s="63"/>
      <c r="AH264" s="498" t="s">
        <v>229</v>
      </c>
      <c r="AJ264" s="490" t="str">
        <f>IF($B264="","",IF($R264=AJ$5,(SUM($D264*VLOOKUP($C264,ESCALA!$B$3:$O$19,14,0)+10)*2)*27,""))</f>
        <v/>
      </c>
      <c r="AK264" s="490" t="str">
        <f>IF($B264="","",IF($R264=AK$5,(SUM($D264*VLOOKUP($C264,ESCALA!$B$3:$O$19,14,0)+10)*2)*27,""))</f>
        <v/>
      </c>
      <c r="AL264" s="490" t="str">
        <f>IF($B264="","",IF($R264=AL$5,(SUM($D264*VLOOKUP($C264,ESCALA!$B$3:$O$19,14,0)+10)*2)*27,""))</f>
        <v/>
      </c>
      <c r="AM264" s="490" t="str">
        <f>IF($B264="","",IF($R264=AM$5,(SUM($D264*VLOOKUP($C264,ESCALA!$B$3:$O$19,14,0)+10)*2)*27,""))</f>
        <v/>
      </c>
      <c r="AN264" s="490" t="str">
        <f>IF($B264="","",IF($R264=AN$5,(SUM($D264*VLOOKUP($C264,ESCALA!$B$3:$O$19,14,0)+10)*2)*27,""))</f>
        <v/>
      </c>
      <c r="AO264" s="490" t="str">
        <f>IF($B264="","",IF($R264=AO$5,(SUM($D264*VLOOKUP($C264,ESCALA!$B$3:$O$19,14,0)+10)*2)*27,""))</f>
        <v/>
      </c>
      <c r="AP264" s="490" t="str">
        <f>IF($B264="","",IF($R264=AP$5,(SUM($D264*VLOOKUP($C264,ESCALA!$B$3:$O$19,14,0)+10)*2)*27,""))</f>
        <v/>
      </c>
    </row>
    <row r="265" spans="2:42" ht="33.75" customHeight="1" x14ac:dyDescent="0.2">
      <c r="B265" s="551"/>
      <c r="C265" s="517"/>
      <c r="D265" s="503" t="str">
        <f>IF(C265="","",VLOOKUP(C265,'REL LINHAS'!$B$2:$K$2205,5,0))</f>
        <v/>
      </c>
      <c r="E265" s="321" t="str">
        <f t="shared" si="24"/>
        <v/>
      </c>
      <c r="F265" s="493"/>
      <c r="G265" s="494"/>
      <c r="H265" s="649"/>
      <c r="I265" s="650"/>
      <c r="J265" s="651"/>
      <c r="K265" s="652"/>
      <c r="L265" s="653"/>
      <c r="M265" s="654"/>
      <c r="N265" s="652"/>
      <c r="O265" s="653"/>
      <c r="P265" s="653"/>
      <c r="Q265" s="654"/>
      <c r="R265" s="655"/>
      <c r="S265" s="656"/>
      <c r="T265" s="652"/>
      <c r="U265" s="654"/>
      <c r="V265" s="652"/>
      <c r="W265" s="653"/>
      <c r="X265" s="654"/>
      <c r="Y265" s="495"/>
      <c r="Z265" s="496"/>
      <c r="AA265" s="63"/>
      <c r="AB265" s="497" t="s">
        <v>226</v>
      </c>
      <c r="AC265" s="63"/>
      <c r="AD265" s="497" t="s">
        <v>227</v>
      </c>
      <c r="AE265" s="63"/>
      <c r="AF265" s="497" t="s">
        <v>228</v>
      </c>
      <c r="AG265" s="63"/>
      <c r="AH265" s="498" t="s">
        <v>229</v>
      </c>
      <c r="AJ265" s="490" t="str">
        <f>IF($B265="","",IF($R265=AJ$5,(SUM($D265*VLOOKUP($C265,ESCALA!$B$3:$O$19,14,0)+10)*2)*27,""))</f>
        <v/>
      </c>
      <c r="AK265" s="490" t="str">
        <f>IF($B265="","",IF($R265=AK$5,(SUM($D265*VLOOKUP($C265,ESCALA!$B$3:$O$19,14,0)+10)*2)*27,""))</f>
        <v/>
      </c>
      <c r="AL265" s="490" t="str">
        <f>IF($B265="","",IF($R265=AL$5,(SUM($D265*VLOOKUP($C265,ESCALA!$B$3:$O$19,14,0)+10)*2)*27,""))</f>
        <v/>
      </c>
      <c r="AM265" s="490" t="str">
        <f>IF($B265="","",IF($R265=AM$5,(SUM($D265*VLOOKUP($C265,ESCALA!$B$3:$O$19,14,0)+10)*2)*27,""))</f>
        <v/>
      </c>
      <c r="AN265" s="490" t="str">
        <f>IF($B265="","",IF($R265=AN$5,(SUM($D265*VLOOKUP($C265,ESCALA!$B$3:$O$19,14,0)+10)*2)*27,""))</f>
        <v/>
      </c>
      <c r="AO265" s="490" t="str">
        <f>IF($B265="","",IF($R265=AO$5,(SUM($D265*VLOOKUP($C265,ESCALA!$B$3:$O$19,14,0)+10)*2)*27,""))</f>
        <v/>
      </c>
      <c r="AP265" s="490" t="str">
        <f>IF($B265="","",IF($R265=AP$5,(SUM($D265*VLOOKUP($C265,ESCALA!$B$3:$O$19,14,0)+10)*2)*27,""))</f>
        <v/>
      </c>
    </row>
    <row r="266" spans="2:42" ht="33.75" customHeight="1" x14ac:dyDescent="0.2">
      <c r="B266" s="551"/>
      <c r="C266" s="517"/>
      <c r="D266" s="503" t="str">
        <f>IF(C266="","",VLOOKUP(C266,'REL LINHAS'!$B$2:$K$2205,5,0))</f>
        <v/>
      </c>
      <c r="E266" s="321" t="str">
        <f t="shared" si="24"/>
        <v/>
      </c>
      <c r="F266" s="493"/>
      <c r="G266" s="494"/>
      <c r="H266" s="649"/>
      <c r="I266" s="650"/>
      <c r="J266" s="651"/>
      <c r="K266" s="652"/>
      <c r="L266" s="653"/>
      <c r="M266" s="654"/>
      <c r="N266" s="652"/>
      <c r="O266" s="653"/>
      <c r="P266" s="653"/>
      <c r="Q266" s="654"/>
      <c r="R266" s="655"/>
      <c r="S266" s="656"/>
      <c r="T266" s="652"/>
      <c r="U266" s="654"/>
      <c r="V266" s="652"/>
      <c r="W266" s="653"/>
      <c r="X266" s="654"/>
      <c r="Y266" s="495"/>
      <c r="Z266" s="496"/>
      <c r="AA266" s="63"/>
      <c r="AB266" s="497" t="s">
        <v>226</v>
      </c>
      <c r="AC266" s="63"/>
      <c r="AD266" s="497" t="s">
        <v>227</v>
      </c>
      <c r="AE266" s="63"/>
      <c r="AF266" s="497" t="s">
        <v>228</v>
      </c>
      <c r="AG266" s="63"/>
      <c r="AH266" s="498" t="s">
        <v>229</v>
      </c>
      <c r="AJ266" s="490" t="str">
        <f>IF($B266="","",IF($R266=AJ$5,(SUM($D266*VLOOKUP($C266,ESCALA!$B$3:$O$19,14,0)+10)*2)*27,""))</f>
        <v/>
      </c>
      <c r="AK266" s="490" t="str">
        <f>IF($B266="","",IF($R266=AK$5,(SUM($D266*VLOOKUP($C266,ESCALA!$B$3:$O$19,14,0)+10)*2)*27,""))</f>
        <v/>
      </c>
      <c r="AL266" s="490" t="str">
        <f>IF($B266="","",IF($R266=AL$5,(SUM($D266*VLOOKUP($C266,ESCALA!$B$3:$O$19,14,0)+10)*2)*27,""))</f>
        <v/>
      </c>
      <c r="AM266" s="490" t="str">
        <f>IF($B266="","",IF($R266=AM$5,(SUM($D266*VLOOKUP($C266,ESCALA!$B$3:$O$19,14,0)+10)*2)*27,""))</f>
        <v/>
      </c>
      <c r="AN266" s="490" t="str">
        <f>IF($B266="","",IF($R266=AN$5,(SUM($D266*VLOOKUP($C266,ESCALA!$B$3:$O$19,14,0)+10)*2)*27,""))</f>
        <v/>
      </c>
      <c r="AO266" s="490" t="str">
        <f>IF($B266="","",IF($R266=AO$5,(SUM($D266*VLOOKUP($C266,ESCALA!$B$3:$O$19,14,0)+10)*2)*27,""))</f>
        <v/>
      </c>
      <c r="AP266" s="490" t="str">
        <f>IF($B266="","",IF($R266=AP$5,(SUM($D266*VLOOKUP($C266,ESCALA!$B$3:$O$19,14,0)+10)*2)*27,""))</f>
        <v/>
      </c>
    </row>
    <row r="267" spans="2:42" ht="33.75" customHeight="1" x14ac:dyDescent="0.2">
      <c r="B267" s="551"/>
      <c r="C267" s="517"/>
      <c r="D267" s="503" t="str">
        <f>IF(C267="","",VLOOKUP(C267,'REL LINHAS'!$B$2:$K$2205,5,0))</f>
        <v/>
      </c>
      <c r="E267" s="321" t="str">
        <f t="shared" si="24"/>
        <v/>
      </c>
      <c r="F267" s="493"/>
      <c r="G267" s="494"/>
      <c r="H267" s="649"/>
      <c r="I267" s="650"/>
      <c r="J267" s="651"/>
      <c r="K267" s="652"/>
      <c r="L267" s="653"/>
      <c r="M267" s="654"/>
      <c r="N267" s="652"/>
      <c r="O267" s="653"/>
      <c r="P267" s="653"/>
      <c r="Q267" s="654"/>
      <c r="R267" s="655"/>
      <c r="S267" s="656"/>
      <c r="T267" s="652"/>
      <c r="U267" s="654"/>
      <c r="V267" s="652"/>
      <c r="W267" s="653"/>
      <c r="X267" s="654"/>
      <c r="Y267" s="495"/>
      <c r="Z267" s="496"/>
      <c r="AA267" s="63"/>
      <c r="AB267" s="497" t="s">
        <v>226</v>
      </c>
      <c r="AC267" s="63"/>
      <c r="AD267" s="497" t="s">
        <v>227</v>
      </c>
      <c r="AE267" s="63"/>
      <c r="AF267" s="497" t="s">
        <v>228</v>
      </c>
      <c r="AG267" s="63"/>
      <c r="AH267" s="498" t="s">
        <v>229</v>
      </c>
      <c r="AJ267" s="490" t="str">
        <f>IF($B267="","",IF($R267=AJ$5,(SUM($D267*VLOOKUP($C267,ESCALA!$B$3:$O$19,14,0)+10)*2)*27,""))</f>
        <v/>
      </c>
      <c r="AK267" s="490" t="str">
        <f>IF($B267="","",IF($R267=AK$5,(SUM($D267*VLOOKUP($C267,ESCALA!$B$3:$O$19,14,0)+10)*2)*27,""))</f>
        <v/>
      </c>
      <c r="AL267" s="490" t="str">
        <f>IF($B267="","",IF($R267=AL$5,(SUM($D267*VLOOKUP($C267,ESCALA!$B$3:$O$19,14,0)+10)*2)*27,""))</f>
        <v/>
      </c>
      <c r="AM267" s="490" t="str">
        <f>IF($B267="","",IF($R267=AM$5,(SUM($D267*VLOOKUP($C267,ESCALA!$B$3:$O$19,14,0)+10)*2)*27,""))</f>
        <v/>
      </c>
      <c r="AN267" s="490" t="str">
        <f>IF($B267="","",IF($R267=AN$5,(SUM($D267*VLOOKUP($C267,ESCALA!$B$3:$O$19,14,0)+10)*2)*27,""))</f>
        <v/>
      </c>
      <c r="AO267" s="490" t="str">
        <f>IF($B267="","",IF($R267=AO$5,(SUM($D267*VLOOKUP($C267,ESCALA!$B$3:$O$19,14,0)+10)*2)*27,""))</f>
        <v/>
      </c>
      <c r="AP267" s="490" t="str">
        <f>IF($B267="","",IF($R267=AP$5,(SUM($D267*VLOOKUP($C267,ESCALA!$B$3:$O$19,14,0)+10)*2)*27,""))</f>
        <v/>
      </c>
    </row>
    <row r="268" spans="2:42" ht="33.75" customHeight="1" x14ac:dyDescent="0.2">
      <c r="B268" s="551"/>
      <c r="C268" s="517"/>
      <c r="D268" s="503" t="str">
        <f>IF(C268="","",VLOOKUP(C268,'REL LINHAS'!$B$2:$K$2205,5,0))</f>
        <v/>
      </c>
      <c r="E268" s="321" t="str">
        <f t="shared" si="24"/>
        <v/>
      </c>
      <c r="F268" s="493"/>
      <c r="G268" s="494"/>
      <c r="H268" s="649"/>
      <c r="I268" s="650"/>
      <c r="J268" s="651"/>
      <c r="K268" s="652"/>
      <c r="L268" s="653"/>
      <c r="M268" s="654"/>
      <c r="N268" s="652"/>
      <c r="O268" s="653"/>
      <c r="P268" s="653"/>
      <c r="Q268" s="654"/>
      <c r="R268" s="655"/>
      <c r="S268" s="656"/>
      <c r="T268" s="652"/>
      <c r="U268" s="654"/>
      <c r="V268" s="652"/>
      <c r="W268" s="653"/>
      <c r="X268" s="654"/>
      <c r="Y268" s="495"/>
      <c r="Z268" s="496"/>
      <c r="AA268" s="63"/>
      <c r="AB268" s="497" t="s">
        <v>226</v>
      </c>
      <c r="AC268" s="63"/>
      <c r="AD268" s="497" t="s">
        <v>227</v>
      </c>
      <c r="AE268" s="63"/>
      <c r="AF268" s="497" t="s">
        <v>228</v>
      </c>
      <c r="AG268" s="63"/>
      <c r="AH268" s="498" t="s">
        <v>229</v>
      </c>
      <c r="AJ268" s="490" t="str">
        <f>IF($B268="","",IF($R268=AJ$5,(SUM($D268*VLOOKUP($C268,ESCALA!$B$3:$O$19,14,0)+10)*2)*27,""))</f>
        <v/>
      </c>
      <c r="AK268" s="490" t="str">
        <f>IF($B268="","",IF($R268=AK$5,(SUM($D268*VLOOKUP($C268,ESCALA!$B$3:$O$19,14,0)+10)*2)*27,""))</f>
        <v/>
      </c>
      <c r="AL268" s="490" t="str">
        <f>IF($B268="","",IF($R268=AL$5,(SUM($D268*VLOOKUP($C268,ESCALA!$B$3:$O$19,14,0)+10)*2)*27,""))</f>
        <v/>
      </c>
      <c r="AM268" s="490" t="str">
        <f>IF($B268="","",IF($R268=AM$5,(SUM($D268*VLOOKUP($C268,ESCALA!$B$3:$O$19,14,0)+10)*2)*27,""))</f>
        <v/>
      </c>
      <c r="AN268" s="490" t="str">
        <f>IF($B268="","",IF($R268=AN$5,(SUM($D268*VLOOKUP($C268,ESCALA!$B$3:$O$19,14,0)+10)*2)*27,""))</f>
        <v/>
      </c>
      <c r="AO268" s="490" t="str">
        <f>IF($B268="","",IF($R268=AO$5,(SUM($D268*VLOOKUP($C268,ESCALA!$B$3:$O$19,14,0)+10)*2)*27,""))</f>
        <v/>
      </c>
      <c r="AP268" s="490" t="str">
        <f>IF($B268="","",IF($R268=AP$5,(SUM($D268*VLOOKUP($C268,ESCALA!$B$3:$O$19,14,0)+10)*2)*27,""))</f>
        <v/>
      </c>
    </row>
    <row r="269" spans="2:42" ht="33.75" customHeight="1" x14ac:dyDescent="0.2">
      <c r="B269" s="551"/>
      <c r="C269" s="517"/>
      <c r="D269" s="503" t="str">
        <f>IF(C269="","",VLOOKUP(C269,'REL LINHAS'!$B$2:$K$2205,5,0))</f>
        <v/>
      </c>
      <c r="E269" s="321" t="str">
        <f t="shared" si="24"/>
        <v/>
      </c>
      <c r="F269" s="493"/>
      <c r="G269" s="494"/>
      <c r="H269" s="649"/>
      <c r="I269" s="650"/>
      <c r="J269" s="651"/>
      <c r="K269" s="652"/>
      <c r="L269" s="653"/>
      <c r="M269" s="654"/>
      <c r="N269" s="652"/>
      <c r="O269" s="653"/>
      <c r="P269" s="653"/>
      <c r="Q269" s="654"/>
      <c r="R269" s="655"/>
      <c r="S269" s="656"/>
      <c r="T269" s="652"/>
      <c r="U269" s="654"/>
      <c r="V269" s="652"/>
      <c r="W269" s="653"/>
      <c r="X269" s="654"/>
      <c r="Y269" s="495"/>
      <c r="Z269" s="496"/>
      <c r="AA269" s="63"/>
      <c r="AB269" s="497" t="s">
        <v>226</v>
      </c>
      <c r="AC269" s="63"/>
      <c r="AD269" s="497" t="s">
        <v>227</v>
      </c>
      <c r="AE269" s="63"/>
      <c r="AF269" s="497" t="s">
        <v>228</v>
      </c>
      <c r="AG269" s="63"/>
      <c r="AH269" s="498" t="s">
        <v>229</v>
      </c>
      <c r="AJ269" s="490" t="str">
        <f>IF($B269="","",IF($R269=AJ$5,(SUM($D269*VLOOKUP($C269,ESCALA!$B$3:$O$19,14,0)+10)*2)*27,""))</f>
        <v/>
      </c>
      <c r="AK269" s="490" t="str">
        <f>IF($B269="","",IF($R269=AK$5,(SUM($D269*VLOOKUP($C269,ESCALA!$B$3:$O$19,14,0)+10)*2)*27,""))</f>
        <v/>
      </c>
      <c r="AL269" s="490" t="str">
        <f>IF($B269="","",IF($R269=AL$5,(SUM($D269*VLOOKUP($C269,ESCALA!$B$3:$O$19,14,0)+10)*2)*27,""))</f>
        <v/>
      </c>
      <c r="AM269" s="490" t="str">
        <f>IF($B269="","",IF($R269=AM$5,(SUM($D269*VLOOKUP($C269,ESCALA!$B$3:$O$19,14,0)+10)*2)*27,""))</f>
        <v/>
      </c>
      <c r="AN269" s="490" t="str">
        <f>IF($B269="","",IF($R269=AN$5,(SUM($D269*VLOOKUP($C269,ESCALA!$B$3:$O$19,14,0)+10)*2)*27,""))</f>
        <v/>
      </c>
      <c r="AO269" s="490" t="str">
        <f>IF($B269="","",IF($R269=AO$5,(SUM($D269*VLOOKUP($C269,ESCALA!$B$3:$O$19,14,0)+10)*2)*27,""))</f>
        <v/>
      </c>
      <c r="AP269" s="490" t="str">
        <f>IF($B269="","",IF($R269=AP$5,(SUM($D269*VLOOKUP($C269,ESCALA!$B$3:$O$19,14,0)+10)*2)*27,""))</f>
        <v/>
      </c>
    </row>
    <row r="270" spans="2:42" ht="33.75" customHeight="1" x14ac:dyDescent="0.2">
      <c r="B270" s="551"/>
      <c r="C270" s="517"/>
      <c r="D270" s="503" t="str">
        <f>IF(C270="","",VLOOKUP(C270,'REL LINHAS'!$B$2:$K$2205,5,0))</f>
        <v/>
      </c>
      <c r="E270" s="321" t="str">
        <f t="shared" si="24"/>
        <v/>
      </c>
      <c r="F270" s="493"/>
      <c r="G270" s="494"/>
      <c r="H270" s="649"/>
      <c r="I270" s="650"/>
      <c r="J270" s="651"/>
      <c r="K270" s="652"/>
      <c r="L270" s="653"/>
      <c r="M270" s="654"/>
      <c r="N270" s="652"/>
      <c r="O270" s="653"/>
      <c r="P270" s="653"/>
      <c r="Q270" s="654"/>
      <c r="R270" s="655"/>
      <c r="S270" s="656"/>
      <c r="T270" s="652"/>
      <c r="U270" s="654"/>
      <c r="V270" s="652"/>
      <c r="W270" s="653"/>
      <c r="X270" s="654"/>
      <c r="Y270" s="495"/>
      <c r="Z270" s="496"/>
      <c r="AA270" s="63"/>
      <c r="AB270" s="497" t="s">
        <v>226</v>
      </c>
      <c r="AC270" s="63"/>
      <c r="AD270" s="497" t="s">
        <v>227</v>
      </c>
      <c r="AE270" s="63"/>
      <c r="AF270" s="497" t="s">
        <v>228</v>
      </c>
      <c r="AG270" s="63"/>
      <c r="AH270" s="498" t="s">
        <v>229</v>
      </c>
      <c r="AJ270" s="490" t="str">
        <f>IF($B270="","",IF($R270=AJ$5,(SUM($D270*VLOOKUP($C270,ESCALA!$B$3:$O$19,14,0)+10)*2)*27,""))</f>
        <v/>
      </c>
      <c r="AK270" s="490" t="str">
        <f>IF($B270="","",IF($R270=AK$5,(SUM($D270*VLOOKUP($C270,ESCALA!$B$3:$O$19,14,0)+10)*2)*27,""))</f>
        <v/>
      </c>
      <c r="AL270" s="490" t="str">
        <f>IF($B270="","",IF($R270=AL$5,(SUM($D270*VLOOKUP($C270,ESCALA!$B$3:$O$19,14,0)+10)*2)*27,""))</f>
        <v/>
      </c>
      <c r="AM270" s="490" t="str">
        <f>IF($B270="","",IF($R270=AM$5,(SUM($D270*VLOOKUP($C270,ESCALA!$B$3:$O$19,14,0)+10)*2)*27,""))</f>
        <v/>
      </c>
      <c r="AN270" s="490" t="str">
        <f>IF($B270="","",IF($R270=AN$5,(SUM($D270*VLOOKUP($C270,ESCALA!$B$3:$O$19,14,0)+10)*2)*27,""))</f>
        <v/>
      </c>
      <c r="AO270" s="490" t="str">
        <f>IF($B270="","",IF($R270=AO$5,(SUM($D270*VLOOKUP($C270,ESCALA!$B$3:$O$19,14,0)+10)*2)*27,""))</f>
        <v/>
      </c>
      <c r="AP270" s="490" t="str">
        <f>IF($B270="","",IF($R270=AP$5,(SUM($D270*VLOOKUP($C270,ESCALA!$B$3:$O$19,14,0)+10)*2)*27,""))</f>
        <v/>
      </c>
    </row>
    <row r="271" spans="2:42" ht="33.75" customHeight="1" x14ac:dyDescent="0.2">
      <c r="B271" s="551"/>
      <c r="C271" s="517"/>
      <c r="D271" s="503" t="str">
        <f>IF(C271="","",VLOOKUP(C271,'REL LINHAS'!$B$2:$K$2205,5,0))</f>
        <v/>
      </c>
      <c r="E271" s="321" t="str">
        <f t="shared" si="24"/>
        <v/>
      </c>
      <c r="F271" s="493"/>
      <c r="G271" s="494"/>
      <c r="H271" s="649"/>
      <c r="I271" s="650"/>
      <c r="J271" s="651"/>
      <c r="K271" s="652"/>
      <c r="L271" s="653"/>
      <c r="M271" s="654"/>
      <c r="N271" s="652"/>
      <c r="O271" s="653"/>
      <c r="P271" s="653"/>
      <c r="Q271" s="654"/>
      <c r="R271" s="655"/>
      <c r="S271" s="656"/>
      <c r="T271" s="652"/>
      <c r="U271" s="654"/>
      <c r="V271" s="652"/>
      <c r="W271" s="653"/>
      <c r="X271" s="654"/>
      <c r="Y271" s="495"/>
      <c r="Z271" s="496"/>
      <c r="AA271" s="63"/>
      <c r="AB271" s="497" t="s">
        <v>226</v>
      </c>
      <c r="AC271" s="63"/>
      <c r="AD271" s="497" t="s">
        <v>227</v>
      </c>
      <c r="AE271" s="63"/>
      <c r="AF271" s="497" t="s">
        <v>228</v>
      </c>
      <c r="AG271" s="63"/>
      <c r="AH271" s="498" t="s">
        <v>229</v>
      </c>
      <c r="AJ271" s="490" t="str">
        <f>IF($B271="","",IF($R271=AJ$5,(SUM($D271*VLOOKUP($C271,ESCALA!$B$3:$O$19,14,0)+10)*2)*27,""))</f>
        <v/>
      </c>
      <c r="AK271" s="490" t="str">
        <f>IF($B271="","",IF($R271=AK$5,(SUM($D271*VLOOKUP($C271,ESCALA!$B$3:$O$19,14,0)+10)*2)*27,""))</f>
        <v/>
      </c>
      <c r="AL271" s="490" t="str">
        <f>IF($B271="","",IF($R271=AL$5,(SUM($D271*VLOOKUP($C271,ESCALA!$B$3:$O$19,14,0)+10)*2)*27,""))</f>
        <v/>
      </c>
      <c r="AM271" s="490" t="str">
        <f>IF($B271="","",IF($R271=AM$5,(SUM($D271*VLOOKUP($C271,ESCALA!$B$3:$O$19,14,0)+10)*2)*27,""))</f>
        <v/>
      </c>
      <c r="AN271" s="490" t="str">
        <f>IF($B271="","",IF($R271=AN$5,(SUM($D271*VLOOKUP($C271,ESCALA!$B$3:$O$19,14,0)+10)*2)*27,""))</f>
        <v/>
      </c>
      <c r="AO271" s="490" t="str">
        <f>IF($B271="","",IF($R271=AO$5,(SUM($D271*VLOOKUP($C271,ESCALA!$B$3:$O$19,14,0)+10)*2)*27,""))</f>
        <v/>
      </c>
      <c r="AP271" s="490" t="str">
        <f>IF($B271="","",IF($R271=AP$5,(SUM($D271*VLOOKUP($C271,ESCALA!$B$3:$O$19,14,0)+10)*2)*27,""))</f>
        <v/>
      </c>
    </row>
    <row r="272" spans="2:42" ht="33.75" customHeight="1" x14ac:dyDescent="0.2">
      <c r="B272" s="551"/>
      <c r="C272" s="517"/>
      <c r="D272" s="503" t="str">
        <f>IF(C272="","",VLOOKUP(C272,'REL LINHAS'!$B$2:$K$2205,5,0))</f>
        <v/>
      </c>
      <c r="E272" s="321" t="str">
        <f t="shared" si="24"/>
        <v/>
      </c>
      <c r="F272" s="493"/>
      <c r="G272" s="494"/>
      <c r="H272" s="649"/>
      <c r="I272" s="650"/>
      <c r="J272" s="651"/>
      <c r="K272" s="652"/>
      <c r="L272" s="653"/>
      <c r="M272" s="654"/>
      <c r="N272" s="652"/>
      <c r="O272" s="653"/>
      <c r="P272" s="653"/>
      <c r="Q272" s="654"/>
      <c r="R272" s="655"/>
      <c r="S272" s="656"/>
      <c r="T272" s="652"/>
      <c r="U272" s="654"/>
      <c r="V272" s="652"/>
      <c r="W272" s="653"/>
      <c r="X272" s="654"/>
      <c r="Y272" s="495"/>
      <c r="Z272" s="496"/>
      <c r="AA272" s="63"/>
      <c r="AB272" s="497" t="s">
        <v>226</v>
      </c>
      <c r="AC272" s="63"/>
      <c r="AD272" s="497" t="s">
        <v>227</v>
      </c>
      <c r="AE272" s="63"/>
      <c r="AF272" s="497" t="s">
        <v>228</v>
      </c>
      <c r="AG272" s="63"/>
      <c r="AH272" s="498" t="s">
        <v>229</v>
      </c>
      <c r="AJ272" s="490" t="str">
        <f>IF($B272="","",IF($R272=AJ$5,(SUM($D272*VLOOKUP($C272,ESCALA!$B$3:$O$19,14,0)+10)*2)*27,""))</f>
        <v/>
      </c>
      <c r="AK272" s="490" t="str">
        <f>IF($B272="","",IF($R272=AK$5,(SUM($D272*VLOOKUP($C272,ESCALA!$B$3:$O$19,14,0)+10)*2)*27,""))</f>
        <v/>
      </c>
      <c r="AL272" s="490" t="str">
        <f>IF($B272="","",IF($R272=AL$5,(SUM($D272*VLOOKUP($C272,ESCALA!$B$3:$O$19,14,0)+10)*2)*27,""))</f>
        <v/>
      </c>
      <c r="AM272" s="490" t="str">
        <f>IF($B272="","",IF($R272=AM$5,(SUM($D272*VLOOKUP($C272,ESCALA!$B$3:$O$19,14,0)+10)*2)*27,""))</f>
        <v/>
      </c>
      <c r="AN272" s="490" t="str">
        <f>IF($B272="","",IF($R272=AN$5,(SUM($D272*VLOOKUP($C272,ESCALA!$B$3:$O$19,14,0)+10)*2)*27,""))</f>
        <v/>
      </c>
      <c r="AO272" s="490" t="str">
        <f>IF($B272="","",IF($R272=AO$5,(SUM($D272*VLOOKUP($C272,ESCALA!$B$3:$O$19,14,0)+10)*2)*27,""))</f>
        <v/>
      </c>
      <c r="AP272" s="490" t="str">
        <f>IF($B272="","",IF($R272=AP$5,(SUM($D272*VLOOKUP($C272,ESCALA!$B$3:$O$19,14,0)+10)*2)*27,""))</f>
        <v/>
      </c>
    </row>
    <row r="273" spans="2:42" ht="33.75" customHeight="1" x14ac:dyDescent="0.2">
      <c r="B273" s="551"/>
      <c r="C273" s="517"/>
      <c r="D273" s="503" t="str">
        <f>IF(C273="","",VLOOKUP(C273,'REL LINHAS'!$B$2:$K$2205,5,0))</f>
        <v/>
      </c>
      <c r="E273" s="321" t="str">
        <f t="shared" si="24"/>
        <v/>
      </c>
      <c r="F273" s="493"/>
      <c r="G273" s="494"/>
      <c r="H273" s="649"/>
      <c r="I273" s="650"/>
      <c r="J273" s="651"/>
      <c r="K273" s="652"/>
      <c r="L273" s="653"/>
      <c r="M273" s="654"/>
      <c r="N273" s="652"/>
      <c r="O273" s="653"/>
      <c r="P273" s="653"/>
      <c r="Q273" s="654"/>
      <c r="R273" s="655"/>
      <c r="S273" s="656"/>
      <c r="T273" s="652"/>
      <c r="U273" s="654"/>
      <c r="V273" s="652"/>
      <c r="W273" s="653"/>
      <c r="X273" s="654"/>
      <c r="Y273" s="495"/>
      <c r="Z273" s="496"/>
      <c r="AA273" s="63"/>
      <c r="AB273" s="497" t="s">
        <v>226</v>
      </c>
      <c r="AC273" s="63"/>
      <c r="AD273" s="497" t="s">
        <v>227</v>
      </c>
      <c r="AE273" s="63"/>
      <c r="AF273" s="497" t="s">
        <v>228</v>
      </c>
      <c r="AG273" s="63"/>
      <c r="AH273" s="498" t="s">
        <v>229</v>
      </c>
      <c r="AJ273" s="490" t="str">
        <f>IF($B273="","",IF($R273=AJ$5,(SUM($D273*VLOOKUP($C273,ESCALA!$B$3:$O$19,14,0)+10)*2)*27,""))</f>
        <v/>
      </c>
      <c r="AK273" s="490" t="str">
        <f>IF($B273="","",IF($R273=AK$5,(SUM($D273*VLOOKUP($C273,ESCALA!$B$3:$O$19,14,0)+10)*2)*27,""))</f>
        <v/>
      </c>
      <c r="AL273" s="490" t="str">
        <f>IF($B273="","",IF($R273=AL$5,(SUM($D273*VLOOKUP($C273,ESCALA!$B$3:$O$19,14,0)+10)*2)*27,""))</f>
        <v/>
      </c>
      <c r="AM273" s="490" t="str">
        <f>IF($B273="","",IF($R273=AM$5,(SUM($D273*VLOOKUP($C273,ESCALA!$B$3:$O$19,14,0)+10)*2)*27,""))</f>
        <v/>
      </c>
      <c r="AN273" s="490" t="str">
        <f>IF($B273="","",IF($R273=AN$5,(SUM($D273*VLOOKUP($C273,ESCALA!$B$3:$O$19,14,0)+10)*2)*27,""))</f>
        <v/>
      </c>
      <c r="AO273" s="490" t="str">
        <f>IF($B273="","",IF($R273=AO$5,(SUM($D273*VLOOKUP($C273,ESCALA!$B$3:$O$19,14,0)+10)*2)*27,""))</f>
        <v/>
      </c>
      <c r="AP273" s="490" t="str">
        <f>IF($B273="","",IF($R273=AP$5,(SUM($D273*VLOOKUP($C273,ESCALA!$B$3:$O$19,14,0)+10)*2)*27,""))</f>
        <v/>
      </c>
    </row>
    <row r="274" spans="2:42" ht="33.75" customHeight="1" x14ac:dyDescent="0.2">
      <c r="B274" s="551"/>
      <c r="C274" s="517"/>
      <c r="D274" s="503" t="str">
        <f>IF(C274="","",VLOOKUP(C274,'REL LINHAS'!$B$2:$K$2205,5,0))</f>
        <v/>
      </c>
      <c r="E274" s="321" t="str">
        <f t="shared" si="24"/>
        <v/>
      </c>
      <c r="F274" s="493"/>
      <c r="G274" s="494"/>
      <c r="H274" s="649"/>
      <c r="I274" s="650"/>
      <c r="J274" s="651"/>
      <c r="K274" s="652"/>
      <c r="L274" s="653"/>
      <c r="M274" s="654"/>
      <c r="N274" s="652"/>
      <c r="O274" s="653"/>
      <c r="P274" s="653"/>
      <c r="Q274" s="654"/>
      <c r="R274" s="655"/>
      <c r="S274" s="656"/>
      <c r="T274" s="652"/>
      <c r="U274" s="654"/>
      <c r="V274" s="652"/>
      <c r="W274" s="653"/>
      <c r="X274" s="654"/>
      <c r="Y274" s="495"/>
      <c r="Z274" s="496"/>
      <c r="AA274" s="63"/>
      <c r="AB274" s="497" t="s">
        <v>226</v>
      </c>
      <c r="AC274" s="63"/>
      <c r="AD274" s="497" t="s">
        <v>227</v>
      </c>
      <c r="AE274" s="63"/>
      <c r="AF274" s="497" t="s">
        <v>228</v>
      </c>
      <c r="AG274" s="63"/>
      <c r="AH274" s="498" t="s">
        <v>229</v>
      </c>
      <c r="AJ274" s="490" t="str">
        <f>IF($B274="","",IF($R274=AJ$5,(SUM($D274*VLOOKUP($C274,ESCALA!$B$3:$O$19,14,0)+10)*2)*27,""))</f>
        <v/>
      </c>
      <c r="AK274" s="490" t="str">
        <f>IF($B274="","",IF($R274=AK$5,(SUM($D274*VLOOKUP($C274,ESCALA!$B$3:$O$19,14,0)+10)*2)*27,""))</f>
        <v/>
      </c>
      <c r="AL274" s="490" t="str">
        <f>IF($B274="","",IF($R274=AL$5,(SUM($D274*VLOOKUP($C274,ESCALA!$B$3:$O$19,14,0)+10)*2)*27,""))</f>
        <v/>
      </c>
      <c r="AM274" s="490" t="str">
        <f>IF($B274="","",IF($R274=AM$5,(SUM($D274*VLOOKUP($C274,ESCALA!$B$3:$O$19,14,0)+10)*2)*27,""))</f>
        <v/>
      </c>
      <c r="AN274" s="490" t="str">
        <f>IF($B274="","",IF($R274=AN$5,(SUM($D274*VLOOKUP($C274,ESCALA!$B$3:$O$19,14,0)+10)*2)*27,""))</f>
        <v/>
      </c>
      <c r="AO274" s="490" t="str">
        <f>IF($B274="","",IF($R274=AO$5,(SUM($D274*VLOOKUP($C274,ESCALA!$B$3:$O$19,14,0)+10)*2)*27,""))</f>
        <v/>
      </c>
      <c r="AP274" s="490" t="str">
        <f>IF($B274="","",IF($R274=AP$5,(SUM($D274*VLOOKUP($C274,ESCALA!$B$3:$O$19,14,0)+10)*2)*27,""))</f>
        <v/>
      </c>
    </row>
    <row r="275" spans="2:42" ht="33.75" customHeight="1" x14ac:dyDescent="0.2">
      <c r="B275" s="551"/>
      <c r="C275" s="517"/>
      <c r="D275" s="503" t="str">
        <f>IF(C275="","",VLOOKUP(C275,'REL LINHAS'!$B$2:$K$2205,5,0))</f>
        <v/>
      </c>
      <c r="E275" s="321" t="str">
        <f t="shared" si="24"/>
        <v/>
      </c>
      <c r="F275" s="493"/>
      <c r="G275" s="494"/>
      <c r="H275" s="649"/>
      <c r="I275" s="650"/>
      <c r="J275" s="651"/>
      <c r="K275" s="652"/>
      <c r="L275" s="653"/>
      <c r="M275" s="654"/>
      <c r="N275" s="652"/>
      <c r="O275" s="653"/>
      <c r="P275" s="653"/>
      <c r="Q275" s="654"/>
      <c r="R275" s="655"/>
      <c r="S275" s="656"/>
      <c r="T275" s="652"/>
      <c r="U275" s="654"/>
      <c r="V275" s="652"/>
      <c r="W275" s="653"/>
      <c r="X275" s="654"/>
      <c r="Y275" s="495"/>
      <c r="Z275" s="496"/>
      <c r="AA275" s="63"/>
      <c r="AB275" s="497" t="s">
        <v>226</v>
      </c>
      <c r="AC275" s="63"/>
      <c r="AD275" s="497" t="s">
        <v>227</v>
      </c>
      <c r="AE275" s="63"/>
      <c r="AF275" s="497" t="s">
        <v>228</v>
      </c>
      <c r="AG275" s="63"/>
      <c r="AH275" s="498" t="s">
        <v>229</v>
      </c>
      <c r="AJ275" s="490" t="str">
        <f>IF($B275="","",IF($R275=AJ$5,(SUM($D275*VLOOKUP($C275,ESCALA!$B$3:$O$19,14,0)+10)*2)*27,""))</f>
        <v/>
      </c>
      <c r="AK275" s="490" t="str">
        <f>IF($B275="","",IF($R275=AK$5,(SUM($D275*VLOOKUP($C275,ESCALA!$B$3:$O$19,14,0)+10)*2)*27,""))</f>
        <v/>
      </c>
      <c r="AL275" s="490" t="str">
        <f>IF($B275="","",IF($R275=AL$5,(SUM($D275*VLOOKUP($C275,ESCALA!$B$3:$O$19,14,0)+10)*2)*27,""))</f>
        <v/>
      </c>
      <c r="AM275" s="490" t="str">
        <f>IF($B275="","",IF($R275=AM$5,(SUM($D275*VLOOKUP($C275,ESCALA!$B$3:$O$19,14,0)+10)*2)*27,""))</f>
        <v/>
      </c>
      <c r="AN275" s="490" t="str">
        <f>IF($B275="","",IF($R275=AN$5,(SUM($D275*VLOOKUP($C275,ESCALA!$B$3:$O$19,14,0)+10)*2)*27,""))</f>
        <v/>
      </c>
      <c r="AO275" s="490" t="str">
        <f>IF($B275="","",IF($R275=AO$5,(SUM($D275*VLOOKUP($C275,ESCALA!$B$3:$O$19,14,0)+10)*2)*27,""))</f>
        <v/>
      </c>
      <c r="AP275" s="490" t="str">
        <f>IF($B275="","",IF($R275=AP$5,(SUM($D275*VLOOKUP($C275,ESCALA!$B$3:$O$19,14,0)+10)*2)*27,""))</f>
        <v/>
      </c>
    </row>
    <row r="276" spans="2:42" ht="33.75" customHeight="1" x14ac:dyDescent="0.2">
      <c r="B276" s="551"/>
      <c r="C276" s="517"/>
      <c r="D276" s="503" t="str">
        <f>IF(C276="","",VLOOKUP(C276,'REL LINHAS'!$B$2:$K$2205,5,0))</f>
        <v/>
      </c>
      <c r="E276" s="321" t="str">
        <f t="shared" si="24"/>
        <v/>
      </c>
      <c r="F276" s="493"/>
      <c r="G276" s="494"/>
      <c r="H276" s="649"/>
      <c r="I276" s="650"/>
      <c r="J276" s="651"/>
      <c r="K276" s="652"/>
      <c r="L276" s="653"/>
      <c r="M276" s="654"/>
      <c r="N276" s="652"/>
      <c r="O276" s="653"/>
      <c r="P276" s="653"/>
      <c r="Q276" s="654"/>
      <c r="R276" s="655"/>
      <c r="S276" s="656"/>
      <c r="T276" s="652"/>
      <c r="U276" s="654"/>
      <c r="V276" s="652"/>
      <c r="W276" s="653"/>
      <c r="X276" s="654"/>
      <c r="Y276" s="495"/>
      <c r="Z276" s="496"/>
      <c r="AA276" s="63"/>
      <c r="AB276" s="497" t="s">
        <v>226</v>
      </c>
      <c r="AC276" s="63"/>
      <c r="AD276" s="497" t="s">
        <v>227</v>
      </c>
      <c r="AE276" s="63"/>
      <c r="AF276" s="497" t="s">
        <v>228</v>
      </c>
      <c r="AG276" s="63"/>
      <c r="AH276" s="498" t="s">
        <v>229</v>
      </c>
      <c r="AJ276" s="490" t="str">
        <f>IF($B276="","",IF($R276=AJ$5,(SUM($D276*VLOOKUP($C276,ESCALA!$B$3:$O$19,14,0)+10)*2)*27,""))</f>
        <v/>
      </c>
      <c r="AK276" s="490" t="str">
        <f>IF($B276="","",IF($R276=AK$5,(SUM($D276*VLOOKUP($C276,ESCALA!$B$3:$O$19,14,0)+10)*2)*27,""))</f>
        <v/>
      </c>
      <c r="AL276" s="490" t="str">
        <f>IF($B276="","",IF($R276=AL$5,(SUM($D276*VLOOKUP($C276,ESCALA!$B$3:$O$19,14,0)+10)*2)*27,""))</f>
        <v/>
      </c>
      <c r="AM276" s="490" t="str">
        <f>IF($B276="","",IF($R276=AM$5,(SUM($D276*VLOOKUP($C276,ESCALA!$B$3:$O$19,14,0)+10)*2)*27,""))</f>
        <v/>
      </c>
      <c r="AN276" s="490" t="str">
        <f>IF($B276="","",IF($R276=AN$5,(SUM($D276*VLOOKUP($C276,ESCALA!$B$3:$O$19,14,0)+10)*2)*27,""))</f>
        <v/>
      </c>
      <c r="AO276" s="490" t="str">
        <f>IF($B276="","",IF($R276=AO$5,(SUM($D276*VLOOKUP($C276,ESCALA!$B$3:$O$19,14,0)+10)*2)*27,""))</f>
        <v/>
      </c>
      <c r="AP276" s="490" t="str">
        <f>IF($B276="","",IF($R276=AP$5,(SUM($D276*VLOOKUP($C276,ESCALA!$B$3:$O$19,14,0)+10)*2)*27,""))</f>
        <v/>
      </c>
    </row>
    <row r="277" spans="2:42" ht="33.75" customHeight="1" x14ac:dyDescent="0.2">
      <c r="B277" s="551"/>
      <c r="C277" s="517"/>
      <c r="D277" s="503" t="str">
        <f>IF(C277="","",VLOOKUP(C277,'REL LINHAS'!$B$2:$K$2205,5,0))</f>
        <v/>
      </c>
      <c r="E277" s="321" t="str">
        <f t="shared" si="24"/>
        <v/>
      </c>
      <c r="F277" s="493"/>
      <c r="G277" s="494"/>
      <c r="H277" s="649"/>
      <c r="I277" s="650"/>
      <c r="J277" s="651"/>
      <c r="K277" s="652"/>
      <c r="L277" s="653"/>
      <c r="M277" s="654"/>
      <c r="N277" s="652"/>
      <c r="O277" s="653"/>
      <c r="P277" s="653"/>
      <c r="Q277" s="654"/>
      <c r="R277" s="655"/>
      <c r="S277" s="656"/>
      <c r="T277" s="652"/>
      <c r="U277" s="654"/>
      <c r="V277" s="652"/>
      <c r="W277" s="653"/>
      <c r="X277" s="654"/>
      <c r="Y277" s="495"/>
      <c r="Z277" s="496"/>
      <c r="AA277" s="63"/>
      <c r="AB277" s="497" t="s">
        <v>226</v>
      </c>
      <c r="AC277" s="63"/>
      <c r="AD277" s="497" t="s">
        <v>227</v>
      </c>
      <c r="AE277" s="63"/>
      <c r="AF277" s="497" t="s">
        <v>228</v>
      </c>
      <c r="AG277" s="63"/>
      <c r="AH277" s="498" t="s">
        <v>229</v>
      </c>
      <c r="AJ277" s="490" t="str">
        <f>IF($B277="","",IF($R277=AJ$5,(SUM($D277*VLOOKUP($C277,ESCALA!$B$3:$O$19,14,0)+10)*2)*27,""))</f>
        <v/>
      </c>
      <c r="AK277" s="490" t="str">
        <f>IF($B277="","",IF($R277=AK$5,(SUM($D277*VLOOKUP($C277,ESCALA!$B$3:$O$19,14,0)+10)*2)*27,""))</f>
        <v/>
      </c>
      <c r="AL277" s="490" t="str">
        <f>IF($B277="","",IF($R277=AL$5,(SUM($D277*VLOOKUP($C277,ESCALA!$B$3:$O$19,14,0)+10)*2)*27,""))</f>
        <v/>
      </c>
      <c r="AM277" s="490" t="str">
        <f>IF($B277="","",IF($R277=AM$5,(SUM($D277*VLOOKUP($C277,ESCALA!$B$3:$O$19,14,0)+10)*2)*27,""))</f>
        <v/>
      </c>
      <c r="AN277" s="490" t="str">
        <f>IF($B277="","",IF($R277=AN$5,(SUM($D277*VLOOKUP($C277,ESCALA!$B$3:$O$19,14,0)+10)*2)*27,""))</f>
        <v/>
      </c>
      <c r="AO277" s="490" t="str">
        <f>IF($B277="","",IF($R277=AO$5,(SUM($D277*VLOOKUP($C277,ESCALA!$B$3:$O$19,14,0)+10)*2)*27,""))</f>
        <v/>
      </c>
      <c r="AP277" s="490" t="str">
        <f>IF($B277="","",IF($R277=AP$5,(SUM($D277*VLOOKUP($C277,ESCALA!$B$3:$O$19,14,0)+10)*2)*27,""))</f>
        <v/>
      </c>
    </row>
    <row r="278" spans="2:42" ht="33.75" customHeight="1" x14ac:dyDescent="0.2">
      <c r="B278" s="551"/>
      <c r="C278" s="517"/>
      <c r="D278" s="503" t="str">
        <f>IF(C278="","",VLOOKUP(C278,'REL LINHAS'!$B$2:$K$2205,5,0))</f>
        <v/>
      </c>
      <c r="E278" s="321" t="str">
        <f t="shared" si="24"/>
        <v/>
      </c>
      <c r="F278" s="493"/>
      <c r="G278" s="494"/>
      <c r="H278" s="649"/>
      <c r="I278" s="650"/>
      <c r="J278" s="651"/>
      <c r="K278" s="652"/>
      <c r="L278" s="653"/>
      <c r="M278" s="654"/>
      <c r="N278" s="652"/>
      <c r="O278" s="653"/>
      <c r="P278" s="653"/>
      <c r="Q278" s="654"/>
      <c r="R278" s="655"/>
      <c r="S278" s="656"/>
      <c r="T278" s="652"/>
      <c r="U278" s="654"/>
      <c r="V278" s="652"/>
      <c r="W278" s="653"/>
      <c r="X278" s="654"/>
      <c r="Y278" s="495"/>
      <c r="Z278" s="496"/>
      <c r="AA278" s="63"/>
      <c r="AB278" s="497" t="s">
        <v>226</v>
      </c>
      <c r="AC278" s="63"/>
      <c r="AD278" s="497" t="s">
        <v>227</v>
      </c>
      <c r="AE278" s="63"/>
      <c r="AF278" s="497" t="s">
        <v>228</v>
      </c>
      <c r="AG278" s="63"/>
      <c r="AH278" s="498" t="s">
        <v>229</v>
      </c>
      <c r="AJ278" s="490" t="str">
        <f>IF($B278="","",IF($R278=AJ$5,(SUM($D278*VLOOKUP($C278,ESCALA!$B$3:$O$19,14,0)+10)*2)*27,""))</f>
        <v/>
      </c>
      <c r="AK278" s="490" t="str">
        <f>IF($B278="","",IF($R278=AK$5,(SUM($D278*VLOOKUP($C278,ESCALA!$B$3:$O$19,14,0)+10)*2)*27,""))</f>
        <v/>
      </c>
      <c r="AL278" s="490" t="str">
        <f>IF($B278="","",IF($R278=AL$5,(SUM($D278*VLOOKUP($C278,ESCALA!$B$3:$O$19,14,0)+10)*2)*27,""))</f>
        <v/>
      </c>
      <c r="AM278" s="490" t="str">
        <f>IF($B278="","",IF($R278=AM$5,(SUM($D278*VLOOKUP($C278,ESCALA!$B$3:$O$19,14,0)+10)*2)*27,""))</f>
        <v/>
      </c>
      <c r="AN278" s="490" t="str">
        <f>IF($B278="","",IF($R278=AN$5,(SUM($D278*VLOOKUP($C278,ESCALA!$B$3:$O$19,14,0)+10)*2)*27,""))</f>
        <v/>
      </c>
      <c r="AO278" s="490" t="str">
        <f>IF($B278="","",IF($R278=AO$5,(SUM($D278*VLOOKUP($C278,ESCALA!$B$3:$O$19,14,0)+10)*2)*27,""))</f>
        <v/>
      </c>
      <c r="AP278" s="490" t="str">
        <f>IF($B278="","",IF($R278=AP$5,(SUM($D278*VLOOKUP($C278,ESCALA!$B$3:$O$19,14,0)+10)*2)*27,""))</f>
        <v/>
      </c>
    </row>
    <row r="279" spans="2:42" ht="33.75" customHeight="1" x14ac:dyDescent="0.2">
      <c r="B279" s="551"/>
      <c r="C279" s="517"/>
      <c r="D279" s="503" t="str">
        <f>IF(C279="","",VLOOKUP(C279,'REL LINHAS'!$B$2:$K$2205,5,0))</f>
        <v/>
      </c>
      <c r="E279" s="321" t="str">
        <f t="shared" si="24"/>
        <v/>
      </c>
      <c r="F279" s="493"/>
      <c r="G279" s="494"/>
      <c r="H279" s="649"/>
      <c r="I279" s="650"/>
      <c r="J279" s="651"/>
      <c r="K279" s="652"/>
      <c r="L279" s="653"/>
      <c r="M279" s="654"/>
      <c r="N279" s="652"/>
      <c r="O279" s="653"/>
      <c r="P279" s="653"/>
      <c r="Q279" s="654"/>
      <c r="R279" s="655"/>
      <c r="S279" s="656"/>
      <c r="T279" s="652"/>
      <c r="U279" s="654"/>
      <c r="V279" s="652"/>
      <c r="W279" s="653"/>
      <c r="X279" s="654"/>
      <c r="Y279" s="495"/>
      <c r="Z279" s="496"/>
      <c r="AA279" s="63"/>
      <c r="AB279" s="497" t="s">
        <v>226</v>
      </c>
      <c r="AC279" s="63"/>
      <c r="AD279" s="497" t="s">
        <v>227</v>
      </c>
      <c r="AE279" s="63"/>
      <c r="AF279" s="497" t="s">
        <v>228</v>
      </c>
      <c r="AG279" s="63"/>
      <c r="AH279" s="498" t="s">
        <v>229</v>
      </c>
      <c r="AJ279" s="490" t="str">
        <f>IF($B279="","",IF($R279=AJ$5,(SUM($D279*VLOOKUP($C279,ESCALA!$B$3:$O$19,14,0)+10)*2)*27,""))</f>
        <v/>
      </c>
      <c r="AK279" s="490" t="str">
        <f>IF($B279="","",IF($R279=AK$5,(SUM($D279*VLOOKUP($C279,ESCALA!$B$3:$O$19,14,0)+10)*2)*27,""))</f>
        <v/>
      </c>
      <c r="AL279" s="490" t="str">
        <f>IF($B279="","",IF($R279=AL$5,(SUM($D279*VLOOKUP($C279,ESCALA!$B$3:$O$19,14,0)+10)*2)*27,""))</f>
        <v/>
      </c>
      <c r="AM279" s="490" t="str">
        <f>IF($B279="","",IF($R279=AM$5,(SUM($D279*VLOOKUP($C279,ESCALA!$B$3:$O$19,14,0)+10)*2)*27,""))</f>
        <v/>
      </c>
      <c r="AN279" s="490" t="str">
        <f>IF($B279="","",IF($R279=AN$5,(SUM($D279*VLOOKUP($C279,ESCALA!$B$3:$O$19,14,0)+10)*2)*27,""))</f>
        <v/>
      </c>
      <c r="AO279" s="490" t="str">
        <f>IF($B279="","",IF($R279=AO$5,(SUM($D279*VLOOKUP($C279,ESCALA!$B$3:$O$19,14,0)+10)*2)*27,""))</f>
        <v/>
      </c>
      <c r="AP279" s="490" t="str">
        <f>IF($B279="","",IF($R279=AP$5,(SUM($D279*VLOOKUP($C279,ESCALA!$B$3:$O$19,14,0)+10)*2)*27,""))</f>
        <v/>
      </c>
    </row>
    <row r="280" spans="2:42" ht="33.75" customHeight="1" x14ac:dyDescent="0.2">
      <c r="B280" s="551"/>
      <c r="C280" s="517"/>
      <c r="D280" s="503" t="str">
        <f>IF(C280="","",VLOOKUP(C280,'REL LINHAS'!$B$2:$K$2205,5,0))</f>
        <v/>
      </c>
      <c r="E280" s="321" t="str">
        <f t="shared" si="24"/>
        <v/>
      </c>
      <c r="F280" s="493"/>
      <c r="G280" s="494"/>
      <c r="H280" s="649"/>
      <c r="I280" s="650"/>
      <c r="J280" s="651"/>
      <c r="K280" s="652"/>
      <c r="L280" s="653"/>
      <c r="M280" s="654"/>
      <c r="N280" s="652"/>
      <c r="O280" s="653"/>
      <c r="P280" s="653"/>
      <c r="Q280" s="654"/>
      <c r="R280" s="655"/>
      <c r="S280" s="656"/>
      <c r="T280" s="652"/>
      <c r="U280" s="654"/>
      <c r="V280" s="652"/>
      <c r="W280" s="653"/>
      <c r="X280" s="654"/>
      <c r="Y280" s="495"/>
      <c r="Z280" s="496"/>
      <c r="AA280" s="63"/>
      <c r="AB280" s="497" t="s">
        <v>226</v>
      </c>
      <c r="AC280" s="63"/>
      <c r="AD280" s="497" t="s">
        <v>227</v>
      </c>
      <c r="AE280" s="63"/>
      <c r="AF280" s="497" t="s">
        <v>228</v>
      </c>
      <c r="AG280" s="63"/>
      <c r="AH280" s="498" t="s">
        <v>229</v>
      </c>
      <c r="AJ280" s="490" t="str">
        <f>IF($B280="","",IF($R280=AJ$5,(SUM($D280*VLOOKUP($C280,ESCALA!$B$3:$O$19,14,0)+10)*2)*27,""))</f>
        <v/>
      </c>
      <c r="AK280" s="490" t="str">
        <f>IF($B280="","",IF($R280=AK$5,(SUM($D280*VLOOKUP($C280,ESCALA!$B$3:$O$19,14,0)+10)*2)*27,""))</f>
        <v/>
      </c>
      <c r="AL280" s="490" t="str">
        <f>IF($B280="","",IF($R280=AL$5,(SUM($D280*VLOOKUP($C280,ESCALA!$B$3:$O$19,14,0)+10)*2)*27,""))</f>
        <v/>
      </c>
      <c r="AM280" s="490" t="str">
        <f>IF($B280="","",IF($R280=AM$5,(SUM($D280*VLOOKUP($C280,ESCALA!$B$3:$O$19,14,0)+10)*2)*27,""))</f>
        <v/>
      </c>
      <c r="AN280" s="490" t="str">
        <f>IF($B280="","",IF($R280=AN$5,(SUM($D280*VLOOKUP($C280,ESCALA!$B$3:$O$19,14,0)+10)*2)*27,""))</f>
        <v/>
      </c>
      <c r="AO280" s="490" t="str">
        <f>IF($B280="","",IF($R280=AO$5,(SUM($D280*VLOOKUP($C280,ESCALA!$B$3:$O$19,14,0)+10)*2)*27,""))</f>
        <v/>
      </c>
      <c r="AP280" s="490" t="str">
        <f>IF($B280="","",IF($R280=AP$5,(SUM($D280*VLOOKUP($C280,ESCALA!$B$3:$O$19,14,0)+10)*2)*27,""))</f>
        <v/>
      </c>
    </row>
    <row r="281" spans="2:42" ht="33.75" customHeight="1" x14ac:dyDescent="0.2">
      <c r="B281" s="551"/>
      <c r="C281" s="517"/>
      <c r="D281" s="503" t="str">
        <f>IF(C281="","",VLOOKUP(C281,'REL LINHAS'!$B$2:$K$2205,5,0))</f>
        <v/>
      </c>
      <c r="E281" s="321" t="str">
        <f t="shared" si="24"/>
        <v/>
      </c>
      <c r="F281" s="493"/>
      <c r="G281" s="494"/>
      <c r="H281" s="649"/>
      <c r="I281" s="650"/>
      <c r="J281" s="651"/>
      <c r="K281" s="652"/>
      <c r="L281" s="653"/>
      <c r="M281" s="654"/>
      <c r="N281" s="652"/>
      <c r="O281" s="653"/>
      <c r="P281" s="653"/>
      <c r="Q281" s="654"/>
      <c r="R281" s="655"/>
      <c r="S281" s="656"/>
      <c r="T281" s="652"/>
      <c r="U281" s="654"/>
      <c r="V281" s="652"/>
      <c r="W281" s="653"/>
      <c r="X281" s="654"/>
      <c r="Y281" s="495"/>
      <c r="Z281" s="496"/>
      <c r="AA281" s="63"/>
      <c r="AB281" s="497" t="s">
        <v>226</v>
      </c>
      <c r="AC281" s="63"/>
      <c r="AD281" s="497" t="s">
        <v>227</v>
      </c>
      <c r="AE281" s="63"/>
      <c r="AF281" s="497" t="s">
        <v>228</v>
      </c>
      <c r="AG281" s="63"/>
      <c r="AH281" s="498" t="s">
        <v>229</v>
      </c>
      <c r="AJ281" s="490" t="str">
        <f>IF($B281="","",IF($R281=AJ$5,(SUM($D281*VLOOKUP($C281,ESCALA!$B$3:$O$19,14,0)+10)*2)*27,""))</f>
        <v/>
      </c>
      <c r="AK281" s="490" t="str">
        <f>IF($B281="","",IF($R281=AK$5,(SUM($D281*VLOOKUP($C281,ESCALA!$B$3:$O$19,14,0)+10)*2)*27,""))</f>
        <v/>
      </c>
      <c r="AL281" s="490" t="str">
        <f>IF($B281="","",IF($R281=AL$5,(SUM($D281*VLOOKUP($C281,ESCALA!$B$3:$O$19,14,0)+10)*2)*27,""))</f>
        <v/>
      </c>
      <c r="AM281" s="490" t="str">
        <f>IF($B281="","",IF($R281=AM$5,(SUM($D281*VLOOKUP($C281,ESCALA!$B$3:$O$19,14,0)+10)*2)*27,""))</f>
        <v/>
      </c>
      <c r="AN281" s="490" t="str">
        <f>IF($B281="","",IF($R281=AN$5,(SUM($D281*VLOOKUP($C281,ESCALA!$B$3:$O$19,14,0)+10)*2)*27,""))</f>
        <v/>
      </c>
      <c r="AO281" s="490" t="str">
        <f>IF($B281="","",IF($R281=AO$5,(SUM($D281*VLOOKUP($C281,ESCALA!$B$3:$O$19,14,0)+10)*2)*27,""))</f>
        <v/>
      </c>
      <c r="AP281" s="490" t="str">
        <f>IF($B281="","",IF($R281=AP$5,(SUM($D281*VLOOKUP($C281,ESCALA!$B$3:$O$19,14,0)+10)*2)*27,""))</f>
        <v/>
      </c>
    </row>
    <row r="282" spans="2:42" ht="33.75" customHeight="1" x14ac:dyDescent="0.2">
      <c r="B282" s="551"/>
      <c r="C282" s="517"/>
      <c r="D282" s="503" t="str">
        <f>IF(C282="","",VLOOKUP(C282,'REL LINHAS'!$B$2:$K$2205,5,0))</f>
        <v/>
      </c>
      <c r="E282" s="321" t="str">
        <f t="shared" si="24"/>
        <v/>
      </c>
      <c r="F282" s="493"/>
      <c r="G282" s="494"/>
      <c r="H282" s="649"/>
      <c r="I282" s="650"/>
      <c r="J282" s="651"/>
      <c r="K282" s="652"/>
      <c r="L282" s="653"/>
      <c r="M282" s="654"/>
      <c r="N282" s="652"/>
      <c r="O282" s="653"/>
      <c r="P282" s="653"/>
      <c r="Q282" s="654"/>
      <c r="R282" s="655"/>
      <c r="S282" s="656"/>
      <c r="T282" s="652"/>
      <c r="U282" s="654"/>
      <c r="V282" s="652"/>
      <c r="W282" s="653"/>
      <c r="X282" s="654"/>
      <c r="Y282" s="495"/>
      <c r="Z282" s="496"/>
      <c r="AA282" s="63"/>
      <c r="AB282" s="497" t="s">
        <v>226</v>
      </c>
      <c r="AC282" s="63"/>
      <c r="AD282" s="497" t="s">
        <v>227</v>
      </c>
      <c r="AE282" s="63"/>
      <c r="AF282" s="497" t="s">
        <v>228</v>
      </c>
      <c r="AG282" s="63"/>
      <c r="AH282" s="498" t="s">
        <v>229</v>
      </c>
      <c r="AJ282" s="490" t="str">
        <f>IF($B282="","",IF($R282=AJ$5,(SUM($D282*VLOOKUP($C282,ESCALA!$B$3:$O$19,14,0)+10)*2)*27,""))</f>
        <v/>
      </c>
      <c r="AK282" s="490" t="str">
        <f>IF($B282="","",IF($R282=AK$5,(SUM($D282*VLOOKUP($C282,ESCALA!$B$3:$O$19,14,0)+10)*2)*27,""))</f>
        <v/>
      </c>
      <c r="AL282" s="490" t="str">
        <f>IF($B282="","",IF($R282=AL$5,(SUM($D282*VLOOKUP($C282,ESCALA!$B$3:$O$19,14,0)+10)*2)*27,""))</f>
        <v/>
      </c>
      <c r="AM282" s="490" t="str">
        <f>IF($B282="","",IF($R282=AM$5,(SUM($D282*VLOOKUP($C282,ESCALA!$B$3:$O$19,14,0)+10)*2)*27,""))</f>
        <v/>
      </c>
      <c r="AN282" s="490" t="str">
        <f>IF($B282="","",IF($R282=AN$5,(SUM($D282*VLOOKUP($C282,ESCALA!$B$3:$O$19,14,0)+10)*2)*27,""))</f>
        <v/>
      </c>
      <c r="AO282" s="490" t="str">
        <f>IF($B282="","",IF($R282=AO$5,(SUM($D282*VLOOKUP($C282,ESCALA!$B$3:$O$19,14,0)+10)*2)*27,""))</f>
        <v/>
      </c>
      <c r="AP282" s="490" t="str">
        <f>IF($B282="","",IF($R282=AP$5,(SUM($D282*VLOOKUP($C282,ESCALA!$B$3:$O$19,14,0)+10)*2)*27,""))</f>
        <v/>
      </c>
    </row>
    <row r="283" spans="2:42" ht="33.75" customHeight="1" x14ac:dyDescent="0.2">
      <c r="B283" s="551"/>
      <c r="C283" s="517"/>
      <c r="D283" s="503" t="str">
        <f>IF(C283="","",VLOOKUP(C283,'REL LINHAS'!$B$2:$K$2205,5,0))</f>
        <v/>
      </c>
      <c r="E283" s="321" t="str">
        <f t="shared" si="24"/>
        <v/>
      </c>
      <c r="F283" s="493"/>
      <c r="G283" s="494"/>
      <c r="H283" s="649"/>
      <c r="I283" s="650"/>
      <c r="J283" s="651"/>
      <c r="K283" s="652"/>
      <c r="L283" s="653"/>
      <c r="M283" s="654"/>
      <c r="N283" s="652"/>
      <c r="O283" s="653"/>
      <c r="P283" s="653"/>
      <c r="Q283" s="654"/>
      <c r="R283" s="655"/>
      <c r="S283" s="656"/>
      <c r="T283" s="652"/>
      <c r="U283" s="654"/>
      <c r="V283" s="652"/>
      <c r="W283" s="653"/>
      <c r="X283" s="654"/>
      <c r="Y283" s="495"/>
      <c r="Z283" s="496"/>
      <c r="AA283" s="63"/>
      <c r="AB283" s="497" t="s">
        <v>226</v>
      </c>
      <c r="AC283" s="63"/>
      <c r="AD283" s="497" t="s">
        <v>227</v>
      </c>
      <c r="AE283" s="63"/>
      <c r="AF283" s="497" t="s">
        <v>228</v>
      </c>
      <c r="AG283" s="63"/>
      <c r="AH283" s="498" t="s">
        <v>229</v>
      </c>
      <c r="AJ283" s="490" t="str">
        <f>IF($B283="","",IF($R283=AJ$5,(SUM($D283*VLOOKUP($C283,ESCALA!$B$3:$O$19,14,0)+10)*2)*27,""))</f>
        <v/>
      </c>
      <c r="AK283" s="490" t="str">
        <f>IF($B283="","",IF($R283=AK$5,(SUM($D283*VLOOKUP($C283,ESCALA!$B$3:$O$19,14,0)+10)*2)*27,""))</f>
        <v/>
      </c>
      <c r="AL283" s="490" t="str">
        <f>IF($B283="","",IF($R283=AL$5,(SUM($D283*VLOOKUP($C283,ESCALA!$B$3:$O$19,14,0)+10)*2)*27,""))</f>
        <v/>
      </c>
      <c r="AM283" s="490" t="str">
        <f>IF($B283="","",IF($R283=AM$5,(SUM($D283*VLOOKUP($C283,ESCALA!$B$3:$O$19,14,0)+10)*2)*27,""))</f>
        <v/>
      </c>
      <c r="AN283" s="490" t="str">
        <f>IF($B283="","",IF($R283=AN$5,(SUM($D283*VLOOKUP($C283,ESCALA!$B$3:$O$19,14,0)+10)*2)*27,""))</f>
        <v/>
      </c>
      <c r="AO283" s="490" t="str">
        <f>IF($B283="","",IF($R283=AO$5,(SUM($D283*VLOOKUP($C283,ESCALA!$B$3:$O$19,14,0)+10)*2)*27,""))</f>
        <v/>
      </c>
      <c r="AP283" s="490" t="str">
        <f>IF($B283="","",IF($R283=AP$5,(SUM($D283*VLOOKUP($C283,ESCALA!$B$3:$O$19,14,0)+10)*2)*27,""))</f>
        <v/>
      </c>
    </row>
    <row r="284" spans="2:42" ht="33.75" customHeight="1" x14ac:dyDescent="0.2">
      <c r="B284" s="551"/>
      <c r="C284" s="517"/>
      <c r="D284" s="503" t="str">
        <f>IF(C284="","",VLOOKUP(C284,'REL LINHAS'!$B$2:$K$2205,5,0))</f>
        <v/>
      </c>
      <c r="E284" s="321" t="str">
        <f t="shared" si="24"/>
        <v/>
      </c>
      <c r="F284" s="493"/>
      <c r="G284" s="494"/>
      <c r="H284" s="649"/>
      <c r="I284" s="650"/>
      <c r="J284" s="651"/>
      <c r="K284" s="652"/>
      <c r="L284" s="653"/>
      <c r="M284" s="654"/>
      <c r="N284" s="652"/>
      <c r="O284" s="653"/>
      <c r="P284" s="653"/>
      <c r="Q284" s="654"/>
      <c r="R284" s="655"/>
      <c r="S284" s="656"/>
      <c r="T284" s="652"/>
      <c r="U284" s="654"/>
      <c r="V284" s="652"/>
      <c r="W284" s="653"/>
      <c r="X284" s="654"/>
      <c r="Y284" s="495"/>
      <c r="Z284" s="496"/>
      <c r="AA284" s="63"/>
      <c r="AB284" s="497" t="s">
        <v>226</v>
      </c>
      <c r="AC284" s="63"/>
      <c r="AD284" s="497" t="s">
        <v>227</v>
      </c>
      <c r="AE284" s="63"/>
      <c r="AF284" s="497" t="s">
        <v>228</v>
      </c>
      <c r="AG284" s="63"/>
      <c r="AH284" s="498" t="s">
        <v>229</v>
      </c>
      <c r="AJ284" s="490" t="str">
        <f>IF($B284="","",IF($R284=AJ$5,(SUM($D284*VLOOKUP($C284,ESCALA!$B$3:$O$19,14,0)+10)*2)*27,""))</f>
        <v/>
      </c>
      <c r="AK284" s="490" t="str">
        <f>IF($B284="","",IF($R284=AK$5,(SUM($D284*VLOOKUP($C284,ESCALA!$B$3:$O$19,14,0)+10)*2)*27,""))</f>
        <v/>
      </c>
      <c r="AL284" s="490" t="str">
        <f>IF($B284="","",IF($R284=AL$5,(SUM($D284*VLOOKUP($C284,ESCALA!$B$3:$O$19,14,0)+10)*2)*27,""))</f>
        <v/>
      </c>
      <c r="AM284" s="490" t="str">
        <f>IF($B284="","",IF($R284=AM$5,(SUM($D284*VLOOKUP($C284,ESCALA!$B$3:$O$19,14,0)+10)*2)*27,""))</f>
        <v/>
      </c>
      <c r="AN284" s="490" t="str">
        <f>IF($B284="","",IF($R284=AN$5,(SUM($D284*VLOOKUP($C284,ESCALA!$B$3:$O$19,14,0)+10)*2)*27,""))</f>
        <v/>
      </c>
      <c r="AO284" s="490" t="str">
        <f>IF($B284="","",IF($R284=AO$5,(SUM($D284*VLOOKUP($C284,ESCALA!$B$3:$O$19,14,0)+10)*2)*27,""))</f>
        <v/>
      </c>
      <c r="AP284" s="490" t="str">
        <f>IF($B284="","",IF($R284=AP$5,(SUM($D284*VLOOKUP($C284,ESCALA!$B$3:$O$19,14,0)+10)*2)*27,""))</f>
        <v/>
      </c>
    </row>
    <row r="285" spans="2:42" ht="33.75" customHeight="1" x14ac:dyDescent="0.2">
      <c r="B285" s="551"/>
      <c r="C285" s="517"/>
      <c r="D285" s="503" t="str">
        <f>IF(C285="","",VLOOKUP(C285,'REL LINHAS'!$B$2:$K$2205,5,0))</f>
        <v/>
      </c>
      <c r="E285" s="321" t="str">
        <f t="shared" si="24"/>
        <v/>
      </c>
      <c r="F285" s="493"/>
      <c r="G285" s="494"/>
      <c r="H285" s="649"/>
      <c r="I285" s="650"/>
      <c r="J285" s="651"/>
      <c r="K285" s="652"/>
      <c r="L285" s="653"/>
      <c r="M285" s="654"/>
      <c r="N285" s="652"/>
      <c r="O285" s="653"/>
      <c r="P285" s="653"/>
      <c r="Q285" s="654"/>
      <c r="R285" s="655"/>
      <c r="S285" s="656"/>
      <c r="T285" s="652"/>
      <c r="U285" s="654"/>
      <c r="V285" s="652"/>
      <c r="W285" s="653"/>
      <c r="X285" s="654"/>
      <c r="Y285" s="495"/>
      <c r="Z285" s="496"/>
      <c r="AA285" s="63"/>
      <c r="AB285" s="497" t="s">
        <v>226</v>
      </c>
      <c r="AC285" s="63"/>
      <c r="AD285" s="497" t="s">
        <v>227</v>
      </c>
      <c r="AE285" s="63"/>
      <c r="AF285" s="497" t="s">
        <v>228</v>
      </c>
      <c r="AG285" s="63"/>
      <c r="AH285" s="498" t="s">
        <v>229</v>
      </c>
      <c r="AJ285" s="490" t="str">
        <f>IF($B285="","",IF($R285=AJ$5,(SUM($D285*VLOOKUP($C285,ESCALA!$B$3:$O$19,14,0)+10)*2)*27,""))</f>
        <v/>
      </c>
      <c r="AK285" s="490" t="str">
        <f>IF($B285="","",IF($R285=AK$5,(SUM($D285*VLOOKUP($C285,ESCALA!$B$3:$O$19,14,0)+10)*2)*27,""))</f>
        <v/>
      </c>
      <c r="AL285" s="490" t="str">
        <f>IF($B285="","",IF($R285=AL$5,(SUM($D285*VLOOKUP($C285,ESCALA!$B$3:$O$19,14,0)+10)*2)*27,""))</f>
        <v/>
      </c>
      <c r="AM285" s="490" t="str">
        <f>IF($B285="","",IF($R285=AM$5,(SUM($D285*VLOOKUP($C285,ESCALA!$B$3:$O$19,14,0)+10)*2)*27,""))</f>
        <v/>
      </c>
      <c r="AN285" s="490" t="str">
        <f>IF($B285="","",IF($R285=AN$5,(SUM($D285*VLOOKUP($C285,ESCALA!$B$3:$O$19,14,0)+10)*2)*27,""))</f>
        <v/>
      </c>
      <c r="AO285" s="490" t="str">
        <f>IF($B285="","",IF($R285=AO$5,(SUM($D285*VLOOKUP($C285,ESCALA!$B$3:$O$19,14,0)+10)*2)*27,""))</f>
        <v/>
      </c>
      <c r="AP285" s="490" t="str">
        <f>IF($B285="","",IF($R285=AP$5,(SUM($D285*VLOOKUP($C285,ESCALA!$B$3:$O$19,14,0)+10)*2)*27,""))</f>
        <v/>
      </c>
    </row>
    <row r="286" spans="2:42" ht="33.75" customHeight="1" x14ac:dyDescent="0.2">
      <c r="B286" s="551"/>
      <c r="C286" s="517"/>
      <c r="D286" s="503" t="str">
        <f>IF(C286="","",VLOOKUP(C286,'REL LINHAS'!$B$2:$K$2205,5,0))</f>
        <v/>
      </c>
      <c r="E286" s="321" t="str">
        <f t="shared" si="24"/>
        <v/>
      </c>
      <c r="F286" s="493"/>
      <c r="G286" s="494"/>
      <c r="H286" s="649"/>
      <c r="I286" s="650"/>
      <c r="J286" s="651"/>
      <c r="K286" s="652"/>
      <c r="L286" s="653"/>
      <c r="M286" s="654"/>
      <c r="N286" s="652"/>
      <c r="O286" s="653"/>
      <c r="P286" s="653"/>
      <c r="Q286" s="654"/>
      <c r="R286" s="655"/>
      <c r="S286" s="656"/>
      <c r="T286" s="652"/>
      <c r="U286" s="654"/>
      <c r="V286" s="652"/>
      <c r="W286" s="653"/>
      <c r="X286" s="654"/>
      <c r="Y286" s="495"/>
      <c r="Z286" s="496"/>
      <c r="AA286" s="63"/>
      <c r="AB286" s="497" t="s">
        <v>226</v>
      </c>
      <c r="AC286" s="63"/>
      <c r="AD286" s="497" t="s">
        <v>227</v>
      </c>
      <c r="AE286" s="63"/>
      <c r="AF286" s="497" t="s">
        <v>228</v>
      </c>
      <c r="AG286" s="63"/>
      <c r="AH286" s="498" t="s">
        <v>229</v>
      </c>
      <c r="AJ286" s="490" t="str">
        <f>IF($B286="","",IF($R286=AJ$5,(SUM($D286*VLOOKUP($C286,ESCALA!$B$3:$O$19,14,0)+10)*2)*27,""))</f>
        <v/>
      </c>
      <c r="AK286" s="490" t="str">
        <f>IF($B286="","",IF($R286=AK$5,(SUM($D286*VLOOKUP($C286,ESCALA!$B$3:$O$19,14,0)+10)*2)*27,""))</f>
        <v/>
      </c>
      <c r="AL286" s="490" t="str">
        <f>IF($B286="","",IF($R286=AL$5,(SUM($D286*VLOOKUP($C286,ESCALA!$B$3:$O$19,14,0)+10)*2)*27,""))</f>
        <v/>
      </c>
      <c r="AM286" s="490" t="str">
        <f>IF($B286="","",IF($R286=AM$5,(SUM($D286*VLOOKUP($C286,ESCALA!$B$3:$O$19,14,0)+10)*2)*27,""))</f>
        <v/>
      </c>
      <c r="AN286" s="490" t="str">
        <f>IF($B286="","",IF($R286=AN$5,(SUM($D286*VLOOKUP($C286,ESCALA!$B$3:$O$19,14,0)+10)*2)*27,""))</f>
        <v/>
      </c>
      <c r="AO286" s="490" t="str">
        <f>IF($B286="","",IF($R286=AO$5,(SUM($D286*VLOOKUP($C286,ESCALA!$B$3:$O$19,14,0)+10)*2)*27,""))</f>
        <v/>
      </c>
      <c r="AP286" s="490" t="str">
        <f>IF($B286="","",IF($R286=AP$5,(SUM($D286*VLOOKUP($C286,ESCALA!$B$3:$O$19,14,0)+10)*2)*27,""))</f>
        <v/>
      </c>
    </row>
    <row r="287" spans="2:42" ht="33.75" customHeight="1" x14ac:dyDescent="0.2">
      <c r="B287" s="551"/>
      <c r="C287" s="517"/>
      <c r="D287" s="503" t="str">
        <f>IF(C287="","",VLOOKUP(C287,'REL LINHAS'!$B$2:$K$2205,5,0))</f>
        <v/>
      </c>
      <c r="E287" s="321" t="str">
        <f t="shared" si="24"/>
        <v/>
      </c>
      <c r="F287" s="493"/>
      <c r="G287" s="494"/>
      <c r="H287" s="649"/>
      <c r="I287" s="650"/>
      <c r="J287" s="651"/>
      <c r="K287" s="652"/>
      <c r="L287" s="653"/>
      <c r="M287" s="654"/>
      <c r="N287" s="652"/>
      <c r="O287" s="653"/>
      <c r="P287" s="653"/>
      <c r="Q287" s="654"/>
      <c r="R287" s="655"/>
      <c r="S287" s="656"/>
      <c r="T287" s="652"/>
      <c r="U287" s="654"/>
      <c r="V287" s="652"/>
      <c r="W287" s="653"/>
      <c r="X287" s="654"/>
      <c r="Y287" s="495"/>
      <c r="Z287" s="496"/>
      <c r="AA287" s="63"/>
      <c r="AB287" s="497" t="s">
        <v>226</v>
      </c>
      <c r="AC287" s="63"/>
      <c r="AD287" s="497" t="s">
        <v>227</v>
      </c>
      <c r="AE287" s="63"/>
      <c r="AF287" s="497" t="s">
        <v>228</v>
      </c>
      <c r="AG287" s="63"/>
      <c r="AH287" s="498" t="s">
        <v>229</v>
      </c>
      <c r="AJ287" s="490" t="str">
        <f>IF($B287="","",IF($R287=AJ$5,(SUM($D287*VLOOKUP($C287,ESCALA!$B$3:$O$19,14,0)+10)*2)*27,""))</f>
        <v/>
      </c>
      <c r="AK287" s="490" t="str">
        <f>IF($B287="","",IF($R287=AK$5,(SUM($D287*VLOOKUP($C287,ESCALA!$B$3:$O$19,14,0)+10)*2)*27,""))</f>
        <v/>
      </c>
      <c r="AL287" s="490" t="str">
        <f>IF($B287="","",IF($R287=AL$5,(SUM($D287*VLOOKUP($C287,ESCALA!$B$3:$O$19,14,0)+10)*2)*27,""))</f>
        <v/>
      </c>
      <c r="AM287" s="490" t="str">
        <f>IF($B287="","",IF($R287=AM$5,(SUM($D287*VLOOKUP($C287,ESCALA!$B$3:$O$19,14,0)+10)*2)*27,""))</f>
        <v/>
      </c>
      <c r="AN287" s="490" t="str">
        <f>IF($B287="","",IF($R287=AN$5,(SUM($D287*VLOOKUP($C287,ESCALA!$B$3:$O$19,14,0)+10)*2)*27,""))</f>
        <v/>
      </c>
      <c r="AO287" s="490" t="str">
        <f>IF($B287="","",IF($R287=AO$5,(SUM($D287*VLOOKUP($C287,ESCALA!$B$3:$O$19,14,0)+10)*2)*27,""))</f>
        <v/>
      </c>
      <c r="AP287" s="490" t="str">
        <f>IF($B287="","",IF($R287=AP$5,(SUM($D287*VLOOKUP($C287,ESCALA!$B$3:$O$19,14,0)+10)*2)*27,""))</f>
        <v/>
      </c>
    </row>
    <row r="288" spans="2:42" ht="33.75" customHeight="1" x14ac:dyDescent="0.2">
      <c r="B288" s="551"/>
      <c r="C288" s="517"/>
      <c r="D288" s="503" t="str">
        <f>IF(C288="","",VLOOKUP(C288,'REL LINHAS'!$B$2:$K$2205,5,0))</f>
        <v/>
      </c>
      <c r="E288" s="321" t="str">
        <f t="shared" si="24"/>
        <v/>
      </c>
      <c r="F288" s="493"/>
      <c r="G288" s="494"/>
      <c r="H288" s="649"/>
      <c r="I288" s="650"/>
      <c r="J288" s="651"/>
      <c r="K288" s="652"/>
      <c r="L288" s="653"/>
      <c r="M288" s="654"/>
      <c r="N288" s="652"/>
      <c r="O288" s="653"/>
      <c r="P288" s="653"/>
      <c r="Q288" s="654"/>
      <c r="R288" s="655"/>
      <c r="S288" s="656"/>
      <c r="T288" s="652"/>
      <c r="U288" s="654"/>
      <c r="V288" s="652"/>
      <c r="W288" s="653"/>
      <c r="X288" s="654"/>
      <c r="Y288" s="495"/>
      <c r="Z288" s="496"/>
      <c r="AA288" s="63"/>
      <c r="AB288" s="497" t="s">
        <v>226</v>
      </c>
      <c r="AC288" s="63"/>
      <c r="AD288" s="497" t="s">
        <v>227</v>
      </c>
      <c r="AE288" s="63"/>
      <c r="AF288" s="497" t="s">
        <v>228</v>
      </c>
      <c r="AG288" s="63"/>
      <c r="AH288" s="498" t="s">
        <v>229</v>
      </c>
      <c r="AJ288" s="490" t="str">
        <f>IF($B288="","",IF($R288=AJ$5,(SUM($D288*VLOOKUP($C288,ESCALA!$B$3:$O$19,14,0)+10)*2)*27,""))</f>
        <v/>
      </c>
      <c r="AK288" s="490" t="str">
        <f>IF($B288="","",IF($R288=AK$5,(SUM($D288*VLOOKUP($C288,ESCALA!$B$3:$O$19,14,0)+10)*2)*27,""))</f>
        <v/>
      </c>
      <c r="AL288" s="490" t="str">
        <f>IF($B288="","",IF($R288=AL$5,(SUM($D288*VLOOKUP($C288,ESCALA!$B$3:$O$19,14,0)+10)*2)*27,""))</f>
        <v/>
      </c>
      <c r="AM288" s="490" t="str">
        <f>IF($B288="","",IF($R288=AM$5,(SUM($D288*VLOOKUP($C288,ESCALA!$B$3:$O$19,14,0)+10)*2)*27,""))</f>
        <v/>
      </c>
      <c r="AN288" s="490" t="str">
        <f>IF($B288="","",IF($R288=AN$5,(SUM($D288*VLOOKUP($C288,ESCALA!$B$3:$O$19,14,0)+10)*2)*27,""))</f>
        <v/>
      </c>
      <c r="AO288" s="490" t="str">
        <f>IF($B288="","",IF($R288=AO$5,(SUM($D288*VLOOKUP($C288,ESCALA!$B$3:$O$19,14,0)+10)*2)*27,""))</f>
        <v/>
      </c>
      <c r="AP288" s="490" t="str">
        <f>IF($B288="","",IF($R288=AP$5,(SUM($D288*VLOOKUP($C288,ESCALA!$B$3:$O$19,14,0)+10)*2)*27,""))</f>
        <v/>
      </c>
    </row>
    <row r="289" spans="2:42" ht="33.75" customHeight="1" x14ac:dyDescent="0.2">
      <c r="B289" s="551"/>
      <c r="C289" s="517"/>
      <c r="D289" s="503" t="str">
        <f>IF(C289="","",VLOOKUP(C289,'REL LINHAS'!$B$2:$K$2205,5,0))</f>
        <v/>
      </c>
      <c r="E289" s="321" t="str">
        <f t="shared" si="24"/>
        <v/>
      </c>
      <c r="F289" s="493"/>
      <c r="G289" s="494"/>
      <c r="H289" s="649"/>
      <c r="I289" s="650"/>
      <c r="J289" s="651"/>
      <c r="K289" s="652"/>
      <c r="L289" s="653"/>
      <c r="M289" s="654"/>
      <c r="N289" s="652"/>
      <c r="O289" s="653"/>
      <c r="P289" s="653"/>
      <c r="Q289" s="654"/>
      <c r="R289" s="655"/>
      <c r="S289" s="656"/>
      <c r="T289" s="652"/>
      <c r="U289" s="654"/>
      <c r="V289" s="652"/>
      <c r="W289" s="653"/>
      <c r="X289" s="654"/>
      <c r="Y289" s="495"/>
      <c r="Z289" s="496"/>
      <c r="AA289" s="63"/>
      <c r="AB289" s="497" t="s">
        <v>226</v>
      </c>
      <c r="AC289" s="63"/>
      <c r="AD289" s="497" t="s">
        <v>227</v>
      </c>
      <c r="AE289" s="63"/>
      <c r="AF289" s="497" t="s">
        <v>228</v>
      </c>
      <c r="AG289" s="63"/>
      <c r="AH289" s="498" t="s">
        <v>229</v>
      </c>
      <c r="AJ289" s="490" t="str">
        <f>IF($B289="","",IF($R289=AJ$5,(SUM($D289*VLOOKUP($C289,ESCALA!$B$3:$O$19,14,0)+10)*2)*27,""))</f>
        <v/>
      </c>
      <c r="AK289" s="490" t="str">
        <f>IF($B289="","",IF($R289=AK$5,(SUM($D289*VLOOKUP($C289,ESCALA!$B$3:$O$19,14,0)+10)*2)*27,""))</f>
        <v/>
      </c>
      <c r="AL289" s="490" t="str">
        <f>IF($B289="","",IF($R289=AL$5,(SUM($D289*VLOOKUP($C289,ESCALA!$B$3:$O$19,14,0)+10)*2)*27,""))</f>
        <v/>
      </c>
      <c r="AM289" s="490" t="str">
        <f>IF($B289="","",IF($R289=AM$5,(SUM($D289*VLOOKUP($C289,ESCALA!$B$3:$O$19,14,0)+10)*2)*27,""))</f>
        <v/>
      </c>
      <c r="AN289" s="490" t="str">
        <f>IF($B289="","",IF($R289=AN$5,(SUM($D289*VLOOKUP($C289,ESCALA!$B$3:$O$19,14,0)+10)*2)*27,""))</f>
        <v/>
      </c>
      <c r="AO289" s="490" t="str">
        <f>IF($B289="","",IF($R289=AO$5,(SUM($D289*VLOOKUP($C289,ESCALA!$B$3:$O$19,14,0)+10)*2)*27,""))</f>
        <v/>
      </c>
      <c r="AP289" s="490" t="str">
        <f>IF($B289="","",IF($R289=AP$5,(SUM($D289*VLOOKUP($C289,ESCALA!$B$3:$O$19,14,0)+10)*2)*27,""))</f>
        <v/>
      </c>
    </row>
    <row r="290" spans="2:42" ht="33.75" customHeight="1" x14ac:dyDescent="0.2">
      <c r="B290" s="551"/>
      <c r="C290" s="517"/>
      <c r="D290" s="503" t="str">
        <f>IF(C290="","",VLOOKUP(C290,'REL LINHAS'!$B$2:$K$2205,5,0))</f>
        <v/>
      </c>
      <c r="E290" s="321" t="str">
        <f t="shared" si="24"/>
        <v/>
      </c>
      <c r="F290" s="493"/>
      <c r="G290" s="494"/>
      <c r="H290" s="649"/>
      <c r="I290" s="650"/>
      <c r="J290" s="651"/>
      <c r="K290" s="652"/>
      <c r="L290" s="653"/>
      <c r="M290" s="654"/>
      <c r="N290" s="652"/>
      <c r="O290" s="653"/>
      <c r="P290" s="653"/>
      <c r="Q290" s="654"/>
      <c r="R290" s="655"/>
      <c r="S290" s="656"/>
      <c r="T290" s="652"/>
      <c r="U290" s="654"/>
      <c r="V290" s="652"/>
      <c r="W290" s="653"/>
      <c r="X290" s="654"/>
      <c r="Y290" s="495"/>
      <c r="Z290" s="496"/>
      <c r="AA290" s="63"/>
      <c r="AB290" s="497" t="s">
        <v>226</v>
      </c>
      <c r="AC290" s="63"/>
      <c r="AD290" s="497" t="s">
        <v>227</v>
      </c>
      <c r="AE290" s="63"/>
      <c r="AF290" s="497" t="s">
        <v>228</v>
      </c>
      <c r="AG290" s="63"/>
      <c r="AH290" s="498" t="s">
        <v>229</v>
      </c>
      <c r="AJ290" s="490" t="str">
        <f>IF($B290="","",IF($R290=AJ$5,(SUM($D290*VLOOKUP($C290,ESCALA!$B$3:$O$19,14,0)+10)*2)*27,""))</f>
        <v/>
      </c>
      <c r="AK290" s="490" t="str">
        <f>IF($B290="","",IF($R290=AK$5,(SUM($D290*VLOOKUP($C290,ESCALA!$B$3:$O$19,14,0)+10)*2)*27,""))</f>
        <v/>
      </c>
      <c r="AL290" s="490" t="str">
        <f>IF($B290="","",IF($R290=AL$5,(SUM($D290*VLOOKUP($C290,ESCALA!$B$3:$O$19,14,0)+10)*2)*27,""))</f>
        <v/>
      </c>
      <c r="AM290" s="490" t="str">
        <f>IF($B290="","",IF($R290=AM$5,(SUM($D290*VLOOKUP($C290,ESCALA!$B$3:$O$19,14,0)+10)*2)*27,""))</f>
        <v/>
      </c>
      <c r="AN290" s="490" t="str">
        <f>IF($B290="","",IF($R290=AN$5,(SUM($D290*VLOOKUP($C290,ESCALA!$B$3:$O$19,14,0)+10)*2)*27,""))</f>
        <v/>
      </c>
      <c r="AO290" s="490" t="str">
        <f>IF($B290="","",IF($R290=AO$5,(SUM($D290*VLOOKUP($C290,ESCALA!$B$3:$O$19,14,0)+10)*2)*27,""))</f>
        <v/>
      </c>
      <c r="AP290" s="490" t="str">
        <f>IF($B290="","",IF($R290=AP$5,(SUM($D290*VLOOKUP($C290,ESCALA!$B$3:$O$19,14,0)+10)*2)*27,""))</f>
        <v/>
      </c>
    </row>
    <row r="291" spans="2:42" ht="33.75" customHeight="1" x14ac:dyDescent="0.2">
      <c r="B291" s="551"/>
      <c r="C291" s="517"/>
      <c r="D291" s="503" t="str">
        <f>IF(C291="","",VLOOKUP(C291,'REL LINHAS'!$B$2:$K$2205,5,0))</f>
        <v/>
      </c>
      <c r="E291" s="321" t="str">
        <f t="shared" si="24"/>
        <v/>
      </c>
      <c r="F291" s="493"/>
      <c r="G291" s="494"/>
      <c r="H291" s="649"/>
      <c r="I291" s="650"/>
      <c r="J291" s="651"/>
      <c r="K291" s="652"/>
      <c r="L291" s="653"/>
      <c r="M291" s="654"/>
      <c r="N291" s="652"/>
      <c r="O291" s="653"/>
      <c r="P291" s="653"/>
      <c r="Q291" s="654"/>
      <c r="R291" s="655"/>
      <c r="S291" s="656"/>
      <c r="T291" s="652"/>
      <c r="U291" s="654"/>
      <c r="V291" s="652"/>
      <c r="W291" s="653"/>
      <c r="X291" s="654"/>
      <c r="Y291" s="495"/>
      <c r="Z291" s="496"/>
      <c r="AA291" s="63"/>
      <c r="AB291" s="497" t="s">
        <v>226</v>
      </c>
      <c r="AC291" s="63"/>
      <c r="AD291" s="497" t="s">
        <v>227</v>
      </c>
      <c r="AE291" s="63"/>
      <c r="AF291" s="497" t="s">
        <v>228</v>
      </c>
      <c r="AG291" s="63"/>
      <c r="AH291" s="498" t="s">
        <v>229</v>
      </c>
      <c r="AJ291" s="490" t="str">
        <f>IF($B291="","",IF($R291=AJ$5,(SUM($D291*VLOOKUP($C291,ESCALA!$B$3:$O$19,14,0)+10)*2)*27,""))</f>
        <v/>
      </c>
      <c r="AK291" s="490" t="str">
        <f>IF($B291="","",IF($R291=AK$5,(SUM($D291*VLOOKUP($C291,ESCALA!$B$3:$O$19,14,0)+10)*2)*27,""))</f>
        <v/>
      </c>
      <c r="AL291" s="490" t="str">
        <f>IF($B291="","",IF($R291=AL$5,(SUM($D291*VLOOKUP($C291,ESCALA!$B$3:$O$19,14,0)+10)*2)*27,""))</f>
        <v/>
      </c>
      <c r="AM291" s="490" t="str">
        <f>IF($B291="","",IF($R291=AM$5,(SUM($D291*VLOOKUP($C291,ESCALA!$B$3:$O$19,14,0)+10)*2)*27,""))</f>
        <v/>
      </c>
      <c r="AN291" s="490" t="str">
        <f>IF($B291="","",IF($R291=AN$5,(SUM($D291*VLOOKUP($C291,ESCALA!$B$3:$O$19,14,0)+10)*2)*27,""))</f>
        <v/>
      </c>
      <c r="AO291" s="490" t="str">
        <f>IF($B291="","",IF($R291=AO$5,(SUM($D291*VLOOKUP($C291,ESCALA!$B$3:$O$19,14,0)+10)*2)*27,""))</f>
        <v/>
      </c>
      <c r="AP291" s="490" t="str">
        <f>IF($B291="","",IF($R291=AP$5,(SUM($D291*VLOOKUP($C291,ESCALA!$B$3:$O$19,14,0)+10)*2)*27,""))</f>
        <v/>
      </c>
    </row>
    <row r="292" spans="2:42" ht="33.75" customHeight="1" x14ac:dyDescent="0.2">
      <c r="B292" s="551"/>
      <c r="C292" s="517"/>
      <c r="D292" s="503" t="str">
        <f>IF(C292="","",VLOOKUP(C292,'REL LINHAS'!$B$2:$K$2205,5,0))</f>
        <v/>
      </c>
      <c r="E292" s="321" t="str">
        <f t="shared" si="24"/>
        <v/>
      </c>
      <c r="F292" s="493"/>
      <c r="G292" s="494"/>
      <c r="H292" s="649"/>
      <c r="I292" s="650"/>
      <c r="J292" s="651"/>
      <c r="K292" s="652"/>
      <c r="L292" s="653"/>
      <c r="M292" s="654"/>
      <c r="N292" s="652"/>
      <c r="O292" s="653"/>
      <c r="P292" s="653"/>
      <c r="Q292" s="654"/>
      <c r="R292" s="655"/>
      <c r="S292" s="656"/>
      <c r="T292" s="652"/>
      <c r="U292" s="654"/>
      <c r="V292" s="652"/>
      <c r="W292" s="653"/>
      <c r="X292" s="654"/>
      <c r="Y292" s="495"/>
      <c r="Z292" s="496"/>
      <c r="AA292" s="63"/>
      <c r="AB292" s="497" t="s">
        <v>226</v>
      </c>
      <c r="AC292" s="63"/>
      <c r="AD292" s="497" t="s">
        <v>227</v>
      </c>
      <c r="AE292" s="63"/>
      <c r="AF292" s="497" t="s">
        <v>228</v>
      </c>
      <c r="AG292" s="63"/>
      <c r="AH292" s="498" t="s">
        <v>229</v>
      </c>
      <c r="AJ292" s="490" t="str">
        <f>IF($B292="","",IF($R292=AJ$5,(SUM($D292*VLOOKUP($C292,ESCALA!$B$3:$O$19,14,0)+10)*2)*27,""))</f>
        <v/>
      </c>
      <c r="AK292" s="490" t="str">
        <f>IF($B292="","",IF($R292=AK$5,(SUM($D292*VLOOKUP($C292,ESCALA!$B$3:$O$19,14,0)+10)*2)*27,""))</f>
        <v/>
      </c>
      <c r="AL292" s="490" t="str">
        <f>IF($B292="","",IF($R292=AL$5,(SUM($D292*VLOOKUP($C292,ESCALA!$B$3:$O$19,14,0)+10)*2)*27,""))</f>
        <v/>
      </c>
      <c r="AM292" s="490" t="str">
        <f>IF($B292="","",IF($R292=AM$5,(SUM($D292*VLOOKUP($C292,ESCALA!$B$3:$O$19,14,0)+10)*2)*27,""))</f>
        <v/>
      </c>
      <c r="AN292" s="490" t="str">
        <f>IF($B292="","",IF($R292=AN$5,(SUM($D292*VLOOKUP($C292,ESCALA!$B$3:$O$19,14,0)+10)*2)*27,""))</f>
        <v/>
      </c>
      <c r="AO292" s="490" t="str">
        <f>IF($B292="","",IF($R292=AO$5,(SUM($D292*VLOOKUP($C292,ESCALA!$B$3:$O$19,14,0)+10)*2)*27,""))</f>
        <v/>
      </c>
      <c r="AP292" s="490" t="str">
        <f>IF($B292="","",IF($R292=AP$5,(SUM($D292*VLOOKUP($C292,ESCALA!$B$3:$O$19,14,0)+10)*2)*27,""))</f>
        <v/>
      </c>
    </row>
    <row r="293" spans="2:42" ht="33.75" customHeight="1" x14ac:dyDescent="0.2">
      <c r="B293" s="551"/>
      <c r="C293" s="517"/>
      <c r="D293" s="503" t="str">
        <f>IF(C293="","",VLOOKUP(C293,'REL LINHAS'!$B$2:$K$2205,5,0))</f>
        <v/>
      </c>
      <c r="E293" s="321" t="str">
        <f t="shared" si="24"/>
        <v/>
      </c>
      <c r="F293" s="493"/>
      <c r="G293" s="494"/>
      <c r="H293" s="649"/>
      <c r="I293" s="650"/>
      <c r="J293" s="651"/>
      <c r="K293" s="652"/>
      <c r="L293" s="653"/>
      <c r="M293" s="654"/>
      <c r="N293" s="652"/>
      <c r="O293" s="653"/>
      <c r="P293" s="653"/>
      <c r="Q293" s="654"/>
      <c r="R293" s="655"/>
      <c r="S293" s="656"/>
      <c r="T293" s="652"/>
      <c r="U293" s="654"/>
      <c r="V293" s="652"/>
      <c r="W293" s="653"/>
      <c r="X293" s="654"/>
      <c r="Y293" s="495"/>
      <c r="Z293" s="496"/>
      <c r="AA293" s="63"/>
      <c r="AB293" s="497" t="s">
        <v>226</v>
      </c>
      <c r="AC293" s="63"/>
      <c r="AD293" s="497" t="s">
        <v>227</v>
      </c>
      <c r="AE293" s="63"/>
      <c r="AF293" s="497" t="s">
        <v>228</v>
      </c>
      <c r="AG293" s="63"/>
      <c r="AH293" s="498" t="s">
        <v>229</v>
      </c>
      <c r="AJ293" s="490" t="str">
        <f>IF($B293="","",IF($R293=AJ$5,(SUM($D293*VLOOKUP($C293,ESCALA!$B$3:$O$19,14,0)+10)*2)*27,""))</f>
        <v/>
      </c>
      <c r="AK293" s="490" t="str">
        <f>IF($B293="","",IF($R293=AK$5,(SUM($D293*VLOOKUP($C293,ESCALA!$B$3:$O$19,14,0)+10)*2)*27,""))</f>
        <v/>
      </c>
      <c r="AL293" s="490" t="str">
        <f>IF($B293="","",IF($R293=AL$5,(SUM($D293*VLOOKUP($C293,ESCALA!$B$3:$O$19,14,0)+10)*2)*27,""))</f>
        <v/>
      </c>
      <c r="AM293" s="490" t="str">
        <f>IF($B293="","",IF($R293=AM$5,(SUM($D293*VLOOKUP($C293,ESCALA!$B$3:$O$19,14,0)+10)*2)*27,""))</f>
        <v/>
      </c>
      <c r="AN293" s="490" t="str">
        <f>IF($B293="","",IF($R293=AN$5,(SUM($D293*VLOOKUP($C293,ESCALA!$B$3:$O$19,14,0)+10)*2)*27,""))</f>
        <v/>
      </c>
      <c r="AO293" s="490" t="str">
        <f>IF($B293="","",IF($R293=AO$5,(SUM($D293*VLOOKUP($C293,ESCALA!$B$3:$O$19,14,0)+10)*2)*27,""))</f>
        <v/>
      </c>
      <c r="AP293" s="490" t="str">
        <f>IF($B293="","",IF($R293=AP$5,(SUM($D293*VLOOKUP($C293,ESCALA!$B$3:$O$19,14,0)+10)*2)*27,""))</f>
        <v/>
      </c>
    </row>
    <row r="294" spans="2:42" ht="33.75" customHeight="1" x14ac:dyDescent="0.2">
      <c r="B294" s="551"/>
      <c r="C294" s="517"/>
      <c r="D294" s="503" t="str">
        <f>IF(C294="","",VLOOKUP(C294,'REL LINHAS'!$B$2:$K$2205,5,0))</f>
        <v/>
      </c>
      <c r="E294" s="321" t="str">
        <f t="shared" si="24"/>
        <v/>
      </c>
      <c r="F294" s="493"/>
      <c r="G294" s="494"/>
      <c r="H294" s="649"/>
      <c r="I294" s="650"/>
      <c r="J294" s="651"/>
      <c r="K294" s="652"/>
      <c r="L294" s="653"/>
      <c r="M294" s="654"/>
      <c r="N294" s="652"/>
      <c r="O294" s="653"/>
      <c r="P294" s="653"/>
      <c r="Q294" s="654"/>
      <c r="R294" s="655"/>
      <c r="S294" s="656"/>
      <c r="T294" s="652"/>
      <c r="U294" s="654"/>
      <c r="V294" s="652"/>
      <c r="W294" s="653"/>
      <c r="X294" s="654"/>
      <c r="Y294" s="495"/>
      <c r="Z294" s="496"/>
      <c r="AA294" s="63"/>
      <c r="AB294" s="497" t="s">
        <v>226</v>
      </c>
      <c r="AC294" s="63"/>
      <c r="AD294" s="497" t="s">
        <v>227</v>
      </c>
      <c r="AE294" s="63"/>
      <c r="AF294" s="497" t="s">
        <v>228</v>
      </c>
      <c r="AG294" s="63"/>
      <c r="AH294" s="498" t="s">
        <v>229</v>
      </c>
      <c r="AJ294" s="490" t="str">
        <f>IF($B294="","",IF($R294=AJ$5,(SUM($D294*VLOOKUP($C294,ESCALA!$B$3:$O$19,14,0)+10)*2)*27,""))</f>
        <v/>
      </c>
      <c r="AK294" s="490" t="str">
        <f>IF($B294="","",IF($R294=AK$5,(SUM($D294*VLOOKUP($C294,ESCALA!$B$3:$O$19,14,0)+10)*2)*27,""))</f>
        <v/>
      </c>
      <c r="AL294" s="490" t="str">
        <f>IF($B294="","",IF($R294=AL$5,(SUM($D294*VLOOKUP($C294,ESCALA!$B$3:$O$19,14,0)+10)*2)*27,""))</f>
        <v/>
      </c>
      <c r="AM294" s="490" t="str">
        <f>IF($B294="","",IF($R294=AM$5,(SUM($D294*VLOOKUP($C294,ESCALA!$B$3:$O$19,14,0)+10)*2)*27,""))</f>
        <v/>
      </c>
      <c r="AN294" s="490" t="str">
        <f>IF($B294="","",IF($R294=AN$5,(SUM($D294*VLOOKUP($C294,ESCALA!$B$3:$O$19,14,0)+10)*2)*27,""))</f>
        <v/>
      </c>
      <c r="AO294" s="490" t="str">
        <f>IF($B294="","",IF($R294=AO$5,(SUM($D294*VLOOKUP($C294,ESCALA!$B$3:$O$19,14,0)+10)*2)*27,""))</f>
        <v/>
      </c>
      <c r="AP294" s="490" t="str">
        <f>IF($B294="","",IF($R294=AP$5,(SUM($D294*VLOOKUP($C294,ESCALA!$B$3:$O$19,14,0)+10)*2)*27,""))</f>
        <v/>
      </c>
    </row>
    <row r="295" spans="2:42" ht="33.75" customHeight="1" x14ac:dyDescent="0.2">
      <c r="B295" s="551"/>
      <c r="C295" s="517"/>
      <c r="D295" s="503" t="str">
        <f>IF(C295="","",VLOOKUP(C295,'REL LINHAS'!$B$2:$K$2205,5,0))</f>
        <v/>
      </c>
      <c r="E295" s="321" t="str">
        <f t="shared" si="24"/>
        <v/>
      </c>
      <c r="F295" s="493"/>
      <c r="G295" s="494"/>
      <c r="H295" s="649"/>
      <c r="I295" s="650"/>
      <c r="J295" s="651"/>
      <c r="K295" s="652"/>
      <c r="L295" s="653"/>
      <c r="M295" s="654"/>
      <c r="N295" s="652"/>
      <c r="O295" s="653"/>
      <c r="P295" s="653"/>
      <c r="Q295" s="654"/>
      <c r="R295" s="655"/>
      <c r="S295" s="656"/>
      <c r="T295" s="652"/>
      <c r="U295" s="654"/>
      <c r="V295" s="652"/>
      <c r="W295" s="653"/>
      <c r="X295" s="654"/>
      <c r="Y295" s="495"/>
      <c r="Z295" s="496"/>
      <c r="AA295" s="63"/>
      <c r="AB295" s="497" t="s">
        <v>226</v>
      </c>
      <c r="AC295" s="63"/>
      <c r="AD295" s="497" t="s">
        <v>227</v>
      </c>
      <c r="AE295" s="63"/>
      <c r="AF295" s="497" t="s">
        <v>228</v>
      </c>
      <c r="AG295" s="63"/>
      <c r="AH295" s="498" t="s">
        <v>229</v>
      </c>
      <c r="AJ295" s="490" t="str">
        <f>IF($B295="","",IF($R295=AJ$5,(SUM($D295*VLOOKUP($C295,ESCALA!$B$3:$O$19,14,0)+10)*2)*27,""))</f>
        <v/>
      </c>
      <c r="AK295" s="490" t="str">
        <f>IF($B295="","",IF($R295=AK$5,(SUM($D295*VLOOKUP($C295,ESCALA!$B$3:$O$19,14,0)+10)*2)*27,""))</f>
        <v/>
      </c>
      <c r="AL295" s="490" t="str">
        <f>IF($B295="","",IF($R295=AL$5,(SUM($D295*VLOOKUP($C295,ESCALA!$B$3:$O$19,14,0)+10)*2)*27,""))</f>
        <v/>
      </c>
      <c r="AM295" s="490" t="str">
        <f>IF($B295="","",IF($R295=AM$5,(SUM($D295*VLOOKUP($C295,ESCALA!$B$3:$O$19,14,0)+10)*2)*27,""))</f>
        <v/>
      </c>
      <c r="AN295" s="490" t="str">
        <f>IF($B295="","",IF($R295=AN$5,(SUM($D295*VLOOKUP($C295,ESCALA!$B$3:$O$19,14,0)+10)*2)*27,""))</f>
        <v/>
      </c>
      <c r="AO295" s="490" t="str">
        <f>IF($B295="","",IF($R295=AO$5,(SUM($D295*VLOOKUP($C295,ESCALA!$B$3:$O$19,14,0)+10)*2)*27,""))</f>
        <v/>
      </c>
      <c r="AP295" s="490" t="str">
        <f>IF($B295="","",IF($R295=AP$5,(SUM($D295*VLOOKUP($C295,ESCALA!$B$3:$O$19,14,0)+10)*2)*27,""))</f>
        <v/>
      </c>
    </row>
    <row r="296" spans="2:42" ht="33.75" customHeight="1" x14ac:dyDescent="0.2">
      <c r="B296" s="551"/>
      <c r="C296" s="517"/>
      <c r="D296" s="503" t="str">
        <f>IF(C296="","",VLOOKUP(C296,'REL LINHAS'!$B$2:$K$2205,5,0))</f>
        <v/>
      </c>
      <c r="E296" s="321" t="str">
        <f t="shared" si="24"/>
        <v/>
      </c>
      <c r="F296" s="493"/>
      <c r="G296" s="494"/>
      <c r="H296" s="649"/>
      <c r="I296" s="650"/>
      <c r="J296" s="651"/>
      <c r="K296" s="652"/>
      <c r="L296" s="653"/>
      <c r="M296" s="654"/>
      <c r="N296" s="652"/>
      <c r="O296" s="653"/>
      <c r="P296" s="653"/>
      <c r="Q296" s="654"/>
      <c r="R296" s="655"/>
      <c r="S296" s="656"/>
      <c r="T296" s="652"/>
      <c r="U296" s="654"/>
      <c r="V296" s="652"/>
      <c r="W296" s="653"/>
      <c r="X296" s="654"/>
      <c r="Y296" s="495"/>
      <c r="Z296" s="496"/>
      <c r="AA296" s="63"/>
      <c r="AB296" s="497" t="s">
        <v>226</v>
      </c>
      <c r="AC296" s="63"/>
      <c r="AD296" s="497" t="s">
        <v>227</v>
      </c>
      <c r="AE296" s="63"/>
      <c r="AF296" s="497" t="s">
        <v>228</v>
      </c>
      <c r="AG296" s="63"/>
      <c r="AH296" s="498" t="s">
        <v>229</v>
      </c>
      <c r="AJ296" s="490" t="str">
        <f>IF($B296="","",IF($R296=AJ$5,(SUM($D296*VLOOKUP($C296,ESCALA!$B$3:$O$19,14,0)+10)*2)*27,""))</f>
        <v/>
      </c>
      <c r="AK296" s="490" t="str">
        <f>IF($B296="","",IF($R296=AK$5,(SUM($D296*VLOOKUP($C296,ESCALA!$B$3:$O$19,14,0)+10)*2)*27,""))</f>
        <v/>
      </c>
      <c r="AL296" s="490" t="str">
        <f>IF($B296="","",IF($R296=AL$5,(SUM($D296*VLOOKUP($C296,ESCALA!$B$3:$O$19,14,0)+10)*2)*27,""))</f>
        <v/>
      </c>
      <c r="AM296" s="490" t="str">
        <f>IF($B296="","",IF($R296=AM$5,(SUM($D296*VLOOKUP($C296,ESCALA!$B$3:$O$19,14,0)+10)*2)*27,""))</f>
        <v/>
      </c>
      <c r="AN296" s="490" t="str">
        <f>IF($B296="","",IF($R296=AN$5,(SUM($D296*VLOOKUP($C296,ESCALA!$B$3:$O$19,14,0)+10)*2)*27,""))</f>
        <v/>
      </c>
      <c r="AO296" s="490" t="str">
        <f>IF($B296="","",IF($R296=AO$5,(SUM($D296*VLOOKUP($C296,ESCALA!$B$3:$O$19,14,0)+10)*2)*27,""))</f>
        <v/>
      </c>
      <c r="AP296" s="490" t="str">
        <f>IF($B296="","",IF($R296=AP$5,(SUM($D296*VLOOKUP($C296,ESCALA!$B$3:$O$19,14,0)+10)*2)*27,""))</f>
        <v/>
      </c>
    </row>
    <row r="297" spans="2:42" ht="33.75" customHeight="1" x14ac:dyDescent="0.2">
      <c r="B297" s="551"/>
      <c r="C297" s="517"/>
      <c r="D297" s="503" t="str">
        <f>IF(C297="","",VLOOKUP(C297,'REL LINHAS'!$B$2:$K$2205,5,0))</f>
        <v/>
      </c>
      <c r="E297" s="321" t="str">
        <f t="shared" si="24"/>
        <v/>
      </c>
      <c r="F297" s="493"/>
      <c r="G297" s="494"/>
      <c r="H297" s="649"/>
      <c r="I297" s="650"/>
      <c r="J297" s="651"/>
      <c r="K297" s="652"/>
      <c r="L297" s="653"/>
      <c r="M297" s="654"/>
      <c r="N297" s="652"/>
      <c r="O297" s="653"/>
      <c r="P297" s="653"/>
      <c r="Q297" s="654"/>
      <c r="R297" s="655"/>
      <c r="S297" s="656"/>
      <c r="T297" s="652"/>
      <c r="U297" s="654"/>
      <c r="V297" s="652"/>
      <c r="W297" s="653"/>
      <c r="X297" s="654"/>
      <c r="Y297" s="495"/>
      <c r="Z297" s="496"/>
      <c r="AA297" s="63"/>
      <c r="AB297" s="497" t="s">
        <v>226</v>
      </c>
      <c r="AC297" s="63"/>
      <c r="AD297" s="497" t="s">
        <v>227</v>
      </c>
      <c r="AE297" s="63"/>
      <c r="AF297" s="497" t="s">
        <v>228</v>
      </c>
      <c r="AG297" s="63"/>
      <c r="AH297" s="498" t="s">
        <v>229</v>
      </c>
      <c r="AJ297" s="490" t="str">
        <f>IF($B297="","",IF($R297=AJ$5,(SUM($D297*VLOOKUP($C297,ESCALA!$B$3:$O$19,14,0)+10)*2)*27,""))</f>
        <v/>
      </c>
      <c r="AK297" s="490" t="str">
        <f>IF($B297="","",IF($R297=AK$5,(SUM($D297*VLOOKUP($C297,ESCALA!$B$3:$O$19,14,0)+10)*2)*27,""))</f>
        <v/>
      </c>
      <c r="AL297" s="490" t="str">
        <f>IF($B297="","",IF($R297=AL$5,(SUM($D297*VLOOKUP($C297,ESCALA!$B$3:$O$19,14,0)+10)*2)*27,""))</f>
        <v/>
      </c>
      <c r="AM297" s="490" t="str">
        <f>IF($B297="","",IF($R297=AM$5,(SUM($D297*VLOOKUP($C297,ESCALA!$B$3:$O$19,14,0)+10)*2)*27,""))</f>
        <v/>
      </c>
      <c r="AN297" s="490" t="str">
        <f>IF($B297="","",IF($R297=AN$5,(SUM($D297*VLOOKUP($C297,ESCALA!$B$3:$O$19,14,0)+10)*2)*27,""))</f>
        <v/>
      </c>
      <c r="AO297" s="490" t="str">
        <f>IF($B297="","",IF($R297=AO$5,(SUM($D297*VLOOKUP($C297,ESCALA!$B$3:$O$19,14,0)+10)*2)*27,""))</f>
        <v/>
      </c>
      <c r="AP297" s="490" t="str">
        <f>IF($B297="","",IF($R297=AP$5,(SUM($D297*VLOOKUP($C297,ESCALA!$B$3:$O$19,14,0)+10)*2)*27,""))</f>
        <v/>
      </c>
    </row>
    <row r="298" spans="2:42" ht="33.75" customHeight="1" x14ac:dyDescent="0.2">
      <c r="B298" s="551"/>
      <c r="C298" s="517"/>
      <c r="D298" s="503" t="str">
        <f>IF(C298="","",VLOOKUP(C298,'REL LINHAS'!$B$2:$K$2205,5,0))</f>
        <v/>
      </c>
      <c r="E298" s="321" t="str">
        <f t="shared" si="24"/>
        <v/>
      </c>
      <c r="F298" s="493"/>
      <c r="G298" s="494"/>
      <c r="H298" s="649"/>
      <c r="I298" s="650"/>
      <c r="J298" s="651"/>
      <c r="K298" s="652"/>
      <c r="L298" s="653"/>
      <c r="M298" s="654"/>
      <c r="N298" s="652"/>
      <c r="O298" s="653"/>
      <c r="P298" s="653"/>
      <c r="Q298" s="654"/>
      <c r="R298" s="655"/>
      <c r="S298" s="656"/>
      <c r="T298" s="652"/>
      <c r="U298" s="654"/>
      <c r="V298" s="652"/>
      <c r="W298" s="653"/>
      <c r="X298" s="654"/>
      <c r="Y298" s="495"/>
      <c r="Z298" s="496"/>
      <c r="AA298" s="63"/>
      <c r="AB298" s="497" t="s">
        <v>226</v>
      </c>
      <c r="AC298" s="63"/>
      <c r="AD298" s="497" t="s">
        <v>227</v>
      </c>
      <c r="AE298" s="63"/>
      <c r="AF298" s="497" t="s">
        <v>228</v>
      </c>
      <c r="AG298" s="63"/>
      <c r="AH298" s="498" t="s">
        <v>229</v>
      </c>
      <c r="AJ298" s="490" t="str">
        <f>IF($B298="","",IF($R298=AJ$5,(SUM($D298*VLOOKUP($C298,ESCALA!$B$3:$O$19,14,0)+10)*2)*27,""))</f>
        <v/>
      </c>
      <c r="AK298" s="490" t="str">
        <f>IF($B298="","",IF($R298=AK$5,(SUM($D298*VLOOKUP($C298,ESCALA!$B$3:$O$19,14,0)+10)*2)*27,""))</f>
        <v/>
      </c>
      <c r="AL298" s="490" t="str">
        <f>IF($B298="","",IF($R298=AL$5,(SUM($D298*VLOOKUP($C298,ESCALA!$B$3:$O$19,14,0)+10)*2)*27,""))</f>
        <v/>
      </c>
      <c r="AM298" s="490" t="str">
        <f>IF($B298="","",IF($R298=AM$5,(SUM($D298*VLOOKUP($C298,ESCALA!$B$3:$O$19,14,0)+10)*2)*27,""))</f>
        <v/>
      </c>
      <c r="AN298" s="490" t="str">
        <f>IF($B298="","",IF($R298=AN$5,(SUM($D298*VLOOKUP($C298,ESCALA!$B$3:$O$19,14,0)+10)*2)*27,""))</f>
        <v/>
      </c>
      <c r="AO298" s="490" t="str">
        <f>IF($B298="","",IF($R298=AO$5,(SUM($D298*VLOOKUP($C298,ESCALA!$B$3:$O$19,14,0)+10)*2)*27,""))</f>
        <v/>
      </c>
      <c r="AP298" s="490" t="str">
        <f>IF($B298="","",IF($R298=AP$5,(SUM($D298*VLOOKUP($C298,ESCALA!$B$3:$O$19,14,0)+10)*2)*27,""))</f>
        <v/>
      </c>
    </row>
    <row r="299" spans="2:42" ht="33.75" customHeight="1" x14ac:dyDescent="0.2">
      <c r="B299" s="551"/>
      <c r="C299" s="517"/>
      <c r="D299" s="503" t="str">
        <f>IF(C299="","",VLOOKUP(C299,'REL LINHAS'!$B$2:$K$2205,5,0))</f>
        <v/>
      </c>
      <c r="E299" s="321" t="str">
        <f t="shared" si="24"/>
        <v/>
      </c>
      <c r="F299" s="493"/>
      <c r="G299" s="494"/>
      <c r="H299" s="649"/>
      <c r="I299" s="650"/>
      <c r="J299" s="651"/>
      <c r="K299" s="652"/>
      <c r="L299" s="653"/>
      <c r="M299" s="654"/>
      <c r="N299" s="652"/>
      <c r="O299" s="653"/>
      <c r="P299" s="653"/>
      <c r="Q299" s="654"/>
      <c r="R299" s="655"/>
      <c r="S299" s="656"/>
      <c r="T299" s="652"/>
      <c r="U299" s="654"/>
      <c r="V299" s="652"/>
      <c r="W299" s="653"/>
      <c r="X299" s="654"/>
      <c r="Y299" s="495"/>
      <c r="Z299" s="496"/>
      <c r="AA299" s="63"/>
      <c r="AB299" s="497" t="s">
        <v>226</v>
      </c>
      <c r="AC299" s="63"/>
      <c r="AD299" s="497" t="s">
        <v>227</v>
      </c>
      <c r="AE299" s="63"/>
      <c r="AF299" s="497" t="s">
        <v>228</v>
      </c>
      <c r="AG299" s="63"/>
      <c r="AH299" s="498" t="s">
        <v>229</v>
      </c>
      <c r="AJ299" s="490" t="str">
        <f>IF($B299="","",IF($R299=AJ$5,(SUM($D299*VLOOKUP($C299,ESCALA!$B$3:$O$19,14,0)+10)*2)*27,""))</f>
        <v/>
      </c>
      <c r="AK299" s="490" t="str">
        <f>IF($B299="","",IF($R299=AK$5,(SUM($D299*VLOOKUP($C299,ESCALA!$B$3:$O$19,14,0)+10)*2)*27,""))</f>
        <v/>
      </c>
      <c r="AL299" s="490" t="str">
        <f>IF($B299="","",IF($R299=AL$5,(SUM($D299*VLOOKUP($C299,ESCALA!$B$3:$O$19,14,0)+10)*2)*27,""))</f>
        <v/>
      </c>
      <c r="AM299" s="490" t="str">
        <f>IF($B299="","",IF($R299=AM$5,(SUM($D299*VLOOKUP($C299,ESCALA!$B$3:$O$19,14,0)+10)*2)*27,""))</f>
        <v/>
      </c>
      <c r="AN299" s="490" t="str">
        <f>IF($B299="","",IF($R299=AN$5,(SUM($D299*VLOOKUP($C299,ESCALA!$B$3:$O$19,14,0)+10)*2)*27,""))</f>
        <v/>
      </c>
      <c r="AO299" s="490" t="str">
        <f>IF($B299="","",IF($R299=AO$5,(SUM($D299*VLOOKUP($C299,ESCALA!$B$3:$O$19,14,0)+10)*2)*27,""))</f>
        <v/>
      </c>
      <c r="AP299" s="490" t="str">
        <f>IF($B299="","",IF($R299=AP$5,(SUM($D299*VLOOKUP($C299,ESCALA!$B$3:$O$19,14,0)+10)*2)*27,""))</f>
        <v/>
      </c>
    </row>
    <row r="300" spans="2:42" ht="33.75" customHeight="1" x14ac:dyDescent="0.2">
      <c r="B300" s="551"/>
      <c r="C300" s="517"/>
      <c r="D300" s="503" t="str">
        <f>IF(C300="","",VLOOKUP(C300,'REL LINHAS'!$B$2:$K$2205,5,0))</f>
        <v/>
      </c>
      <c r="E300" s="321" t="str">
        <f t="shared" si="24"/>
        <v/>
      </c>
      <c r="F300" s="493"/>
      <c r="G300" s="494"/>
      <c r="H300" s="649"/>
      <c r="I300" s="650"/>
      <c r="J300" s="651"/>
      <c r="K300" s="652"/>
      <c r="L300" s="653"/>
      <c r="M300" s="654"/>
      <c r="N300" s="652"/>
      <c r="O300" s="653"/>
      <c r="P300" s="653"/>
      <c r="Q300" s="654"/>
      <c r="R300" s="655"/>
      <c r="S300" s="656"/>
      <c r="T300" s="652"/>
      <c r="U300" s="654"/>
      <c r="V300" s="652"/>
      <c r="W300" s="653"/>
      <c r="X300" s="654"/>
      <c r="Y300" s="495"/>
      <c r="Z300" s="496"/>
      <c r="AA300" s="63"/>
      <c r="AB300" s="497" t="s">
        <v>226</v>
      </c>
      <c r="AC300" s="63"/>
      <c r="AD300" s="497" t="s">
        <v>227</v>
      </c>
      <c r="AE300" s="63"/>
      <c r="AF300" s="497" t="s">
        <v>228</v>
      </c>
      <c r="AG300" s="63"/>
      <c r="AH300" s="498" t="s">
        <v>229</v>
      </c>
      <c r="AJ300" s="490" t="str">
        <f>IF($B300="","",IF($R300=AJ$5,(SUM($D300*VLOOKUP($C300,ESCALA!$B$3:$O$19,14,0)+10)*2)*27,""))</f>
        <v/>
      </c>
      <c r="AK300" s="490" t="str">
        <f>IF($B300="","",IF($R300=AK$5,(SUM($D300*VLOOKUP($C300,ESCALA!$B$3:$O$19,14,0)+10)*2)*27,""))</f>
        <v/>
      </c>
      <c r="AL300" s="490" t="str">
        <f>IF($B300="","",IF($R300=AL$5,(SUM($D300*VLOOKUP($C300,ESCALA!$B$3:$O$19,14,0)+10)*2)*27,""))</f>
        <v/>
      </c>
      <c r="AM300" s="490" t="str">
        <f>IF($B300="","",IF($R300=AM$5,(SUM($D300*VLOOKUP($C300,ESCALA!$B$3:$O$19,14,0)+10)*2)*27,""))</f>
        <v/>
      </c>
      <c r="AN300" s="490" t="str">
        <f>IF($B300="","",IF($R300=AN$5,(SUM($D300*VLOOKUP($C300,ESCALA!$B$3:$O$19,14,0)+10)*2)*27,""))</f>
        <v/>
      </c>
      <c r="AO300" s="490" t="str">
        <f>IF($B300="","",IF($R300=AO$5,(SUM($D300*VLOOKUP($C300,ESCALA!$B$3:$O$19,14,0)+10)*2)*27,""))</f>
        <v/>
      </c>
      <c r="AP300" s="490" t="str">
        <f>IF($B300="","",IF($R300=AP$5,(SUM($D300*VLOOKUP($C300,ESCALA!$B$3:$O$19,14,0)+10)*2)*27,""))</f>
        <v/>
      </c>
    </row>
    <row r="301" spans="2:42" ht="33.75" customHeight="1" x14ac:dyDescent="0.2">
      <c r="B301" s="551"/>
      <c r="C301" s="517"/>
      <c r="D301" s="503" t="str">
        <f>IF(C301="","",VLOOKUP(C301,'REL LINHAS'!$B$2:$K$2205,5,0))</f>
        <v/>
      </c>
      <c r="E301" s="321" t="str">
        <f t="shared" si="24"/>
        <v/>
      </c>
      <c r="F301" s="493"/>
      <c r="G301" s="494"/>
      <c r="H301" s="649"/>
      <c r="I301" s="650"/>
      <c r="J301" s="651"/>
      <c r="K301" s="652"/>
      <c r="L301" s="653"/>
      <c r="M301" s="654"/>
      <c r="N301" s="652"/>
      <c r="O301" s="653"/>
      <c r="P301" s="653"/>
      <c r="Q301" s="654"/>
      <c r="R301" s="655"/>
      <c r="S301" s="656"/>
      <c r="T301" s="652"/>
      <c r="U301" s="654"/>
      <c r="V301" s="652"/>
      <c r="W301" s="653"/>
      <c r="X301" s="654"/>
      <c r="Y301" s="495"/>
      <c r="Z301" s="496"/>
      <c r="AA301" s="63"/>
      <c r="AB301" s="497" t="s">
        <v>226</v>
      </c>
      <c r="AC301" s="63"/>
      <c r="AD301" s="497" t="s">
        <v>227</v>
      </c>
      <c r="AE301" s="63"/>
      <c r="AF301" s="497" t="s">
        <v>228</v>
      </c>
      <c r="AG301" s="63"/>
      <c r="AH301" s="498" t="s">
        <v>229</v>
      </c>
      <c r="AJ301" s="490" t="str">
        <f>IF($B301="","",IF($R301=AJ$5,(SUM($D301*VLOOKUP($C301,ESCALA!$B$3:$O$19,14,0)+10)*2)*27,""))</f>
        <v/>
      </c>
      <c r="AK301" s="490" t="str">
        <f>IF($B301="","",IF($R301=AK$5,(SUM($D301*VLOOKUP($C301,ESCALA!$B$3:$O$19,14,0)+10)*2)*27,""))</f>
        <v/>
      </c>
      <c r="AL301" s="490" t="str">
        <f>IF($B301="","",IF($R301=AL$5,(SUM($D301*VLOOKUP($C301,ESCALA!$B$3:$O$19,14,0)+10)*2)*27,""))</f>
        <v/>
      </c>
      <c r="AM301" s="490" t="str">
        <f>IF($B301="","",IF($R301=AM$5,(SUM($D301*VLOOKUP($C301,ESCALA!$B$3:$O$19,14,0)+10)*2)*27,""))</f>
        <v/>
      </c>
      <c r="AN301" s="490" t="str">
        <f>IF($B301="","",IF($R301=AN$5,(SUM($D301*VLOOKUP($C301,ESCALA!$B$3:$O$19,14,0)+10)*2)*27,""))</f>
        <v/>
      </c>
      <c r="AO301" s="490" t="str">
        <f>IF($B301="","",IF($R301=AO$5,(SUM($D301*VLOOKUP($C301,ESCALA!$B$3:$O$19,14,0)+10)*2)*27,""))</f>
        <v/>
      </c>
      <c r="AP301" s="490" t="str">
        <f>IF($B301="","",IF($R301=AP$5,(SUM($D301*VLOOKUP($C301,ESCALA!$B$3:$O$19,14,0)+10)*2)*27,""))</f>
        <v/>
      </c>
    </row>
    <row r="302" spans="2:42" ht="33.75" customHeight="1" x14ac:dyDescent="0.2">
      <c r="B302" s="551"/>
      <c r="C302" s="517"/>
      <c r="D302" s="503" t="str">
        <f>IF(C302="","",VLOOKUP(C302,'REL LINHAS'!$B$2:$K$2205,5,0))</f>
        <v/>
      </c>
      <c r="E302" s="321" t="str">
        <f t="shared" si="24"/>
        <v/>
      </c>
      <c r="F302" s="493"/>
      <c r="G302" s="494"/>
      <c r="H302" s="649"/>
      <c r="I302" s="650"/>
      <c r="J302" s="651"/>
      <c r="K302" s="652"/>
      <c r="L302" s="653"/>
      <c r="M302" s="654"/>
      <c r="N302" s="652"/>
      <c r="O302" s="653"/>
      <c r="P302" s="653"/>
      <c r="Q302" s="654"/>
      <c r="R302" s="655"/>
      <c r="S302" s="656"/>
      <c r="T302" s="652"/>
      <c r="U302" s="654"/>
      <c r="V302" s="652"/>
      <c r="W302" s="653"/>
      <c r="X302" s="654"/>
      <c r="Y302" s="495"/>
      <c r="Z302" s="496"/>
      <c r="AA302" s="63"/>
      <c r="AB302" s="497" t="s">
        <v>226</v>
      </c>
      <c r="AC302" s="63"/>
      <c r="AD302" s="497" t="s">
        <v>227</v>
      </c>
      <c r="AE302" s="63"/>
      <c r="AF302" s="497" t="s">
        <v>228</v>
      </c>
      <c r="AG302" s="63"/>
      <c r="AH302" s="498" t="s">
        <v>229</v>
      </c>
      <c r="AJ302" s="490" t="str">
        <f>IF($B302="","",IF($R302=AJ$5,(SUM($D302*VLOOKUP($C302,ESCALA!$B$3:$O$19,14,0)+10)*2)*27,""))</f>
        <v/>
      </c>
      <c r="AK302" s="490" t="str">
        <f>IF($B302="","",IF($R302=AK$5,(SUM($D302*VLOOKUP($C302,ESCALA!$B$3:$O$19,14,0)+10)*2)*27,""))</f>
        <v/>
      </c>
      <c r="AL302" s="490" t="str">
        <f>IF($B302="","",IF($R302=AL$5,(SUM($D302*VLOOKUP($C302,ESCALA!$B$3:$O$19,14,0)+10)*2)*27,""))</f>
        <v/>
      </c>
      <c r="AM302" s="490" t="str">
        <f>IF($B302="","",IF($R302=AM$5,(SUM($D302*VLOOKUP($C302,ESCALA!$B$3:$O$19,14,0)+10)*2)*27,""))</f>
        <v/>
      </c>
      <c r="AN302" s="490" t="str">
        <f>IF($B302="","",IF($R302=AN$5,(SUM($D302*VLOOKUP($C302,ESCALA!$B$3:$O$19,14,0)+10)*2)*27,""))</f>
        <v/>
      </c>
      <c r="AO302" s="490" t="str">
        <f>IF($B302="","",IF($R302=AO$5,(SUM($D302*VLOOKUP($C302,ESCALA!$B$3:$O$19,14,0)+10)*2)*27,""))</f>
        <v/>
      </c>
      <c r="AP302" s="490" t="str">
        <f>IF($B302="","",IF($R302=AP$5,(SUM($D302*VLOOKUP($C302,ESCALA!$B$3:$O$19,14,0)+10)*2)*27,""))</f>
        <v/>
      </c>
    </row>
    <row r="303" spans="2:42" ht="33.75" customHeight="1" x14ac:dyDescent="0.2">
      <c r="B303" s="551"/>
      <c r="C303" s="517"/>
      <c r="D303" s="503" t="str">
        <f>IF(C303="","",VLOOKUP(C303,'REL LINHAS'!$B$2:$K$2205,5,0))</f>
        <v/>
      </c>
      <c r="E303" s="321" t="str">
        <f t="shared" si="24"/>
        <v/>
      </c>
      <c r="F303" s="493"/>
      <c r="G303" s="494"/>
      <c r="H303" s="649"/>
      <c r="I303" s="650"/>
      <c r="J303" s="651"/>
      <c r="K303" s="652"/>
      <c r="L303" s="653"/>
      <c r="M303" s="654"/>
      <c r="N303" s="652"/>
      <c r="O303" s="653"/>
      <c r="P303" s="653"/>
      <c r="Q303" s="654"/>
      <c r="R303" s="655"/>
      <c r="S303" s="656"/>
      <c r="T303" s="652"/>
      <c r="U303" s="654"/>
      <c r="V303" s="652"/>
      <c r="W303" s="653"/>
      <c r="X303" s="654"/>
      <c r="Y303" s="495"/>
      <c r="Z303" s="496"/>
      <c r="AA303" s="63"/>
      <c r="AB303" s="497" t="s">
        <v>226</v>
      </c>
      <c r="AC303" s="63"/>
      <c r="AD303" s="497" t="s">
        <v>227</v>
      </c>
      <c r="AE303" s="63"/>
      <c r="AF303" s="497" t="s">
        <v>228</v>
      </c>
      <c r="AG303" s="63"/>
      <c r="AH303" s="498" t="s">
        <v>229</v>
      </c>
      <c r="AJ303" s="490" t="str">
        <f>IF($B303="","",IF($R303=AJ$5,(SUM($D303*VLOOKUP($C303,ESCALA!$B$3:$O$19,14,0)+10)*2)*27,""))</f>
        <v/>
      </c>
      <c r="AK303" s="490" t="str">
        <f>IF($B303="","",IF($R303=AK$5,(SUM($D303*VLOOKUP($C303,ESCALA!$B$3:$O$19,14,0)+10)*2)*27,""))</f>
        <v/>
      </c>
      <c r="AL303" s="490" t="str">
        <f>IF($B303="","",IF($R303=AL$5,(SUM($D303*VLOOKUP($C303,ESCALA!$B$3:$O$19,14,0)+10)*2)*27,""))</f>
        <v/>
      </c>
      <c r="AM303" s="490" t="str">
        <f>IF($B303="","",IF($R303=AM$5,(SUM($D303*VLOOKUP($C303,ESCALA!$B$3:$O$19,14,0)+10)*2)*27,""))</f>
        <v/>
      </c>
      <c r="AN303" s="490" t="str">
        <f>IF($B303="","",IF($R303=AN$5,(SUM($D303*VLOOKUP($C303,ESCALA!$B$3:$O$19,14,0)+10)*2)*27,""))</f>
        <v/>
      </c>
      <c r="AO303" s="490" t="str">
        <f>IF($B303="","",IF($R303=AO$5,(SUM($D303*VLOOKUP($C303,ESCALA!$B$3:$O$19,14,0)+10)*2)*27,""))</f>
        <v/>
      </c>
      <c r="AP303" s="490" t="str">
        <f>IF($B303="","",IF($R303=AP$5,(SUM($D303*VLOOKUP($C303,ESCALA!$B$3:$O$19,14,0)+10)*2)*27,""))</f>
        <v/>
      </c>
    </row>
    <row r="304" spans="2:42" ht="33.75" customHeight="1" x14ac:dyDescent="0.2">
      <c r="B304" s="551"/>
      <c r="C304" s="517"/>
      <c r="D304" s="503" t="str">
        <f>IF(C304="","",VLOOKUP(C304,'REL LINHAS'!$B$2:$K$2205,5,0))</f>
        <v/>
      </c>
      <c r="E304" s="321" t="str">
        <f t="shared" si="24"/>
        <v/>
      </c>
      <c r="F304" s="493"/>
      <c r="G304" s="494"/>
      <c r="H304" s="649"/>
      <c r="I304" s="650"/>
      <c r="J304" s="651"/>
      <c r="K304" s="652"/>
      <c r="L304" s="653"/>
      <c r="M304" s="654"/>
      <c r="N304" s="652"/>
      <c r="O304" s="653"/>
      <c r="P304" s="653"/>
      <c r="Q304" s="654"/>
      <c r="R304" s="655"/>
      <c r="S304" s="656"/>
      <c r="T304" s="652"/>
      <c r="U304" s="654"/>
      <c r="V304" s="652"/>
      <c r="W304" s="653"/>
      <c r="X304" s="654"/>
      <c r="Y304" s="495"/>
      <c r="Z304" s="496"/>
      <c r="AA304" s="63"/>
      <c r="AB304" s="497" t="s">
        <v>226</v>
      </c>
      <c r="AC304" s="63"/>
      <c r="AD304" s="497" t="s">
        <v>227</v>
      </c>
      <c r="AE304" s="63"/>
      <c r="AF304" s="497" t="s">
        <v>228</v>
      </c>
      <c r="AG304" s="63"/>
      <c r="AH304" s="498" t="s">
        <v>229</v>
      </c>
      <c r="AJ304" s="490" t="str">
        <f>IF($B304="","",IF($R304=AJ$5,(SUM($D304*VLOOKUP($C304,ESCALA!$B$3:$O$19,14,0)+10)*2)*27,""))</f>
        <v/>
      </c>
      <c r="AK304" s="490" t="str">
        <f>IF($B304="","",IF($R304=AK$5,(SUM($D304*VLOOKUP($C304,ESCALA!$B$3:$O$19,14,0)+10)*2)*27,""))</f>
        <v/>
      </c>
      <c r="AL304" s="490" t="str">
        <f>IF($B304="","",IF($R304=AL$5,(SUM($D304*VLOOKUP($C304,ESCALA!$B$3:$O$19,14,0)+10)*2)*27,""))</f>
        <v/>
      </c>
      <c r="AM304" s="490" t="str">
        <f>IF($B304="","",IF($R304=AM$5,(SUM($D304*VLOOKUP($C304,ESCALA!$B$3:$O$19,14,0)+10)*2)*27,""))</f>
        <v/>
      </c>
      <c r="AN304" s="490" t="str">
        <f>IF($B304="","",IF($R304=AN$5,(SUM($D304*VLOOKUP($C304,ESCALA!$B$3:$O$19,14,0)+10)*2)*27,""))</f>
        <v/>
      </c>
      <c r="AO304" s="490" t="str">
        <f>IF($B304="","",IF($R304=AO$5,(SUM($D304*VLOOKUP($C304,ESCALA!$B$3:$O$19,14,0)+10)*2)*27,""))</f>
        <v/>
      </c>
      <c r="AP304" s="490" t="str">
        <f>IF($B304="","",IF($R304=AP$5,(SUM($D304*VLOOKUP($C304,ESCALA!$B$3:$O$19,14,0)+10)*2)*27,""))</f>
        <v/>
      </c>
    </row>
    <row r="305" spans="2:42" ht="33.75" customHeight="1" x14ac:dyDescent="0.2">
      <c r="B305" s="551"/>
      <c r="C305" s="517"/>
      <c r="D305" s="503" t="str">
        <f>IF(C305="","",VLOOKUP(C305,'REL LINHAS'!$B$2:$K$2205,5,0))</f>
        <v/>
      </c>
      <c r="E305" s="321" t="str">
        <f t="shared" si="24"/>
        <v/>
      </c>
      <c r="F305" s="493"/>
      <c r="G305" s="494"/>
      <c r="H305" s="649"/>
      <c r="I305" s="650"/>
      <c r="J305" s="651"/>
      <c r="K305" s="652"/>
      <c r="L305" s="653"/>
      <c r="M305" s="654"/>
      <c r="N305" s="652"/>
      <c r="O305" s="653"/>
      <c r="P305" s="653"/>
      <c r="Q305" s="654"/>
      <c r="R305" s="655"/>
      <c r="S305" s="656"/>
      <c r="T305" s="652"/>
      <c r="U305" s="654"/>
      <c r="V305" s="652"/>
      <c r="W305" s="653"/>
      <c r="X305" s="654"/>
      <c r="Y305" s="495"/>
      <c r="Z305" s="496"/>
      <c r="AA305" s="63"/>
      <c r="AB305" s="497" t="s">
        <v>226</v>
      </c>
      <c r="AC305" s="63"/>
      <c r="AD305" s="497" t="s">
        <v>227</v>
      </c>
      <c r="AE305" s="63"/>
      <c r="AF305" s="497" t="s">
        <v>228</v>
      </c>
      <c r="AG305" s="63"/>
      <c r="AH305" s="498" t="s">
        <v>229</v>
      </c>
      <c r="AJ305" s="490" t="str">
        <f>IF($B305="","",IF($R305=AJ$5,(SUM($D305*VLOOKUP($C305,ESCALA!$B$3:$O$19,14,0)+10)*2)*27,""))</f>
        <v/>
      </c>
      <c r="AK305" s="490" t="str">
        <f>IF($B305="","",IF($R305=AK$5,(SUM($D305*VLOOKUP($C305,ESCALA!$B$3:$O$19,14,0)+10)*2)*27,""))</f>
        <v/>
      </c>
      <c r="AL305" s="490" t="str">
        <f>IF($B305="","",IF($R305=AL$5,(SUM($D305*VLOOKUP($C305,ESCALA!$B$3:$O$19,14,0)+10)*2)*27,""))</f>
        <v/>
      </c>
      <c r="AM305" s="490" t="str">
        <f>IF($B305="","",IF($R305=AM$5,(SUM($D305*VLOOKUP($C305,ESCALA!$B$3:$O$19,14,0)+10)*2)*27,""))</f>
        <v/>
      </c>
      <c r="AN305" s="490" t="str">
        <f>IF($B305="","",IF($R305=AN$5,(SUM($D305*VLOOKUP($C305,ESCALA!$B$3:$O$19,14,0)+10)*2)*27,""))</f>
        <v/>
      </c>
      <c r="AO305" s="490" t="str">
        <f>IF($B305="","",IF($R305=AO$5,(SUM($D305*VLOOKUP($C305,ESCALA!$B$3:$O$19,14,0)+10)*2)*27,""))</f>
        <v/>
      </c>
      <c r="AP305" s="490" t="str">
        <f>IF($B305="","",IF($R305=AP$5,(SUM($D305*VLOOKUP($C305,ESCALA!$B$3:$O$19,14,0)+10)*2)*27,""))</f>
        <v/>
      </c>
    </row>
    <row r="306" spans="2:42" ht="35.25" customHeight="1" x14ac:dyDescent="0.2">
      <c r="B306" s="255" t="s">
        <v>779</v>
      </c>
      <c r="C306" s="255" t="s">
        <v>779</v>
      </c>
      <c r="D306" s="255" t="s">
        <v>779</v>
      </c>
      <c r="E306" s="255" t="s">
        <v>779</v>
      </c>
      <c r="F306" s="255" t="s">
        <v>779</v>
      </c>
      <c r="G306" s="253" t="s">
        <v>779</v>
      </c>
      <c r="H306" s="365" t="s">
        <v>779</v>
      </c>
      <c r="I306" s="365" t="s">
        <v>779</v>
      </c>
      <c r="J306" s="365" t="s">
        <v>779</v>
      </c>
      <c r="K306" s="253" t="s">
        <v>779</v>
      </c>
      <c r="L306" s="253" t="s">
        <v>779</v>
      </c>
      <c r="M306" s="253" t="s">
        <v>779</v>
      </c>
      <c r="N306" s="253" t="s">
        <v>779</v>
      </c>
      <c r="O306" s="253" t="s">
        <v>779</v>
      </c>
      <c r="P306" s="253" t="s">
        <v>779</v>
      </c>
      <c r="Q306" s="253" t="s">
        <v>779</v>
      </c>
      <c r="R306" s="253" t="s">
        <v>779</v>
      </c>
      <c r="S306" s="253" t="s">
        <v>779</v>
      </c>
      <c r="T306" s="253" t="s">
        <v>779</v>
      </c>
      <c r="U306" s="253" t="s">
        <v>779</v>
      </c>
      <c r="V306" s="253" t="s">
        <v>779</v>
      </c>
      <c r="W306" s="253" t="s">
        <v>779</v>
      </c>
      <c r="X306" s="253" t="s">
        <v>779</v>
      </c>
      <c r="Y306" s="253" t="s">
        <v>779</v>
      </c>
      <c r="Z306" s="253" t="s">
        <v>779</v>
      </c>
      <c r="AA306" s="254">
        <f>COUNTIF(AA6:AA305,"SIM")</f>
        <v>1</v>
      </c>
      <c r="AB306" s="254"/>
      <c r="AC306" s="254">
        <f>COUNTIF(AC6:AC305,"SIM")</f>
        <v>1</v>
      </c>
      <c r="AD306" s="254"/>
      <c r="AE306" s="254">
        <f>COUNTIF(AE6:AE305,"SIM")</f>
        <v>1</v>
      </c>
      <c r="AF306" s="254"/>
      <c r="AG306" s="254">
        <f>COUNTIF(AG6:AG305,"SIM")</f>
        <v>1</v>
      </c>
      <c r="AJ306" s="489" t="s">
        <v>779</v>
      </c>
      <c r="AK306" s="489" t="s">
        <v>779</v>
      </c>
      <c r="AL306" s="489" t="s">
        <v>779</v>
      </c>
      <c r="AM306" s="489" t="s">
        <v>779</v>
      </c>
      <c r="AN306" s="489" t="s">
        <v>779</v>
      </c>
      <c r="AO306" s="489" t="s">
        <v>779</v>
      </c>
      <c r="AP306" s="489" t="s">
        <v>779</v>
      </c>
    </row>
  </sheetData>
  <sheetProtection formatCells="0" sort="0" autoFilter="0"/>
  <customSheetViews>
    <customSheetView guid="{8AF28843-E91A-4B21-A4FE-1EF7FC4B25A2}" scale="75" showAutoFilter="1">
      <pane ySplit="7" topLeftCell="A8" activePane="bottomLeft" state="frozen"/>
      <selection pane="bottomLeft" activeCell="B3" sqref="B3:G3"/>
      <pageMargins left="0.78740157499999996" right="0.78740157499999996" top="0.984251969" bottom="0.984251969" header="0.49212598499999999" footer="0.49212598499999999"/>
      <pageSetup paperSize="9" orientation="portrait" r:id="rId1"/>
      <headerFooter alignWithMargins="0"/>
      <autoFilter ref="B1:Q1" xr:uid="{90D9AF49-A4E3-4663-BF68-A0D3F432E977}"/>
    </customSheetView>
  </customSheetViews>
  <mergeCells count="1833">
    <mergeCell ref="AB1:AC1"/>
    <mergeCell ref="AB2:AC2"/>
    <mergeCell ref="F5:G5"/>
    <mergeCell ref="AD3:AH3"/>
    <mergeCell ref="Y4:AB4"/>
    <mergeCell ref="B3:F3"/>
    <mergeCell ref="B4:F4"/>
    <mergeCell ref="AA5:AB5"/>
    <mergeCell ref="AC5:AD5"/>
    <mergeCell ref="AE5:AF5"/>
    <mergeCell ref="AG5:AH5"/>
    <mergeCell ref="AC4:AE4"/>
    <mergeCell ref="AF4:AG4"/>
    <mergeCell ref="T3:AC3"/>
    <mergeCell ref="H5:J5"/>
    <mergeCell ref="R5:S5"/>
    <mergeCell ref="G4:S4"/>
    <mergeCell ref="G3:S3"/>
    <mergeCell ref="T4:X4"/>
    <mergeCell ref="R1:Y1"/>
    <mergeCell ref="R2:Y2"/>
    <mergeCell ref="B1:P2"/>
    <mergeCell ref="Z2:AA2"/>
    <mergeCell ref="Z1:AA1"/>
    <mergeCell ref="V7:X7"/>
    <mergeCell ref="H8:J8"/>
    <mergeCell ref="K8:M8"/>
    <mergeCell ref="N8:Q8"/>
    <mergeCell ref="R8:S8"/>
    <mergeCell ref="T8:U8"/>
    <mergeCell ref="V8:X8"/>
    <mergeCell ref="H7:J7"/>
    <mergeCell ref="K7:M7"/>
    <mergeCell ref="N7:Q7"/>
    <mergeCell ref="R7:S7"/>
    <mergeCell ref="T7:U7"/>
    <mergeCell ref="T5:U5"/>
    <mergeCell ref="V5:X5"/>
    <mergeCell ref="R6:S6"/>
    <mergeCell ref="V6:X6"/>
    <mergeCell ref="T6:U6"/>
    <mergeCell ref="H6:J6"/>
    <mergeCell ref="K5:M5"/>
    <mergeCell ref="K6:M6"/>
    <mergeCell ref="N5:Q5"/>
    <mergeCell ref="N6:Q6"/>
    <mergeCell ref="V11:X11"/>
    <mergeCell ref="H12:J12"/>
    <mergeCell ref="K12:M12"/>
    <mergeCell ref="N12:Q12"/>
    <mergeCell ref="R12:S12"/>
    <mergeCell ref="T12:U12"/>
    <mergeCell ref="V12:X12"/>
    <mergeCell ref="H11:J11"/>
    <mergeCell ref="K11:M11"/>
    <mergeCell ref="N11:Q11"/>
    <mergeCell ref="R11:S11"/>
    <mergeCell ref="T11:U11"/>
    <mergeCell ref="V9:X9"/>
    <mergeCell ref="H10:J10"/>
    <mergeCell ref="K10:M10"/>
    <mergeCell ref="N10:Q10"/>
    <mergeCell ref="R10:S10"/>
    <mergeCell ref="T10:U10"/>
    <mergeCell ref="V10:X10"/>
    <mergeCell ref="H9:J9"/>
    <mergeCell ref="K9:M9"/>
    <mergeCell ref="N9:Q9"/>
    <mergeCell ref="R9:S9"/>
    <mergeCell ref="T9:U9"/>
    <mergeCell ref="V15:X15"/>
    <mergeCell ref="H16:J16"/>
    <mergeCell ref="K16:M16"/>
    <mergeCell ref="N16:Q16"/>
    <mergeCell ref="R16:S16"/>
    <mergeCell ref="T16:U16"/>
    <mergeCell ref="V16:X16"/>
    <mergeCell ref="H15:J15"/>
    <mergeCell ref="K15:M15"/>
    <mergeCell ref="N15:Q15"/>
    <mergeCell ref="R15:S15"/>
    <mergeCell ref="T15:U15"/>
    <mergeCell ref="V13:X13"/>
    <mergeCell ref="H14:J14"/>
    <mergeCell ref="K14:M14"/>
    <mergeCell ref="N14:Q14"/>
    <mergeCell ref="R14:S14"/>
    <mergeCell ref="T14:U14"/>
    <mergeCell ref="V14:X14"/>
    <mergeCell ref="H13:J13"/>
    <mergeCell ref="K13:M13"/>
    <mergeCell ref="N13:Q13"/>
    <mergeCell ref="R13:S13"/>
    <mergeCell ref="T13:U13"/>
    <mergeCell ref="V19:X19"/>
    <mergeCell ref="H20:J20"/>
    <mergeCell ref="K20:M20"/>
    <mergeCell ref="N20:Q20"/>
    <mergeCell ref="R20:S20"/>
    <mergeCell ref="T20:U20"/>
    <mergeCell ref="V20:X20"/>
    <mergeCell ref="H19:J19"/>
    <mergeCell ref="K19:M19"/>
    <mergeCell ref="N19:Q19"/>
    <mergeCell ref="R19:S19"/>
    <mergeCell ref="T19:U19"/>
    <mergeCell ref="V17:X17"/>
    <mergeCell ref="H18:J18"/>
    <mergeCell ref="K18:M18"/>
    <mergeCell ref="N18:Q18"/>
    <mergeCell ref="R18:S18"/>
    <mergeCell ref="T18:U18"/>
    <mergeCell ref="V18:X18"/>
    <mergeCell ref="H17:J17"/>
    <mergeCell ref="K17:M17"/>
    <mergeCell ref="N17:Q17"/>
    <mergeCell ref="R17:S17"/>
    <mergeCell ref="T17:U17"/>
    <mergeCell ref="V23:X23"/>
    <mergeCell ref="H24:J24"/>
    <mergeCell ref="K24:M24"/>
    <mergeCell ref="N24:Q24"/>
    <mergeCell ref="R24:S24"/>
    <mergeCell ref="T24:U24"/>
    <mergeCell ref="V24:X24"/>
    <mergeCell ref="H23:J23"/>
    <mergeCell ref="K23:M23"/>
    <mergeCell ref="N23:Q23"/>
    <mergeCell ref="R23:S23"/>
    <mergeCell ref="T23:U23"/>
    <mergeCell ref="V21:X21"/>
    <mergeCell ref="H22:J22"/>
    <mergeCell ref="K22:M22"/>
    <mergeCell ref="N22:Q22"/>
    <mergeCell ref="R22:S22"/>
    <mergeCell ref="T22:U22"/>
    <mergeCell ref="V22:X22"/>
    <mergeCell ref="H21:J21"/>
    <mergeCell ref="K21:M21"/>
    <mergeCell ref="N21:Q21"/>
    <mergeCell ref="R21:S21"/>
    <mergeCell ref="T21:U21"/>
    <mergeCell ref="V27:X27"/>
    <mergeCell ref="H28:J28"/>
    <mergeCell ref="K28:M28"/>
    <mergeCell ref="N28:Q28"/>
    <mergeCell ref="R28:S28"/>
    <mergeCell ref="T28:U28"/>
    <mergeCell ref="V28:X28"/>
    <mergeCell ref="H27:J27"/>
    <mergeCell ref="K27:M27"/>
    <mergeCell ref="N27:Q27"/>
    <mergeCell ref="R27:S27"/>
    <mergeCell ref="T27:U27"/>
    <mergeCell ref="V25:X25"/>
    <mergeCell ref="H26:J26"/>
    <mergeCell ref="K26:M26"/>
    <mergeCell ref="N26:Q26"/>
    <mergeCell ref="R26:S26"/>
    <mergeCell ref="T26:U26"/>
    <mergeCell ref="V26:X26"/>
    <mergeCell ref="H25:J25"/>
    <mergeCell ref="K25:M25"/>
    <mergeCell ref="N25:Q25"/>
    <mergeCell ref="R25:S25"/>
    <mergeCell ref="T25:U25"/>
    <mergeCell ref="V31:X31"/>
    <mergeCell ref="H32:J32"/>
    <mergeCell ref="K32:M32"/>
    <mergeCell ref="N32:Q32"/>
    <mergeCell ref="R32:S32"/>
    <mergeCell ref="T32:U32"/>
    <mergeCell ref="V32:X32"/>
    <mergeCell ref="H31:J31"/>
    <mergeCell ref="K31:M31"/>
    <mergeCell ref="N31:Q31"/>
    <mergeCell ref="R31:S31"/>
    <mergeCell ref="T31:U31"/>
    <mergeCell ref="V29:X29"/>
    <mergeCell ref="H30:J30"/>
    <mergeCell ref="K30:M30"/>
    <mergeCell ref="N30:Q30"/>
    <mergeCell ref="R30:S30"/>
    <mergeCell ref="T30:U30"/>
    <mergeCell ref="V30:X30"/>
    <mergeCell ref="H29:J29"/>
    <mergeCell ref="K29:M29"/>
    <mergeCell ref="N29:Q29"/>
    <mergeCell ref="R29:S29"/>
    <mergeCell ref="T29:U29"/>
    <mergeCell ref="V35:X35"/>
    <mergeCell ref="H36:J36"/>
    <mergeCell ref="K36:M36"/>
    <mergeCell ref="N36:Q36"/>
    <mergeCell ref="R36:S36"/>
    <mergeCell ref="T36:U36"/>
    <mergeCell ref="V36:X36"/>
    <mergeCell ref="H35:J35"/>
    <mergeCell ref="K35:M35"/>
    <mergeCell ref="N35:Q35"/>
    <mergeCell ref="R35:S35"/>
    <mergeCell ref="T35:U35"/>
    <mergeCell ref="V33:X33"/>
    <mergeCell ref="H34:J34"/>
    <mergeCell ref="K34:M34"/>
    <mergeCell ref="N34:Q34"/>
    <mergeCell ref="R34:S34"/>
    <mergeCell ref="T34:U34"/>
    <mergeCell ref="V34:X34"/>
    <mergeCell ref="H33:J33"/>
    <mergeCell ref="K33:M33"/>
    <mergeCell ref="N33:Q33"/>
    <mergeCell ref="R33:S33"/>
    <mergeCell ref="T33:U33"/>
    <mergeCell ref="V39:X39"/>
    <mergeCell ref="H40:J40"/>
    <mergeCell ref="K40:M40"/>
    <mergeCell ref="N40:Q40"/>
    <mergeCell ref="R40:S40"/>
    <mergeCell ref="T40:U40"/>
    <mergeCell ref="V40:X40"/>
    <mergeCell ref="H39:J39"/>
    <mergeCell ref="K39:M39"/>
    <mergeCell ref="N39:Q39"/>
    <mergeCell ref="R39:S39"/>
    <mergeCell ref="T39:U39"/>
    <mergeCell ref="V37:X37"/>
    <mergeCell ref="H38:J38"/>
    <mergeCell ref="K38:M38"/>
    <mergeCell ref="N38:Q38"/>
    <mergeCell ref="R38:S38"/>
    <mergeCell ref="T38:U38"/>
    <mergeCell ref="V38:X38"/>
    <mergeCell ref="H37:J37"/>
    <mergeCell ref="K37:M37"/>
    <mergeCell ref="N37:Q37"/>
    <mergeCell ref="R37:S37"/>
    <mergeCell ref="T37:U37"/>
    <mergeCell ref="V43:X43"/>
    <mergeCell ref="H44:J44"/>
    <mergeCell ref="K44:M44"/>
    <mergeCell ref="N44:Q44"/>
    <mergeCell ref="R44:S44"/>
    <mergeCell ref="T44:U44"/>
    <mergeCell ref="V44:X44"/>
    <mergeCell ref="H43:J43"/>
    <mergeCell ref="K43:M43"/>
    <mergeCell ref="N43:Q43"/>
    <mergeCell ref="R43:S43"/>
    <mergeCell ref="T43:U43"/>
    <mergeCell ref="V41:X41"/>
    <mergeCell ref="H42:J42"/>
    <mergeCell ref="K42:M42"/>
    <mergeCell ref="N42:Q42"/>
    <mergeCell ref="R42:S42"/>
    <mergeCell ref="T42:U42"/>
    <mergeCell ref="V42:X42"/>
    <mergeCell ref="H41:J41"/>
    <mergeCell ref="K41:M41"/>
    <mergeCell ref="N41:Q41"/>
    <mergeCell ref="R41:S41"/>
    <mergeCell ref="T41:U41"/>
    <mergeCell ref="V47:X47"/>
    <mergeCell ref="H48:J48"/>
    <mergeCell ref="K48:M48"/>
    <mergeCell ref="N48:Q48"/>
    <mergeCell ref="R48:S48"/>
    <mergeCell ref="T48:U48"/>
    <mergeCell ref="V48:X48"/>
    <mergeCell ref="H47:J47"/>
    <mergeCell ref="K47:M47"/>
    <mergeCell ref="N47:Q47"/>
    <mergeCell ref="R47:S47"/>
    <mergeCell ref="T47:U47"/>
    <mergeCell ref="V45:X45"/>
    <mergeCell ref="H46:J46"/>
    <mergeCell ref="K46:M46"/>
    <mergeCell ref="N46:Q46"/>
    <mergeCell ref="R46:S46"/>
    <mergeCell ref="T46:U46"/>
    <mergeCell ref="V46:X46"/>
    <mergeCell ref="H45:J45"/>
    <mergeCell ref="K45:M45"/>
    <mergeCell ref="N45:Q45"/>
    <mergeCell ref="R45:S45"/>
    <mergeCell ref="T45:U45"/>
    <mergeCell ref="V51:X51"/>
    <mergeCell ref="H52:J52"/>
    <mergeCell ref="K52:M52"/>
    <mergeCell ref="N52:Q52"/>
    <mergeCell ref="R52:S52"/>
    <mergeCell ref="T52:U52"/>
    <mergeCell ref="V52:X52"/>
    <mergeCell ref="H51:J51"/>
    <mergeCell ref="K51:M51"/>
    <mergeCell ref="N51:Q51"/>
    <mergeCell ref="R51:S51"/>
    <mergeCell ref="T51:U51"/>
    <mergeCell ref="V49:X49"/>
    <mergeCell ref="H50:J50"/>
    <mergeCell ref="K50:M50"/>
    <mergeCell ref="N50:Q50"/>
    <mergeCell ref="R50:S50"/>
    <mergeCell ref="T50:U50"/>
    <mergeCell ref="V50:X50"/>
    <mergeCell ref="H49:J49"/>
    <mergeCell ref="K49:M49"/>
    <mergeCell ref="N49:Q49"/>
    <mergeCell ref="R49:S49"/>
    <mergeCell ref="T49:U49"/>
    <mergeCell ref="V55:X55"/>
    <mergeCell ref="H56:J56"/>
    <mergeCell ref="K56:M56"/>
    <mergeCell ref="N56:Q56"/>
    <mergeCell ref="R56:S56"/>
    <mergeCell ref="T56:U56"/>
    <mergeCell ref="V56:X56"/>
    <mergeCell ref="H55:J55"/>
    <mergeCell ref="K55:M55"/>
    <mergeCell ref="N55:Q55"/>
    <mergeCell ref="R55:S55"/>
    <mergeCell ref="T55:U55"/>
    <mergeCell ref="V53:X53"/>
    <mergeCell ref="H54:J54"/>
    <mergeCell ref="K54:M54"/>
    <mergeCell ref="N54:Q54"/>
    <mergeCell ref="R54:S54"/>
    <mergeCell ref="T54:U54"/>
    <mergeCell ref="V54:X54"/>
    <mergeCell ref="H53:J53"/>
    <mergeCell ref="K53:M53"/>
    <mergeCell ref="N53:Q53"/>
    <mergeCell ref="R53:S53"/>
    <mergeCell ref="T53:U53"/>
    <mergeCell ref="V59:X59"/>
    <mergeCell ref="H60:J60"/>
    <mergeCell ref="K60:M60"/>
    <mergeCell ref="N60:Q60"/>
    <mergeCell ref="R60:S60"/>
    <mergeCell ref="T60:U60"/>
    <mergeCell ref="V60:X60"/>
    <mergeCell ref="H59:J59"/>
    <mergeCell ref="K59:M59"/>
    <mergeCell ref="N59:Q59"/>
    <mergeCell ref="R59:S59"/>
    <mergeCell ref="T59:U59"/>
    <mergeCell ref="V57:X57"/>
    <mergeCell ref="H58:J58"/>
    <mergeCell ref="K58:M58"/>
    <mergeCell ref="N58:Q58"/>
    <mergeCell ref="R58:S58"/>
    <mergeCell ref="T58:U58"/>
    <mergeCell ref="V58:X58"/>
    <mergeCell ref="H57:J57"/>
    <mergeCell ref="K57:M57"/>
    <mergeCell ref="N57:Q57"/>
    <mergeCell ref="R57:S57"/>
    <mergeCell ref="T57:U57"/>
    <mergeCell ref="V63:X63"/>
    <mergeCell ref="H64:J64"/>
    <mergeCell ref="K64:M64"/>
    <mergeCell ref="N64:Q64"/>
    <mergeCell ref="R64:S64"/>
    <mergeCell ref="T64:U64"/>
    <mergeCell ref="V64:X64"/>
    <mergeCell ref="H63:J63"/>
    <mergeCell ref="K63:M63"/>
    <mergeCell ref="N63:Q63"/>
    <mergeCell ref="R63:S63"/>
    <mergeCell ref="T63:U63"/>
    <mergeCell ref="V61:X61"/>
    <mergeCell ref="H62:J62"/>
    <mergeCell ref="K62:M62"/>
    <mergeCell ref="N62:Q62"/>
    <mergeCell ref="R62:S62"/>
    <mergeCell ref="T62:U62"/>
    <mergeCell ref="V62:X62"/>
    <mergeCell ref="H61:J61"/>
    <mergeCell ref="K61:M61"/>
    <mergeCell ref="N61:Q61"/>
    <mergeCell ref="R61:S61"/>
    <mergeCell ref="T61:U61"/>
    <mergeCell ref="V67:X67"/>
    <mergeCell ref="H68:J68"/>
    <mergeCell ref="K68:M68"/>
    <mergeCell ref="N68:Q68"/>
    <mergeCell ref="R68:S68"/>
    <mergeCell ref="T68:U68"/>
    <mergeCell ref="V68:X68"/>
    <mergeCell ref="H67:J67"/>
    <mergeCell ref="K67:M67"/>
    <mergeCell ref="N67:Q67"/>
    <mergeCell ref="R67:S67"/>
    <mergeCell ref="T67:U67"/>
    <mergeCell ref="V65:X65"/>
    <mergeCell ref="H66:J66"/>
    <mergeCell ref="K66:M66"/>
    <mergeCell ref="N66:Q66"/>
    <mergeCell ref="R66:S66"/>
    <mergeCell ref="T66:U66"/>
    <mergeCell ref="V66:X66"/>
    <mergeCell ref="H65:J65"/>
    <mergeCell ref="K65:M65"/>
    <mergeCell ref="N65:Q65"/>
    <mergeCell ref="R65:S65"/>
    <mergeCell ref="T65:U65"/>
    <mergeCell ref="V71:X71"/>
    <mergeCell ref="H72:J72"/>
    <mergeCell ref="K72:M72"/>
    <mergeCell ref="N72:Q72"/>
    <mergeCell ref="R72:S72"/>
    <mergeCell ref="T72:U72"/>
    <mergeCell ref="V72:X72"/>
    <mergeCell ref="H71:J71"/>
    <mergeCell ref="K71:M71"/>
    <mergeCell ref="N71:Q71"/>
    <mergeCell ref="R71:S71"/>
    <mergeCell ref="T71:U71"/>
    <mergeCell ref="V69:X69"/>
    <mergeCell ref="H70:J70"/>
    <mergeCell ref="K70:M70"/>
    <mergeCell ref="N70:Q70"/>
    <mergeCell ref="R70:S70"/>
    <mergeCell ref="T70:U70"/>
    <mergeCell ref="V70:X70"/>
    <mergeCell ref="H69:J69"/>
    <mergeCell ref="K69:M69"/>
    <mergeCell ref="N69:Q69"/>
    <mergeCell ref="R69:S69"/>
    <mergeCell ref="T69:U69"/>
    <mergeCell ref="V75:X75"/>
    <mergeCell ref="H76:J76"/>
    <mergeCell ref="K76:M76"/>
    <mergeCell ref="N76:Q76"/>
    <mergeCell ref="R76:S76"/>
    <mergeCell ref="T76:U76"/>
    <mergeCell ref="V76:X76"/>
    <mergeCell ref="H75:J75"/>
    <mergeCell ref="K75:M75"/>
    <mergeCell ref="N75:Q75"/>
    <mergeCell ref="R75:S75"/>
    <mergeCell ref="T75:U75"/>
    <mergeCell ref="V73:X73"/>
    <mergeCell ref="H74:J74"/>
    <mergeCell ref="K74:M74"/>
    <mergeCell ref="N74:Q74"/>
    <mergeCell ref="R74:S74"/>
    <mergeCell ref="T74:U74"/>
    <mergeCell ref="V74:X74"/>
    <mergeCell ref="H73:J73"/>
    <mergeCell ref="K73:M73"/>
    <mergeCell ref="N73:Q73"/>
    <mergeCell ref="R73:S73"/>
    <mergeCell ref="T73:U73"/>
    <mergeCell ref="V79:X79"/>
    <mergeCell ref="H80:J80"/>
    <mergeCell ref="K80:M80"/>
    <mergeCell ref="N80:Q80"/>
    <mergeCell ref="R80:S80"/>
    <mergeCell ref="T80:U80"/>
    <mergeCell ref="V80:X80"/>
    <mergeCell ref="H79:J79"/>
    <mergeCell ref="K79:M79"/>
    <mergeCell ref="N79:Q79"/>
    <mergeCell ref="R79:S79"/>
    <mergeCell ref="T79:U79"/>
    <mergeCell ref="V77:X77"/>
    <mergeCell ref="H78:J78"/>
    <mergeCell ref="K78:M78"/>
    <mergeCell ref="N78:Q78"/>
    <mergeCell ref="R78:S78"/>
    <mergeCell ref="T78:U78"/>
    <mergeCell ref="V78:X78"/>
    <mergeCell ref="H77:J77"/>
    <mergeCell ref="K77:M77"/>
    <mergeCell ref="N77:Q77"/>
    <mergeCell ref="R77:S77"/>
    <mergeCell ref="T77:U77"/>
    <mergeCell ref="V83:X83"/>
    <mergeCell ref="H84:J84"/>
    <mergeCell ref="K84:M84"/>
    <mergeCell ref="N84:Q84"/>
    <mergeCell ref="R84:S84"/>
    <mergeCell ref="T84:U84"/>
    <mergeCell ref="V84:X84"/>
    <mergeCell ref="H83:J83"/>
    <mergeCell ref="K83:M83"/>
    <mergeCell ref="N83:Q83"/>
    <mergeCell ref="R83:S83"/>
    <mergeCell ref="T83:U83"/>
    <mergeCell ref="V81:X81"/>
    <mergeCell ref="H82:J82"/>
    <mergeCell ref="K82:M82"/>
    <mergeCell ref="N82:Q82"/>
    <mergeCell ref="R82:S82"/>
    <mergeCell ref="T82:U82"/>
    <mergeCell ref="V82:X82"/>
    <mergeCell ref="H81:J81"/>
    <mergeCell ref="K81:M81"/>
    <mergeCell ref="N81:Q81"/>
    <mergeCell ref="R81:S81"/>
    <mergeCell ref="T81:U81"/>
    <mergeCell ref="V87:X87"/>
    <mergeCell ref="H88:J88"/>
    <mergeCell ref="K88:M88"/>
    <mergeCell ref="N88:Q88"/>
    <mergeCell ref="R88:S88"/>
    <mergeCell ref="T88:U88"/>
    <mergeCell ref="V88:X88"/>
    <mergeCell ref="H87:J87"/>
    <mergeCell ref="K87:M87"/>
    <mergeCell ref="N87:Q87"/>
    <mergeCell ref="R87:S87"/>
    <mergeCell ref="T87:U87"/>
    <mergeCell ref="V85:X85"/>
    <mergeCell ref="H86:J86"/>
    <mergeCell ref="K86:M86"/>
    <mergeCell ref="N86:Q86"/>
    <mergeCell ref="R86:S86"/>
    <mergeCell ref="T86:U86"/>
    <mergeCell ref="V86:X86"/>
    <mergeCell ref="H85:J85"/>
    <mergeCell ref="K85:M85"/>
    <mergeCell ref="N85:Q85"/>
    <mergeCell ref="R85:S85"/>
    <mergeCell ref="T85:U85"/>
    <mergeCell ref="V91:X91"/>
    <mergeCell ref="H92:J92"/>
    <mergeCell ref="K92:M92"/>
    <mergeCell ref="N92:Q92"/>
    <mergeCell ref="R92:S92"/>
    <mergeCell ref="T92:U92"/>
    <mergeCell ref="V92:X92"/>
    <mergeCell ref="H91:J91"/>
    <mergeCell ref="K91:M91"/>
    <mergeCell ref="N91:Q91"/>
    <mergeCell ref="R91:S91"/>
    <mergeCell ref="T91:U91"/>
    <mergeCell ref="V89:X89"/>
    <mergeCell ref="H90:J90"/>
    <mergeCell ref="K90:M90"/>
    <mergeCell ref="N90:Q90"/>
    <mergeCell ref="R90:S90"/>
    <mergeCell ref="T90:U90"/>
    <mergeCell ref="V90:X90"/>
    <mergeCell ref="H89:J89"/>
    <mergeCell ref="K89:M89"/>
    <mergeCell ref="N89:Q89"/>
    <mergeCell ref="R89:S89"/>
    <mergeCell ref="T89:U89"/>
    <mergeCell ref="V95:X95"/>
    <mergeCell ref="H96:J96"/>
    <mergeCell ref="K96:M96"/>
    <mergeCell ref="N96:Q96"/>
    <mergeCell ref="R96:S96"/>
    <mergeCell ref="T96:U96"/>
    <mergeCell ref="V96:X96"/>
    <mergeCell ref="H95:J95"/>
    <mergeCell ref="K95:M95"/>
    <mergeCell ref="N95:Q95"/>
    <mergeCell ref="R95:S95"/>
    <mergeCell ref="T95:U95"/>
    <mergeCell ref="V93:X93"/>
    <mergeCell ref="H94:J94"/>
    <mergeCell ref="K94:M94"/>
    <mergeCell ref="N94:Q94"/>
    <mergeCell ref="R94:S94"/>
    <mergeCell ref="T94:U94"/>
    <mergeCell ref="V94:X94"/>
    <mergeCell ref="H93:J93"/>
    <mergeCell ref="K93:M93"/>
    <mergeCell ref="N93:Q93"/>
    <mergeCell ref="R93:S93"/>
    <mergeCell ref="T93:U93"/>
    <mergeCell ref="V99:X99"/>
    <mergeCell ref="H100:J100"/>
    <mergeCell ref="K100:M100"/>
    <mergeCell ref="N100:Q100"/>
    <mergeCell ref="R100:S100"/>
    <mergeCell ref="T100:U100"/>
    <mergeCell ref="V100:X100"/>
    <mergeCell ref="H99:J99"/>
    <mergeCell ref="K99:M99"/>
    <mergeCell ref="N99:Q99"/>
    <mergeCell ref="R99:S99"/>
    <mergeCell ref="T99:U99"/>
    <mergeCell ref="V97:X97"/>
    <mergeCell ref="H98:J98"/>
    <mergeCell ref="K98:M98"/>
    <mergeCell ref="N98:Q98"/>
    <mergeCell ref="R98:S98"/>
    <mergeCell ref="T98:U98"/>
    <mergeCell ref="V98:X98"/>
    <mergeCell ref="H97:J97"/>
    <mergeCell ref="K97:M97"/>
    <mergeCell ref="N97:Q97"/>
    <mergeCell ref="R97:S97"/>
    <mergeCell ref="T97:U97"/>
    <mergeCell ref="V103:X103"/>
    <mergeCell ref="H104:J104"/>
    <mergeCell ref="K104:M104"/>
    <mergeCell ref="N104:Q104"/>
    <mergeCell ref="R104:S104"/>
    <mergeCell ref="T104:U104"/>
    <mergeCell ref="V104:X104"/>
    <mergeCell ref="H103:J103"/>
    <mergeCell ref="K103:M103"/>
    <mergeCell ref="N103:Q103"/>
    <mergeCell ref="R103:S103"/>
    <mergeCell ref="T103:U103"/>
    <mergeCell ref="V101:X101"/>
    <mergeCell ref="H102:J102"/>
    <mergeCell ref="K102:M102"/>
    <mergeCell ref="N102:Q102"/>
    <mergeCell ref="R102:S102"/>
    <mergeCell ref="T102:U102"/>
    <mergeCell ref="V102:X102"/>
    <mergeCell ref="H101:J101"/>
    <mergeCell ref="K101:M101"/>
    <mergeCell ref="N101:Q101"/>
    <mergeCell ref="R101:S101"/>
    <mergeCell ref="T101:U101"/>
    <mergeCell ref="V107:X107"/>
    <mergeCell ref="H108:J108"/>
    <mergeCell ref="K108:M108"/>
    <mergeCell ref="N108:Q108"/>
    <mergeCell ref="R108:S108"/>
    <mergeCell ref="T108:U108"/>
    <mergeCell ref="V108:X108"/>
    <mergeCell ref="H107:J107"/>
    <mergeCell ref="K107:M107"/>
    <mergeCell ref="N107:Q107"/>
    <mergeCell ref="R107:S107"/>
    <mergeCell ref="T107:U107"/>
    <mergeCell ref="V105:X105"/>
    <mergeCell ref="H106:J106"/>
    <mergeCell ref="K106:M106"/>
    <mergeCell ref="N106:Q106"/>
    <mergeCell ref="R106:S106"/>
    <mergeCell ref="T106:U106"/>
    <mergeCell ref="V106:X106"/>
    <mergeCell ref="H105:J105"/>
    <mergeCell ref="K105:M105"/>
    <mergeCell ref="N105:Q105"/>
    <mergeCell ref="R105:S105"/>
    <mergeCell ref="T105:U105"/>
    <mergeCell ref="V111:X111"/>
    <mergeCell ref="H112:J112"/>
    <mergeCell ref="K112:M112"/>
    <mergeCell ref="N112:Q112"/>
    <mergeCell ref="R112:S112"/>
    <mergeCell ref="T112:U112"/>
    <mergeCell ref="V112:X112"/>
    <mergeCell ref="H111:J111"/>
    <mergeCell ref="K111:M111"/>
    <mergeCell ref="N111:Q111"/>
    <mergeCell ref="R111:S111"/>
    <mergeCell ref="T111:U111"/>
    <mergeCell ref="V109:X109"/>
    <mergeCell ref="H110:J110"/>
    <mergeCell ref="K110:M110"/>
    <mergeCell ref="N110:Q110"/>
    <mergeCell ref="R110:S110"/>
    <mergeCell ref="T110:U110"/>
    <mergeCell ref="V110:X110"/>
    <mergeCell ref="H109:J109"/>
    <mergeCell ref="K109:M109"/>
    <mergeCell ref="N109:Q109"/>
    <mergeCell ref="R109:S109"/>
    <mergeCell ref="T109:U109"/>
    <mergeCell ref="V115:X115"/>
    <mergeCell ref="H116:J116"/>
    <mergeCell ref="K116:M116"/>
    <mergeCell ref="N116:Q116"/>
    <mergeCell ref="R116:S116"/>
    <mergeCell ref="T116:U116"/>
    <mergeCell ref="V116:X116"/>
    <mergeCell ref="H115:J115"/>
    <mergeCell ref="K115:M115"/>
    <mergeCell ref="N115:Q115"/>
    <mergeCell ref="R115:S115"/>
    <mergeCell ref="T115:U115"/>
    <mergeCell ref="V113:X113"/>
    <mergeCell ref="H114:J114"/>
    <mergeCell ref="K114:M114"/>
    <mergeCell ref="N114:Q114"/>
    <mergeCell ref="R114:S114"/>
    <mergeCell ref="T114:U114"/>
    <mergeCell ref="V114:X114"/>
    <mergeCell ref="H113:J113"/>
    <mergeCell ref="K113:M113"/>
    <mergeCell ref="N113:Q113"/>
    <mergeCell ref="R113:S113"/>
    <mergeCell ref="T113:U113"/>
    <mergeCell ref="V119:X119"/>
    <mergeCell ref="H120:J120"/>
    <mergeCell ref="K120:M120"/>
    <mergeCell ref="N120:Q120"/>
    <mergeCell ref="R120:S120"/>
    <mergeCell ref="T120:U120"/>
    <mergeCell ref="V120:X120"/>
    <mergeCell ref="H119:J119"/>
    <mergeCell ref="K119:M119"/>
    <mergeCell ref="N119:Q119"/>
    <mergeCell ref="R119:S119"/>
    <mergeCell ref="T119:U119"/>
    <mergeCell ref="V117:X117"/>
    <mergeCell ref="H118:J118"/>
    <mergeCell ref="K118:M118"/>
    <mergeCell ref="N118:Q118"/>
    <mergeCell ref="R118:S118"/>
    <mergeCell ref="T118:U118"/>
    <mergeCell ref="V118:X118"/>
    <mergeCell ref="H117:J117"/>
    <mergeCell ref="K117:M117"/>
    <mergeCell ref="N117:Q117"/>
    <mergeCell ref="R117:S117"/>
    <mergeCell ref="T117:U117"/>
    <mergeCell ref="V123:X123"/>
    <mergeCell ref="H124:J124"/>
    <mergeCell ref="K124:M124"/>
    <mergeCell ref="N124:Q124"/>
    <mergeCell ref="R124:S124"/>
    <mergeCell ref="T124:U124"/>
    <mergeCell ref="V124:X124"/>
    <mergeCell ref="H123:J123"/>
    <mergeCell ref="K123:M123"/>
    <mergeCell ref="N123:Q123"/>
    <mergeCell ref="R123:S123"/>
    <mergeCell ref="T123:U123"/>
    <mergeCell ref="V121:X121"/>
    <mergeCell ref="H122:J122"/>
    <mergeCell ref="K122:M122"/>
    <mergeCell ref="N122:Q122"/>
    <mergeCell ref="R122:S122"/>
    <mergeCell ref="T122:U122"/>
    <mergeCell ref="V122:X122"/>
    <mergeCell ref="H121:J121"/>
    <mergeCell ref="K121:M121"/>
    <mergeCell ref="N121:Q121"/>
    <mergeCell ref="R121:S121"/>
    <mergeCell ref="T121:U121"/>
    <mergeCell ref="V127:X127"/>
    <mergeCell ref="H128:J128"/>
    <mergeCell ref="K128:M128"/>
    <mergeCell ref="N128:Q128"/>
    <mergeCell ref="R128:S128"/>
    <mergeCell ref="T128:U128"/>
    <mergeCell ref="V128:X128"/>
    <mergeCell ref="H127:J127"/>
    <mergeCell ref="K127:M127"/>
    <mergeCell ref="N127:Q127"/>
    <mergeCell ref="R127:S127"/>
    <mergeCell ref="T127:U127"/>
    <mergeCell ref="V125:X125"/>
    <mergeCell ref="H126:J126"/>
    <mergeCell ref="K126:M126"/>
    <mergeCell ref="N126:Q126"/>
    <mergeCell ref="R126:S126"/>
    <mergeCell ref="T126:U126"/>
    <mergeCell ref="V126:X126"/>
    <mergeCell ref="H125:J125"/>
    <mergeCell ref="K125:M125"/>
    <mergeCell ref="N125:Q125"/>
    <mergeCell ref="R125:S125"/>
    <mergeCell ref="T125:U125"/>
    <mergeCell ref="V131:X131"/>
    <mergeCell ref="H132:J132"/>
    <mergeCell ref="K132:M132"/>
    <mergeCell ref="N132:Q132"/>
    <mergeCell ref="R132:S132"/>
    <mergeCell ref="T132:U132"/>
    <mergeCell ref="V132:X132"/>
    <mergeCell ref="H131:J131"/>
    <mergeCell ref="K131:M131"/>
    <mergeCell ref="N131:Q131"/>
    <mergeCell ref="R131:S131"/>
    <mergeCell ref="T131:U131"/>
    <mergeCell ref="V129:X129"/>
    <mergeCell ref="H130:J130"/>
    <mergeCell ref="K130:M130"/>
    <mergeCell ref="N130:Q130"/>
    <mergeCell ref="R130:S130"/>
    <mergeCell ref="T130:U130"/>
    <mergeCell ref="V130:X130"/>
    <mergeCell ref="H129:J129"/>
    <mergeCell ref="K129:M129"/>
    <mergeCell ref="N129:Q129"/>
    <mergeCell ref="R129:S129"/>
    <mergeCell ref="T129:U129"/>
    <mergeCell ref="V135:X135"/>
    <mergeCell ref="H136:J136"/>
    <mergeCell ref="K136:M136"/>
    <mergeCell ref="N136:Q136"/>
    <mergeCell ref="R136:S136"/>
    <mergeCell ref="T136:U136"/>
    <mergeCell ref="V136:X136"/>
    <mergeCell ref="H135:J135"/>
    <mergeCell ref="K135:M135"/>
    <mergeCell ref="N135:Q135"/>
    <mergeCell ref="R135:S135"/>
    <mergeCell ref="T135:U135"/>
    <mergeCell ref="V133:X133"/>
    <mergeCell ref="H134:J134"/>
    <mergeCell ref="K134:M134"/>
    <mergeCell ref="N134:Q134"/>
    <mergeCell ref="R134:S134"/>
    <mergeCell ref="T134:U134"/>
    <mergeCell ref="V134:X134"/>
    <mergeCell ref="H133:J133"/>
    <mergeCell ref="K133:M133"/>
    <mergeCell ref="N133:Q133"/>
    <mergeCell ref="R133:S133"/>
    <mergeCell ref="T133:U133"/>
    <mergeCell ref="V139:X139"/>
    <mergeCell ref="H140:J140"/>
    <mergeCell ref="K140:M140"/>
    <mergeCell ref="N140:Q140"/>
    <mergeCell ref="R140:S140"/>
    <mergeCell ref="T140:U140"/>
    <mergeCell ref="V140:X140"/>
    <mergeCell ref="H139:J139"/>
    <mergeCell ref="K139:M139"/>
    <mergeCell ref="N139:Q139"/>
    <mergeCell ref="R139:S139"/>
    <mergeCell ref="T139:U139"/>
    <mergeCell ref="V137:X137"/>
    <mergeCell ref="H138:J138"/>
    <mergeCell ref="K138:M138"/>
    <mergeCell ref="N138:Q138"/>
    <mergeCell ref="R138:S138"/>
    <mergeCell ref="T138:U138"/>
    <mergeCell ref="V138:X138"/>
    <mergeCell ref="H137:J137"/>
    <mergeCell ref="K137:M137"/>
    <mergeCell ref="N137:Q137"/>
    <mergeCell ref="R137:S137"/>
    <mergeCell ref="T137:U137"/>
    <mergeCell ref="V143:X143"/>
    <mergeCell ref="H144:J144"/>
    <mergeCell ref="K144:M144"/>
    <mergeCell ref="N144:Q144"/>
    <mergeCell ref="R144:S144"/>
    <mergeCell ref="T144:U144"/>
    <mergeCell ref="V144:X144"/>
    <mergeCell ref="H143:J143"/>
    <mergeCell ref="K143:M143"/>
    <mergeCell ref="N143:Q143"/>
    <mergeCell ref="R143:S143"/>
    <mergeCell ref="T143:U143"/>
    <mergeCell ref="V141:X141"/>
    <mergeCell ref="H142:J142"/>
    <mergeCell ref="K142:M142"/>
    <mergeCell ref="N142:Q142"/>
    <mergeCell ref="R142:S142"/>
    <mergeCell ref="T142:U142"/>
    <mergeCell ref="V142:X142"/>
    <mergeCell ref="H141:J141"/>
    <mergeCell ref="K141:M141"/>
    <mergeCell ref="N141:Q141"/>
    <mergeCell ref="R141:S141"/>
    <mergeCell ref="T141:U141"/>
    <mergeCell ref="V147:X147"/>
    <mergeCell ref="H148:J148"/>
    <mergeCell ref="K148:M148"/>
    <mergeCell ref="N148:Q148"/>
    <mergeCell ref="R148:S148"/>
    <mergeCell ref="T148:U148"/>
    <mergeCell ref="V148:X148"/>
    <mergeCell ref="H147:J147"/>
    <mergeCell ref="K147:M147"/>
    <mergeCell ref="N147:Q147"/>
    <mergeCell ref="R147:S147"/>
    <mergeCell ref="T147:U147"/>
    <mergeCell ref="V145:X145"/>
    <mergeCell ref="H146:J146"/>
    <mergeCell ref="K146:M146"/>
    <mergeCell ref="N146:Q146"/>
    <mergeCell ref="R146:S146"/>
    <mergeCell ref="T146:U146"/>
    <mergeCell ref="V146:X146"/>
    <mergeCell ref="H145:J145"/>
    <mergeCell ref="K145:M145"/>
    <mergeCell ref="N145:Q145"/>
    <mergeCell ref="R145:S145"/>
    <mergeCell ref="T145:U145"/>
    <mergeCell ref="V151:X151"/>
    <mergeCell ref="H152:J152"/>
    <mergeCell ref="K152:M152"/>
    <mergeCell ref="N152:Q152"/>
    <mergeCell ref="R152:S152"/>
    <mergeCell ref="T152:U152"/>
    <mergeCell ref="V152:X152"/>
    <mergeCell ref="H151:J151"/>
    <mergeCell ref="K151:M151"/>
    <mergeCell ref="N151:Q151"/>
    <mergeCell ref="R151:S151"/>
    <mergeCell ref="T151:U151"/>
    <mergeCell ref="V149:X149"/>
    <mergeCell ref="H150:J150"/>
    <mergeCell ref="K150:M150"/>
    <mergeCell ref="N150:Q150"/>
    <mergeCell ref="R150:S150"/>
    <mergeCell ref="T150:U150"/>
    <mergeCell ref="V150:X150"/>
    <mergeCell ref="H149:J149"/>
    <mergeCell ref="K149:M149"/>
    <mergeCell ref="N149:Q149"/>
    <mergeCell ref="R149:S149"/>
    <mergeCell ref="T149:U149"/>
    <mergeCell ref="V155:X155"/>
    <mergeCell ref="H156:J156"/>
    <mergeCell ref="K156:M156"/>
    <mergeCell ref="N156:Q156"/>
    <mergeCell ref="R156:S156"/>
    <mergeCell ref="T156:U156"/>
    <mergeCell ref="V156:X156"/>
    <mergeCell ref="H155:J155"/>
    <mergeCell ref="K155:M155"/>
    <mergeCell ref="N155:Q155"/>
    <mergeCell ref="R155:S155"/>
    <mergeCell ref="T155:U155"/>
    <mergeCell ref="V153:X153"/>
    <mergeCell ref="H154:J154"/>
    <mergeCell ref="K154:M154"/>
    <mergeCell ref="N154:Q154"/>
    <mergeCell ref="R154:S154"/>
    <mergeCell ref="T154:U154"/>
    <mergeCell ref="V154:X154"/>
    <mergeCell ref="H153:J153"/>
    <mergeCell ref="K153:M153"/>
    <mergeCell ref="N153:Q153"/>
    <mergeCell ref="R153:S153"/>
    <mergeCell ref="T153:U153"/>
    <mergeCell ref="V159:X159"/>
    <mergeCell ref="H160:J160"/>
    <mergeCell ref="K160:M160"/>
    <mergeCell ref="N160:Q160"/>
    <mergeCell ref="R160:S160"/>
    <mergeCell ref="T160:U160"/>
    <mergeCell ref="V160:X160"/>
    <mergeCell ref="H159:J159"/>
    <mergeCell ref="K159:M159"/>
    <mergeCell ref="N159:Q159"/>
    <mergeCell ref="R159:S159"/>
    <mergeCell ref="T159:U159"/>
    <mergeCell ref="V157:X157"/>
    <mergeCell ref="H158:J158"/>
    <mergeCell ref="K158:M158"/>
    <mergeCell ref="N158:Q158"/>
    <mergeCell ref="R158:S158"/>
    <mergeCell ref="T158:U158"/>
    <mergeCell ref="V158:X158"/>
    <mergeCell ref="H157:J157"/>
    <mergeCell ref="K157:M157"/>
    <mergeCell ref="N157:Q157"/>
    <mergeCell ref="R157:S157"/>
    <mergeCell ref="T157:U157"/>
    <mergeCell ref="V163:X163"/>
    <mergeCell ref="H164:J164"/>
    <mergeCell ref="K164:M164"/>
    <mergeCell ref="N164:Q164"/>
    <mergeCell ref="R164:S164"/>
    <mergeCell ref="T164:U164"/>
    <mergeCell ref="V164:X164"/>
    <mergeCell ref="H163:J163"/>
    <mergeCell ref="K163:M163"/>
    <mergeCell ref="N163:Q163"/>
    <mergeCell ref="R163:S163"/>
    <mergeCell ref="T163:U163"/>
    <mergeCell ref="V161:X161"/>
    <mergeCell ref="H162:J162"/>
    <mergeCell ref="K162:M162"/>
    <mergeCell ref="N162:Q162"/>
    <mergeCell ref="R162:S162"/>
    <mergeCell ref="T162:U162"/>
    <mergeCell ref="V162:X162"/>
    <mergeCell ref="H161:J161"/>
    <mergeCell ref="K161:M161"/>
    <mergeCell ref="N161:Q161"/>
    <mergeCell ref="R161:S161"/>
    <mergeCell ref="T161:U161"/>
    <mergeCell ref="V167:X167"/>
    <mergeCell ref="H168:J168"/>
    <mergeCell ref="K168:M168"/>
    <mergeCell ref="N168:Q168"/>
    <mergeCell ref="R168:S168"/>
    <mergeCell ref="T168:U168"/>
    <mergeCell ref="V168:X168"/>
    <mergeCell ref="H167:J167"/>
    <mergeCell ref="K167:M167"/>
    <mergeCell ref="N167:Q167"/>
    <mergeCell ref="R167:S167"/>
    <mergeCell ref="T167:U167"/>
    <mergeCell ref="V165:X165"/>
    <mergeCell ref="H166:J166"/>
    <mergeCell ref="K166:M166"/>
    <mergeCell ref="N166:Q166"/>
    <mergeCell ref="R166:S166"/>
    <mergeCell ref="T166:U166"/>
    <mergeCell ref="V166:X166"/>
    <mergeCell ref="H165:J165"/>
    <mergeCell ref="K165:M165"/>
    <mergeCell ref="N165:Q165"/>
    <mergeCell ref="R165:S165"/>
    <mergeCell ref="T165:U165"/>
    <mergeCell ref="V171:X171"/>
    <mergeCell ref="H172:J172"/>
    <mergeCell ref="K172:M172"/>
    <mergeCell ref="N172:Q172"/>
    <mergeCell ref="R172:S172"/>
    <mergeCell ref="T172:U172"/>
    <mergeCell ref="V172:X172"/>
    <mergeCell ref="H171:J171"/>
    <mergeCell ref="K171:M171"/>
    <mergeCell ref="N171:Q171"/>
    <mergeCell ref="R171:S171"/>
    <mergeCell ref="T171:U171"/>
    <mergeCell ref="V169:X169"/>
    <mergeCell ref="H170:J170"/>
    <mergeCell ref="K170:M170"/>
    <mergeCell ref="N170:Q170"/>
    <mergeCell ref="R170:S170"/>
    <mergeCell ref="T170:U170"/>
    <mergeCell ref="V170:X170"/>
    <mergeCell ref="H169:J169"/>
    <mergeCell ref="K169:M169"/>
    <mergeCell ref="N169:Q169"/>
    <mergeCell ref="R169:S169"/>
    <mergeCell ref="T169:U169"/>
    <mergeCell ref="V175:X175"/>
    <mergeCell ref="H176:J176"/>
    <mergeCell ref="K176:M176"/>
    <mergeCell ref="N176:Q176"/>
    <mergeCell ref="R176:S176"/>
    <mergeCell ref="T176:U176"/>
    <mergeCell ref="V176:X176"/>
    <mergeCell ref="H175:J175"/>
    <mergeCell ref="K175:M175"/>
    <mergeCell ref="N175:Q175"/>
    <mergeCell ref="R175:S175"/>
    <mergeCell ref="T175:U175"/>
    <mergeCell ref="V173:X173"/>
    <mergeCell ref="H174:J174"/>
    <mergeCell ref="K174:M174"/>
    <mergeCell ref="N174:Q174"/>
    <mergeCell ref="R174:S174"/>
    <mergeCell ref="T174:U174"/>
    <mergeCell ref="V174:X174"/>
    <mergeCell ref="H173:J173"/>
    <mergeCell ref="K173:M173"/>
    <mergeCell ref="N173:Q173"/>
    <mergeCell ref="R173:S173"/>
    <mergeCell ref="T173:U173"/>
    <mergeCell ref="V179:X179"/>
    <mergeCell ref="H180:J180"/>
    <mergeCell ref="K180:M180"/>
    <mergeCell ref="N180:Q180"/>
    <mergeCell ref="R180:S180"/>
    <mergeCell ref="T180:U180"/>
    <mergeCell ref="V180:X180"/>
    <mergeCell ref="H179:J179"/>
    <mergeCell ref="K179:M179"/>
    <mergeCell ref="N179:Q179"/>
    <mergeCell ref="R179:S179"/>
    <mergeCell ref="T179:U179"/>
    <mergeCell ref="V177:X177"/>
    <mergeCell ref="H178:J178"/>
    <mergeCell ref="K178:M178"/>
    <mergeCell ref="N178:Q178"/>
    <mergeCell ref="R178:S178"/>
    <mergeCell ref="T178:U178"/>
    <mergeCell ref="V178:X178"/>
    <mergeCell ref="H177:J177"/>
    <mergeCell ref="K177:M177"/>
    <mergeCell ref="N177:Q177"/>
    <mergeCell ref="R177:S177"/>
    <mergeCell ref="T177:U177"/>
    <mergeCell ref="V183:X183"/>
    <mergeCell ref="H184:J184"/>
    <mergeCell ref="K184:M184"/>
    <mergeCell ref="N184:Q184"/>
    <mergeCell ref="R184:S184"/>
    <mergeCell ref="T184:U184"/>
    <mergeCell ref="V184:X184"/>
    <mergeCell ref="H183:J183"/>
    <mergeCell ref="K183:M183"/>
    <mergeCell ref="N183:Q183"/>
    <mergeCell ref="R183:S183"/>
    <mergeCell ref="T183:U183"/>
    <mergeCell ref="V181:X181"/>
    <mergeCell ref="H182:J182"/>
    <mergeCell ref="K182:M182"/>
    <mergeCell ref="N182:Q182"/>
    <mergeCell ref="R182:S182"/>
    <mergeCell ref="T182:U182"/>
    <mergeCell ref="V182:X182"/>
    <mergeCell ref="H181:J181"/>
    <mergeCell ref="K181:M181"/>
    <mergeCell ref="N181:Q181"/>
    <mergeCell ref="R181:S181"/>
    <mergeCell ref="T181:U181"/>
    <mergeCell ref="V187:X187"/>
    <mergeCell ref="H188:J188"/>
    <mergeCell ref="K188:M188"/>
    <mergeCell ref="N188:Q188"/>
    <mergeCell ref="R188:S188"/>
    <mergeCell ref="T188:U188"/>
    <mergeCell ref="V188:X188"/>
    <mergeCell ref="H187:J187"/>
    <mergeCell ref="K187:M187"/>
    <mergeCell ref="N187:Q187"/>
    <mergeCell ref="R187:S187"/>
    <mergeCell ref="T187:U187"/>
    <mergeCell ref="V185:X185"/>
    <mergeCell ref="H186:J186"/>
    <mergeCell ref="K186:M186"/>
    <mergeCell ref="N186:Q186"/>
    <mergeCell ref="R186:S186"/>
    <mergeCell ref="T186:U186"/>
    <mergeCell ref="V186:X186"/>
    <mergeCell ref="H185:J185"/>
    <mergeCell ref="K185:M185"/>
    <mergeCell ref="N185:Q185"/>
    <mergeCell ref="R185:S185"/>
    <mergeCell ref="T185:U185"/>
    <mergeCell ref="V191:X191"/>
    <mergeCell ref="H192:J192"/>
    <mergeCell ref="K192:M192"/>
    <mergeCell ref="N192:Q192"/>
    <mergeCell ref="R192:S192"/>
    <mergeCell ref="T192:U192"/>
    <mergeCell ref="V192:X192"/>
    <mergeCell ref="H191:J191"/>
    <mergeCell ref="K191:M191"/>
    <mergeCell ref="N191:Q191"/>
    <mergeCell ref="R191:S191"/>
    <mergeCell ref="T191:U191"/>
    <mergeCell ref="V189:X189"/>
    <mergeCell ref="H190:J190"/>
    <mergeCell ref="K190:M190"/>
    <mergeCell ref="N190:Q190"/>
    <mergeCell ref="R190:S190"/>
    <mergeCell ref="T190:U190"/>
    <mergeCell ref="V190:X190"/>
    <mergeCell ref="H189:J189"/>
    <mergeCell ref="K189:M189"/>
    <mergeCell ref="N189:Q189"/>
    <mergeCell ref="R189:S189"/>
    <mergeCell ref="T189:U189"/>
    <mergeCell ref="V195:X195"/>
    <mergeCell ref="H196:J196"/>
    <mergeCell ref="K196:M196"/>
    <mergeCell ref="N196:Q196"/>
    <mergeCell ref="R196:S196"/>
    <mergeCell ref="T196:U196"/>
    <mergeCell ref="V196:X196"/>
    <mergeCell ref="H195:J195"/>
    <mergeCell ref="K195:M195"/>
    <mergeCell ref="N195:Q195"/>
    <mergeCell ref="R195:S195"/>
    <mergeCell ref="T195:U195"/>
    <mergeCell ref="V193:X193"/>
    <mergeCell ref="H194:J194"/>
    <mergeCell ref="K194:M194"/>
    <mergeCell ref="N194:Q194"/>
    <mergeCell ref="R194:S194"/>
    <mergeCell ref="T194:U194"/>
    <mergeCell ref="V194:X194"/>
    <mergeCell ref="H193:J193"/>
    <mergeCell ref="K193:M193"/>
    <mergeCell ref="N193:Q193"/>
    <mergeCell ref="R193:S193"/>
    <mergeCell ref="T193:U193"/>
    <mergeCell ref="V199:X199"/>
    <mergeCell ref="H200:J200"/>
    <mergeCell ref="K200:M200"/>
    <mergeCell ref="N200:Q200"/>
    <mergeCell ref="R200:S200"/>
    <mergeCell ref="T200:U200"/>
    <mergeCell ref="V200:X200"/>
    <mergeCell ref="H199:J199"/>
    <mergeCell ref="K199:M199"/>
    <mergeCell ref="N199:Q199"/>
    <mergeCell ref="R199:S199"/>
    <mergeCell ref="T199:U199"/>
    <mergeCell ref="V197:X197"/>
    <mergeCell ref="H198:J198"/>
    <mergeCell ref="K198:M198"/>
    <mergeCell ref="N198:Q198"/>
    <mergeCell ref="R198:S198"/>
    <mergeCell ref="T198:U198"/>
    <mergeCell ref="V198:X198"/>
    <mergeCell ref="H197:J197"/>
    <mergeCell ref="K197:M197"/>
    <mergeCell ref="N197:Q197"/>
    <mergeCell ref="R197:S197"/>
    <mergeCell ref="T197:U197"/>
    <mergeCell ref="V203:X203"/>
    <mergeCell ref="H204:J204"/>
    <mergeCell ref="K204:M204"/>
    <mergeCell ref="N204:Q204"/>
    <mergeCell ref="R204:S204"/>
    <mergeCell ref="T204:U204"/>
    <mergeCell ref="V204:X204"/>
    <mergeCell ref="H203:J203"/>
    <mergeCell ref="K203:M203"/>
    <mergeCell ref="N203:Q203"/>
    <mergeCell ref="R203:S203"/>
    <mergeCell ref="T203:U203"/>
    <mergeCell ref="V201:X201"/>
    <mergeCell ref="H202:J202"/>
    <mergeCell ref="K202:M202"/>
    <mergeCell ref="N202:Q202"/>
    <mergeCell ref="R202:S202"/>
    <mergeCell ref="T202:U202"/>
    <mergeCell ref="V202:X202"/>
    <mergeCell ref="H201:J201"/>
    <mergeCell ref="K201:M201"/>
    <mergeCell ref="N201:Q201"/>
    <mergeCell ref="R201:S201"/>
    <mergeCell ref="T201:U201"/>
    <mergeCell ref="V207:X207"/>
    <mergeCell ref="H208:J208"/>
    <mergeCell ref="K208:M208"/>
    <mergeCell ref="N208:Q208"/>
    <mergeCell ref="R208:S208"/>
    <mergeCell ref="T208:U208"/>
    <mergeCell ref="V208:X208"/>
    <mergeCell ref="H207:J207"/>
    <mergeCell ref="K207:M207"/>
    <mergeCell ref="N207:Q207"/>
    <mergeCell ref="R207:S207"/>
    <mergeCell ref="T207:U207"/>
    <mergeCell ref="V205:X205"/>
    <mergeCell ref="H206:J206"/>
    <mergeCell ref="K206:M206"/>
    <mergeCell ref="N206:Q206"/>
    <mergeCell ref="R206:S206"/>
    <mergeCell ref="T206:U206"/>
    <mergeCell ref="V206:X206"/>
    <mergeCell ref="H205:J205"/>
    <mergeCell ref="K205:M205"/>
    <mergeCell ref="N205:Q205"/>
    <mergeCell ref="R205:S205"/>
    <mergeCell ref="T205:U205"/>
    <mergeCell ref="V211:X211"/>
    <mergeCell ref="H212:J212"/>
    <mergeCell ref="K212:M212"/>
    <mergeCell ref="N212:Q212"/>
    <mergeCell ref="R212:S212"/>
    <mergeCell ref="T212:U212"/>
    <mergeCell ref="V212:X212"/>
    <mergeCell ref="H211:J211"/>
    <mergeCell ref="K211:M211"/>
    <mergeCell ref="N211:Q211"/>
    <mergeCell ref="R211:S211"/>
    <mergeCell ref="T211:U211"/>
    <mergeCell ref="V209:X209"/>
    <mergeCell ref="H210:J210"/>
    <mergeCell ref="K210:M210"/>
    <mergeCell ref="N210:Q210"/>
    <mergeCell ref="R210:S210"/>
    <mergeCell ref="T210:U210"/>
    <mergeCell ref="V210:X210"/>
    <mergeCell ref="H209:J209"/>
    <mergeCell ref="K209:M209"/>
    <mergeCell ref="N209:Q209"/>
    <mergeCell ref="R209:S209"/>
    <mergeCell ref="T209:U209"/>
    <mergeCell ref="V215:X215"/>
    <mergeCell ref="H216:J216"/>
    <mergeCell ref="K216:M216"/>
    <mergeCell ref="N216:Q216"/>
    <mergeCell ref="R216:S216"/>
    <mergeCell ref="T216:U216"/>
    <mergeCell ref="V216:X216"/>
    <mergeCell ref="H215:J215"/>
    <mergeCell ref="K215:M215"/>
    <mergeCell ref="N215:Q215"/>
    <mergeCell ref="R215:S215"/>
    <mergeCell ref="T215:U215"/>
    <mergeCell ref="V213:X213"/>
    <mergeCell ref="H214:J214"/>
    <mergeCell ref="K214:M214"/>
    <mergeCell ref="N214:Q214"/>
    <mergeCell ref="R214:S214"/>
    <mergeCell ref="T214:U214"/>
    <mergeCell ref="V214:X214"/>
    <mergeCell ref="H213:J213"/>
    <mergeCell ref="K213:M213"/>
    <mergeCell ref="N213:Q213"/>
    <mergeCell ref="R213:S213"/>
    <mergeCell ref="T213:U213"/>
    <mergeCell ref="V219:X219"/>
    <mergeCell ref="H220:J220"/>
    <mergeCell ref="K220:M220"/>
    <mergeCell ref="N220:Q220"/>
    <mergeCell ref="R220:S220"/>
    <mergeCell ref="T220:U220"/>
    <mergeCell ref="V220:X220"/>
    <mergeCell ref="H219:J219"/>
    <mergeCell ref="K219:M219"/>
    <mergeCell ref="N219:Q219"/>
    <mergeCell ref="R219:S219"/>
    <mergeCell ref="T219:U219"/>
    <mergeCell ref="V217:X217"/>
    <mergeCell ref="H218:J218"/>
    <mergeCell ref="K218:M218"/>
    <mergeCell ref="N218:Q218"/>
    <mergeCell ref="R218:S218"/>
    <mergeCell ref="T218:U218"/>
    <mergeCell ref="V218:X218"/>
    <mergeCell ref="H217:J217"/>
    <mergeCell ref="K217:M217"/>
    <mergeCell ref="N217:Q217"/>
    <mergeCell ref="R217:S217"/>
    <mergeCell ref="T217:U217"/>
    <mergeCell ref="V223:X223"/>
    <mergeCell ref="H224:J224"/>
    <mergeCell ref="K224:M224"/>
    <mergeCell ref="N224:Q224"/>
    <mergeCell ref="R224:S224"/>
    <mergeCell ref="T224:U224"/>
    <mergeCell ref="V224:X224"/>
    <mergeCell ref="H223:J223"/>
    <mergeCell ref="K223:M223"/>
    <mergeCell ref="N223:Q223"/>
    <mergeCell ref="R223:S223"/>
    <mergeCell ref="T223:U223"/>
    <mergeCell ref="V221:X221"/>
    <mergeCell ref="H222:J222"/>
    <mergeCell ref="K222:M222"/>
    <mergeCell ref="N222:Q222"/>
    <mergeCell ref="R222:S222"/>
    <mergeCell ref="T222:U222"/>
    <mergeCell ref="V222:X222"/>
    <mergeCell ref="H221:J221"/>
    <mergeCell ref="K221:M221"/>
    <mergeCell ref="N221:Q221"/>
    <mergeCell ref="R221:S221"/>
    <mergeCell ref="T221:U221"/>
    <mergeCell ref="V227:X227"/>
    <mergeCell ref="H228:J228"/>
    <mergeCell ref="K228:M228"/>
    <mergeCell ref="N228:Q228"/>
    <mergeCell ref="R228:S228"/>
    <mergeCell ref="T228:U228"/>
    <mergeCell ref="V228:X228"/>
    <mergeCell ref="H227:J227"/>
    <mergeCell ref="K227:M227"/>
    <mergeCell ref="N227:Q227"/>
    <mergeCell ref="R227:S227"/>
    <mergeCell ref="T227:U227"/>
    <mergeCell ref="V225:X225"/>
    <mergeCell ref="H226:J226"/>
    <mergeCell ref="K226:M226"/>
    <mergeCell ref="N226:Q226"/>
    <mergeCell ref="R226:S226"/>
    <mergeCell ref="T226:U226"/>
    <mergeCell ref="V226:X226"/>
    <mergeCell ref="H225:J225"/>
    <mergeCell ref="K225:M225"/>
    <mergeCell ref="N225:Q225"/>
    <mergeCell ref="R225:S225"/>
    <mergeCell ref="T225:U225"/>
    <mergeCell ref="V231:X231"/>
    <mergeCell ref="H232:J232"/>
    <mergeCell ref="K232:M232"/>
    <mergeCell ref="N232:Q232"/>
    <mergeCell ref="R232:S232"/>
    <mergeCell ref="T232:U232"/>
    <mergeCell ref="V232:X232"/>
    <mergeCell ref="H231:J231"/>
    <mergeCell ref="K231:M231"/>
    <mergeCell ref="N231:Q231"/>
    <mergeCell ref="R231:S231"/>
    <mergeCell ref="T231:U231"/>
    <mergeCell ref="V229:X229"/>
    <mergeCell ref="H230:J230"/>
    <mergeCell ref="K230:M230"/>
    <mergeCell ref="N230:Q230"/>
    <mergeCell ref="R230:S230"/>
    <mergeCell ref="T230:U230"/>
    <mergeCell ref="V230:X230"/>
    <mergeCell ref="H229:J229"/>
    <mergeCell ref="K229:M229"/>
    <mergeCell ref="N229:Q229"/>
    <mergeCell ref="R229:S229"/>
    <mergeCell ref="T229:U229"/>
    <mergeCell ref="V235:X235"/>
    <mergeCell ref="H236:J236"/>
    <mergeCell ref="K236:M236"/>
    <mergeCell ref="N236:Q236"/>
    <mergeCell ref="R236:S236"/>
    <mergeCell ref="T236:U236"/>
    <mergeCell ref="V236:X236"/>
    <mergeCell ref="H235:J235"/>
    <mergeCell ref="K235:M235"/>
    <mergeCell ref="N235:Q235"/>
    <mergeCell ref="R235:S235"/>
    <mergeCell ref="T235:U235"/>
    <mergeCell ref="V233:X233"/>
    <mergeCell ref="H234:J234"/>
    <mergeCell ref="K234:M234"/>
    <mergeCell ref="N234:Q234"/>
    <mergeCell ref="R234:S234"/>
    <mergeCell ref="T234:U234"/>
    <mergeCell ref="V234:X234"/>
    <mergeCell ref="H233:J233"/>
    <mergeCell ref="K233:M233"/>
    <mergeCell ref="N233:Q233"/>
    <mergeCell ref="R233:S233"/>
    <mergeCell ref="T233:U233"/>
    <mergeCell ref="V239:X239"/>
    <mergeCell ref="H240:J240"/>
    <mergeCell ref="K240:M240"/>
    <mergeCell ref="N240:Q240"/>
    <mergeCell ref="R240:S240"/>
    <mergeCell ref="T240:U240"/>
    <mergeCell ref="V240:X240"/>
    <mergeCell ref="H239:J239"/>
    <mergeCell ref="K239:M239"/>
    <mergeCell ref="N239:Q239"/>
    <mergeCell ref="R239:S239"/>
    <mergeCell ref="T239:U239"/>
    <mergeCell ref="V237:X237"/>
    <mergeCell ref="H238:J238"/>
    <mergeCell ref="K238:M238"/>
    <mergeCell ref="N238:Q238"/>
    <mergeCell ref="R238:S238"/>
    <mergeCell ref="T238:U238"/>
    <mergeCell ref="V238:X238"/>
    <mergeCell ref="H237:J237"/>
    <mergeCell ref="K237:M237"/>
    <mergeCell ref="N237:Q237"/>
    <mergeCell ref="R237:S237"/>
    <mergeCell ref="T237:U237"/>
    <mergeCell ref="V243:X243"/>
    <mergeCell ref="H244:J244"/>
    <mergeCell ref="K244:M244"/>
    <mergeCell ref="N244:Q244"/>
    <mergeCell ref="R244:S244"/>
    <mergeCell ref="T244:U244"/>
    <mergeCell ref="V244:X244"/>
    <mergeCell ref="H243:J243"/>
    <mergeCell ref="K243:M243"/>
    <mergeCell ref="N243:Q243"/>
    <mergeCell ref="R243:S243"/>
    <mergeCell ref="T243:U243"/>
    <mergeCell ref="V241:X241"/>
    <mergeCell ref="H242:J242"/>
    <mergeCell ref="K242:M242"/>
    <mergeCell ref="N242:Q242"/>
    <mergeCell ref="R242:S242"/>
    <mergeCell ref="T242:U242"/>
    <mergeCell ref="V242:X242"/>
    <mergeCell ref="H241:J241"/>
    <mergeCell ref="K241:M241"/>
    <mergeCell ref="N241:Q241"/>
    <mergeCell ref="R241:S241"/>
    <mergeCell ref="T241:U241"/>
    <mergeCell ref="V247:X247"/>
    <mergeCell ref="H248:J248"/>
    <mergeCell ref="K248:M248"/>
    <mergeCell ref="N248:Q248"/>
    <mergeCell ref="R248:S248"/>
    <mergeCell ref="T248:U248"/>
    <mergeCell ref="V248:X248"/>
    <mergeCell ref="H247:J247"/>
    <mergeCell ref="K247:M247"/>
    <mergeCell ref="N247:Q247"/>
    <mergeCell ref="R247:S247"/>
    <mergeCell ref="T247:U247"/>
    <mergeCell ref="V245:X245"/>
    <mergeCell ref="H246:J246"/>
    <mergeCell ref="K246:M246"/>
    <mergeCell ref="N246:Q246"/>
    <mergeCell ref="R246:S246"/>
    <mergeCell ref="T246:U246"/>
    <mergeCell ref="V246:X246"/>
    <mergeCell ref="H245:J245"/>
    <mergeCell ref="K245:M245"/>
    <mergeCell ref="N245:Q245"/>
    <mergeCell ref="R245:S245"/>
    <mergeCell ref="T245:U245"/>
    <mergeCell ref="V251:X251"/>
    <mergeCell ref="H252:J252"/>
    <mergeCell ref="K252:M252"/>
    <mergeCell ref="N252:Q252"/>
    <mergeCell ref="R252:S252"/>
    <mergeCell ref="T252:U252"/>
    <mergeCell ref="V252:X252"/>
    <mergeCell ref="H251:J251"/>
    <mergeCell ref="K251:M251"/>
    <mergeCell ref="N251:Q251"/>
    <mergeCell ref="R251:S251"/>
    <mergeCell ref="T251:U251"/>
    <mergeCell ref="V249:X249"/>
    <mergeCell ref="H250:J250"/>
    <mergeCell ref="K250:M250"/>
    <mergeCell ref="N250:Q250"/>
    <mergeCell ref="R250:S250"/>
    <mergeCell ref="T250:U250"/>
    <mergeCell ref="V250:X250"/>
    <mergeCell ref="H249:J249"/>
    <mergeCell ref="K249:M249"/>
    <mergeCell ref="N249:Q249"/>
    <mergeCell ref="R249:S249"/>
    <mergeCell ref="T249:U249"/>
    <mergeCell ref="V255:X255"/>
    <mergeCell ref="H256:J256"/>
    <mergeCell ref="K256:M256"/>
    <mergeCell ref="N256:Q256"/>
    <mergeCell ref="R256:S256"/>
    <mergeCell ref="T256:U256"/>
    <mergeCell ref="V256:X256"/>
    <mergeCell ref="H255:J255"/>
    <mergeCell ref="K255:M255"/>
    <mergeCell ref="N255:Q255"/>
    <mergeCell ref="R255:S255"/>
    <mergeCell ref="T255:U255"/>
    <mergeCell ref="V253:X253"/>
    <mergeCell ref="H254:J254"/>
    <mergeCell ref="K254:M254"/>
    <mergeCell ref="N254:Q254"/>
    <mergeCell ref="R254:S254"/>
    <mergeCell ref="T254:U254"/>
    <mergeCell ref="V254:X254"/>
    <mergeCell ref="H253:J253"/>
    <mergeCell ref="K253:M253"/>
    <mergeCell ref="N253:Q253"/>
    <mergeCell ref="R253:S253"/>
    <mergeCell ref="T253:U253"/>
    <mergeCell ref="V259:X259"/>
    <mergeCell ref="H260:J260"/>
    <mergeCell ref="K260:M260"/>
    <mergeCell ref="N260:Q260"/>
    <mergeCell ref="R260:S260"/>
    <mergeCell ref="T260:U260"/>
    <mergeCell ref="V260:X260"/>
    <mergeCell ref="H259:J259"/>
    <mergeCell ref="K259:M259"/>
    <mergeCell ref="N259:Q259"/>
    <mergeCell ref="R259:S259"/>
    <mergeCell ref="T259:U259"/>
    <mergeCell ref="V257:X257"/>
    <mergeCell ref="H258:J258"/>
    <mergeCell ref="K258:M258"/>
    <mergeCell ref="N258:Q258"/>
    <mergeCell ref="R258:S258"/>
    <mergeCell ref="T258:U258"/>
    <mergeCell ref="V258:X258"/>
    <mergeCell ref="H257:J257"/>
    <mergeCell ref="K257:M257"/>
    <mergeCell ref="N257:Q257"/>
    <mergeCell ref="R257:S257"/>
    <mergeCell ref="T257:U257"/>
    <mergeCell ref="V263:X263"/>
    <mergeCell ref="H264:J264"/>
    <mergeCell ref="K264:M264"/>
    <mergeCell ref="N264:Q264"/>
    <mergeCell ref="R264:S264"/>
    <mergeCell ref="T264:U264"/>
    <mergeCell ref="V264:X264"/>
    <mergeCell ref="H263:J263"/>
    <mergeCell ref="K263:M263"/>
    <mergeCell ref="N263:Q263"/>
    <mergeCell ref="R263:S263"/>
    <mergeCell ref="T263:U263"/>
    <mergeCell ref="V261:X261"/>
    <mergeCell ref="H262:J262"/>
    <mergeCell ref="K262:M262"/>
    <mergeCell ref="N262:Q262"/>
    <mergeCell ref="R262:S262"/>
    <mergeCell ref="T262:U262"/>
    <mergeCell ref="V262:X262"/>
    <mergeCell ref="H261:J261"/>
    <mergeCell ref="K261:M261"/>
    <mergeCell ref="N261:Q261"/>
    <mergeCell ref="R261:S261"/>
    <mergeCell ref="T261:U261"/>
    <mergeCell ref="V267:X267"/>
    <mergeCell ref="H268:J268"/>
    <mergeCell ref="K268:M268"/>
    <mergeCell ref="N268:Q268"/>
    <mergeCell ref="R268:S268"/>
    <mergeCell ref="T268:U268"/>
    <mergeCell ref="V268:X268"/>
    <mergeCell ref="H267:J267"/>
    <mergeCell ref="K267:M267"/>
    <mergeCell ref="N267:Q267"/>
    <mergeCell ref="R267:S267"/>
    <mergeCell ref="T267:U267"/>
    <mergeCell ref="V265:X265"/>
    <mergeCell ref="H266:J266"/>
    <mergeCell ref="K266:M266"/>
    <mergeCell ref="N266:Q266"/>
    <mergeCell ref="R266:S266"/>
    <mergeCell ref="T266:U266"/>
    <mergeCell ref="V266:X266"/>
    <mergeCell ref="H265:J265"/>
    <mergeCell ref="K265:M265"/>
    <mergeCell ref="N265:Q265"/>
    <mergeCell ref="R265:S265"/>
    <mergeCell ref="T265:U265"/>
    <mergeCell ref="V271:X271"/>
    <mergeCell ref="H272:J272"/>
    <mergeCell ref="K272:M272"/>
    <mergeCell ref="N272:Q272"/>
    <mergeCell ref="R272:S272"/>
    <mergeCell ref="T272:U272"/>
    <mergeCell ref="V272:X272"/>
    <mergeCell ref="H271:J271"/>
    <mergeCell ref="K271:M271"/>
    <mergeCell ref="N271:Q271"/>
    <mergeCell ref="R271:S271"/>
    <mergeCell ref="T271:U271"/>
    <mergeCell ref="V269:X269"/>
    <mergeCell ref="H270:J270"/>
    <mergeCell ref="K270:M270"/>
    <mergeCell ref="N270:Q270"/>
    <mergeCell ref="R270:S270"/>
    <mergeCell ref="T270:U270"/>
    <mergeCell ref="V270:X270"/>
    <mergeCell ref="H269:J269"/>
    <mergeCell ref="K269:M269"/>
    <mergeCell ref="N269:Q269"/>
    <mergeCell ref="R269:S269"/>
    <mergeCell ref="T269:U269"/>
    <mergeCell ref="V275:X275"/>
    <mergeCell ref="H276:J276"/>
    <mergeCell ref="K276:M276"/>
    <mergeCell ref="N276:Q276"/>
    <mergeCell ref="R276:S276"/>
    <mergeCell ref="T276:U276"/>
    <mergeCell ref="V276:X276"/>
    <mergeCell ref="H275:J275"/>
    <mergeCell ref="K275:M275"/>
    <mergeCell ref="N275:Q275"/>
    <mergeCell ref="R275:S275"/>
    <mergeCell ref="T275:U275"/>
    <mergeCell ref="V273:X273"/>
    <mergeCell ref="H274:J274"/>
    <mergeCell ref="K274:M274"/>
    <mergeCell ref="N274:Q274"/>
    <mergeCell ref="R274:S274"/>
    <mergeCell ref="T274:U274"/>
    <mergeCell ref="V274:X274"/>
    <mergeCell ref="H273:J273"/>
    <mergeCell ref="K273:M273"/>
    <mergeCell ref="N273:Q273"/>
    <mergeCell ref="R273:S273"/>
    <mergeCell ref="T273:U273"/>
    <mergeCell ref="V279:X279"/>
    <mergeCell ref="H280:J280"/>
    <mergeCell ref="K280:M280"/>
    <mergeCell ref="N280:Q280"/>
    <mergeCell ref="R280:S280"/>
    <mergeCell ref="T280:U280"/>
    <mergeCell ref="V280:X280"/>
    <mergeCell ref="H279:J279"/>
    <mergeCell ref="K279:M279"/>
    <mergeCell ref="N279:Q279"/>
    <mergeCell ref="R279:S279"/>
    <mergeCell ref="T279:U279"/>
    <mergeCell ref="V277:X277"/>
    <mergeCell ref="H278:J278"/>
    <mergeCell ref="K278:M278"/>
    <mergeCell ref="N278:Q278"/>
    <mergeCell ref="R278:S278"/>
    <mergeCell ref="T278:U278"/>
    <mergeCell ref="V278:X278"/>
    <mergeCell ref="H277:J277"/>
    <mergeCell ref="K277:M277"/>
    <mergeCell ref="N277:Q277"/>
    <mergeCell ref="R277:S277"/>
    <mergeCell ref="T277:U277"/>
    <mergeCell ref="V283:X283"/>
    <mergeCell ref="H284:J284"/>
    <mergeCell ref="K284:M284"/>
    <mergeCell ref="N284:Q284"/>
    <mergeCell ref="R284:S284"/>
    <mergeCell ref="T284:U284"/>
    <mergeCell ref="V284:X284"/>
    <mergeCell ref="H283:J283"/>
    <mergeCell ref="K283:M283"/>
    <mergeCell ref="N283:Q283"/>
    <mergeCell ref="R283:S283"/>
    <mergeCell ref="T283:U283"/>
    <mergeCell ref="V281:X281"/>
    <mergeCell ref="H282:J282"/>
    <mergeCell ref="K282:M282"/>
    <mergeCell ref="N282:Q282"/>
    <mergeCell ref="R282:S282"/>
    <mergeCell ref="T282:U282"/>
    <mergeCell ref="V282:X282"/>
    <mergeCell ref="H281:J281"/>
    <mergeCell ref="K281:M281"/>
    <mergeCell ref="N281:Q281"/>
    <mergeCell ref="R281:S281"/>
    <mergeCell ref="T281:U281"/>
    <mergeCell ref="V287:X287"/>
    <mergeCell ref="H288:J288"/>
    <mergeCell ref="K288:M288"/>
    <mergeCell ref="N288:Q288"/>
    <mergeCell ref="R288:S288"/>
    <mergeCell ref="T288:U288"/>
    <mergeCell ref="V288:X288"/>
    <mergeCell ref="H287:J287"/>
    <mergeCell ref="K287:M287"/>
    <mergeCell ref="N287:Q287"/>
    <mergeCell ref="R287:S287"/>
    <mergeCell ref="T287:U287"/>
    <mergeCell ref="V285:X285"/>
    <mergeCell ref="H286:J286"/>
    <mergeCell ref="K286:M286"/>
    <mergeCell ref="N286:Q286"/>
    <mergeCell ref="R286:S286"/>
    <mergeCell ref="T286:U286"/>
    <mergeCell ref="V286:X286"/>
    <mergeCell ref="H285:J285"/>
    <mergeCell ref="K285:M285"/>
    <mergeCell ref="N285:Q285"/>
    <mergeCell ref="R285:S285"/>
    <mergeCell ref="T285:U285"/>
    <mergeCell ref="V291:X291"/>
    <mergeCell ref="H292:J292"/>
    <mergeCell ref="K292:M292"/>
    <mergeCell ref="N292:Q292"/>
    <mergeCell ref="R292:S292"/>
    <mergeCell ref="T292:U292"/>
    <mergeCell ref="V292:X292"/>
    <mergeCell ref="H291:J291"/>
    <mergeCell ref="K291:M291"/>
    <mergeCell ref="N291:Q291"/>
    <mergeCell ref="R291:S291"/>
    <mergeCell ref="T291:U291"/>
    <mergeCell ref="V289:X289"/>
    <mergeCell ref="H290:J290"/>
    <mergeCell ref="K290:M290"/>
    <mergeCell ref="N290:Q290"/>
    <mergeCell ref="R290:S290"/>
    <mergeCell ref="T290:U290"/>
    <mergeCell ref="V290:X290"/>
    <mergeCell ref="H289:J289"/>
    <mergeCell ref="K289:M289"/>
    <mergeCell ref="N289:Q289"/>
    <mergeCell ref="R289:S289"/>
    <mergeCell ref="T289:U289"/>
    <mergeCell ref="V295:X295"/>
    <mergeCell ref="H296:J296"/>
    <mergeCell ref="K296:M296"/>
    <mergeCell ref="N296:Q296"/>
    <mergeCell ref="R296:S296"/>
    <mergeCell ref="T296:U296"/>
    <mergeCell ref="V296:X296"/>
    <mergeCell ref="H295:J295"/>
    <mergeCell ref="K295:M295"/>
    <mergeCell ref="N295:Q295"/>
    <mergeCell ref="R295:S295"/>
    <mergeCell ref="T295:U295"/>
    <mergeCell ref="V293:X293"/>
    <mergeCell ref="H294:J294"/>
    <mergeCell ref="K294:M294"/>
    <mergeCell ref="N294:Q294"/>
    <mergeCell ref="R294:S294"/>
    <mergeCell ref="T294:U294"/>
    <mergeCell ref="V294:X294"/>
    <mergeCell ref="H293:J293"/>
    <mergeCell ref="K293:M293"/>
    <mergeCell ref="N293:Q293"/>
    <mergeCell ref="R293:S293"/>
    <mergeCell ref="T293:U293"/>
    <mergeCell ref="R301:S301"/>
    <mergeCell ref="T301:U301"/>
    <mergeCell ref="V301:X301"/>
    <mergeCell ref="V299:X299"/>
    <mergeCell ref="H300:J300"/>
    <mergeCell ref="K300:M300"/>
    <mergeCell ref="N300:Q300"/>
    <mergeCell ref="R300:S300"/>
    <mergeCell ref="T300:U300"/>
    <mergeCell ref="V300:X300"/>
    <mergeCell ref="H299:J299"/>
    <mergeCell ref="K299:M299"/>
    <mergeCell ref="N299:Q299"/>
    <mergeCell ref="R299:S299"/>
    <mergeCell ref="T299:U299"/>
    <mergeCell ref="V297:X297"/>
    <mergeCell ref="H298:J298"/>
    <mergeCell ref="K298:M298"/>
    <mergeCell ref="N298:Q298"/>
    <mergeCell ref="R298:S298"/>
    <mergeCell ref="T298:U298"/>
    <mergeCell ref="V298:X298"/>
    <mergeCell ref="H297:J297"/>
    <mergeCell ref="K297:M297"/>
    <mergeCell ref="N297:Q297"/>
    <mergeCell ref="R297:S297"/>
    <mergeCell ref="T297:U297"/>
    <mergeCell ref="BM5:BN5"/>
    <mergeCell ref="AG2:AH2"/>
    <mergeCell ref="AG1:AH1"/>
    <mergeCell ref="AD2:AF2"/>
    <mergeCell ref="AD1:AF1"/>
    <mergeCell ref="H302:J302"/>
    <mergeCell ref="K302:M302"/>
    <mergeCell ref="N302:Q302"/>
    <mergeCell ref="R302:S302"/>
    <mergeCell ref="T302:U302"/>
    <mergeCell ref="V302:X302"/>
    <mergeCell ref="H301:J301"/>
    <mergeCell ref="V305:X305"/>
    <mergeCell ref="H305:J305"/>
    <mergeCell ref="K305:M305"/>
    <mergeCell ref="N305:Q305"/>
    <mergeCell ref="R305:S305"/>
    <mergeCell ref="T305:U305"/>
    <mergeCell ref="V303:X303"/>
    <mergeCell ref="H304:J304"/>
    <mergeCell ref="K304:M304"/>
    <mergeCell ref="N304:Q304"/>
    <mergeCell ref="R304:S304"/>
    <mergeCell ref="T304:U304"/>
    <mergeCell ref="V304:X304"/>
    <mergeCell ref="H303:J303"/>
    <mergeCell ref="K303:M303"/>
    <mergeCell ref="N303:Q303"/>
    <mergeCell ref="R303:S303"/>
    <mergeCell ref="T303:U303"/>
    <mergeCell ref="K301:M301"/>
    <mergeCell ref="N301:Q301"/>
  </mergeCells>
  <phoneticPr fontId="4" type="noConversion"/>
  <conditionalFormatting sqref="C6:C305">
    <cfRule type="notContainsBlanks" dxfId="54" priority="86">
      <formula>LEN(TRIM(C6))&gt;0</formula>
    </cfRule>
  </conditionalFormatting>
  <conditionalFormatting sqref="E6:E305">
    <cfRule type="containsText" dxfId="53" priority="80" operator="containsText" text="NÃO ATENDE">
      <formula>NOT(ISERROR(SEARCH("NÃO ATENDE",E6)))</formula>
    </cfRule>
    <cfRule type="containsText" dxfId="52" priority="81" operator="containsText" text="ATENDE">
      <formula>NOT(ISERROR(SEARCH("ATENDE",E6)))</formula>
    </cfRule>
  </conditionalFormatting>
  <conditionalFormatting sqref="H6">
    <cfRule type="notContainsBlanks" dxfId="51" priority="10">
      <formula>LEN(TRIM(H6))&gt;0</formula>
    </cfRule>
  </conditionalFormatting>
  <conditionalFormatting sqref="H6:J6">
    <cfRule type="notContainsBlanks" dxfId="50" priority="8">
      <formula>LEN(TRIM(H6))&gt;0</formula>
    </cfRule>
    <cfRule type="notContainsBlanks" dxfId="49" priority="7">
      <formula>LEN(TRIM(H6))&gt;0</formula>
    </cfRule>
  </conditionalFormatting>
  <conditionalFormatting sqref="H7:J145">
    <cfRule type="notContainsBlanks" dxfId="48" priority="2">
      <formula>LEN(TRIM(H7))&gt;0</formula>
    </cfRule>
    <cfRule type="notContainsBlanks" dxfId="47" priority="1">
      <formula>LEN(TRIM(H7))&gt;0</formula>
    </cfRule>
  </conditionalFormatting>
  <conditionalFormatting sqref="H7:J305">
    <cfRule type="notContainsBlanks" dxfId="46" priority="4">
      <formula>LEN(TRIM(H7))&gt;0</formula>
    </cfRule>
  </conditionalFormatting>
  <conditionalFormatting sqref="H146:J186">
    <cfRule type="notContainsBlanks" dxfId="45" priority="69">
      <formula>LEN(TRIM(H146))&gt;0</formula>
    </cfRule>
    <cfRule type="notContainsBlanks" dxfId="44" priority="70">
      <formula>LEN(TRIM(H146))&gt;0</formula>
    </cfRule>
  </conditionalFormatting>
  <conditionalFormatting sqref="I6:J6">
    <cfRule type="notContainsBlanks" dxfId="43" priority="6">
      <formula>LEN(TRIM(I6))&gt;0</formula>
    </cfRule>
  </conditionalFormatting>
  <conditionalFormatting sqref="R6:S305">
    <cfRule type="notContainsBlanks" dxfId="42" priority="5">
      <formula>LEN(TRIM(R6))&gt;0</formula>
    </cfRule>
  </conditionalFormatting>
  <conditionalFormatting sqref="Y6:Z6">
    <cfRule type="colorScale" priority="9">
      <colorScale>
        <cfvo type="min"/>
        <cfvo type="percentile" val="50"/>
        <cfvo type="max"/>
        <color rgb="FF2121FF"/>
        <color rgb="FF002060"/>
        <color theme="1"/>
      </colorScale>
    </cfRule>
  </conditionalFormatting>
  <conditionalFormatting sqref="Y7:Z105">
    <cfRule type="colorScale" priority="3">
      <colorScale>
        <cfvo type="min"/>
        <cfvo type="percentile" val="50"/>
        <cfvo type="max"/>
        <color rgb="FF2121FF"/>
        <color rgb="FF002060"/>
        <color theme="1"/>
      </colorScale>
    </cfRule>
  </conditionalFormatting>
  <conditionalFormatting sqref="Y106:Z145">
    <cfRule type="colorScale" priority="17">
      <colorScale>
        <cfvo type="min"/>
        <cfvo type="percentile" val="50"/>
        <cfvo type="max"/>
        <color rgb="FF2121FF"/>
        <color rgb="FF002060"/>
        <color theme="1"/>
      </colorScale>
    </cfRule>
  </conditionalFormatting>
  <conditionalFormatting sqref="Y146:Z155">
    <cfRule type="colorScale" priority="71">
      <colorScale>
        <cfvo type="min"/>
        <cfvo type="percentile" val="50"/>
        <cfvo type="max"/>
        <color rgb="FF2121FF"/>
        <color rgb="FF002060"/>
        <color theme="1"/>
      </colorScale>
    </cfRule>
  </conditionalFormatting>
  <conditionalFormatting sqref="Y156:Z180">
    <cfRule type="colorScale" priority="256">
      <colorScale>
        <cfvo type="min"/>
        <cfvo type="percentile" val="50"/>
        <cfvo type="max"/>
        <color rgb="FF2121FF"/>
        <color rgb="FF002060"/>
        <color theme="1"/>
      </colorScale>
    </cfRule>
  </conditionalFormatting>
  <conditionalFormatting sqref="Y181:Z185">
    <cfRule type="colorScale" priority="398">
      <colorScale>
        <cfvo type="min"/>
        <cfvo type="percentile" val="50"/>
        <cfvo type="max"/>
        <color rgb="FF2121FF"/>
        <color rgb="FF002060"/>
        <color theme="1"/>
      </colorScale>
    </cfRule>
  </conditionalFormatting>
  <conditionalFormatting sqref="Y186:Z186">
    <cfRule type="colorScale" priority="551">
      <colorScale>
        <cfvo type="min"/>
        <cfvo type="percentile" val="50"/>
        <cfvo type="max"/>
        <color rgb="FF2121FF"/>
        <color rgb="FF002060"/>
        <color theme="1"/>
      </colorScale>
    </cfRule>
  </conditionalFormatting>
  <conditionalFormatting sqref="Z1:Z2 AB1:AD2">
    <cfRule type="containsText" dxfId="41" priority="65" operator="containsText" text="NÃO">
      <formula>NOT(ISERROR(SEARCH("NÃO",Z1)))</formula>
    </cfRule>
    <cfRule type="containsText" dxfId="40" priority="66" operator="containsText" text="SIM">
      <formula>NOT(ISERROR(SEARCH("SIM",Z1)))</formula>
    </cfRule>
  </conditionalFormatting>
  <conditionalFormatting sqref="Z5">
    <cfRule type="colorScale" priority="1324">
      <colorScale>
        <cfvo type="min"/>
        <cfvo type="percentile" val="50"/>
        <cfvo type="max"/>
        <color rgb="FF2121FF"/>
        <color rgb="FF002060"/>
        <color theme="1"/>
      </colorScale>
    </cfRule>
    <cfRule type="colorScale" priority="1325">
      <colorScale>
        <cfvo type="min"/>
        <cfvo type="percentile" val="50"/>
        <cfvo type="max"/>
        <color rgb="FF2121FF"/>
        <color rgb="FF002060"/>
        <color theme="1"/>
      </colorScale>
    </cfRule>
    <cfRule type="colorScale" priority="1326">
      <colorScale>
        <cfvo type="min"/>
        <cfvo type="percentile" val="50"/>
        <cfvo type="max"/>
        <color rgb="FF2121FF"/>
        <color rgb="FF002060"/>
        <color theme="1"/>
      </colorScale>
    </cfRule>
    <cfRule type="colorScale" priority="1327">
      <colorScale>
        <cfvo type="min"/>
        <cfvo type="percentile" val="50"/>
        <cfvo type="max"/>
        <color rgb="FF2121FF"/>
        <color rgb="FF002060"/>
        <color theme="1"/>
      </colorScale>
    </cfRule>
    <cfRule type="colorScale" priority="1328">
      <colorScale>
        <cfvo type="min"/>
        <cfvo type="percentile" val="50"/>
        <cfvo type="max"/>
        <color rgb="FF2121FF"/>
        <color rgb="FF002060"/>
        <color theme="1"/>
      </colorScale>
    </cfRule>
    <cfRule type="colorScale" priority="1329">
      <colorScale>
        <cfvo type="min"/>
        <cfvo type="percentile" val="50"/>
        <cfvo type="max"/>
        <color rgb="FF2121FF"/>
        <color rgb="FF002060"/>
        <color theme="1"/>
      </colorScale>
    </cfRule>
    <cfRule type="colorScale" priority="1330">
      <colorScale>
        <cfvo type="min"/>
        <cfvo type="percentile" val="50"/>
        <cfvo type="max"/>
        <color rgb="FF2121FF"/>
        <color rgb="FF002060"/>
        <color theme="1"/>
      </colorScale>
    </cfRule>
    <cfRule type="colorScale" priority="1331">
      <colorScale>
        <cfvo type="min"/>
        <cfvo type="percentile" val="50"/>
        <cfvo type="max"/>
        <color rgb="FF2121FF"/>
        <color rgb="FF002060"/>
        <color theme="1"/>
      </colorScale>
    </cfRule>
    <cfRule type="colorScale" priority="1332">
      <colorScale>
        <cfvo type="min"/>
        <cfvo type="percentile" val="50"/>
        <cfvo type="max"/>
        <color rgb="FF2121FF"/>
        <color rgb="FF002060"/>
        <color theme="1"/>
      </colorScale>
    </cfRule>
    <cfRule type="colorScale" priority="1310">
      <colorScale>
        <cfvo type="min"/>
        <cfvo type="percentile" val="50"/>
        <cfvo type="max"/>
        <color rgb="FF2121FF"/>
        <color rgb="FF002060"/>
        <color theme="1"/>
      </colorScale>
    </cfRule>
    <cfRule type="colorScale" priority="1305">
      <colorScale>
        <cfvo type="min"/>
        <cfvo type="percentile" val="50"/>
        <cfvo type="max"/>
        <color rgb="FF2121FF"/>
        <color rgb="FF002060"/>
        <color theme="1"/>
      </colorScale>
    </cfRule>
    <cfRule type="colorScale" priority="1306">
      <colorScale>
        <cfvo type="min"/>
        <cfvo type="percentile" val="50"/>
        <cfvo type="max"/>
        <color rgb="FF2121FF"/>
        <color rgb="FF002060"/>
        <color theme="1"/>
      </colorScale>
    </cfRule>
    <cfRule type="colorScale" priority="1307">
      <colorScale>
        <cfvo type="min"/>
        <cfvo type="percentile" val="50"/>
        <cfvo type="max"/>
        <color rgb="FF2121FF"/>
        <color rgb="FF002060"/>
        <color theme="1"/>
      </colorScale>
    </cfRule>
    <cfRule type="colorScale" priority="1308">
      <colorScale>
        <cfvo type="min"/>
        <cfvo type="percentile" val="50"/>
        <cfvo type="max"/>
        <color rgb="FF2121FF"/>
        <color rgb="FF002060"/>
        <color theme="1"/>
      </colorScale>
    </cfRule>
    <cfRule type="colorScale" priority="1309">
      <colorScale>
        <cfvo type="min"/>
        <cfvo type="percentile" val="50"/>
        <cfvo type="max"/>
        <color rgb="FF2121FF"/>
        <color rgb="FF002060"/>
        <color theme="1"/>
      </colorScale>
    </cfRule>
    <cfRule type="colorScale" priority="1311">
      <colorScale>
        <cfvo type="min"/>
        <cfvo type="percentile" val="50"/>
        <cfvo type="max"/>
        <color rgb="FF2121FF"/>
        <color rgb="FF002060"/>
        <color theme="1"/>
      </colorScale>
    </cfRule>
    <cfRule type="colorScale" priority="1312">
      <colorScale>
        <cfvo type="min"/>
        <cfvo type="percentile" val="50"/>
        <cfvo type="max"/>
        <color rgb="FF2121FF"/>
        <color rgb="FF002060"/>
        <color theme="1"/>
      </colorScale>
    </cfRule>
    <cfRule type="colorScale" priority="1313">
      <colorScale>
        <cfvo type="min"/>
        <cfvo type="percentile" val="50"/>
        <cfvo type="max"/>
        <color rgb="FF2121FF"/>
        <color rgb="FF002060"/>
        <color theme="1"/>
      </colorScale>
    </cfRule>
    <cfRule type="colorScale" priority="1314">
      <colorScale>
        <cfvo type="min"/>
        <cfvo type="percentile" val="50"/>
        <cfvo type="max"/>
        <color rgb="FF2121FF"/>
        <color rgb="FF002060"/>
        <color theme="1"/>
      </colorScale>
    </cfRule>
    <cfRule type="colorScale" priority="1315">
      <colorScale>
        <cfvo type="min"/>
        <cfvo type="percentile" val="50"/>
        <cfvo type="max"/>
        <color rgb="FF2121FF"/>
        <color rgb="FF002060"/>
        <color theme="1"/>
      </colorScale>
    </cfRule>
    <cfRule type="colorScale" priority="1316">
      <colorScale>
        <cfvo type="min"/>
        <cfvo type="percentile" val="50"/>
        <cfvo type="max"/>
        <color rgb="FF2121FF"/>
        <color rgb="FF002060"/>
        <color theme="1"/>
      </colorScale>
    </cfRule>
    <cfRule type="colorScale" priority="1317">
      <colorScale>
        <cfvo type="min"/>
        <cfvo type="percentile" val="50"/>
        <cfvo type="max"/>
        <color rgb="FF2121FF"/>
        <color rgb="FF002060"/>
        <color theme="1"/>
      </colorScale>
    </cfRule>
    <cfRule type="colorScale" priority="1318">
      <colorScale>
        <cfvo type="min"/>
        <cfvo type="percentile" val="50"/>
        <cfvo type="max"/>
        <color rgb="FF2121FF"/>
        <color rgb="FF002060"/>
        <color theme="1"/>
      </colorScale>
    </cfRule>
    <cfRule type="colorScale" priority="1319">
      <colorScale>
        <cfvo type="min"/>
        <cfvo type="percentile" val="50"/>
        <cfvo type="max"/>
        <color rgb="FF2121FF"/>
        <color rgb="FF002060"/>
        <color theme="1"/>
      </colorScale>
    </cfRule>
    <cfRule type="colorScale" priority="1320">
      <colorScale>
        <cfvo type="min"/>
        <cfvo type="percentile" val="50"/>
        <cfvo type="max"/>
        <color rgb="FF2121FF"/>
        <color rgb="FF002060"/>
        <color theme="1"/>
      </colorScale>
    </cfRule>
    <cfRule type="colorScale" priority="1321">
      <colorScale>
        <cfvo type="min"/>
        <cfvo type="percentile" val="50"/>
        <cfvo type="max"/>
        <color rgb="FF2121FF"/>
        <color rgb="FF002060"/>
        <color theme="1"/>
      </colorScale>
    </cfRule>
    <cfRule type="colorScale" priority="1322">
      <colorScale>
        <cfvo type="min"/>
        <cfvo type="percentile" val="50"/>
        <cfvo type="max"/>
        <color rgb="FF2121FF"/>
        <color rgb="FF002060"/>
        <color theme="1"/>
      </colorScale>
    </cfRule>
    <cfRule type="colorScale" priority="1323">
      <colorScale>
        <cfvo type="min"/>
        <cfvo type="percentile" val="50"/>
        <cfvo type="max"/>
        <color rgb="FF2121FF"/>
        <color rgb="FF002060"/>
        <color theme="1"/>
      </colorScale>
    </cfRule>
  </conditionalFormatting>
  <conditionalFormatting sqref="Z7:Z180">
    <cfRule type="colorScale" priority="253">
      <colorScale>
        <cfvo type="min"/>
        <cfvo type="percentile" val="50"/>
        <cfvo type="max"/>
        <color rgb="FF2121FF"/>
        <color rgb="FF002060"/>
        <color theme="1"/>
      </colorScale>
    </cfRule>
    <cfRule type="colorScale" priority="259">
      <colorScale>
        <cfvo type="min"/>
        <cfvo type="percentile" val="50"/>
        <cfvo type="max"/>
        <color rgb="FF2121FF"/>
        <color rgb="FF002060"/>
        <color theme="1"/>
      </colorScale>
    </cfRule>
  </conditionalFormatting>
  <conditionalFormatting sqref="Z181:Z185">
    <cfRule type="colorScale" priority="395">
      <colorScale>
        <cfvo type="min"/>
        <cfvo type="percentile" val="50"/>
        <cfvo type="max"/>
        <color rgb="FF2121FF"/>
        <color rgb="FF002060"/>
        <color theme="1"/>
      </colorScale>
    </cfRule>
    <cfRule type="colorScale" priority="401">
      <colorScale>
        <cfvo type="min"/>
        <cfvo type="percentile" val="50"/>
        <cfvo type="max"/>
        <color rgb="FF2121FF"/>
        <color rgb="FF002060"/>
        <color theme="1"/>
      </colorScale>
    </cfRule>
  </conditionalFormatting>
  <conditionalFormatting sqref="Z186">
    <cfRule type="colorScale" priority="544">
      <colorScale>
        <cfvo type="min"/>
        <cfvo type="percentile" val="50"/>
        <cfvo type="max"/>
        <color rgb="FF2121FF"/>
        <color rgb="FF002060"/>
        <color theme="1"/>
      </colorScale>
    </cfRule>
    <cfRule type="colorScale" priority="554">
      <colorScale>
        <cfvo type="min"/>
        <cfvo type="percentile" val="50"/>
        <cfvo type="max"/>
        <color rgb="FF2121FF"/>
        <color rgb="FF002060"/>
        <color theme="1"/>
      </colorScale>
    </cfRule>
  </conditionalFormatting>
  <conditionalFormatting sqref="Z187:Z306">
    <cfRule type="colorScale" priority="1304">
      <colorScale>
        <cfvo type="min"/>
        <cfvo type="percentile" val="50"/>
        <cfvo type="max"/>
        <color rgb="FF2121FF"/>
        <color rgb="FF002060"/>
        <color theme="1"/>
      </colorScale>
    </cfRule>
  </conditionalFormatting>
  <conditionalFormatting sqref="AA6:AA305">
    <cfRule type="containsText" dxfId="39" priority="82" operator="containsText" text="NÃO">
      <formula>NOT(ISERROR(SEARCH("NÃO",AA6)))</formula>
    </cfRule>
    <cfRule type="containsText" dxfId="38" priority="83" operator="containsText" text="SIM">
      <formula>NOT(ISERROR(SEARCH("SIM",AA6)))</formula>
    </cfRule>
  </conditionalFormatting>
  <conditionalFormatting sqref="AC6:AG306">
    <cfRule type="containsText" dxfId="37" priority="84" operator="containsText" text="SIM">
      <formula>NOT(ISERROR(SEARCH("SIM",AC6)))</formula>
    </cfRule>
    <cfRule type="containsText" dxfId="36" priority="85" operator="containsText" text="NÃO">
      <formula>NOT(ISERROR(SEARCH("NÃO",AC6)))</formula>
    </cfRule>
  </conditionalFormatting>
  <conditionalFormatting sqref="BQ6:BR49">
    <cfRule type="notContainsBlanks" dxfId="35" priority="3600">
      <formula>LEN(TRIM(BQ6))&gt;0</formula>
    </cfRule>
    <cfRule type="containsText" dxfId="34" priority="3601" operator="containsText" text="NORMAL">
      <formula>NOT(ISERROR(SEARCH("NORMAL",BQ6)))</formula>
    </cfRule>
  </conditionalFormatting>
  <dataValidations count="5">
    <dataValidation type="list" allowBlank="1" showInputMessage="1" showErrorMessage="1" sqref="R7:S305" xr:uid="{00000000-0002-0000-0500-000000000000}">
      <formula1>$BU$6:$BU$12</formula1>
    </dataValidation>
    <dataValidation type="list" allowBlank="1" showInputMessage="1" showErrorMessage="1" sqref="C6:C305" xr:uid="{00000000-0002-0000-0500-000001000000}">
      <formula1>$AS$6:$AS$22</formula1>
    </dataValidation>
    <dataValidation type="list" allowBlank="1" showInputMessage="1" showErrorMessage="1" sqref="H5:J5" xr:uid="{00000000-0002-0000-0500-000002000000}">
      <formula1>$AT$8:$AT$17</formula1>
    </dataValidation>
    <dataValidation type="list" allowBlank="1" showInputMessage="1" showErrorMessage="1" sqref="AG6:AG305 AC6:AC305 AA6:AA305 AE6:AE305" xr:uid="{00000000-0002-0000-0500-000003000000}">
      <formula1>$AR$1:$AR$2</formula1>
    </dataValidation>
    <dataValidation type="list" allowBlank="1" showInputMessage="1" showErrorMessage="1" sqref="H7:J305" xr:uid="{00000000-0002-0000-0500-000004000000}">
      <formula1>$AT$8:$AT$18</formula1>
    </dataValidation>
  </dataValidations>
  <pageMargins left="0.78740157499999996" right="0.78740157499999996" top="0.984251969" bottom="0.984251969" header="0.49212598499999999" footer="0.49212598499999999"/>
  <pageSetup paperSize="9" scale="33" orientation="portrait" r:id="rId2"/>
  <headerFooter alignWithMargins="0"/>
  <drawing r:id="rId3"/>
  <tableParts count="2">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tint="0.14999847407452621"/>
  </sheetPr>
  <dimension ref="B1:AH91"/>
  <sheetViews>
    <sheetView workbookViewId="0">
      <pane ySplit="3" topLeftCell="A4" activePane="bottomLeft" state="frozen"/>
      <selection pane="bottomLeft" activeCell="D4" sqref="D4:D9"/>
    </sheetView>
  </sheetViews>
  <sheetFormatPr defaultColWidth="9.140625" defaultRowHeight="22.5" customHeight="1" x14ac:dyDescent="0.2"/>
  <cols>
    <col min="1" max="1" width="2.5703125" style="127" customWidth="1"/>
    <col min="2" max="2" width="9.140625" style="129" customWidth="1"/>
    <col min="3" max="3" width="14.28515625" style="127" customWidth="1"/>
    <col min="4" max="4" width="28.28515625" style="127" bestFit="1" customWidth="1"/>
    <col min="5" max="5" width="22.85546875" style="129" customWidth="1"/>
    <col min="6" max="6" width="17.85546875" style="127" customWidth="1"/>
    <col min="7" max="7" width="28.140625" style="127" bestFit="1" customWidth="1"/>
    <col min="8" max="8" width="14.28515625" style="129" customWidth="1"/>
    <col min="9" max="9" width="4.85546875" style="127" customWidth="1"/>
    <col min="10" max="10" width="10.85546875" style="127" customWidth="1"/>
    <col min="11" max="11" width="4.85546875" style="127" customWidth="1"/>
    <col min="12" max="12" width="9.42578125" style="127" customWidth="1"/>
    <col min="13" max="13" width="4.85546875" style="127" customWidth="1"/>
    <col min="14" max="14" width="18.28515625" style="127" customWidth="1"/>
    <col min="15" max="15" width="9.140625" style="499" customWidth="1"/>
    <col min="16" max="16" width="9.140625" style="127" customWidth="1"/>
    <col min="17" max="17" width="12.85546875" style="127" customWidth="1"/>
    <col min="18" max="18" width="22" style="128" customWidth="1"/>
    <col min="19" max="21" width="9.140625" style="128" customWidth="1"/>
    <col min="22" max="22" width="19.42578125" style="128" customWidth="1"/>
    <col min="23" max="23" width="12" style="128" customWidth="1"/>
    <col min="24" max="24" width="10.5703125" style="128" customWidth="1"/>
    <col min="25" max="25" width="8.7109375" style="128" customWidth="1"/>
    <col min="26" max="26" width="10.42578125" style="128" customWidth="1"/>
    <col min="27" max="27" width="9" style="128" customWidth="1"/>
    <col min="28" max="28" width="9.140625" style="127"/>
    <col min="29" max="29" width="17.7109375" style="127" bestFit="1" customWidth="1"/>
    <col min="30" max="30" width="10.85546875" style="127" bestFit="1" customWidth="1"/>
    <col min="31" max="31" width="10.5703125" style="127" bestFit="1" customWidth="1"/>
    <col min="32" max="32" width="8.7109375" style="127" bestFit="1" customWidth="1"/>
    <col min="33" max="33" width="10.42578125" style="127" bestFit="1" customWidth="1"/>
    <col min="34" max="16384" width="9.140625" style="127"/>
  </cols>
  <sheetData>
    <row r="1" spans="2:34" ht="22.5" customHeight="1" x14ac:dyDescent="0.2">
      <c r="B1" s="716" t="s">
        <v>276</v>
      </c>
      <c r="C1" s="716"/>
      <c r="D1" s="716"/>
      <c r="E1" s="717" t="s">
        <v>275</v>
      </c>
      <c r="F1" s="718">
        <f ca="1">TODAY()</f>
        <v>46171</v>
      </c>
      <c r="G1" s="194"/>
      <c r="H1" s="717" t="s">
        <v>66</v>
      </c>
      <c r="I1" s="719" t="str">
        <f>[1]REMUNERABILIDADE!$H$9</f>
        <v>MAIO - 2026</v>
      </c>
      <c r="J1" s="719"/>
      <c r="K1" s="719"/>
      <c r="L1" s="719"/>
      <c r="M1" s="194"/>
      <c r="N1" s="194"/>
    </row>
    <row r="2" spans="2:34" ht="22.5" customHeight="1" x14ac:dyDescent="0.2">
      <c r="B2" s="716"/>
      <c r="C2" s="716"/>
      <c r="D2" s="716"/>
      <c r="E2" s="717"/>
      <c r="F2" s="718"/>
      <c r="G2" s="194"/>
      <c r="H2" s="717"/>
      <c r="I2" s="719"/>
      <c r="J2" s="719"/>
      <c r="K2" s="719"/>
      <c r="L2" s="719"/>
      <c r="M2" s="194"/>
      <c r="N2" s="194"/>
      <c r="R2" s="155" t="s">
        <v>271</v>
      </c>
      <c r="S2" s="155"/>
      <c r="T2" s="155"/>
    </row>
    <row r="3" spans="2:34" ht="60" x14ac:dyDescent="0.2">
      <c r="B3" s="130" t="s">
        <v>25</v>
      </c>
      <c r="C3" s="130" t="s">
        <v>273</v>
      </c>
      <c r="D3" s="158" t="s">
        <v>269</v>
      </c>
      <c r="E3" s="130" t="s">
        <v>270</v>
      </c>
      <c r="F3" s="130" t="s">
        <v>274</v>
      </c>
      <c r="G3" s="130" t="s">
        <v>326</v>
      </c>
      <c r="H3" s="130" t="s">
        <v>272</v>
      </c>
      <c r="I3" s="715" t="s">
        <v>292</v>
      </c>
      <c r="J3" s="715"/>
      <c r="K3" s="715"/>
      <c r="L3" s="715"/>
      <c r="M3" s="715"/>
      <c r="N3" s="715"/>
      <c r="O3" s="499" t="s">
        <v>2499</v>
      </c>
      <c r="R3" s="156" t="s">
        <v>306</v>
      </c>
      <c r="S3" s="157">
        <v>0.39500000000000002</v>
      </c>
      <c r="T3" s="155">
        <v>7</v>
      </c>
      <c r="V3" s="147" t="s">
        <v>66</v>
      </c>
      <c r="W3" s="148" t="s">
        <v>67</v>
      </c>
      <c r="X3" s="148" t="s">
        <v>68</v>
      </c>
      <c r="Y3" s="148" t="s">
        <v>69</v>
      </c>
      <c r="Z3" s="148" t="s">
        <v>70</v>
      </c>
      <c r="AA3" s="148" t="s">
        <v>52</v>
      </c>
      <c r="AC3" s="282" t="s">
        <v>66</v>
      </c>
      <c r="AD3" s="282" t="s">
        <v>67</v>
      </c>
      <c r="AE3" s="282" t="s">
        <v>68</v>
      </c>
      <c r="AF3" s="282" t="s">
        <v>69</v>
      </c>
      <c r="AG3" s="282" t="s">
        <v>70</v>
      </c>
      <c r="AH3" s="282" t="s">
        <v>52</v>
      </c>
    </row>
    <row r="4" spans="2:34" ht="22.5" customHeight="1" x14ac:dyDescent="0.2">
      <c r="B4" s="131" t="str">
        <f>PERFIL!B5</f>
        <v/>
      </c>
      <c r="C4" s="131" t="str">
        <f>PERFIL!I5</f>
        <v/>
      </c>
      <c r="D4" s="500" t="str">
        <f t="shared" ref="D4:D9" si="0">IF(F4="","","DEFINA A MANUTENÇÃO")</f>
        <v/>
      </c>
      <c r="E4" s="131" t="str">
        <f>IF(F4="","",IF(D4="","",IF(D4="DEFINA A MANUTENÇÃO","",ROUNDUP((C4*(VLOOKUP(D4,$R$3:$S$9,2,0))),0))))</f>
        <v/>
      </c>
      <c r="F4" s="131" t="str">
        <f>IF(B4="","",IF(COUNTIF(FROTA!$C$6:$C$305,ESCALA!B4)=0,"",COUNTIF(FROTA!$C$6:$C$305,ESCALA!B4)))</f>
        <v/>
      </c>
      <c r="G4" s="167" t="str">
        <f>IF(E4="","",IF(F4-SUM(C4,E4)=0,"QUANTIDADE EXATA!!!",IF(SUM(C4,E4)-F4&lt;0,CONCATENATE(F4-SUM(C4,E4)," carro a mais. Muito bom!"),CONCATENATE("FALTA CARRO:"," ",SUM(C4,E4)-F4," veíc."))))</f>
        <v/>
      </c>
      <c r="H4" s="131" t="str">
        <f>IF(F4="","",IF(D4="DEFINA A MANUTENÇÃO","",VLOOKUP(D4,$R$3:$T$9,3,0)))</f>
        <v/>
      </c>
      <c r="I4" s="133" t="str">
        <f>IF($I$1="","",IF($F4="","",IF($D4="DEFINA A MANUTENÇÃO","",SUM(VLOOKUP($I$1,$AC$3:$AH$91,3,0))-$H4)))</f>
        <v/>
      </c>
      <c r="J4" s="134" t="str">
        <f>IF(I4="","","dias úteis")</f>
        <v/>
      </c>
      <c r="K4" s="133" t="str">
        <f>IF($I$1="","",IF($F4="","",IF($D4="DEFINA A MANUTENÇÃO","",SUM(VLOOKUP($I$1,$AC$3:$AH$91,4,0)))))</f>
        <v/>
      </c>
      <c r="L4" s="134" t="str">
        <f>IF(K4="","","sabados")</f>
        <v/>
      </c>
      <c r="M4" s="133" t="str">
        <f>IF($I$1="","",IF($F4="","",IF($D4="DEFINA A MANUTENÇÃO","",SUM(VLOOKUP($I$1,$AC$3:$AH$91,5,0)))))</f>
        <v/>
      </c>
      <c r="N4" s="134" t="str">
        <f>IF(M4="","","domingos e feriados")</f>
        <v/>
      </c>
      <c r="O4" s="499" t="str">
        <f>IF(I4="","",SUM(I4,K4,M4))</f>
        <v/>
      </c>
      <c r="R4" s="156" t="s">
        <v>307</v>
      </c>
      <c r="S4" s="157">
        <v>0.32500000000000001</v>
      </c>
      <c r="T4" s="155">
        <v>6</v>
      </c>
      <c r="V4" s="149" t="s">
        <v>2521</v>
      </c>
      <c r="W4" s="150" t="s">
        <v>84</v>
      </c>
      <c r="X4" s="473">
        <v>20</v>
      </c>
      <c r="Y4" s="473">
        <v>5</v>
      </c>
      <c r="Z4" s="473">
        <v>6</v>
      </c>
      <c r="AA4" s="474">
        <f t="shared" ref="AA4" si="1">SUM(X4:Z4)</f>
        <v>31</v>
      </c>
      <c r="AC4" s="569" t="s">
        <v>2532</v>
      </c>
      <c r="AD4" s="570" t="s">
        <v>83</v>
      </c>
      <c r="AE4" s="570">
        <v>20</v>
      </c>
      <c r="AF4" s="570">
        <v>5</v>
      </c>
      <c r="AG4" s="570">
        <v>5</v>
      </c>
      <c r="AH4" s="570">
        <v>30</v>
      </c>
    </row>
    <row r="5" spans="2:34" ht="22.5" customHeight="1" x14ac:dyDescent="0.2">
      <c r="B5" s="161" t="str">
        <f>PERFIL!B6</f>
        <v/>
      </c>
      <c r="C5" s="161" t="str">
        <f>PERFIL!I6</f>
        <v/>
      </c>
      <c r="D5" s="501" t="str">
        <f t="shared" si="0"/>
        <v/>
      </c>
      <c r="E5" s="161" t="str">
        <f t="shared" ref="E5:E19" si="2">IF(F5="","",IF(D5="","",IF(D5="DEFINA A MANUTENÇÃO","",ROUNDUP((C5*(VLOOKUP(D5,$R$3:$S$9,2,0))),0))))</f>
        <v/>
      </c>
      <c r="F5" s="161" t="str">
        <f>IF(B5="","",IF(COUNTIF(FROTA!$C$6:$C$305,ESCALA!B5)=0,"",COUNTIF(FROTA!$C$6:$C$305,ESCALA!B5)))</f>
        <v/>
      </c>
      <c r="G5" s="167" t="str">
        <f t="shared" ref="G5:G19" si="3">IF(E5="","",IF(F5-SUM(C5,E5)=0,"QUANTIDADE EXATA!!!",IF(SUM(C5,E5)-F5&lt;0,CONCATENATE(F5-SUM(C5,E5)," carro a mais. Muito bom!"),CONCATENATE("FALTA CARRO:"," ",SUM(C5,E5)-F5," veíc."))))</f>
        <v/>
      </c>
      <c r="H5" s="161" t="str">
        <f>IF(F5="","",IF(D5="DEFINA A MANUTENÇÃO","",VLOOKUP(D5,$R$3:$T$9,3,0)))</f>
        <v/>
      </c>
      <c r="I5" s="159" t="str">
        <f t="shared" ref="I5:I19" si="4">IF($I$1="","",IF($F5="","",IF($D5="DEFINA A MANUTENÇÃO","",SUM(VLOOKUP($I$1,$AC$3:$AH$91,3,0))-$H5)))</f>
        <v/>
      </c>
      <c r="J5" s="160" t="str">
        <f t="shared" ref="J5:J19" si="5">IF(I5="","","dias úteis")</f>
        <v/>
      </c>
      <c r="K5" s="159" t="str">
        <f t="shared" ref="K5:K19" si="6">IF($I$1="","",IF($F5="","",IF($D5="DEFINA A MANUTENÇÃO","",SUM(VLOOKUP($I$1,$AC$3:$AH$91,4,0)))))</f>
        <v/>
      </c>
      <c r="L5" s="160" t="str">
        <f t="shared" ref="L5:L19" si="7">IF(K5="","","sabados")</f>
        <v/>
      </c>
      <c r="M5" s="159" t="str">
        <f t="shared" ref="M5:M19" si="8">IF($I$1="","",IF($F5="","",IF($D5="DEFINA A MANUTENÇÃO","",SUM(VLOOKUP($I$1,$AC$3:$AH$91,5,0)))))</f>
        <v/>
      </c>
      <c r="N5" s="160" t="str">
        <f t="shared" ref="N5:N19" si="9">IF(M5="","","domingos e feriados")</f>
        <v/>
      </c>
      <c r="O5" s="499" t="str">
        <f t="shared" ref="O5:O19" si="10">IF(I5="","",SUM(I5,K5,M5))</f>
        <v/>
      </c>
      <c r="R5" s="156" t="s">
        <v>308</v>
      </c>
      <c r="S5" s="157">
        <v>0.26</v>
      </c>
      <c r="T5" s="155">
        <v>5</v>
      </c>
      <c r="V5" s="149" t="s">
        <v>2522</v>
      </c>
      <c r="W5" s="150" t="s">
        <v>85</v>
      </c>
      <c r="X5" s="473">
        <v>20</v>
      </c>
      <c r="Y5" s="473">
        <v>4</v>
      </c>
      <c r="Z5" s="473">
        <v>6</v>
      </c>
      <c r="AA5" s="474">
        <f>SUM(X5:Z5)</f>
        <v>30</v>
      </c>
      <c r="AC5" s="569" t="s">
        <v>2520</v>
      </c>
      <c r="AD5" s="570" t="s">
        <v>84</v>
      </c>
      <c r="AE5" s="570">
        <v>21</v>
      </c>
      <c r="AF5" s="570">
        <v>4</v>
      </c>
      <c r="AG5" s="570">
        <v>6</v>
      </c>
      <c r="AH5" s="570">
        <v>31</v>
      </c>
    </row>
    <row r="6" spans="2:34" ht="22.5" customHeight="1" x14ac:dyDescent="0.2">
      <c r="B6" s="131" t="str">
        <f>PERFIL!B7</f>
        <v/>
      </c>
      <c r="C6" s="131" t="str">
        <f>PERFIL!I7</f>
        <v/>
      </c>
      <c r="D6" s="500" t="str">
        <f t="shared" si="0"/>
        <v/>
      </c>
      <c r="E6" s="131" t="str">
        <f t="shared" si="2"/>
        <v/>
      </c>
      <c r="F6" s="131" t="str">
        <f>IF(B6="","",IF(COUNTIF(FROTA!$C$6:$C$305,ESCALA!B6)=0,"",COUNTIF(FROTA!$C$6:$C$305,ESCALA!B6)))</f>
        <v/>
      </c>
      <c r="G6" s="167" t="str">
        <f t="shared" si="3"/>
        <v/>
      </c>
      <c r="H6" s="131" t="str">
        <f t="shared" ref="H6:H19" si="11">IF(F6="","",IF(D6="DEFINA A MANUTENÇÃO","",VLOOKUP(D6,$R$3:$T$9,3,0)))</f>
        <v/>
      </c>
      <c r="I6" s="133" t="str">
        <f t="shared" si="4"/>
        <v/>
      </c>
      <c r="J6" s="134" t="str">
        <f t="shared" si="5"/>
        <v/>
      </c>
      <c r="K6" s="133" t="str">
        <f t="shared" si="6"/>
        <v/>
      </c>
      <c r="L6" s="134" t="str">
        <f t="shared" si="7"/>
        <v/>
      </c>
      <c r="M6" s="133" t="str">
        <f t="shared" si="8"/>
        <v/>
      </c>
      <c r="N6" s="134" t="str">
        <f t="shared" si="9"/>
        <v/>
      </c>
      <c r="O6" s="499" t="str">
        <f t="shared" si="10"/>
        <v/>
      </c>
      <c r="R6" s="156" t="s">
        <v>309</v>
      </c>
      <c r="S6" s="157">
        <v>0.19500000000000001</v>
      </c>
      <c r="T6" s="155">
        <v>4</v>
      </c>
      <c r="V6" s="149" t="s">
        <v>2523</v>
      </c>
      <c r="W6" s="150" t="s">
        <v>86</v>
      </c>
      <c r="X6" s="473">
        <v>22</v>
      </c>
      <c r="Y6" s="473">
        <v>5</v>
      </c>
      <c r="Z6" s="473">
        <v>4</v>
      </c>
      <c r="AA6" s="474">
        <f>SUM(X6:Z6)</f>
        <v>31</v>
      </c>
      <c r="AC6" s="569" t="s">
        <v>2535</v>
      </c>
      <c r="AD6" s="570" t="s">
        <v>85</v>
      </c>
      <c r="AE6" s="570">
        <v>20</v>
      </c>
      <c r="AF6" s="570">
        <v>4</v>
      </c>
      <c r="AG6" s="570">
        <v>6</v>
      </c>
      <c r="AH6" s="570">
        <v>30</v>
      </c>
    </row>
    <row r="7" spans="2:34" ht="22.5" customHeight="1" x14ac:dyDescent="0.2">
      <c r="B7" s="161" t="str">
        <f>PERFIL!B8</f>
        <v/>
      </c>
      <c r="C7" s="161" t="str">
        <f>PERFIL!I8</f>
        <v/>
      </c>
      <c r="D7" s="501" t="str">
        <f t="shared" si="0"/>
        <v/>
      </c>
      <c r="E7" s="161" t="str">
        <f t="shared" si="2"/>
        <v/>
      </c>
      <c r="F7" s="161" t="str">
        <f>IF(B7="","",IF(COUNTIF(FROTA!$C$6:$C$305,ESCALA!B7)=0,"",COUNTIF(FROTA!$C$6:$C$305,ESCALA!B7)))</f>
        <v/>
      </c>
      <c r="G7" s="167" t="str">
        <f t="shared" si="3"/>
        <v/>
      </c>
      <c r="H7" s="161" t="str">
        <f t="shared" si="11"/>
        <v/>
      </c>
      <c r="I7" s="159" t="str">
        <f t="shared" si="4"/>
        <v/>
      </c>
      <c r="J7" s="160" t="str">
        <f t="shared" si="5"/>
        <v/>
      </c>
      <c r="K7" s="159" t="str">
        <f t="shared" si="6"/>
        <v/>
      </c>
      <c r="L7" s="160" t="str">
        <f t="shared" si="7"/>
        <v/>
      </c>
      <c r="M7" s="159" t="str">
        <f t="shared" si="8"/>
        <v/>
      </c>
      <c r="N7" s="160" t="str">
        <f t="shared" si="9"/>
        <v/>
      </c>
      <c r="O7" s="499" t="str">
        <f t="shared" si="10"/>
        <v/>
      </c>
      <c r="R7" s="156" t="s">
        <v>310</v>
      </c>
      <c r="S7" s="157">
        <v>0.13</v>
      </c>
      <c r="T7" s="155">
        <v>3</v>
      </c>
      <c r="V7" s="149" t="s">
        <v>2524</v>
      </c>
      <c r="W7" s="150" t="s">
        <v>74</v>
      </c>
      <c r="X7" s="473">
        <v>21</v>
      </c>
      <c r="Y7" s="473">
        <v>4</v>
      </c>
      <c r="Z7" s="473">
        <v>6</v>
      </c>
      <c r="AA7" s="474">
        <f>SUM(X7:Z7)</f>
        <v>31</v>
      </c>
      <c r="AC7" s="569" t="s">
        <v>2536</v>
      </c>
      <c r="AD7" s="570" t="s">
        <v>86</v>
      </c>
      <c r="AE7" s="570">
        <v>20</v>
      </c>
      <c r="AF7" s="570">
        <v>5</v>
      </c>
      <c r="AG7" s="570">
        <v>6</v>
      </c>
      <c r="AH7" s="570">
        <v>31</v>
      </c>
    </row>
    <row r="8" spans="2:34" ht="22.5" customHeight="1" x14ac:dyDescent="0.2">
      <c r="B8" s="131" t="str">
        <f>PERFIL!B9</f>
        <v/>
      </c>
      <c r="C8" s="131" t="str">
        <f>PERFIL!I9</f>
        <v/>
      </c>
      <c r="D8" s="500" t="str">
        <f t="shared" si="0"/>
        <v/>
      </c>
      <c r="E8" s="131" t="str">
        <f t="shared" si="2"/>
        <v/>
      </c>
      <c r="F8" s="131" t="str">
        <f>IF(B8="","",IF(COUNTIF(FROTA!$C$6:$C$305,ESCALA!B8)=0,"",COUNTIF(FROTA!$C$6:$C$305,ESCALA!B8)))</f>
        <v/>
      </c>
      <c r="G8" s="167" t="str">
        <f t="shared" si="3"/>
        <v/>
      </c>
      <c r="H8" s="131" t="str">
        <f t="shared" si="11"/>
        <v/>
      </c>
      <c r="I8" s="133" t="str">
        <f t="shared" si="4"/>
        <v/>
      </c>
      <c r="J8" s="134" t="str">
        <f t="shared" si="5"/>
        <v/>
      </c>
      <c r="K8" s="133" t="str">
        <f t="shared" si="6"/>
        <v/>
      </c>
      <c r="L8" s="134" t="str">
        <f t="shared" si="7"/>
        <v/>
      </c>
      <c r="M8" s="133" t="str">
        <f t="shared" si="8"/>
        <v/>
      </c>
      <c r="N8" s="134" t="str">
        <f t="shared" si="9"/>
        <v/>
      </c>
      <c r="O8" s="499" t="str">
        <f t="shared" si="10"/>
        <v/>
      </c>
      <c r="R8" s="156" t="s">
        <v>305</v>
      </c>
      <c r="S8" s="157">
        <v>0.1</v>
      </c>
      <c r="T8" s="155">
        <v>2</v>
      </c>
      <c r="V8" s="149" t="s">
        <v>2525</v>
      </c>
      <c r="W8" s="150" t="s">
        <v>75</v>
      </c>
      <c r="X8" s="473">
        <v>17</v>
      </c>
      <c r="Y8" s="473">
        <v>4</v>
      </c>
      <c r="Z8" s="473">
        <v>7</v>
      </c>
      <c r="AA8" s="474">
        <f>SUM(X8:Z8)</f>
        <v>28</v>
      </c>
      <c r="AC8" s="569" t="s">
        <v>2537</v>
      </c>
      <c r="AD8" s="570" t="s">
        <v>74</v>
      </c>
      <c r="AE8" s="570">
        <v>22</v>
      </c>
      <c r="AF8" s="570">
        <v>4</v>
      </c>
      <c r="AG8" s="570">
        <v>5</v>
      </c>
      <c r="AH8" s="570">
        <v>31</v>
      </c>
    </row>
    <row r="9" spans="2:34" ht="22.5" customHeight="1" x14ac:dyDescent="0.2">
      <c r="B9" s="161" t="str">
        <f>PERFIL!B10</f>
        <v/>
      </c>
      <c r="C9" s="161" t="str">
        <f>PERFIL!I10</f>
        <v/>
      </c>
      <c r="D9" s="501" t="str">
        <f t="shared" si="0"/>
        <v/>
      </c>
      <c r="E9" s="161" t="str">
        <f t="shared" si="2"/>
        <v/>
      </c>
      <c r="F9" s="161" t="str">
        <f>IF(B9="","",IF(COUNTIF(FROTA!$C$6:$C$305,ESCALA!B9)=0,"",COUNTIF(FROTA!$C$6:$C$305,ESCALA!B9)))</f>
        <v/>
      </c>
      <c r="G9" s="167" t="str">
        <f t="shared" si="3"/>
        <v/>
      </c>
      <c r="H9" s="161" t="str">
        <f t="shared" si="11"/>
        <v/>
      </c>
      <c r="I9" s="159" t="str">
        <f t="shared" si="4"/>
        <v/>
      </c>
      <c r="J9" s="160" t="str">
        <f t="shared" si="5"/>
        <v/>
      </c>
      <c r="K9" s="159" t="str">
        <f t="shared" si="6"/>
        <v/>
      </c>
      <c r="L9" s="160" t="str">
        <f t="shared" si="7"/>
        <v/>
      </c>
      <c r="M9" s="159" t="str">
        <f t="shared" si="8"/>
        <v/>
      </c>
      <c r="N9" s="160" t="str">
        <f t="shared" si="9"/>
        <v/>
      </c>
      <c r="O9" s="499" t="str">
        <f t="shared" si="10"/>
        <v/>
      </c>
      <c r="R9" s="156" t="s">
        <v>268</v>
      </c>
      <c r="S9" s="157">
        <v>6.5000000000000002E-2</v>
      </c>
      <c r="T9" s="155">
        <v>1</v>
      </c>
      <c r="V9" s="149" t="s">
        <v>2526</v>
      </c>
      <c r="W9" s="150" t="s">
        <v>77</v>
      </c>
      <c r="X9" s="473">
        <v>23</v>
      </c>
      <c r="Y9" s="473">
        <v>4</v>
      </c>
      <c r="Z9" s="473">
        <v>4</v>
      </c>
      <c r="AA9" s="474">
        <f t="shared" ref="AA9:AA15" si="12">SUM(X9:Z9)</f>
        <v>31</v>
      </c>
      <c r="AC9" s="569" t="s">
        <v>2538</v>
      </c>
      <c r="AD9" s="570" t="s">
        <v>2539</v>
      </c>
      <c r="AE9" s="570">
        <v>19</v>
      </c>
      <c r="AF9" s="570">
        <v>4</v>
      </c>
      <c r="AG9" s="570">
        <v>6</v>
      </c>
      <c r="AH9" s="570">
        <v>29</v>
      </c>
    </row>
    <row r="10" spans="2:34" ht="22.5" customHeight="1" x14ac:dyDescent="0.2">
      <c r="B10" s="131" t="str">
        <f>PERFIL!B11</f>
        <v/>
      </c>
      <c r="C10" s="131" t="str">
        <f>PERFIL!I11</f>
        <v/>
      </c>
      <c r="D10" s="500" t="str">
        <f t="shared" ref="D10:D15" si="13">IF(F10="","","DEFINA A MANUTENÇÃO")</f>
        <v/>
      </c>
      <c r="E10" s="131" t="str">
        <f t="shared" si="2"/>
        <v/>
      </c>
      <c r="F10" s="131" t="str">
        <f>IF(B10="","",IF(COUNTIF(FROTA!$C$6:$C$305,ESCALA!B10)=0,"",COUNTIF(FROTA!$C$6:$C$305,ESCALA!B10)))</f>
        <v/>
      </c>
      <c r="G10" s="167" t="str">
        <f t="shared" si="3"/>
        <v/>
      </c>
      <c r="H10" s="131" t="str">
        <f t="shared" si="11"/>
        <v/>
      </c>
      <c r="I10" s="133" t="str">
        <f t="shared" si="4"/>
        <v/>
      </c>
      <c r="J10" s="134" t="str">
        <f t="shared" si="5"/>
        <v/>
      </c>
      <c r="K10" s="133" t="str">
        <f t="shared" si="6"/>
        <v/>
      </c>
      <c r="L10" s="134" t="str">
        <f t="shared" si="7"/>
        <v/>
      </c>
      <c r="M10" s="133" t="str">
        <f t="shared" si="8"/>
        <v/>
      </c>
      <c r="N10" s="134" t="str">
        <f t="shared" si="9"/>
        <v/>
      </c>
      <c r="O10" s="499" t="str">
        <f t="shared" si="10"/>
        <v/>
      </c>
      <c r="V10" s="149" t="s">
        <v>2527</v>
      </c>
      <c r="W10" s="150" t="s">
        <v>78</v>
      </c>
      <c r="X10" s="473">
        <v>18</v>
      </c>
      <c r="Y10" s="473">
        <v>5</v>
      </c>
      <c r="Z10" s="473">
        <v>7</v>
      </c>
      <c r="AA10" s="474">
        <f t="shared" si="12"/>
        <v>30</v>
      </c>
      <c r="AC10" s="569" t="s">
        <v>2540</v>
      </c>
      <c r="AD10" s="570" t="s">
        <v>77</v>
      </c>
      <c r="AE10" s="570">
        <v>20</v>
      </c>
      <c r="AF10" s="570">
        <v>5</v>
      </c>
      <c r="AG10" s="570">
        <v>6</v>
      </c>
      <c r="AH10" s="570">
        <v>31</v>
      </c>
    </row>
    <row r="11" spans="2:34" ht="22.5" customHeight="1" x14ac:dyDescent="0.2">
      <c r="B11" s="161" t="str">
        <f>PERFIL!B12</f>
        <v/>
      </c>
      <c r="C11" s="161" t="str">
        <f>PERFIL!I12</f>
        <v/>
      </c>
      <c r="D11" s="501" t="str">
        <f t="shared" si="13"/>
        <v/>
      </c>
      <c r="E11" s="161" t="str">
        <f t="shared" si="2"/>
        <v/>
      </c>
      <c r="F11" s="161" t="str">
        <f>IF(B11="","",IF(COUNTIF(FROTA!$C$6:$C$305,ESCALA!B11)=0,"",COUNTIF(FROTA!$C$6:$C$305,ESCALA!B11)))</f>
        <v/>
      </c>
      <c r="G11" s="167" t="str">
        <f t="shared" si="3"/>
        <v/>
      </c>
      <c r="H11" s="161" t="str">
        <f t="shared" si="11"/>
        <v/>
      </c>
      <c r="I11" s="159" t="str">
        <f t="shared" si="4"/>
        <v/>
      </c>
      <c r="J11" s="160" t="str">
        <f t="shared" si="5"/>
        <v/>
      </c>
      <c r="K11" s="159" t="str">
        <f t="shared" si="6"/>
        <v/>
      </c>
      <c r="L11" s="160" t="str">
        <f t="shared" si="7"/>
        <v/>
      </c>
      <c r="M11" s="159" t="str">
        <f t="shared" si="8"/>
        <v/>
      </c>
      <c r="N11" s="160" t="str">
        <f t="shared" si="9"/>
        <v/>
      </c>
      <c r="O11" s="499" t="str">
        <f t="shared" si="10"/>
        <v/>
      </c>
      <c r="V11" s="149" t="s">
        <v>2528</v>
      </c>
      <c r="W11" s="150" t="s">
        <v>79</v>
      </c>
      <c r="X11" s="473">
        <v>22</v>
      </c>
      <c r="Y11" s="473">
        <v>4</v>
      </c>
      <c r="Z11" s="473">
        <v>5</v>
      </c>
      <c r="AA11" s="474">
        <f t="shared" si="12"/>
        <v>31</v>
      </c>
      <c r="AC11" s="569" t="s">
        <v>2541</v>
      </c>
      <c r="AD11" s="570" t="s">
        <v>78</v>
      </c>
      <c r="AE11" s="570">
        <v>22</v>
      </c>
      <c r="AF11" s="570">
        <v>4</v>
      </c>
      <c r="AG11" s="570">
        <v>4</v>
      </c>
      <c r="AH11" s="570">
        <v>30</v>
      </c>
    </row>
    <row r="12" spans="2:34" ht="22.5" customHeight="1" x14ac:dyDescent="0.2">
      <c r="B12" s="131" t="str">
        <f>PERFIL!B13</f>
        <v/>
      </c>
      <c r="C12" s="131" t="str">
        <f>PERFIL!I13</f>
        <v/>
      </c>
      <c r="D12" s="500" t="str">
        <f t="shared" si="13"/>
        <v/>
      </c>
      <c r="E12" s="131" t="str">
        <f t="shared" si="2"/>
        <v/>
      </c>
      <c r="F12" s="131" t="str">
        <f>IF(B12="","",IF(COUNTIF(FROTA!$C$6:$C$305,ESCALA!B12)=0,"",COUNTIF(FROTA!$C$6:$C$305,ESCALA!B12)))</f>
        <v/>
      </c>
      <c r="G12" s="167" t="str">
        <f t="shared" si="3"/>
        <v/>
      </c>
      <c r="H12" s="131" t="str">
        <f t="shared" si="11"/>
        <v/>
      </c>
      <c r="I12" s="133" t="str">
        <f t="shared" si="4"/>
        <v/>
      </c>
      <c r="J12" s="134" t="str">
        <f t="shared" si="5"/>
        <v/>
      </c>
      <c r="K12" s="133" t="str">
        <f t="shared" si="6"/>
        <v/>
      </c>
      <c r="L12" s="134" t="str">
        <f t="shared" si="7"/>
        <v/>
      </c>
      <c r="M12" s="133" t="str">
        <f t="shared" si="8"/>
        <v/>
      </c>
      <c r="N12" s="134" t="str">
        <f t="shared" si="9"/>
        <v/>
      </c>
      <c r="O12" s="499" t="str">
        <f t="shared" si="10"/>
        <v/>
      </c>
      <c r="V12" s="149" t="s">
        <v>2529</v>
      </c>
      <c r="W12" s="150" t="s">
        <v>80</v>
      </c>
      <c r="X12" s="473">
        <v>21</v>
      </c>
      <c r="Y12" s="473">
        <v>4</v>
      </c>
      <c r="Z12" s="473">
        <v>5</v>
      </c>
      <c r="AA12" s="474">
        <f t="shared" si="12"/>
        <v>30</v>
      </c>
      <c r="AC12" s="569" t="s">
        <v>2542</v>
      </c>
      <c r="AD12" s="570" t="s">
        <v>79</v>
      </c>
      <c r="AE12" s="570">
        <v>21</v>
      </c>
      <c r="AF12" s="570">
        <v>4</v>
      </c>
      <c r="AG12" s="570">
        <v>6</v>
      </c>
      <c r="AH12" s="570">
        <v>31</v>
      </c>
    </row>
    <row r="13" spans="2:34" ht="22.5" customHeight="1" x14ac:dyDescent="0.2">
      <c r="B13" s="161" t="str">
        <f>PERFIL!B14</f>
        <v/>
      </c>
      <c r="C13" s="161" t="str">
        <f>PERFIL!I14</f>
        <v/>
      </c>
      <c r="D13" s="501" t="str">
        <f t="shared" si="13"/>
        <v/>
      </c>
      <c r="E13" s="161" t="str">
        <f t="shared" si="2"/>
        <v/>
      </c>
      <c r="F13" s="161" t="str">
        <f>IF(B13="","",IF(COUNTIF(FROTA!$C$6:$C$305,ESCALA!B13)=0,"",COUNTIF(FROTA!$C$6:$C$305,ESCALA!B13)))</f>
        <v/>
      </c>
      <c r="G13" s="167" t="str">
        <f t="shared" si="3"/>
        <v/>
      </c>
      <c r="H13" s="161" t="str">
        <f t="shared" si="11"/>
        <v/>
      </c>
      <c r="I13" s="159" t="str">
        <f t="shared" si="4"/>
        <v/>
      </c>
      <c r="J13" s="160" t="str">
        <f t="shared" si="5"/>
        <v/>
      </c>
      <c r="K13" s="159" t="str">
        <f t="shared" si="6"/>
        <v/>
      </c>
      <c r="L13" s="160" t="str">
        <f t="shared" si="7"/>
        <v/>
      </c>
      <c r="M13" s="159" t="str">
        <f t="shared" si="8"/>
        <v/>
      </c>
      <c r="N13" s="160" t="str">
        <f t="shared" si="9"/>
        <v/>
      </c>
      <c r="O13" s="499" t="str">
        <f t="shared" si="10"/>
        <v/>
      </c>
      <c r="V13" s="149" t="s">
        <v>2530</v>
      </c>
      <c r="W13" s="151" t="s">
        <v>81</v>
      </c>
      <c r="X13" s="473">
        <v>21</v>
      </c>
      <c r="Y13" s="473">
        <v>5</v>
      </c>
      <c r="Z13" s="473">
        <v>5</v>
      </c>
      <c r="AA13" s="474">
        <f t="shared" si="12"/>
        <v>31</v>
      </c>
      <c r="AC13" s="569" t="s">
        <v>2543</v>
      </c>
      <c r="AD13" s="570" t="s">
        <v>80</v>
      </c>
      <c r="AE13" s="570">
        <v>20</v>
      </c>
      <c r="AF13" s="570">
        <v>5</v>
      </c>
      <c r="AG13" s="570">
        <v>5</v>
      </c>
      <c r="AH13" s="570">
        <v>30</v>
      </c>
    </row>
    <row r="14" spans="2:34" ht="22.5" customHeight="1" x14ac:dyDescent="0.2">
      <c r="B14" s="131" t="str">
        <f>PERFIL!B15</f>
        <v/>
      </c>
      <c r="C14" s="131" t="str">
        <f>PERFIL!I15</f>
        <v/>
      </c>
      <c r="D14" s="500" t="str">
        <f t="shared" si="13"/>
        <v/>
      </c>
      <c r="E14" s="131" t="str">
        <f t="shared" si="2"/>
        <v/>
      </c>
      <c r="F14" s="131" t="str">
        <f>IF(B14="","",IF(COUNTIF(FROTA!$C$6:$C$305,ESCALA!B14)=0,"",COUNTIF(FROTA!$C$6:$C$305,ESCALA!B14)))</f>
        <v/>
      </c>
      <c r="G14" s="167" t="str">
        <f t="shared" si="3"/>
        <v/>
      </c>
      <c r="H14" s="131" t="str">
        <f t="shared" si="11"/>
        <v/>
      </c>
      <c r="I14" s="133" t="str">
        <f t="shared" si="4"/>
        <v/>
      </c>
      <c r="J14" s="134" t="str">
        <f t="shared" si="5"/>
        <v/>
      </c>
      <c r="K14" s="133" t="str">
        <f t="shared" si="6"/>
        <v/>
      </c>
      <c r="L14" s="134" t="str">
        <f t="shared" si="7"/>
        <v/>
      </c>
      <c r="M14" s="133" t="str">
        <f t="shared" si="8"/>
        <v/>
      </c>
      <c r="N14" s="134" t="str">
        <f t="shared" si="9"/>
        <v/>
      </c>
      <c r="O14" s="499" t="str">
        <f t="shared" si="10"/>
        <v/>
      </c>
      <c r="V14" s="149" t="s">
        <v>2531</v>
      </c>
      <c r="W14" s="151" t="s">
        <v>82</v>
      </c>
      <c r="X14" s="473">
        <v>23</v>
      </c>
      <c r="Y14" s="473">
        <v>4</v>
      </c>
      <c r="Z14" s="473">
        <v>4</v>
      </c>
      <c r="AA14" s="474">
        <f t="shared" si="12"/>
        <v>31</v>
      </c>
      <c r="AC14" s="569" t="s">
        <v>2544</v>
      </c>
      <c r="AD14" s="570" t="s">
        <v>81</v>
      </c>
      <c r="AE14" s="570">
        <v>23</v>
      </c>
      <c r="AF14" s="570">
        <v>4</v>
      </c>
      <c r="AG14" s="570">
        <v>4</v>
      </c>
      <c r="AH14" s="570">
        <v>31</v>
      </c>
    </row>
    <row r="15" spans="2:34" ht="22.5" customHeight="1" x14ac:dyDescent="0.2">
      <c r="B15" s="161" t="str">
        <f>PERFIL!B16</f>
        <v/>
      </c>
      <c r="C15" s="161" t="str">
        <f>PERFIL!I16</f>
        <v/>
      </c>
      <c r="D15" s="501" t="str">
        <f t="shared" si="13"/>
        <v/>
      </c>
      <c r="E15" s="161" t="str">
        <f t="shared" si="2"/>
        <v/>
      </c>
      <c r="F15" s="161" t="str">
        <f>IF(B15="","",IF(COUNTIF(FROTA!$C$6:$C$305,ESCALA!B15)=0,"",COUNTIF(FROTA!$C$6:$C$305,ESCALA!B15)))</f>
        <v/>
      </c>
      <c r="G15" s="167" t="str">
        <f t="shared" si="3"/>
        <v/>
      </c>
      <c r="H15" s="161" t="str">
        <f t="shared" si="11"/>
        <v/>
      </c>
      <c r="I15" s="159" t="str">
        <f t="shared" si="4"/>
        <v/>
      </c>
      <c r="J15" s="160" t="str">
        <f t="shared" si="5"/>
        <v/>
      </c>
      <c r="K15" s="159" t="str">
        <f t="shared" si="6"/>
        <v/>
      </c>
      <c r="L15" s="160" t="str">
        <f t="shared" si="7"/>
        <v/>
      </c>
      <c r="M15" s="159" t="str">
        <f t="shared" si="8"/>
        <v/>
      </c>
      <c r="N15" s="160" t="str">
        <f t="shared" si="9"/>
        <v/>
      </c>
      <c r="O15" s="499" t="str">
        <f t="shared" si="10"/>
        <v/>
      </c>
      <c r="V15" s="149" t="s">
        <v>2532</v>
      </c>
      <c r="W15" s="151" t="s">
        <v>83</v>
      </c>
      <c r="X15" s="473">
        <v>20</v>
      </c>
      <c r="Y15" s="473">
        <v>5</v>
      </c>
      <c r="Z15" s="473">
        <v>6</v>
      </c>
      <c r="AA15" s="474">
        <f t="shared" si="12"/>
        <v>31</v>
      </c>
      <c r="AC15" s="569" t="s">
        <v>2545</v>
      </c>
      <c r="AD15" s="570" t="s">
        <v>82</v>
      </c>
      <c r="AE15" s="570">
        <v>22</v>
      </c>
      <c r="AF15" s="570">
        <v>5</v>
      </c>
      <c r="AG15" s="570">
        <v>4</v>
      </c>
      <c r="AH15" s="570">
        <v>31</v>
      </c>
    </row>
    <row r="16" spans="2:34" ht="22.5" customHeight="1" x14ac:dyDescent="0.2">
      <c r="B16" s="131" t="str">
        <f>PERFIL!B17</f>
        <v/>
      </c>
      <c r="C16" s="131" t="str">
        <f>PERFIL!I17</f>
        <v/>
      </c>
      <c r="D16" s="500" t="str">
        <f t="shared" ref="D16:D19" si="14">IF(F16="","","DEFINA A MANUTENÇÃO")</f>
        <v/>
      </c>
      <c r="E16" s="131" t="str">
        <f t="shared" si="2"/>
        <v/>
      </c>
      <c r="F16" s="131" t="str">
        <f>IF(B16="","",IF(COUNTIF(FROTA!$C$6:$C$305,ESCALA!B16)=0,"",COUNTIF(FROTA!$C$6:$C$305,ESCALA!B16)))</f>
        <v/>
      </c>
      <c r="G16" s="167" t="str">
        <f t="shared" si="3"/>
        <v/>
      </c>
      <c r="H16" s="131" t="str">
        <f t="shared" si="11"/>
        <v/>
      </c>
      <c r="I16" s="133" t="str">
        <f t="shared" si="4"/>
        <v/>
      </c>
      <c r="J16" s="134" t="str">
        <f t="shared" si="5"/>
        <v/>
      </c>
      <c r="K16" s="133" t="str">
        <f t="shared" si="6"/>
        <v/>
      </c>
      <c r="L16" s="134" t="str">
        <f t="shared" si="7"/>
        <v/>
      </c>
      <c r="M16" s="133" t="str">
        <f t="shared" si="8"/>
        <v/>
      </c>
      <c r="N16" s="134" t="str">
        <f t="shared" si="9"/>
        <v/>
      </c>
      <c r="O16" s="499" t="str">
        <f t="shared" si="10"/>
        <v/>
      </c>
      <c r="V16" s="149" t="s">
        <v>2520</v>
      </c>
      <c r="W16" s="150" t="s">
        <v>84</v>
      </c>
      <c r="X16" s="473">
        <v>21</v>
      </c>
      <c r="Y16" s="473">
        <v>4</v>
      </c>
      <c r="Z16" s="473">
        <v>6</v>
      </c>
      <c r="AA16" s="474">
        <f>SUM(X16:Z16)</f>
        <v>31</v>
      </c>
      <c r="AC16" s="569" t="s">
        <v>2546</v>
      </c>
      <c r="AD16" s="570" t="s">
        <v>83</v>
      </c>
      <c r="AE16" s="570">
        <v>21</v>
      </c>
      <c r="AF16" s="570">
        <v>3</v>
      </c>
      <c r="AG16" s="570">
        <v>6</v>
      </c>
      <c r="AH16" s="570">
        <v>30</v>
      </c>
    </row>
    <row r="17" spans="2:34" ht="22.5" customHeight="1" x14ac:dyDescent="0.2">
      <c r="B17" s="161" t="str">
        <f>PERFIL!B18</f>
        <v/>
      </c>
      <c r="C17" s="161" t="str">
        <f>PERFIL!I18</f>
        <v/>
      </c>
      <c r="D17" s="501" t="str">
        <f t="shared" si="14"/>
        <v/>
      </c>
      <c r="E17" s="161" t="str">
        <f t="shared" si="2"/>
        <v/>
      </c>
      <c r="F17" s="161" t="str">
        <f>IF(B17="","",IF(COUNTIF(FROTA!$C$6:$C$305,ESCALA!B17)=0,"",COUNTIF(FROTA!$C$6:$C$305,ESCALA!B17)))</f>
        <v/>
      </c>
      <c r="G17" s="167" t="str">
        <f t="shared" si="3"/>
        <v/>
      </c>
      <c r="H17" s="161" t="str">
        <f t="shared" si="11"/>
        <v/>
      </c>
      <c r="I17" s="159" t="str">
        <f t="shared" si="4"/>
        <v/>
      </c>
      <c r="J17" s="160" t="str">
        <f t="shared" si="5"/>
        <v/>
      </c>
      <c r="K17" s="159" t="str">
        <f t="shared" si="6"/>
        <v/>
      </c>
      <c r="L17" s="160" t="str">
        <f t="shared" si="7"/>
        <v/>
      </c>
      <c r="M17" s="159" t="str">
        <f t="shared" si="8"/>
        <v/>
      </c>
      <c r="N17" s="160" t="str">
        <f t="shared" si="9"/>
        <v/>
      </c>
      <c r="O17" s="499" t="str">
        <f t="shared" si="10"/>
        <v/>
      </c>
      <c r="AC17" s="569" t="s">
        <v>2547</v>
      </c>
      <c r="AD17" s="570" t="s">
        <v>84</v>
      </c>
      <c r="AE17" s="570">
        <v>23</v>
      </c>
      <c r="AF17" s="570">
        <v>3</v>
      </c>
      <c r="AG17" s="570">
        <v>5</v>
      </c>
      <c r="AH17" s="570">
        <v>31</v>
      </c>
    </row>
    <row r="18" spans="2:34" ht="22.5" customHeight="1" x14ac:dyDescent="0.2">
      <c r="B18" s="131" t="str">
        <f>PERFIL!B19</f>
        <v/>
      </c>
      <c r="C18" s="131" t="str">
        <f>PERFIL!I19</f>
        <v/>
      </c>
      <c r="D18" s="500" t="str">
        <f t="shared" si="14"/>
        <v/>
      </c>
      <c r="E18" s="131" t="str">
        <f t="shared" si="2"/>
        <v/>
      </c>
      <c r="F18" s="131" t="str">
        <f>IF(B18="","",IF(COUNTIF(FROTA!$C$6:$C$305,ESCALA!B18)=0,"",COUNTIF(FROTA!$C$6:$C$305,ESCALA!B18)))</f>
        <v/>
      </c>
      <c r="G18" s="167" t="str">
        <f t="shared" si="3"/>
        <v/>
      </c>
      <c r="H18" s="131" t="str">
        <f t="shared" si="11"/>
        <v/>
      </c>
      <c r="I18" s="133" t="str">
        <f t="shared" si="4"/>
        <v/>
      </c>
      <c r="J18" s="134" t="str">
        <f t="shared" si="5"/>
        <v/>
      </c>
      <c r="K18" s="133" t="str">
        <f t="shared" si="6"/>
        <v/>
      </c>
      <c r="L18" s="134" t="str">
        <f t="shared" si="7"/>
        <v/>
      </c>
      <c r="M18" s="133" t="str">
        <f t="shared" si="8"/>
        <v/>
      </c>
      <c r="N18" s="134" t="str">
        <f t="shared" si="9"/>
        <v/>
      </c>
      <c r="O18" s="499" t="str">
        <f t="shared" si="10"/>
        <v/>
      </c>
      <c r="AC18" s="569" t="s">
        <v>2548</v>
      </c>
      <c r="AD18" s="570" t="s">
        <v>85</v>
      </c>
      <c r="AE18" s="570">
        <v>20</v>
      </c>
      <c r="AF18" s="570">
        <v>4</v>
      </c>
      <c r="AG18" s="570">
        <v>6</v>
      </c>
      <c r="AH18" s="570">
        <v>30</v>
      </c>
    </row>
    <row r="19" spans="2:34" ht="22.5" customHeight="1" x14ac:dyDescent="0.2">
      <c r="B19" s="161" t="str">
        <f>PERFIL!B20</f>
        <v/>
      </c>
      <c r="C19" s="161" t="str">
        <f>PERFIL!I20</f>
        <v/>
      </c>
      <c r="D19" s="501" t="str">
        <f t="shared" si="14"/>
        <v/>
      </c>
      <c r="E19" s="161" t="str">
        <f t="shared" si="2"/>
        <v/>
      </c>
      <c r="F19" s="161" t="str">
        <f>IF(B19="","",IF(COUNTIF(FROTA!$C$6:$C$305,ESCALA!B19)=0,"",COUNTIF(FROTA!$C$6:$C$305,ESCALA!B19)))</f>
        <v/>
      </c>
      <c r="G19" s="167" t="str">
        <f t="shared" si="3"/>
        <v/>
      </c>
      <c r="H19" s="161" t="str">
        <f t="shared" si="11"/>
        <v/>
      </c>
      <c r="I19" s="159" t="str">
        <f t="shared" si="4"/>
        <v/>
      </c>
      <c r="J19" s="160" t="str">
        <f t="shared" si="5"/>
        <v/>
      </c>
      <c r="K19" s="159" t="str">
        <f t="shared" si="6"/>
        <v/>
      </c>
      <c r="L19" s="160" t="str">
        <f t="shared" si="7"/>
        <v/>
      </c>
      <c r="M19" s="159" t="str">
        <f t="shared" si="8"/>
        <v/>
      </c>
      <c r="N19" s="160" t="str">
        <f t="shared" si="9"/>
        <v/>
      </c>
      <c r="O19" s="499" t="str">
        <f t="shared" si="10"/>
        <v/>
      </c>
      <c r="AC19" s="569" t="s">
        <v>2549</v>
      </c>
      <c r="AD19" s="570" t="s">
        <v>86</v>
      </c>
      <c r="AE19" s="570">
        <v>21</v>
      </c>
      <c r="AF19" s="570">
        <v>4</v>
      </c>
      <c r="AG19" s="570">
        <v>6</v>
      </c>
      <c r="AH19" s="570">
        <v>31</v>
      </c>
    </row>
    <row r="20" spans="2:34" ht="22.5" customHeight="1" x14ac:dyDescent="0.2">
      <c r="AC20" s="569" t="s">
        <v>2550</v>
      </c>
      <c r="AD20" s="570" t="s">
        <v>74</v>
      </c>
      <c r="AE20" s="570">
        <v>22</v>
      </c>
      <c r="AF20" s="570">
        <v>4</v>
      </c>
      <c r="AG20" s="570">
        <v>5</v>
      </c>
      <c r="AH20" s="570">
        <v>31</v>
      </c>
    </row>
    <row r="21" spans="2:34" ht="22.5" customHeight="1" x14ac:dyDescent="0.2">
      <c r="AC21" s="569" t="s">
        <v>2551</v>
      </c>
      <c r="AD21" s="570" t="s">
        <v>75</v>
      </c>
      <c r="AE21" s="570">
        <v>20</v>
      </c>
      <c r="AF21" s="570">
        <v>4</v>
      </c>
      <c r="AG21" s="570">
        <v>4</v>
      </c>
      <c r="AH21" s="570">
        <v>28</v>
      </c>
    </row>
    <row r="22" spans="2:34" ht="22.5" customHeight="1" x14ac:dyDescent="0.2">
      <c r="AC22" s="569" t="s">
        <v>2552</v>
      </c>
      <c r="AD22" s="570" t="s">
        <v>77</v>
      </c>
      <c r="AE22" s="570">
        <v>19</v>
      </c>
      <c r="AF22" s="570">
        <v>5</v>
      </c>
      <c r="AG22" s="570">
        <v>7</v>
      </c>
      <c r="AH22" s="570">
        <v>31</v>
      </c>
    </row>
    <row r="23" spans="2:34" ht="22.5" customHeight="1" x14ac:dyDescent="0.2">
      <c r="AC23" s="569" t="s">
        <v>2553</v>
      </c>
      <c r="AD23" s="570" t="s">
        <v>78</v>
      </c>
      <c r="AE23" s="570">
        <v>20</v>
      </c>
      <c r="AF23" s="570">
        <v>4</v>
      </c>
      <c r="AG23" s="570">
        <v>6</v>
      </c>
      <c r="AH23" s="570">
        <v>30</v>
      </c>
    </row>
    <row r="24" spans="2:34" ht="22.5" customHeight="1" x14ac:dyDescent="0.2">
      <c r="AC24" s="569" t="s">
        <v>2554</v>
      </c>
      <c r="AD24" s="570" t="s">
        <v>79</v>
      </c>
      <c r="AE24" s="570">
        <v>21</v>
      </c>
      <c r="AF24" s="570">
        <v>5</v>
      </c>
      <c r="AG24" s="570">
        <v>5</v>
      </c>
      <c r="AH24" s="570">
        <v>31</v>
      </c>
    </row>
    <row r="25" spans="2:34" ht="22.5" customHeight="1" x14ac:dyDescent="0.2">
      <c r="AC25" s="569" t="s">
        <v>2555</v>
      </c>
      <c r="AD25" s="570" t="s">
        <v>80</v>
      </c>
      <c r="AE25" s="570">
        <v>20</v>
      </c>
      <c r="AF25" s="570">
        <v>4</v>
      </c>
      <c r="AG25" s="570">
        <v>6</v>
      </c>
      <c r="AH25" s="570">
        <v>30</v>
      </c>
    </row>
    <row r="26" spans="2:34" ht="22.5" customHeight="1" x14ac:dyDescent="0.2">
      <c r="AC26" s="569" t="s">
        <v>2556</v>
      </c>
      <c r="AD26" s="570" t="s">
        <v>81</v>
      </c>
      <c r="AE26" s="570">
        <v>23</v>
      </c>
      <c r="AF26" s="570">
        <v>4</v>
      </c>
      <c r="AG26" s="570">
        <v>4</v>
      </c>
      <c r="AH26" s="570">
        <v>31</v>
      </c>
    </row>
    <row r="27" spans="2:34" ht="22.5" customHeight="1" x14ac:dyDescent="0.2">
      <c r="AC27" s="569" t="s">
        <v>2557</v>
      </c>
      <c r="AD27" s="570" t="s">
        <v>82</v>
      </c>
      <c r="AE27" s="570">
        <v>21</v>
      </c>
      <c r="AF27" s="570">
        <v>5</v>
      </c>
      <c r="AG27" s="570">
        <v>5</v>
      </c>
      <c r="AH27" s="570">
        <v>31</v>
      </c>
    </row>
    <row r="28" spans="2:34" ht="22.5" customHeight="1" x14ac:dyDescent="0.2">
      <c r="AC28" s="569" t="s">
        <v>2558</v>
      </c>
      <c r="AD28" s="570" t="s">
        <v>83</v>
      </c>
      <c r="AE28" s="570">
        <v>22</v>
      </c>
      <c r="AF28" s="570">
        <v>4</v>
      </c>
      <c r="AG28" s="570">
        <v>4</v>
      </c>
      <c r="AH28" s="570">
        <v>30</v>
      </c>
    </row>
    <row r="29" spans="2:34" ht="22.5" customHeight="1" x14ac:dyDescent="0.2">
      <c r="AC29" s="569" t="s">
        <v>2559</v>
      </c>
      <c r="AD29" s="570" t="s">
        <v>84</v>
      </c>
      <c r="AE29" s="570">
        <v>23</v>
      </c>
      <c r="AF29" s="570">
        <v>4</v>
      </c>
      <c r="AG29" s="570">
        <v>4</v>
      </c>
      <c r="AH29" s="570">
        <v>31</v>
      </c>
    </row>
    <row r="30" spans="2:34" ht="22.5" customHeight="1" x14ac:dyDescent="0.2">
      <c r="AC30" s="569" t="s">
        <v>2560</v>
      </c>
      <c r="AD30" s="570" t="s">
        <v>85</v>
      </c>
      <c r="AE30" s="570">
        <v>20</v>
      </c>
      <c r="AF30" s="570">
        <v>4</v>
      </c>
      <c r="AG30" s="570">
        <v>6</v>
      </c>
      <c r="AH30" s="570">
        <v>30</v>
      </c>
    </row>
    <row r="31" spans="2:34" ht="22.5" customHeight="1" x14ac:dyDescent="0.2">
      <c r="AC31" s="569" t="s">
        <v>2561</v>
      </c>
      <c r="AD31" s="570" t="s">
        <v>86</v>
      </c>
      <c r="AE31" s="570">
        <v>22</v>
      </c>
      <c r="AF31" s="570">
        <v>4</v>
      </c>
      <c r="AG31" s="570">
        <v>5</v>
      </c>
      <c r="AH31" s="570">
        <v>31</v>
      </c>
    </row>
    <row r="32" spans="2:34" ht="22.5" customHeight="1" x14ac:dyDescent="0.2">
      <c r="D32" s="132" t="str">
        <f>IF(F32="","","DEFINA A MANUTENÇÃO")</f>
        <v/>
      </c>
      <c r="AC32" s="569" t="s">
        <v>2562</v>
      </c>
      <c r="AD32" s="570" t="s">
        <v>74</v>
      </c>
      <c r="AE32" s="570">
        <v>21</v>
      </c>
      <c r="AF32" s="570">
        <v>5</v>
      </c>
      <c r="AG32" s="570">
        <v>5</v>
      </c>
      <c r="AH32" s="570">
        <v>31</v>
      </c>
    </row>
    <row r="33" spans="4:34" ht="22.5" customHeight="1" x14ac:dyDescent="0.2">
      <c r="D33" s="131" t="str">
        <f>IF(F33="","","DEFINA A MANUTENÇÃO")</f>
        <v/>
      </c>
      <c r="AC33" s="569" t="s">
        <v>2563</v>
      </c>
      <c r="AD33" s="570" t="s">
        <v>75</v>
      </c>
      <c r="AE33" s="570">
        <v>18</v>
      </c>
      <c r="AF33" s="570">
        <v>4</v>
      </c>
      <c r="AG33" s="570">
        <v>6</v>
      </c>
      <c r="AH33" s="570">
        <v>28</v>
      </c>
    </row>
    <row r="34" spans="4:34" ht="22.5" customHeight="1" x14ac:dyDescent="0.2">
      <c r="AC34" s="569" t="s">
        <v>2564</v>
      </c>
      <c r="AD34" s="570" t="s">
        <v>77</v>
      </c>
      <c r="AE34" s="570">
        <v>22</v>
      </c>
      <c r="AF34" s="570">
        <v>4</v>
      </c>
      <c r="AG34" s="570">
        <v>5</v>
      </c>
      <c r="AH34" s="570">
        <v>31</v>
      </c>
    </row>
    <row r="35" spans="4:34" ht="22.5" customHeight="1" x14ac:dyDescent="0.2">
      <c r="AC35" s="569" t="s">
        <v>2565</v>
      </c>
      <c r="AD35" s="570" t="s">
        <v>78</v>
      </c>
      <c r="AE35" s="570">
        <v>20</v>
      </c>
      <c r="AF35" s="570">
        <v>4</v>
      </c>
      <c r="AG35" s="570">
        <v>6</v>
      </c>
      <c r="AH35" s="570">
        <v>30</v>
      </c>
    </row>
    <row r="36" spans="4:34" ht="22.5" customHeight="1" x14ac:dyDescent="0.2">
      <c r="AC36" s="569" t="s">
        <v>2566</v>
      </c>
      <c r="AD36" s="570" t="s">
        <v>79</v>
      </c>
      <c r="AE36" s="570">
        <v>20</v>
      </c>
      <c r="AF36" s="570">
        <v>5</v>
      </c>
      <c r="AG36" s="570">
        <v>6</v>
      </c>
      <c r="AH36" s="570">
        <v>31</v>
      </c>
    </row>
    <row r="37" spans="4:34" ht="22.5" customHeight="1" x14ac:dyDescent="0.2">
      <c r="AC37" s="569" t="s">
        <v>2567</v>
      </c>
      <c r="AD37" s="570" t="s">
        <v>80</v>
      </c>
      <c r="AE37" s="570">
        <v>21</v>
      </c>
      <c r="AF37" s="570">
        <v>4</v>
      </c>
      <c r="AG37" s="570">
        <v>5</v>
      </c>
      <c r="AH37" s="570">
        <v>30</v>
      </c>
    </row>
    <row r="38" spans="4:34" ht="22.5" customHeight="1" x14ac:dyDescent="0.2">
      <c r="AC38" s="569" t="s">
        <v>2568</v>
      </c>
      <c r="AD38" s="570" t="s">
        <v>81</v>
      </c>
      <c r="AE38" s="570">
        <v>23</v>
      </c>
      <c r="AF38" s="570">
        <v>4</v>
      </c>
      <c r="AG38" s="570">
        <v>4</v>
      </c>
      <c r="AH38" s="570">
        <v>31</v>
      </c>
    </row>
    <row r="39" spans="4:34" ht="22.5" customHeight="1" x14ac:dyDescent="0.2">
      <c r="AC39" s="569" t="s">
        <v>2569</v>
      </c>
      <c r="AD39" s="570" t="s">
        <v>82</v>
      </c>
      <c r="AE39" s="570">
        <v>21</v>
      </c>
      <c r="AF39" s="570">
        <v>5</v>
      </c>
      <c r="AG39" s="570">
        <v>5</v>
      </c>
      <c r="AH39" s="570">
        <v>31</v>
      </c>
    </row>
    <row r="40" spans="4:34" ht="22.5" customHeight="1" x14ac:dyDescent="0.2">
      <c r="AC40" s="569" t="s">
        <v>2570</v>
      </c>
      <c r="AD40" s="570" t="s">
        <v>83</v>
      </c>
      <c r="AE40" s="570">
        <v>21</v>
      </c>
      <c r="AF40" s="570">
        <v>4</v>
      </c>
      <c r="AG40" s="570">
        <v>5</v>
      </c>
      <c r="AH40" s="570">
        <v>30</v>
      </c>
    </row>
    <row r="41" spans="4:34" ht="22.5" customHeight="1" x14ac:dyDescent="0.2">
      <c r="AC41" s="569" t="s">
        <v>2571</v>
      </c>
      <c r="AD41" s="570" t="s">
        <v>84</v>
      </c>
      <c r="AE41" s="570">
        <v>21</v>
      </c>
      <c r="AF41" s="570">
        <v>5</v>
      </c>
      <c r="AG41" s="570">
        <v>5</v>
      </c>
      <c r="AH41" s="570">
        <v>31</v>
      </c>
    </row>
    <row r="42" spans="4:34" ht="22.5" customHeight="1" x14ac:dyDescent="0.2">
      <c r="AC42" s="569" t="s">
        <v>2572</v>
      </c>
      <c r="AD42" s="570" t="s">
        <v>85</v>
      </c>
      <c r="AE42" s="570">
        <v>20</v>
      </c>
      <c r="AF42" s="570">
        <v>4</v>
      </c>
      <c r="AG42" s="570">
        <v>6</v>
      </c>
      <c r="AH42" s="570">
        <v>30</v>
      </c>
    </row>
    <row r="43" spans="4:34" ht="22.5" customHeight="1" x14ac:dyDescent="0.2">
      <c r="AC43" s="569" t="s">
        <v>2573</v>
      </c>
      <c r="AD43" s="570" t="s">
        <v>86</v>
      </c>
      <c r="AE43" s="570">
        <v>22</v>
      </c>
      <c r="AF43" s="570">
        <v>4</v>
      </c>
      <c r="AG43" s="570">
        <v>5</v>
      </c>
      <c r="AH43" s="570">
        <v>31</v>
      </c>
    </row>
    <row r="44" spans="4:34" ht="22.5" customHeight="1" x14ac:dyDescent="0.2">
      <c r="AC44" s="569" t="s">
        <v>2574</v>
      </c>
      <c r="AD44" s="570" t="s">
        <v>74</v>
      </c>
      <c r="AE44" s="570">
        <v>20</v>
      </c>
      <c r="AF44" s="570">
        <v>5</v>
      </c>
      <c r="AG44" s="570">
        <v>6</v>
      </c>
      <c r="AH44" s="570">
        <v>31</v>
      </c>
    </row>
    <row r="45" spans="4:34" ht="22.5" customHeight="1" x14ac:dyDescent="0.2">
      <c r="AC45" s="569" t="s">
        <v>2575</v>
      </c>
      <c r="AD45" s="570" t="s">
        <v>75</v>
      </c>
      <c r="AE45" s="570">
        <v>18</v>
      </c>
      <c r="AF45" s="570">
        <v>4</v>
      </c>
      <c r="AG45" s="570">
        <v>6</v>
      </c>
      <c r="AH45" s="570">
        <v>28</v>
      </c>
    </row>
    <row r="46" spans="4:34" ht="22.5" customHeight="1" x14ac:dyDescent="0.2">
      <c r="AC46" s="569" t="s">
        <v>2576</v>
      </c>
      <c r="AD46" s="570" t="s">
        <v>77</v>
      </c>
      <c r="AE46" s="570">
        <v>22</v>
      </c>
      <c r="AF46" s="570">
        <v>4</v>
      </c>
      <c r="AG46" s="570">
        <v>5</v>
      </c>
      <c r="AH46" s="570">
        <v>31</v>
      </c>
    </row>
    <row r="47" spans="4:34" ht="22.5" customHeight="1" x14ac:dyDescent="0.2">
      <c r="AC47" s="569" t="s">
        <v>2577</v>
      </c>
      <c r="AD47" s="570" t="s">
        <v>78</v>
      </c>
      <c r="AE47" s="570">
        <v>21</v>
      </c>
      <c r="AF47" s="570">
        <v>4</v>
      </c>
      <c r="AG47" s="570">
        <v>5</v>
      </c>
      <c r="AH47" s="570">
        <v>30</v>
      </c>
    </row>
    <row r="48" spans="4:34" ht="22.5" customHeight="1" x14ac:dyDescent="0.2">
      <c r="AC48" s="569" t="s">
        <v>2578</v>
      </c>
      <c r="AD48" s="570" t="s">
        <v>79</v>
      </c>
      <c r="AE48" s="570">
        <v>20</v>
      </c>
      <c r="AF48" s="570">
        <v>4</v>
      </c>
      <c r="AG48" s="570">
        <v>7</v>
      </c>
      <c r="AH48" s="570">
        <v>31</v>
      </c>
    </row>
    <row r="49" spans="29:34" ht="22.5" customHeight="1" x14ac:dyDescent="0.2">
      <c r="AC49" s="569" t="s">
        <v>2579</v>
      </c>
      <c r="AD49" s="570" t="s">
        <v>80</v>
      </c>
      <c r="AE49" s="570">
        <v>22</v>
      </c>
      <c r="AF49" s="570">
        <v>4</v>
      </c>
      <c r="AG49" s="570">
        <v>4</v>
      </c>
      <c r="AH49" s="570">
        <v>30</v>
      </c>
    </row>
    <row r="50" spans="29:34" ht="22.5" customHeight="1" x14ac:dyDescent="0.2">
      <c r="AC50" s="569" t="s">
        <v>2580</v>
      </c>
      <c r="AD50" s="570" t="s">
        <v>81</v>
      </c>
      <c r="AE50" s="570">
        <v>22</v>
      </c>
      <c r="AF50" s="570">
        <v>5</v>
      </c>
      <c r="AG50" s="570">
        <v>4</v>
      </c>
      <c r="AH50" s="570">
        <v>31</v>
      </c>
    </row>
    <row r="51" spans="29:34" ht="22.5" customHeight="1" x14ac:dyDescent="0.2">
      <c r="AC51" s="569" t="s">
        <v>2581</v>
      </c>
      <c r="AD51" s="570" t="s">
        <v>82</v>
      </c>
      <c r="AE51" s="570">
        <v>22</v>
      </c>
      <c r="AF51" s="570">
        <v>4</v>
      </c>
      <c r="AG51" s="570">
        <v>5</v>
      </c>
      <c r="AH51" s="570">
        <v>31</v>
      </c>
    </row>
    <row r="52" spans="29:34" ht="22.5" customHeight="1" x14ac:dyDescent="0.2">
      <c r="AC52" s="569" t="s">
        <v>2582</v>
      </c>
      <c r="AD52" s="570" t="s">
        <v>83</v>
      </c>
      <c r="AE52" s="570">
        <v>21</v>
      </c>
      <c r="AF52" s="570">
        <v>4</v>
      </c>
      <c r="AG52" s="570">
        <v>5</v>
      </c>
      <c r="AH52" s="570">
        <v>30</v>
      </c>
    </row>
    <row r="53" spans="29:34" ht="22.5" customHeight="1" x14ac:dyDescent="0.2">
      <c r="AC53" s="569" t="s">
        <v>2583</v>
      </c>
      <c r="AD53" s="570" t="s">
        <v>84</v>
      </c>
      <c r="AE53" s="570">
        <v>20</v>
      </c>
      <c r="AF53" s="570">
        <v>5</v>
      </c>
      <c r="AG53" s="570">
        <v>6</v>
      </c>
      <c r="AH53" s="570">
        <v>31</v>
      </c>
    </row>
    <row r="54" spans="29:34" ht="22.5" customHeight="1" x14ac:dyDescent="0.2">
      <c r="AC54" s="569" t="s">
        <v>2584</v>
      </c>
      <c r="AD54" s="570" t="s">
        <v>85</v>
      </c>
      <c r="AE54" s="570">
        <v>20</v>
      </c>
      <c r="AF54" s="570">
        <v>4</v>
      </c>
      <c r="AG54" s="570">
        <v>6</v>
      </c>
      <c r="AH54" s="570">
        <v>30</v>
      </c>
    </row>
    <row r="55" spans="29:34" ht="22.5" customHeight="1" x14ac:dyDescent="0.2">
      <c r="AC55" s="569" t="s">
        <v>2585</v>
      </c>
      <c r="AD55" s="570" t="s">
        <v>86</v>
      </c>
      <c r="AE55" s="570">
        <v>23</v>
      </c>
      <c r="AF55" s="570">
        <v>3</v>
      </c>
      <c r="AG55" s="570">
        <v>5</v>
      </c>
      <c r="AH55" s="570">
        <v>31</v>
      </c>
    </row>
    <row r="56" spans="29:34" ht="22.5" customHeight="1" x14ac:dyDescent="0.2">
      <c r="AC56" s="569" t="s">
        <v>2586</v>
      </c>
      <c r="AD56" s="570" t="s">
        <v>74</v>
      </c>
      <c r="AE56" s="570">
        <v>21</v>
      </c>
      <c r="AF56" s="570">
        <v>4</v>
      </c>
      <c r="AG56" s="570">
        <v>6</v>
      </c>
      <c r="AH56" s="570">
        <v>31</v>
      </c>
    </row>
    <row r="57" spans="29:34" ht="22.5" customHeight="1" x14ac:dyDescent="0.2">
      <c r="AC57" s="569" t="s">
        <v>2587</v>
      </c>
      <c r="AD57" s="570" t="s">
        <v>75</v>
      </c>
      <c r="AE57" s="570">
        <v>19</v>
      </c>
      <c r="AF57" s="570">
        <v>4</v>
      </c>
      <c r="AG57" s="570">
        <v>6</v>
      </c>
      <c r="AH57" s="570">
        <v>29</v>
      </c>
    </row>
    <row r="58" spans="29:34" ht="22.5" customHeight="1" x14ac:dyDescent="0.2">
      <c r="AC58" s="569" t="s">
        <v>2588</v>
      </c>
      <c r="AD58" s="570" t="s">
        <v>77</v>
      </c>
      <c r="AE58" s="570">
        <v>23</v>
      </c>
      <c r="AF58" s="570">
        <v>4</v>
      </c>
      <c r="AG58" s="570">
        <v>4</v>
      </c>
      <c r="AH58" s="570">
        <v>31</v>
      </c>
    </row>
    <row r="59" spans="29:34" ht="22.5" customHeight="1" x14ac:dyDescent="0.2">
      <c r="AC59" s="569" t="s">
        <v>2589</v>
      </c>
      <c r="AD59" s="570" t="s">
        <v>78</v>
      </c>
      <c r="AE59" s="570">
        <v>18</v>
      </c>
      <c r="AF59" s="570">
        <v>5</v>
      </c>
      <c r="AG59" s="570">
        <v>7</v>
      </c>
      <c r="AH59" s="570">
        <v>30</v>
      </c>
    </row>
    <row r="60" spans="29:34" ht="22.5" customHeight="1" x14ac:dyDescent="0.2">
      <c r="AC60" s="569" t="s">
        <v>2590</v>
      </c>
      <c r="AD60" s="570" t="s">
        <v>79</v>
      </c>
      <c r="AE60" s="570">
        <v>22</v>
      </c>
      <c r="AF60" s="570">
        <v>4</v>
      </c>
      <c r="AG60" s="570">
        <v>5</v>
      </c>
      <c r="AH60" s="570">
        <v>31</v>
      </c>
    </row>
    <row r="61" spans="29:34" ht="22.5" customHeight="1" x14ac:dyDescent="0.2">
      <c r="AC61" s="569" t="s">
        <v>2591</v>
      </c>
      <c r="AD61" s="570" t="s">
        <v>80</v>
      </c>
      <c r="AE61" s="570">
        <v>21</v>
      </c>
      <c r="AF61" s="570">
        <v>4</v>
      </c>
      <c r="AG61" s="570">
        <v>5</v>
      </c>
      <c r="AH61" s="570">
        <v>30</v>
      </c>
    </row>
    <row r="62" spans="29:34" ht="22.5" customHeight="1" x14ac:dyDescent="0.2">
      <c r="AC62" s="569" t="s">
        <v>2592</v>
      </c>
      <c r="AD62" s="570" t="s">
        <v>81</v>
      </c>
      <c r="AE62" s="570">
        <v>21</v>
      </c>
      <c r="AF62" s="570">
        <v>5</v>
      </c>
      <c r="AG62" s="570">
        <v>5</v>
      </c>
      <c r="AH62" s="570">
        <v>31</v>
      </c>
    </row>
    <row r="63" spans="29:34" ht="22.5" customHeight="1" x14ac:dyDescent="0.2">
      <c r="AC63" s="569" t="s">
        <v>2593</v>
      </c>
      <c r="AD63" s="570" t="s">
        <v>82</v>
      </c>
      <c r="AE63" s="570">
        <v>23</v>
      </c>
      <c r="AF63" s="570">
        <v>4</v>
      </c>
      <c r="AG63" s="570">
        <v>4</v>
      </c>
      <c r="AH63" s="570">
        <v>31</v>
      </c>
    </row>
    <row r="64" spans="29:34" ht="22.5" customHeight="1" x14ac:dyDescent="0.2">
      <c r="AC64" s="569" t="s">
        <v>2594</v>
      </c>
      <c r="AD64" s="570" t="s">
        <v>83</v>
      </c>
      <c r="AE64" s="570">
        <v>20</v>
      </c>
      <c r="AF64" s="570">
        <v>5</v>
      </c>
      <c r="AG64" s="570">
        <v>5</v>
      </c>
      <c r="AH64" s="570">
        <v>30</v>
      </c>
    </row>
    <row r="65" spans="29:34" ht="22.5" customHeight="1" x14ac:dyDescent="0.2">
      <c r="AC65" s="569" t="s">
        <v>2595</v>
      </c>
      <c r="AD65" s="570" t="s">
        <v>84</v>
      </c>
      <c r="AE65" s="570">
        <v>21</v>
      </c>
      <c r="AF65" s="570">
        <v>4</v>
      </c>
      <c r="AG65" s="570">
        <v>6</v>
      </c>
      <c r="AH65" s="570">
        <v>31</v>
      </c>
    </row>
    <row r="66" spans="29:34" ht="22.5" customHeight="1" x14ac:dyDescent="0.2">
      <c r="AC66" s="569" t="s">
        <v>2596</v>
      </c>
      <c r="AD66" s="570" t="s">
        <v>85</v>
      </c>
      <c r="AE66" s="570">
        <v>20</v>
      </c>
      <c r="AF66" s="570">
        <v>4</v>
      </c>
      <c r="AG66" s="570">
        <v>6</v>
      </c>
      <c r="AH66" s="570">
        <v>30</v>
      </c>
    </row>
    <row r="67" spans="29:34" ht="22.5" customHeight="1" x14ac:dyDescent="0.2">
      <c r="AC67" s="569" t="s">
        <v>2597</v>
      </c>
      <c r="AD67" s="570" t="s">
        <v>86</v>
      </c>
      <c r="AE67" s="570">
        <v>20</v>
      </c>
      <c r="AF67" s="570">
        <v>5</v>
      </c>
      <c r="AG67" s="570">
        <v>6</v>
      </c>
      <c r="AH67" s="570">
        <v>31</v>
      </c>
    </row>
    <row r="68" spans="29:34" ht="22.5" customHeight="1" x14ac:dyDescent="0.2">
      <c r="AC68" s="569" t="s">
        <v>2598</v>
      </c>
      <c r="AD68" s="570" t="s">
        <v>74</v>
      </c>
      <c r="AE68" s="570">
        <v>22</v>
      </c>
      <c r="AF68" s="570">
        <v>4</v>
      </c>
      <c r="AG68" s="570">
        <v>5</v>
      </c>
      <c r="AH68" s="570">
        <v>31</v>
      </c>
    </row>
    <row r="69" spans="29:34" ht="22.5" customHeight="1" x14ac:dyDescent="0.2">
      <c r="AC69" s="569" t="s">
        <v>2599</v>
      </c>
      <c r="AD69" s="570" t="s">
        <v>2539</v>
      </c>
      <c r="AE69" s="570">
        <v>18</v>
      </c>
      <c r="AF69" s="570">
        <v>4</v>
      </c>
      <c r="AG69" s="570">
        <v>6</v>
      </c>
      <c r="AH69" s="570">
        <v>28</v>
      </c>
    </row>
    <row r="70" spans="29:34" ht="22.5" customHeight="1" x14ac:dyDescent="0.2">
      <c r="AC70" s="569" t="s">
        <v>2600</v>
      </c>
      <c r="AD70" s="570" t="s">
        <v>77</v>
      </c>
      <c r="AE70" s="570">
        <v>21</v>
      </c>
      <c r="AF70" s="570">
        <v>5</v>
      </c>
      <c r="AG70" s="570">
        <v>5</v>
      </c>
      <c r="AH70" s="570">
        <v>31</v>
      </c>
    </row>
    <row r="71" spans="29:34" ht="22.5" customHeight="1" x14ac:dyDescent="0.2">
      <c r="AC71" s="569" t="s">
        <v>2601</v>
      </c>
      <c r="AD71" s="570" t="s">
        <v>78</v>
      </c>
      <c r="AE71" s="570">
        <v>21</v>
      </c>
      <c r="AF71" s="570">
        <v>3</v>
      </c>
      <c r="AG71" s="570">
        <v>6</v>
      </c>
      <c r="AH71" s="570">
        <v>30</v>
      </c>
    </row>
    <row r="72" spans="29:34" ht="22.5" customHeight="1" x14ac:dyDescent="0.2">
      <c r="AC72" s="569" t="s">
        <v>2602</v>
      </c>
      <c r="AD72" s="570" t="s">
        <v>79</v>
      </c>
      <c r="AE72" s="570">
        <v>21</v>
      </c>
      <c r="AF72" s="570">
        <v>4</v>
      </c>
      <c r="AG72" s="570">
        <v>6</v>
      </c>
      <c r="AH72" s="570">
        <v>31</v>
      </c>
    </row>
    <row r="73" spans="29:34" ht="22.5" customHeight="1" x14ac:dyDescent="0.2">
      <c r="AC73" s="569" t="s">
        <v>2603</v>
      </c>
      <c r="AD73" s="570" t="s">
        <v>80</v>
      </c>
      <c r="AE73" s="570">
        <v>21</v>
      </c>
      <c r="AF73" s="570">
        <v>5</v>
      </c>
      <c r="AG73" s="570">
        <v>4</v>
      </c>
      <c r="AH73" s="570">
        <v>30</v>
      </c>
    </row>
    <row r="74" spans="29:34" ht="22.5" customHeight="1" x14ac:dyDescent="0.2">
      <c r="AC74" s="569" t="s">
        <v>2604</v>
      </c>
      <c r="AD74" s="570" t="s">
        <v>81</v>
      </c>
      <c r="AE74" s="570">
        <v>22</v>
      </c>
      <c r="AF74" s="570">
        <v>4</v>
      </c>
      <c r="AG74" s="570">
        <v>5</v>
      </c>
      <c r="AH74" s="570">
        <v>31</v>
      </c>
    </row>
    <row r="75" spans="29:34" ht="22.5" customHeight="1" x14ac:dyDescent="0.2">
      <c r="AC75" s="569" t="s">
        <v>2605</v>
      </c>
      <c r="AD75" s="570" t="s">
        <v>82</v>
      </c>
      <c r="AE75" s="570">
        <v>23</v>
      </c>
      <c r="AF75" s="570">
        <v>4</v>
      </c>
      <c r="AG75" s="570">
        <v>4</v>
      </c>
      <c r="AH75" s="570">
        <v>31</v>
      </c>
    </row>
    <row r="76" spans="29:34" ht="22.5" customHeight="1" x14ac:dyDescent="0.2">
      <c r="AC76" s="569" t="s">
        <v>2606</v>
      </c>
      <c r="AD76" s="570" t="s">
        <v>83</v>
      </c>
      <c r="AE76" s="570">
        <v>19</v>
      </c>
      <c r="AF76" s="570">
        <v>5</v>
      </c>
      <c r="AG76" s="570">
        <v>6</v>
      </c>
      <c r="AH76" s="570">
        <v>30</v>
      </c>
    </row>
    <row r="77" spans="29:34" ht="22.5" customHeight="1" x14ac:dyDescent="0.2">
      <c r="AC77" s="569" t="s">
        <v>2607</v>
      </c>
      <c r="AD77" s="570" t="s">
        <v>84</v>
      </c>
      <c r="AE77" s="570">
        <v>22</v>
      </c>
      <c r="AF77" s="570">
        <v>4</v>
      </c>
      <c r="AG77" s="570">
        <v>5</v>
      </c>
      <c r="AH77" s="570">
        <v>31</v>
      </c>
    </row>
    <row r="78" spans="29:34" ht="22.5" customHeight="1" x14ac:dyDescent="0.2">
      <c r="AC78" s="569" t="s">
        <v>2608</v>
      </c>
      <c r="AD78" s="570" t="s">
        <v>85</v>
      </c>
      <c r="AE78" s="570">
        <v>20</v>
      </c>
      <c r="AF78" s="570">
        <v>4</v>
      </c>
      <c r="AG78" s="570">
        <v>6</v>
      </c>
      <c r="AH78" s="570">
        <v>30</v>
      </c>
    </row>
    <row r="79" spans="29:34" ht="22.5" customHeight="1" x14ac:dyDescent="0.2">
      <c r="AC79" s="569" t="s">
        <v>2609</v>
      </c>
      <c r="AD79" s="570" t="s">
        <v>86</v>
      </c>
      <c r="AE79" s="570">
        <v>20</v>
      </c>
      <c r="AF79" s="570">
        <v>5</v>
      </c>
      <c r="AG79" s="570">
        <v>6</v>
      </c>
      <c r="AH79" s="570">
        <v>31</v>
      </c>
    </row>
    <row r="80" spans="29:34" ht="22.5" customHeight="1" x14ac:dyDescent="0.2">
      <c r="AC80" s="569" t="s">
        <v>2610</v>
      </c>
      <c r="AD80" s="570" t="s">
        <v>74</v>
      </c>
      <c r="AE80" s="570">
        <v>22</v>
      </c>
      <c r="AF80" s="570">
        <v>4</v>
      </c>
      <c r="AG80" s="570">
        <v>5</v>
      </c>
      <c r="AH80" s="570">
        <v>31</v>
      </c>
    </row>
    <row r="81" spans="29:34" ht="22.5" customHeight="1" x14ac:dyDescent="0.2">
      <c r="AC81" s="569" t="s">
        <v>2611</v>
      </c>
      <c r="AD81" s="570" t="s">
        <v>75</v>
      </c>
      <c r="AE81" s="570">
        <v>20</v>
      </c>
      <c r="AF81" s="570">
        <v>4</v>
      </c>
      <c r="AG81" s="570">
        <v>4</v>
      </c>
      <c r="AH81" s="570">
        <v>28</v>
      </c>
    </row>
    <row r="82" spans="29:34" ht="22.5" customHeight="1" x14ac:dyDescent="0.2">
      <c r="AC82" s="569" t="s">
        <v>2612</v>
      </c>
      <c r="AD82" s="570" t="s">
        <v>77</v>
      </c>
      <c r="AE82" s="570">
        <v>19</v>
      </c>
      <c r="AF82" s="570">
        <v>5</v>
      </c>
      <c r="AG82" s="570">
        <v>7</v>
      </c>
      <c r="AH82" s="570">
        <v>31</v>
      </c>
    </row>
    <row r="83" spans="29:34" ht="22.5" customHeight="1" x14ac:dyDescent="0.2">
      <c r="AC83" s="569" t="s">
        <v>2613</v>
      </c>
      <c r="AD83" s="570" t="s">
        <v>78</v>
      </c>
      <c r="AE83" s="570">
        <v>21</v>
      </c>
      <c r="AF83" s="570">
        <v>4</v>
      </c>
      <c r="AG83" s="570">
        <v>5</v>
      </c>
      <c r="AH83" s="570">
        <v>30</v>
      </c>
    </row>
    <row r="84" spans="29:34" ht="22.5" customHeight="1" x14ac:dyDescent="0.2">
      <c r="AC84" s="569" t="s">
        <v>2614</v>
      </c>
      <c r="AD84" s="570" t="s">
        <v>79</v>
      </c>
      <c r="AE84" s="570">
        <v>22</v>
      </c>
      <c r="AF84" s="570">
        <v>4</v>
      </c>
      <c r="AG84" s="570">
        <v>5</v>
      </c>
      <c r="AH84" s="570">
        <v>31</v>
      </c>
    </row>
    <row r="85" spans="29:34" ht="22.5" customHeight="1" x14ac:dyDescent="0.2">
      <c r="AC85" s="569" t="s">
        <v>2615</v>
      </c>
      <c r="AD85" s="570" t="s">
        <v>80</v>
      </c>
      <c r="AE85" s="570">
        <v>19</v>
      </c>
      <c r="AF85" s="570">
        <v>5</v>
      </c>
      <c r="AG85" s="570">
        <v>6</v>
      </c>
      <c r="AH85" s="570">
        <v>30</v>
      </c>
    </row>
    <row r="86" spans="29:34" ht="22.5" customHeight="1" x14ac:dyDescent="0.2">
      <c r="AC86" s="569" t="s">
        <v>2616</v>
      </c>
      <c r="AD86" s="570" t="s">
        <v>81</v>
      </c>
      <c r="AE86" s="570">
        <v>23</v>
      </c>
      <c r="AF86" s="570">
        <v>4</v>
      </c>
      <c r="AG86" s="570">
        <v>4</v>
      </c>
      <c r="AH86" s="570">
        <v>31</v>
      </c>
    </row>
    <row r="87" spans="29:34" ht="22.5" customHeight="1" x14ac:dyDescent="0.2">
      <c r="AC87" s="569" t="s">
        <v>2617</v>
      </c>
      <c r="AD87" s="570" t="s">
        <v>82</v>
      </c>
      <c r="AE87" s="570">
        <v>22</v>
      </c>
      <c r="AF87" s="570">
        <v>5</v>
      </c>
      <c r="AG87" s="570">
        <v>4</v>
      </c>
      <c r="AH87" s="570">
        <v>31</v>
      </c>
    </row>
    <row r="88" spans="29:34" ht="22.5" customHeight="1" x14ac:dyDescent="0.2">
      <c r="AC88" s="569" t="s">
        <v>2618</v>
      </c>
      <c r="AD88" s="570" t="s">
        <v>83</v>
      </c>
      <c r="AE88" s="570">
        <v>21</v>
      </c>
      <c r="AF88" s="570">
        <v>3</v>
      </c>
      <c r="AG88" s="570">
        <v>6</v>
      </c>
      <c r="AH88" s="570">
        <v>30</v>
      </c>
    </row>
    <row r="89" spans="29:34" ht="22.5" customHeight="1" x14ac:dyDescent="0.2">
      <c r="AC89" s="569" t="s">
        <v>2619</v>
      </c>
      <c r="AD89" s="570" t="s">
        <v>84</v>
      </c>
      <c r="AE89" s="570">
        <v>23</v>
      </c>
      <c r="AF89" s="570">
        <v>3</v>
      </c>
      <c r="AG89" s="570">
        <v>5</v>
      </c>
      <c r="AH89" s="570">
        <v>31</v>
      </c>
    </row>
    <row r="90" spans="29:34" ht="22.5" customHeight="1" x14ac:dyDescent="0.2">
      <c r="AC90" s="569" t="s">
        <v>2620</v>
      </c>
      <c r="AD90" s="570" t="s">
        <v>85</v>
      </c>
      <c r="AE90" s="570">
        <v>20</v>
      </c>
      <c r="AF90" s="570">
        <v>4</v>
      </c>
      <c r="AG90" s="570">
        <v>6</v>
      </c>
      <c r="AH90" s="570">
        <v>30</v>
      </c>
    </row>
    <row r="91" spans="29:34" ht="22.5" customHeight="1" x14ac:dyDescent="0.2">
      <c r="AC91" s="569" t="s">
        <v>2621</v>
      </c>
      <c r="AD91" s="570" t="s">
        <v>86</v>
      </c>
      <c r="AE91" s="570">
        <v>21</v>
      </c>
      <c r="AF91" s="570">
        <v>4</v>
      </c>
      <c r="AG91" s="570">
        <v>6</v>
      </c>
      <c r="AH91" s="570">
        <v>31</v>
      </c>
    </row>
  </sheetData>
  <mergeCells count="6">
    <mergeCell ref="I3:N3"/>
    <mergeCell ref="B1:D2"/>
    <mergeCell ref="H1:H2"/>
    <mergeCell ref="F1:F2"/>
    <mergeCell ref="E1:E2"/>
    <mergeCell ref="I1:L2"/>
  </mergeCells>
  <conditionalFormatting sqref="G4:G19">
    <cfRule type="containsBlanks" dxfId="33" priority="1" stopIfTrue="1">
      <formula>LEN(TRIM(G4))=0</formula>
    </cfRule>
    <cfRule type="containsText" dxfId="32" priority="18" operator="containsText" text="quantidade">
      <formula>NOT(ISERROR(SEARCH("quantidade",G4)))</formula>
    </cfRule>
    <cfRule type="containsText" dxfId="31" priority="21" operator="containsText" text="A MAIS. Muito">
      <formula>NOT(ISERROR(SEARCH("A MAIS. Muito",G4)))</formula>
    </cfRule>
    <cfRule type="containsText" dxfId="30" priority="22" operator="containsText" text="FALTA CARRO">
      <formula>NOT(ISERROR(SEARCH("FALTA CARRO",G4)))</formula>
    </cfRule>
  </conditionalFormatting>
  <dataValidations count="2">
    <dataValidation type="list" allowBlank="1" showInputMessage="1" showErrorMessage="1" sqref="D32:D33 D4:D19" xr:uid="{00000000-0002-0000-0600-000000000000}">
      <formula1>$R$2:$R$9</formula1>
    </dataValidation>
    <dataValidation type="list" allowBlank="1" showInputMessage="1" showErrorMessage="1" sqref="I1:L2" xr:uid="{00000000-0002-0000-0600-000001000000}">
      <formula1>$AC$4:$AC$91</formula1>
    </dataValidation>
  </dataValidations>
  <pageMargins left="0.511811024" right="0.511811024" top="0.78740157499999996" bottom="0.78740157499999996" header="0.31496062000000002" footer="0.31496062000000002"/>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C3:AA53"/>
  <sheetViews>
    <sheetView workbookViewId="0">
      <selection activeCell="S10" sqref="S10:T53"/>
    </sheetView>
  </sheetViews>
  <sheetFormatPr defaultRowHeight="18.75" customHeight="1" x14ac:dyDescent="0.2"/>
  <cols>
    <col min="1" max="2" width="9.140625" style="195"/>
    <col min="3" max="4" width="8.7109375" style="195" customWidth="1"/>
    <col min="5" max="5" width="12.140625" style="195" customWidth="1"/>
    <col min="6" max="6" width="9.140625" style="195"/>
    <col min="7" max="10" width="12.140625" style="195" customWidth="1"/>
    <col min="11" max="11" width="2.7109375" style="195" customWidth="1"/>
    <col min="12" max="16" width="9.140625" style="195"/>
    <col min="17" max="17" width="2.7109375" style="195" customWidth="1"/>
    <col min="18" max="21" width="9.140625" style="195"/>
    <col min="22" max="22" width="18.5703125" style="197" bestFit="1" customWidth="1"/>
    <col min="23" max="23" width="9.140625" style="379"/>
    <col min="24" max="24" width="9.5703125" style="380" bestFit="1" customWidth="1"/>
    <col min="25" max="25" width="9.140625" style="536"/>
    <col min="26" max="27" width="9.140625" style="199"/>
    <col min="28" max="16384" width="9.140625" style="195"/>
  </cols>
  <sheetData>
    <row r="3" spans="3:27" ht="18.75" customHeight="1" x14ac:dyDescent="0.2">
      <c r="L3" s="729" t="s">
        <v>398</v>
      </c>
      <c r="M3" s="729"/>
      <c r="N3" s="729"/>
      <c r="O3" s="729"/>
    </row>
    <row r="4" spans="3:27" ht="18.75" customHeight="1" x14ac:dyDescent="0.2">
      <c r="C4" s="722" t="s">
        <v>389</v>
      </c>
      <c r="D4" s="722"/>
      <c r="E4" s="722"/>
      <c r="G4" s="729" t="s">
        <v>397</v>
      </c>
      <c r="H4" s="729"/>
      <c r="I4" s="729"/>
      <c r="J4" s="729"/>
      <c r="L4" s="729"/>
      <c r="M4" s="729"/>
      <c r="N4" s="729"/>
      <c r="O4" s="729"/>
    </row>
    <row r="5" spans="3:27" ht="18.75" customHeight="1" x14ac:dyDescent="0.2">
      <c r="C5" s="724" t="str">
        <f>CONCATENATE(V5," ",V6," ",V7," ",V8," ",V9," ",V10," ",V11," ",V12," ",V13," ",V14," ",V15," ",V16," ",V17," ",V18," ",V19," ",V20," ",V21," ",V22," ",V23," ",V24," ",V25," ",V26," ",V27," ",V28," ",V29," ",V30," ",)</f>
        <v xml:space="preserve">                          </v>
      </c>
      <c r="D5" s="724"/>
      <c r="E5" s="724"/>
      <c r="F5" s="196"/>
      <c r="G5" s="729"/>
      <c r="H5" s="729"/>
      <c r="I5" s="729"/>
      <c r="J5" s="729"/>
      <c r="L5" s="729"/>
      <c r="M5" s="729"/>
      <c r="N5" s="729"/>
      <c r="O5" s="729"/>
      <c r="V5" s="197" t="str">
        <f>IF(W5="","",IF(W5&lt;10,CONCATENATE(W5," veículos ano    ",X5,),CONCATENATE(W5," veículos ano ",X5,)))</f>
        <v/>
      </c>
      <c r="W5" s="379" t="str">
        <f>IF(X5="","",IF(COUNTIF(FROTA!$Z$6:$Z$305,X5)=0,"",COUNTIF(FROTA!$Z$6:$Z$305,X5)))</f>
        <v/>
      </c>
      <c r="X5" s="380">
        <v>2025</v>
      </c>
    </row>
    <row r="6" spans="3:27" ht="18.75" customHeight="1" x14ac:dyDescent="0.2">
      <c r="C6" s="724"/>
      <c r="D6" s="724"/>
      <c r="E6" s="724"/>
      <c r="F6" s="196"/>
      <c r="G6" s="725" t="str">
        <f>IF(FROTA!AB2="","",FROTA!AB2)</f>
        <v/>
      </c>
      <c r="H6" s="725"/>
      <c r="I6" s="725"/>
      <c r="J6" s="725"/>
      <c r="L6" s="723" t="s">
        <v>394</v>
      </c>
      <c r="M6" s="723"/>
      <c r="N6" s="723"/>
      <c r="O6" s="723"/>
      <c r="R6" s="720" t="str">
        <f>IF(L6=L11,CONCATENATE("O valor pago por passageiro será de "),IF(L6=L12,CONCATENATE("Verifique valores na tabela abaixo"),""))</f>
        <v>Verifique valores na tabela abaixo</v>
      </c>
      <c r="S6" s="720"/>
      <c r="T6" s="720"/>
      <c r="U6" s="197"/>
      <c r="V6" s="197" t="str">
        <f>IF(W6="","",IF(W6&lt;10,CONCATENATE(W6," veículos ano    ",X6,),CONCATENATE(W6," veículos ano ",X6,)))</f>
        <v/>
      </c>
      <c r="W6" s="379" t="str">
        <f>IF(X6="","",IF(COUNTIF(FROTA!$Z$6:$Z$305,X6)=0,"",COUNTIF(FROTA!$Z$6:$Z$305,X6)))</f>
        <v/>
      </c>
      <c r="X6" s="380">
        <v>2024</v>
      </c>
      <c r="AA6" s="195"/>
    </row>
    <row r="7" spans="3:27" ht="18.75" customHeight="1" x14ac:dyDescent="0.2">
      <c r="C7" s="724"/>
      <c r="D7" s="724"/>
      <c r="E7" s="724"/>
      <c r="F7" s="196"/>
      <c r="G7" s="725"/>
      <c r="H7" s="725"/>
      <c r="I7" s="725"/>
      <c r="J7" s="725"/>
      <c r="L7" s="723"/>
      <c r="M7" s="723"/>
      <c r="N7" s="723"/>
      <c r="O7" s="723"/>
      <c r="R7" s="720"/>
      <c r="S7" s="720"/>
      <c r="T7" s="720"/>
      <c r="U7" s="197"/>
      <c r="V7" s="197" t="str">
        <f>IF(W7="","",IF(W7&lt;10,CONCATENATE(W7," veículos ano    ",X7,),CONCATENATE(W7," veículos ano ",X7,)))</f>
        <v/>
      </c>
      <c r="W7" s="379" t="str">
        <f>IF(X7="","",IF(COUNTIF(FROTA!$Z$6:$Z$305,X7)=0,"",COUNTIF(FROTA!$Z$6:$Z$305,X7)))</f>
        <v/>
      </c>
      <c r="X7" s="380">
        <v>2023</v>
      </c>
      <c r="AA7" s="195"/>
    </row>
    <row r="8" spans="3:27" ht="18.75" customHeight="1" x14ac:dyDescent="0.2">
      <c r="C8" s="724"/>
      <c r="D8" s="724"/>
      <c r="E8" s="724"/>
      <c r="G8" s="725"/>
      <c r="H8" s="725"/>
      <c r="I8" s="725"/>
      <c r="J8" s="725"/>
      <c r="L8" s="723"/>
      <c r="M8" s="723"/>
      <c r="N8" s="723"/>
      <c r="O8" s="723"/>
      <c r="R8" s="721" t="str">
        <f>IF(G6="","",IF(R6="O valor pago por passageiro será de ",VLOOKUP(FROTA!AB2,RECEBÍVEIS!AA10:AB54,2,0),""))</f>
        <v/>
      </c>
      <c r="S8" s="721"/>
      <c r="T8" s="721"/>
      <c r="U8" s="197"/>
      <c r="V8" s="197" t="str">
        <f>IF(W8="","",IF(W8&lt;10,CONCATENATE(W8," veículos ano    ",X8,),CONCATENATE(W8," veículos ano ",X8,)))</f>
        <v/>
      </c>
      <c r="W8" s="379" t="str">
        <f>IF(X8="","",IF(COUNTIF(FROTA!$Z$6:$Z$305,X8)=0,"",COUNTIF(FROTA!$Z$6:$Z$305,X8)))</f>
        <v/>
      </c>
      <c r="X8" s="380">
        <v>2022</v>
      </c>
      <c r="AA8" s="195"/>
    </row>
    <row r="9" spans="3:27" ht="18.75" customHeight="1" x14ac:dyDescent="0.2">
      <c r="C9" s="724"/>
      <c r="D9" s="724"/>
      <c r="E9" s="724"/>
      <c r="S9" s="201" t="str">
        <f>IF($R$6="Verifique valores na tabela abaixo",RECEBÍVEIS!AB10,"")</f>
        <v>NORMAL</v>
      </c>
      <c r="T9" s="201" t="str">
        <f>IF($R$6="Verifique valores na tabela abaixo",RECEBÍVEIS!AC10,"")</f>
        <v>SELETIVO</v>
      </c>
      <c r="V9" s="197" t="str">
        <f t="shared" ref="V9:V30" si="0">IF(W9="","",IF(W9&lt;10,CONCATENATE(W9," veículos ano    ",X9,),CONCATENATE(W9," veículos ano ",X9,)))</f>
        <v/>
      </c>
      <c r="W9" s="379" t="str">
        <f>IF(X9="","",IF(COUNTIF(FROTA!$Z$6:$Z$305,X9)=0,"",COUNTIF(FROTA!$Z$6:$Z$305,X9)))</f>
        <v/>
      </c>
      <c r="X9" s="380">
        <v>2021</v>
      </c>
    </row>
    <row r="10" spans="3:27" ht="18.75" customHeight="1" x14ac:dyDescent="0.2">
      <c r="C10" s="724"/>
      <c r="D10" s="724"/>
      <c r="E10" s="724"/>
      <c r="L10" s="197" t="s">
        <v>392</v>
      </c>
      <c r="M10" s="197"/>
      <c r="N10" s="197"/>
      <c r="R10" s="201">
        <f ca="1">MANUTENÇÃO!Y3</f>
        <v>2026</v>
      </c>
      <c r="S10" s="202">
        <v>5</v>
      </c>
      <c r="T10" s="202">
        <v>9.1</v>
      </c>
      <c r="V10" s="197" t="str">
        <f t="shared" si="0"/>
        <v/>
      </c>
      <c r="W10" s="379" t="str">
        <f>IF(X10="","",IF(COUNTIF(FROTA!$Z$6:$Z$305,X10)=0,"",COUNTIF(FROTA!$Z$6:$Z$305,X10)))</f>
        <v/>
      </c>
      <c r="X10" s="380">
        <v>2020</v>
      </c>
    </row>
    <row r="11" spans="3:27" ht="18.75" customHeight="1" x14ac:dyDescent="0.2">
      <c r="C11" s="724"/>
      <c r="D11" s="724"/>
      <c r="E11" s="724"/>
      <c r="L11" s="197" t="s">
        <v>393</v>
      </c>
      <c r="M11" s="197"/>
      <c r="N11" s="197"/>
      <c r="R11" s="201">
        <f ca="1">R10-1</f>
        <v>2025</v>
      </c>
      <c r="S11" s="202">
        <v>4.88</v>
      </c>
      <c r="T11" s="202">
        <v>8.9499999999999993</v>
      </c>
      <c r="V11" s="197" t="str">
        <f t="shared" si="0"/>
        <v/>
      </c>
      <c r="W11" s="379" t="str">
        <f>IF(X11="","",IF(COUNTIF(FROTA!$Z$6:$Z$305,X11)=0,"",COUNTIF(FROTA!$Z$6:$Z$305,X11)))</f>
        <v/>
      </c>
      <c r="X11" s="380">
        <v>2019</v>
      </c>
    </row>
    <row r="12" spans="3:27" ht="18.75" customHeight="1" x14ac:dyDescent="0.2">
      <c r="C12" s="724"/>
      <c r="D12" s="724"/>
      <c r="E12" s="724"/>
      <c r="L12" s="197" t="s">
        <v>394</v>
      </c>
      <c r="M12" s="197"/>
      <c r="N12" s="197"/>
      <c r="R12" s="201">
        <f t="shared" ref="R12:R53" ca="1" si="1">R11-1</f>
        <v>2024</v>
      </c>
      <c r="S12" s="202">
        <v>4.76</v>
      </c>
      <c r="T12" s="202">
        <v>8.7999999999999989</v>
      </c>
      <c r="V12" s="197" t="str">
        <f t="shared" si="0"/>
        <v/>
      </c>
      <c r="W12" s="379" t="str">
        <f>IF(X12="","",IF(COUNTIF(FROTA!$Z$6:$Z$305,X12)=0,"",COUNTIF(FROTA!$Z$6:$Z$305,X12)))</f>
        <v/>
      </c>
      <c r="X12" s="380">
        <v>2018</v>
      </c>
    </row>
    <row r="13" spans="3:27" ht="18.75" customHeight="1" x14ac:dyDescent="0.2">
      <c r="C13" s="724"/>
      <c r="D13" s="724"/>
      <c r="E13" s="724"/>
      <c r="G13" s="730" t="s">
        <v>399</v>
      </c>
      <c r="H13" s="730"/>
      <c r="I13" s="730" t="s">
        <v>400</v>
      </c>
      <c r="J13" s="730"/>
      <c r="R13" s="201">
        <f t="shared" ca="1" si="1"/>
        <v>2023</v>
      </c>
      <c r="S13" s="202">
        <v>4.6399999999999997</v>
      </c>
      <c r="T13" s="202">
        <v>8.6499999999999986</v>
      </c>
      <c r="V13" s="197" t="str">
        <f t="shared" si="0"/>
        <v/>
      </c>
      <c r="W13" s="379" t="str">
        <f>IF(X13="","",IF(COUNTIF(FROTA!$Z$6:$Z$305,X13)=0,"",COUNTIF(FROTA!$Z$6:$Z$305,X13)))</f>
        <v/>
      </c>
      <c r="X13" s="380">
        <v>2017</v>
      </c>
    </row>
    <row r="14" spans="3:27" ht="18.75" customHeight="1" x14ac:dyDescent="0.2">
      <c r="C14" s="724"/>
      <c r="D14" s="724"/>
      <c r="E14" s="724"/>
      <c r="G14" s="730"/>
      <c r="H14" s="730"/>
      <c r="I14" s="730"/>
      <c r="J14" s="730"/>
      <c r="L14" s="728" t="str">
        <f>IF(L6="D-E-F-I-N-A !!!!!!!","","Como você fez sua escolha, vai lá em RECEBÍVEIS e veja o resultado financeiro!")</f>
        <v>Como você fez sua escolha, vai lá em RECEBÍVEIS e veja o resultado financeiro!</v>
      </c>
      <c r="M14" s="728"/>
      <c r="N14" s="728"/>
      <c r="O14" s="728"/>
      <c r="P14" s="728"/>
      <c r="R14" s="201">
        <f t="shared" ca="1" si="1"/>
        <v>2022</v>
      </c>
      <c r="S14" s="202">
        <v>4.5199999999999996</v>
      </c>
      <c r="T14" s="202">
        <v>8.4999999999999982</v>
      </c>
      <c r="U14" s="200"/>
      <c r="V14" s="197" t="str">
        <f t="shared" si="0"/>
        <v/>
      </c>
      <c r="W14" s="379" t="str">
        <f>IF(X14="","",IF(COUNTIF(FROTA!$Z$6:$Z$305,X14)=0,"",COUNTIF(FROTA!$Z$6:$Z$305,X14)))</f>
        <v/>
      </c>
      <c r="X14" s="380">
        <v>2016</v>
      </c>
    </row>
    <row r="15" spans="3:27" ht="18.75" customHeight="1" x14ac:dyDescent="0.2">
      <c r="C15" s="724"/>
      <c r="D15" s="724"/>
      <c r="E15" s="724"/>
      <c r="G15" s="730"/>
      <c r="H15" s="730"/>
      <c r="I15" s="730"/>
      <c r="J15" s="730"/>
      <c r="L15" s="728"/>
      <c r="M15" s="728"/>
      <c r="N15" s="728"/>
      <c r="O15" s="728"/>
      <c r="P15" s="728"/>
      <c r="R15" s="201">
        <f t="shared" ca="1" si="1"/>
        <v>2021</v>
      </c>
      <c r="S15" s="202">
        <v>4.3999999999999995</v>
      </c>
      <c r="T15" s="202">
        <v>8.3499999999999979</v>
      </c>
      <c r="U15" s="200"/>
      <c r="V15" s="197" t="str">
        <f t="shared" si="0"/>
        <v/>
      </c>
      <c r="W15" s="379" t="str">
        <f>IF(X15="","",IF(COUNTIF(FROTA!$Z$6:$Z$305,X15)=0,"",COUNTIF(FROTA!$Z$6:$Z$305,X15)))</f>
        <v/>
      </c>
      <c r="X15" s="380">
        <v>2015</v>
      </c>
    </row>
    <row r="16" spans="3:27" ht="18.75" customHeight="1" x14ac:dyDescent="0.2">
      <c r="C16" s="724"/>
      <c r="D16" s="724"/>
      <c r="E16" s="724"/>
      <c r="F16" s="541"/>
      <c r="G16" s="727">
        <v>4.8</v>
      </c>
      <c r="H16" s="727"/>
      <c r="I16" s="726">
        <v>8.9</v>
      </c>
      <c r="J16" s="726"/>
      <c r="L16" s="728"/>
      <c r="M16" s="728"/>
      <c r="N16" s="728"/>
      <c r="O16" s="728"/>
      <c r="P16" s="728"/>
      <c r="R16" s="201">
        <f t="shared" ca="1" si="1"/>
        <v>2020</v>
      </c>
      <c r="S16" s="202">
        <v>4.2799999999999994</v>
      </c>
      <c r="T16" s="202">
        <v>8.1999999999999975</v>
      </c>
      <c r="U16" s="200"/>
      <c r="V16" s="197" t="str">
        <f t="shared" si="0"/>
        <v/>
      </c>
      <c r="W16" s="379" t="str">
        <f>IF(X16="","",IF(COUNTIF(FROTA!$Z$6:$Z$305,X16)=0,"",COUNTIF(FROTA!$Z$6:$Z$305,X16)))</f>
        <v/>
      </c>
      <c r="X16" s="380">
        <v>2014</v>
      </c>
    </row>
    <row r="17" spans="3:24" ht="18.75" customHeight="1" x14ac:dyDescent="0.2">
      <c r="C17" s="724"/>
      <c r="D17" s="724"/>
      <c r="E17" s="724"/>
      <c r="G17" s="727"/>
      <c r="H17" s="727"/>
      <c r="I17" s="726"/>
      <c r="J17" s="726"/>
      <c r="L17" s="728"/>
      <c r="M17" s="728"/>
      <c r="N17" s="728"/>
      <c r="O17" s="728"/>
      <c r="P17" s="728"/>
      <c r="R17" s="201">
        <f t="shared" ca="1" si="1"/>
        <v>2019</v>
      </c>
      <c r="S17" s="202">
        <v>4.1599999999999993</v>
      </c>
      <c r="T17" s="202">
        <v>8.0499999999999972</v>
      </c>
      <c r="U17" s="200"/>
      <c r="V17" s="197" t="str">
        <f t="shared" si="0"/>
        <v/>
      </c>
      <c r="W17" s="379" t="str">
        <f>IF(X17="","",IF(COUNTIF(FROTA!$Z$6:$Z$305,X17)=0,"",COUNTIF(FROTA!$Z$6:$Z$305,X17)))</f>
        <v/>
      </c>
      <c r="X17" s="380">
        <v>2013</v>
      </c>
    </row>
    <row r="18" spans="3:24" ht="18.75" customHeight="1" x14ac:dyDescent="0.2">
      <c r="C18" s="724"/>
      <c r="D18" s="724"/>
      <c r="E18" s="724"/>
      <c r="L18" s="728"/>
      <c r="M18" s="728"/>
      <c r="N18" s="728"/>
      <c r="O18" s="728"/>
      <c r="P18" s="728"/>
      <c r="R18" s="201">
        <f t="shared" ca="1" si="1"/>
        <v>2018</v>
      </c>
      <c r="S18" s="202">
        <v>4.0399999999999991</v>
      </c>
      <c r="T18" s="202">
        <v>7.8999999999999968</v>
      </c>
      <c r="U18" s="200"/>
      <c r="V18" s="197" t="str">
        <f t="shared" si="0"/>
        <v/>
      </c>
      <c r="W18" s="379" t="str">
        <f>IF(X18="","",IF(COUNTIF(FROTA!$Z$6:$Z$305,X18)=0,"",COUNTIF(FROTA!$Z$6:$Z$305,X18)))</f>
        <v/>
      </c>
      <c r="X18" s="380">
        <v>2012</v>
      </c>
    </row>
    <row r="19" spans="3:24" ht="18.75" customHeight="1" x14ac:dyDescent="0.2">
      <c r="C19" s="724"/>
      <c r="D19" s="724"/>
      <c r="E19" s="724"/>
      <c r="L19" s="728"/>
      <c r="M19" s="728"/>
      <c r="N19" s="728"/>
      <c r="O19" s="728"/>
      <c r="P19" s="728"/>
      <c r="R19" s="201">
        <f t="shared" ca="1" si="1"/>
        <v>2017</v>
      </c>
      <c r="S19" s="202">
        <v>3.919999999999999</v>
      </c>
      <c r="T19" s="202">
        <v>7.7499999999999964</v>
      </c>
      <c r="U19" s="200"/>
      <c r="V19" s="197" t="str">
        <f t="shared" si="0"/>
        <v/>
      </c>
      <c r="W19" s="379" t="str">
        <f>IF(X19="","",IF(COUNTIF(FROTA!$Z$6:$Z$305,X19)=0,"",COUNTIF(FROTA!$Z$6:$Z$305,X19)))</f>
        <v/>
      </c>
      <c r="X19" s="380">
        <v>2011</v>
      </c>
    </row>
    <row r="20" spans="3:24" ht="18.75" customHeight="1" x14ac:dyDescent="0.2">
      <c r="C20" s="724"/>
      <c r="D20" s="724"/>
      <c r="E20" s="724"/>
      <c r="L20" s="728"/>
      <c r="M20" s="728"/>
      <c r="N20" s="728"/>
      <c r="O20" s="728"/>
      <c r="P20" s="728"/>
      <c r="R20" s="201">
        <f t="shared" ca="1" si="1"/>
        <v>2016</v>
      </c>
      <c r="S20" s="202">
        <v>3.7999999999999989</v>
      </c>
      <c r="T20" s="202">
        <v>7.5999999999999961</v>
      </c>
      <c r="U20" s="200"/>
      <c r="V20" s="197" t="str">
        <f t="shared" si="0"/>
        <v/>
      </c>
      <c r="W20" s="379" t="str">
        <f>IF(X20="","",IF(COUNTIF(FROTA!$Z$6:$Z$305,X20)=0,"",COUNTIF(FROTA!$Z$6:$Z$305,X20)))</f>
        <v/>
      </c>
      <c r="X20" s="380">
        <v>2010</v>
      </c>
    </row>
    <row r="21" spans="3:24" ht="18.75" customHeight="1" x14ac:dyDescent="0.2">
      <c r="C21" s="724"/>
      <c r="D21" s="724"/>
      <c r="E21" s="724"/>
      <c r="L21" s="728"/>
      <c r="M21" s="728"/>
      <c r="N21" s="728"/>
      <c r="O21" s="728"/>
      <c r="P21" s="728"/>
      <c r="R21" s="201">
        <f t="shared" ca="1" si="1"/>
        <v>2015</v>
      </c>
      <c r="S21" s="202">
        <v>3.6799999999999988</v>
      </c>
      <c r="T21" s="202">
        <v>7.4499999999999957</v>
      </c>
      <c r="U21" s="200"/>
      <c r="V21" s="197" t="str">
        <f t="shared" si="0"/>
        <v/>
      </c>
      <c r="W21" s="379" t="str">
        <f>IF(X21="","",IF(COUNTIF(FROTA!$Z$6:$Z$305,X21)=0,"",COUNTIF(FROTA!$Z$6:$Z$305,X21)))</f>
        <v/>
      </c>
      <c r="X21" s="380">
        <v>2009</v>
      </c>
    </row>
    <row r="22" spans="3:24" ht="18.75" customHeight="1" x14ac:dyDescent="0.2">
      <c r="C22" s="724"/>
      <c r="D22" s="724"/>
      <c r="E22" s="724"/>
      <c r="L22" s="728"/>
      <c r="M22" s="728"/>
      <c r="N22" s="728"/>
      <c r="O22" s="728"/>
      <c r="P22" s="728"/>
      <c r="R22" s="201">
        <f t="shared" ca="1" si="1"/>
        <v>2014</v>
      </c>
      <c r="S22" s="202">
        <v>3.5599999999999987</v>
      </c>
      <c r="T22" s="202">
        <v>7.2999999999999954</v>
      </c>
      <c r="U22" s="200"/>
      <c r="V22" s="197" t="str">
        <f t="shared" si="0"/>
        <v/>
      </c>
      <c r="W22" s="379" t="str">
        <f>IF(X22="","",IF(COUNTIF(FROTA!$Z$6:$Z$305,X22)=0,"",COUNTIF(FROTA!$Z$6:$Z$305,X22)))</f>
        <v/>
      </c>
      <c r="X22" s="380">
        <v>2008</v>
      </c>
    </row>
    <row r="23" spans="3:24" ht="18.75" customHeight="1" x14ac:dyDescent="0.2">
      <c r="C23" s="724"/>
      <c r="D23" s="724"/>
      <c r="E23" s="724"/>
      <c r="R23" s="201">
        <f t="shared" ca="1" si="1"/>
        <v>2013</v>
      </c>
      <c r="S23" s="202">
        <v>3.4999999999999987</v>
      </c>
      <c r="T23" s="202">
        <v>7.149999999999995</v>
      </c>
      <c r="V23" s="197" t="str">
        <f t="shared" si="0"/>
        <v/>
      </c>
      <c r="W23" s="379" t="str">
        <f>IF(X23="","",IF(COUNTIF(FROTA!$Z$6:$Z$305,X23)=0,"",COUNTIF(FROTA!$Z$6:$Z$305,X23)))</f>
        <v/>
      </c>
      <c r="X23" s="380">
        <v>2007</v>
      </c>
    </row>
    <row r="24" spans="3:24" ht="18.75" customHeight="1" x14ac:dyDescent="0.2">
      <c r="C24" s="724"/>
      <c r="D24" s="724"/>
      <c r="E24" s="724"/>
      <c r="R24" s="201">
        <f t="shared" ca="1" si="1"/>
        <v>2012</v>
      </c>
      <c r="S24" s="202">
        <v>3.4399999999999986</v>
      </c>
      <c r="T24" s="202">
        <v>7.0999999999999952</v>
      </c>
      <c r="V24" s="197" t="str">
        <f t="shared" si="0"/>
        <v/>
      </c>
      <c r="W24" s="379" t="str">
        <f>IF(X24="","",IF(COUNTIF(FROTA!$Z$6:$Z$305,X24)=0,"",COUNTIF(FROTA!$Z$6:$Z$305,X24)))</f>
        <v/>
      </c>
      <c r="X24" s="380">
        <v>2006</v>
      </c>
    </row>
    <row r="25" spans="3:24" ht="18.75" customHeight="1" x14ac:dyDescent="0.2">
      <c r="C25" s="724"/>
      <c r="D25" s="724"/>
      <c r="E25" s="724"/>
      <c r="R25" s="201">
        <f t="shared" ca="1" si="1"/>
        <v>2011</v>
      </c>
      <c r="S25" s="202">
        <v>3.3799999999999986</v>
      </c>
      <c r="T25" s="202">
        <v>7.0499999999999954</v>
      </c>
      <c r="V25" s="197" t="str">
        <f t="shared" si="0"/>
        <v/>
      </c>
      <c r="W25" s="379" t="str">
        <f>IF(X25="","",IF(COUNTIF(FROTA!$Z$6:$Z$305,X25)=0,"",COUNTIF(FROTA!$Z$6:$Z$305,X25)))</f>
        <v/>
      </c>
      <c r="X25" s="380">
        <v>2005</v>
      </c>
    </row>
    <row r="26" spans="3:24" ht="18.75" customHeight="1" x14ac:dyDescent="0.2">
      <c r="C26" s="724"/>
      <c r="D26" s="724"/>
      <c r="E26" s="724"/>
      <c r="H26" s="441"/>
      <c r="R26" s="201">
        <f t="shared" ca="1" si="1"/>
        <v>2010</v>
      </c>
      <c r="S26" s="202">
        <v>3.3199999999999985</v>
      </c>
      <c r="T26" s="202">
        <v>6.9999999999999956</v>
      </c>
      <c r="V26" s="197" t="str">
        <f t="shared" si="0"/>
        <v/>
      </c>
      <c r="W26" s="379" t="str">
        <f>IF(X26="","",IF(COUNTIF(FROTA!$Z$6:$Z$305,X26)=0,"",COUNTIF(FROTA!$Z$6:$Z$305,X26)))</f>
        <v/>
      </c>
      <c r="X26" s="380">
        <v>2004</v>
      </c>
    </row>
    <row r="27" spans="3:24" ht="18.75" customHeight="1" x14ac:dyDescent="0.2">
      <c r="C27" s="724"/>
      <c r="D27" s="724"/>
      <c r="E27" s="724"/>
      <c r="R27" s="201">
        <f t="shared" ca="1" si="1"/>
        <v>2009</v>
      </c>
      <c r="S27" s="202">
        <v>3.2599999999999985</v>
      </c>
      <c r="T27" s="202">
        <v>6.9499999999999957</v>
      </c>
      <c r="V27" s="197" t="str">
        <f t="shared" si="0"/>
        <v/>
      </c>
      <c r="W27" s="379" t="str">
        <f>IF(X27="","",IF(COUNTIF(FROTA!$Z$6:$Z$305,X27)=0,"",COUNTIF(FROTA!$Z$6:$Z$305,X27)))</f>
        <v/>
      </c>
      <c r="X27" s="380">
        <v>2003</v>
      </c>
    </row>
    <row r="28" spans="3:24" ht="18.75" customHeight="1" x14ac:dyDescent="0.2">
      <c r="C28" s="724"/>
      <c r="D28" s="724"/>
      <c r="E28" s="724"/>
      <c r="R28" s="201">
        <f t="shared" ca="1" si="1"/>
        <v>2008</v>
      </c>
      <c r="S28" s="202">
        <v>3.1999999999999984</v>
      </c>
      <c r="T28" s="202">
        <v>6.8999999999999959</v>
      </c>
      <c r="V28" s="197" t="str">
        <f t="shared" si="0"/>
        <v/>
      </c>
      <c r="W28" s="379" t="str">
        <f>IF(X28="","",IF(COUNTIF(FROTA!$Z$6:$Z$305,X28)=0,"",COUNTIF(FROTA!$Z$6:$Z$305,X28)))</f>
        <v/>
      </c>
      <c r="X28" s="380">
        <v>2002</v>
      </c>
    </row>
    <row r="29" spans="3:24" ht="18.75" customHeight="1" x14ac:dyDescent="0.2">
      <c r="C29" s="724"/>
      <c r="D29" s="724"/>
      <c r="E29" s="724"/>
      <c r="R29" s="201">
        <f t="shared" ca="1" si="1"/>
        <v>2007</v>
      </c>
      <c r="S29" s="202">
        <v>3.1399999999999983</v>
      </c>
      <c r="T29" s="202">
        <v>6.8499999999999961</v>
      </c>
      <c r="V29" s="197" t="str">
        <f t="shared" si="0"/>
        <v/>
      </c>
      <c r="W29" s="379" t="str">
        <f>IF(X29="","",IF(COUNTIF(FROTA!$Z$6:$Z$305,X29)=0,"",COUNTIF(FROTA!$Z$6:$Z$305,X29)))</f>
        <v/>
      </c>
      <c r="X29" s="380">
        <v>2001</v>
      </c>
    </row>
    <row r="30" spans="3:24" ht="18.75" customHeight="1" x14ac:dyDescent="0.2">
      <c r="C30" s="724"/>
      <c r="D30" s="724"/>
      <c r="E30" s="724"/>
      <c r="R30" s="201">
        <f t="shared" ca="1" si="1"/>
        <v>2006</v>
      </c>
      <c r="S30" s="202">
        <v>3.0799999999999983</v>
      </c>
      <c r="T30" s="202">
        <v>6.7999999999999963</v>
      </c>
      <c r="V30" s="197" t="str">
        <f t="shared" si="0"/>
        <v/>
      </c>
      <c r="W30" s="379" t="str">
        <f>IF(X30="","",IF(COUNTIF(FROTA!$Z$6:$Z$305,X30)=0,"",COUNTIF(FROTA!$Z$6:$Z$305,X30)))</f>
        <v/>
      </c>
      <c r="X30" s="380">
        <v>2000</v>
      </c>
    </row>
    <row r="31" spans="3:24" ht="18.75" customHeight="1" x14ac:dyDescent="0.2">
      <c r="R31" s="201">
        <f t="shared" ca="1" si="1"/>
        <v>2005</v>
      </c>
      <c r="S31" s="202">
        <v>3.0199999999999982</v>
      </c>
      <c r="T31" s="202">
        <v>6.7499999999999964</v>
      </c>
    </row>
    <row r="32" spans="3:24" ht="18.75" customHeight="1" x14ac:dyDescent="0.2">
      <c r="R32" s="201">
        <f t="shared" ca="1" si="1"/>
        <v>2004</v>
      </c>
      <c r="S32" s="202">
        <v>2.9599999999999982</v>
      </c>
      <c r="T32" s="202">
        <v>6.6999999999999966</v>
      </c>
    </row>
    <row r="33" spans="18:20" ht="18.75" customHeight="1" x14ac:dyDescent="0.2">
      <c r="R33" s="201">
        <f t="shared" ca="1" si="1"/>
        <v>2003</v>
      </c>
      <c r="S33" s="202">
        <v>2.8999999999999981</v>
      </c>
      <c r="T33" s="202">
        <v>6.6499999999999968</v>
      </c>
    </row>
    <row r="34" spans="18:20" ht="18.75" customHeight="1" x14ac:dyDescent="0.2">
      <c r="R34" s="201">
        <f t="shared" ca="1" si="1"/>
        <v>2002</v>
      </c>
      <c r="S34" s="202">
        <v>2.8399999999999981</v>
      </c>
      <c r="T34" s="202">
        <v>6.599999999999997</v>
      </c>
    </row>
    <row r="35" spans="18:20" ht="18.75" customHeight="1" x14ac:dyDescent="0.2">
      <c r="R35" s="201">
        <f t="shared" ca="1" si="1"/>
        <v>2001</v>
      </c>
      <c r="S35" s="202">
        <v>2.779999999999998</v>
      </c>
      <c r="T35" s="202">
        <v>6.5499999999999972</v>
      </c>
    </row>
    <row r="36" spans="18:20" ht="18.75" customHeight="1" x14ac:dyDescent="0.2">
      <c r="R36" s="201">
        <f t="shared" ca="1" si="1"/>
        <v>2000</v>
      </c>
      <c r="S36" s="202">
        <v>2.719999999999998</v>
      </c>
      <c r="T36" s="202">
        <v>6.4999999999999973</v>
      </c>
    </row>
    <row r="37" spans="18:20" ht="18.75" customHeight="1" x14ac:dyDescent="0.2">
      <c r="R37" s="201">
        <f t="shared" ca="1" si="1"/>
        <v>1999</v>
      </c>
      <c r="S37" s="202">
        <v>2.6599999999999979</v>
      </c>
      <c r="T37" s="202">
        <v>6.4499999999999975</v>
      </c>
    </row>
    <row r="38" spans="18:20" ht="18.75" customHeight="1" x14ac:dyDescent="0.2">
      <c r="R38" s="201">
        <f t="shared" ca="1" si="1"/>
        <v>1998</v>
      </c>
      <c r="S38" s="202">
        <v>2.5999999999999979</v>
      </c>
      <c r="T38" s="202">
        <v>6.3999999999999977</v>
      </c>
    </row>
    <row r="39" spans="18:20" ht="18.75" customHeight="1" x14ac:dyDescent="0.2">
      <c r="R39" s="201">
        <f t="shared" ca="1" si="1"/>
        <v>1997</v>
      </c>
      <c r="S39" s="202">
        <v>2.5399999999999978</v>
      </c>
      <c r="T39" s="202">
        <v>6.3499999999999979</v>
      </c>
    </row>
    <row r="40" spans="18:20" ht="18.75" customHeight="1" x14ac:dyDescent="0.2">
      <c r="R40" s="201">
        <f t="shared" ca="1" si="1"/>
        <v>1996</v>
      </c>
      <c r="S40" s="202">
        <v>2.4799999999999978</v>
      </c>
      <c r="T40" s="202">
        <v>6.299999999999998</v>
      </c>
    </row>
    <row r="41" spans="18:20" ht="18.75" customHeight="1" x14ac:dyDescent="0.2">
      <c r="R41" s="201">
        <f t="shared" ca="1" si="1"/>
        <v>1995</v>
      </c>
      <c r="S41" s="202">
        <v>2.4199999999999977</v>
      </c>
      <c r="T41" s="202">
        <v>6.2499999999999982</v>
      </c>
    </row>
    <row r="42" spans="18:20" ht="18.75" customHeight="1" x14ac:dyDescent="0.2">
      <c r="R42" s="201">
        <f t="shared" ca="1" si="1"/>
        <v>1994</v>
      </c>
      <c r="S42" s="202">
        <v>2.3599999999999977</v>
      </c>
      <c r="T42" s="202">
        <v>6.1999999999999984</v>
      </c>
    </row>
    <row r="43" spans="18:20" ht="18.75" customHeight="1" x14ac:dyDescent="0.2">
      <c r="R43" s="201">
        <f t="shared" ca="1" si="1"/>
        <v>1993</v>
      </c>
      <c r="S43" s="202">
        <v>2.2999999999999976</v>
      </c>
      <c r="T43" s="202">
        <v>6.1499999999999986</v>
      </c>
    </row>
    <row r="44" spans="18:20" ht="18.75" customHeight="1" x14ac:dyDescent="0.2">
      <c r="R44" s="201">
        <f t="shared" ca="1" si="1"/>
        <v>1992</v>
      </c>
      <c r="S44" s="202">
        <v>2.2399999999999975</v>
      </c>
      <c r="T44" s="202">
        <v>6.0999999999999988</v>
      </c>
    </row>
    <row r="45" spans="18:20" ht="18.75" customHeight="1" x14ac:dyDescent="0.2">
      <c r="R45" s="201">
        <f t="shared" ca="1" si="1"/>
        <v>1991</v>
      </c>
      <c r="S45" s="202">
        <v>2.1799999999999975</v>
      </c>
      <c r="T45" s="202">
        <v>6.0499999999999989</v>
      </c>
    </row>
    <row r="46" spans="18:20" ht="18.75" customHeight="1" x14ac:dyDescent="0.2">
      <c r="R46" s="201">
        <f t="shared" ca="1" si="1"/>
        <v>1990</v>
      </c>
      <c r="S46" s="202">
        <v>2.1199999999999974</v>
      </c>
      <c r="T46" s="202">
        <v>5.9999999999999991</v>
      </c>
    </row>
    <row r="47" spans="18:20" ht="18.75" customHeight="1" x14ac:dyDescent="0.2">
      <c r="R47" s="201">
        <f t="shared" ca="1" si="1"/>
        <v>1989</v>
      </c>
      <c r="S47" s="202">
        <v>2.0599999999999974</v>
      </c>
      <c r="T47" s="202">
        <v>5.9499999999999993</v>
      </c>
    </row>
    <row r="48" spans="18:20" ht="18.75" customHeight="1" x14ac:dyDescent="0.2">
      <c r="R48" s="201">
        <f t="shared" ca="1" si="1"/>
        <v>1988</v>
      </c>
      <c r="S48" s="202">
        <v>1.9999999999999973</v>
      </c>
      <c r="T48" s="202">
        <v>5.8999999999999995</v>
      </c>
    </row>
    <row r="49" spans="18:20" ht="18.75" customHeight="1" x14ac:dyDescent="0.2">
      <c r="R49" s="201">
        <f t="shared" ca="1" si="1"/>
        <v>1987</v>
      </c>
      <c r="S49" s="202">
        <v>1.9399999999999973</v>
      </c>
      <c r="T49" s="202">
        <v>5.85</v>
      </c>
    </row>
    <row r="50" spans="18:20" ht="18.75" customHeight="1" x14ac:dyDescent="0.2">
      <c r="R50" s="201">
        <f t="shared" ca="1" si="1"/>
        <v>1986</v>
      </c>
      <c r="S50" s="202">
        <v>1.8799999999999972</v>
      </c>
      <c r="T50" s="202">
        <v>5.8</v>
      </c>
    </row>
    <row r="51" spans="18:20" ht="18.75" customHeight="1" x14ac:dyDescent="0.2">
      <c r="R51" s="201">
        <f t="shared" ca="1" si="1"/>
        <v>1985</v>
      </c>
      <c r="S51" s="202">
        <v>1.8199999999999972</v>
      </c>
      <c r="T51" s="202">
        <v>5.75</v>
      </c>
    </row>
    <row r="52" spans="18:20" ht="18.75" customHeight="1" x14ac:dyDescent="0.2">
      <c r="R52" s="201">
        <f t="shared" ca="1" si="1"/>
        <v>1984</v>
      </c>
      <c r="S52" s="202">
        <v>1.7599999999999971</v>
      </c>
      <c r="T52" s="202">
        <v>5.7</v>
      </c>
    </row>
    <row r="53" spans="18:20" ht="18.75" customHeight="1" x14ac:dyDescent="0.2">
      <c r="R53" s="201">
        <f t="shared" ca="1" si="1"/>
        <v>1983</v>
      </c>
      <c r="S53" s="202">
        <v>1.6999999999999971</v>
      </c>
      <c r="T53" s="202">
        <v>5.65</v>
      </c>
    </row>
  </sheetData>
  <mergeCells count="13">
    <mergeCell ref="R6:T7"/>
    <mergeCell ref="R8:T8"/>
    <mergeCell ref="C4:E4"/>
    <mergeCell ref="L6:O8"/>
    <mergeCell ref="C5:E30"/>
    <mergeCell ref="G6:J8"/>
    <mergeCell ref="I16:J17"/>
    <mergeCell ref="G16:H17"/>
    <mergeCell ref="L14:P22"/>
    <mergeCell ref="G4:J5"/>
    <mergeCell ref="L3:O5"/>
    <mergeCell ref="G13:H15"/>
    <mergeCell ref="I13:J15"/>
  </mergeCells>
  <conditionalFormatting sqref="L6:O8">
    <cfRule type="containsText" dxfId="29" priority="9" operator="containsText" text="Opto pelo Valor aplicado ao  Ano de cada Carro">
      <formula>NOT(ISERROR(SEARCH("Opto pelo Valor aplicado ao  Ano de cada Carro",L6)))</formula>
    </cfRule>
    <cfRule type="containsText" dxfId="28" priority="10" operator="containsText" text="Opto por Idade Média">
      <formula>NOT(ISERROR(SEARCH("Opto por Idade Média",L6)))</formula>
    </cfRule>
    <cfRule type="containsText" dxfId="27" priority="11" operator="containsText" text="d-e-f-i-n-a !!!!!!!">
      <formula>NOT(ISERROR(SEARCH("d-e-f-i-n-a !!!!!!!",L6)))</formula>
    </cfRule>
  </conditionalFormatting>
  <conditionalFormatting sqref="R10:T53">
    <cfRule type="containsText" dxfId="1" priority="7" operator="containsText" text="NORMAL">
      <formula>NOT(ISERROR(SEARCH("NORMAL",R10)))</formula>
    </cfRule>
  </conditionalFormatting>
  <conditionalFormatting sqref="S9:T9">
    <cfRule type="containsText" dxfId="26" priority="6" operator="containsText" text="NORMAL">
      <formula>NOT(ISERROR(SEARCH("NORMAL",S9)))</formula>
    </cfRule>
  </conditionalFormatting>
  <conditionalFormatting sqref="R10:R54 S10:T53">
    <cfRule type="notContainsBlanks" dxfId="0" priority="2">
      <formula>LEN(TRIM(R10))&gt;0</formula>
    </cfRule>
  </conditionalFormatting>
  <conditionalFormatting sqref="T9">
    <cfRule type="containsText" dxfId="25" priority="5" operator="containsText" text="SELETIVO">
      <formula>NOT(ISERROR(SEARCH("SELETIVO",T9)))</formula>
    </cfRule>
  </conditionalFormatting>
  <dataValidations count="1">
    <dataValidation type="list" allowBlank="1" showInputMessage="1" showErrorMessage="1" sqref="L6:O8" xr:uid="{00000000-0002-0000-0700-000000000000}">
      <formula1>$L$10:$L$12</formula1>
    </dataValidation>
  </dataValidations>
  <pageMargins left="0.511811024" right="0.511811024" top="0.78740157499999996" bottom="0.78740157499999996" header="0.31496062000000002" footer="0.31496062000000002"/>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7"/>
  <dimension ref="B1:AX311"/>
  <sheetViews>
    <sheetView zoomScaleSheetLayoutView="120" workbookViewId="0">
      <pane ySplit="5" topLeftCell="A6" activePane="bottomLeft" state="frozen"/>
      <selection activeCell="E112" sqref="E112"/>
      <selection pane="bottomLeft" activeCell="AH2" sqref="AH2:AK2"/>
    </sheetView>
  </sheetViews>
  <sheetFormatPr defaultColWidth="14.42578125" defaultRowHeight="17.25" customHeight="1" x14ac:dyDescent="0.2"/>
  <cols>
    <col min="1" max="1" width="2.28515625" style="5" customWidth="1"/>
    <col min="2" max="2" width="2.85546875" style="5" customWidth="1"/>
    <col min="3" max="4" width="10.7109375" style="5" customWidth="1"/>
    <col min="5" max="5" width="15.140625" style="5" bestFit="1" customWidth="1"/>
    <col min="6" max="7" width="11.7109375" style="5" customWidth="1"/>
    <col min="8" max="28" width="3.140625" style="5" customWidth="1"/>
    <col min="29" max="29" width="10.85546875" style="5" customWidth="1"/>
    <col min="30" max="30" width="6.5703125" style="5" bestFit="1" customWidth="1"/>
    <col min="31" max="31" width="10.85546875" style="5" customWidth="1"/>
    <col min="32" max="32" width="6.5703125" style="5" bestFit="1" customWidth="1"/>
    <col min="33" max="33" width="10.85546875" style="5" customWidth="1"/>
    <col min="34" max="34" width="6.5703125" style="5" bestFit="1" customWidth="1"/>
    <col min="35" max="35" width="10.85546875" style="5" customWidth="1"/>
    <col min="36" max="36" width="6.5703125" style="5" bestFit="1" customWidth="1"/>
    <col min="37" max="37" width="15" style="5" customWidth="1"/>
    <col min="38" max="38" width="3" style="5" customWidth="1"/>
    <col min="39" max="39" width="18.140625" style="80" bestFit="1" customWidth="1"/>
    <col min="40" max="41" width="18.140625" style="5" customWidth="1"/>
    <col min="42" max="42" width="22.85546875" style="5" bestFit="1" customWidth="1"/>
    <col min="43" max="43" width="11.5703125" style="5" bestFit="1" customWidth="1"/>
    <col min="44" max="44" width="6.140625" style="12" customWidth="1"/>
    <col min="45" max="45" width="4.28515625" style="5" customWidth="1"/>
    <col min="46" max="46" width="6.85546875" style="5" bestFit="1" customWidth="1"/>
    <col min="47" max="50" width="17.85546875" style="5" customWidth="1"/>
    <col min="51" max="16384" width="14.42578125" style="5"/>
  </cols>
  <sheetData>
    <row r="1" spans="2:50" ht="7.5" customHeight="1" x14ac:dyDescent="0.2"/>
    <row r="2" spans="2:50" ht="37.5" customHeight="1" thickBot="1" x14ac:dyDescent="0.25">
      <c r="B2" s="6"/>
      <c r="C2" s="731" t="s">
        <v>188</v>
      </c>
      <c r="D2" s="731"/>
      <c r="E2" s="731"/>
      <c r="F2" s="731"/>
      <c r="G2" s="731"/>
      <c r="H2" s="731"/>
      <c r="I2" s="731"/>
      <c r="J2" s="731"/>
      <c r="K2" s="731"/>
      <c r="L2" s="731"/>
      <c r="M2" s="731"/>
      <c r="N2" s="731"/>
      <c r="O2" s="731"/>
      <c r="P2" s="731"/>
      <c r="Q2" s="731"/>
      <c r="R2" s="731"/>
      <c r="S2" s="731"/>
      <c r="T2" s="731"/>
      <c r="U2" s="731"/>
      <c r="V2" s="731"/>
      <c r="W2" s="731"/>
      <c r="X2" s="731"/>
      <c r="Y2" s="731"/>
      <c r="Z2" s="731"/>
      <c r="AA2" s="731"/>
      <c r="AB2" s="731"/>
      <c r="AC2" s="731"/>
      <c r="AD2" s="731"/>
      <c r="AE2" s="731" t="s">
        <v>238</v>
      </c>
      <c r="AF2" s="731"/>
      <c r="AG2" s="731"/>
      <c r="AH2" s="732" t="str">
        <f>IF(RECEBÍVEIS!E10="","",RECEBÍVEIS!E10)</f>
        <v/>
      </c>
      <c r="AI2" s="731"/>
      <c r="AJ2" s="731"/>
      <c r="AK2" s="731"/>
      <c r="AL2" s="18"/>
      <c r="AN2" s="12"/>
      <c r="AO2" s="12"/>
      <c r="AP2" s="12"/>
      <c r="AQ2" s="12"/>
      <c r="AR2" s="13"/>
    </row>
    <row r="3" spans="2:50" ht="33.75" customHeight="1" thickBot="1" x14ac:dyDescent="0.25">
      <c r="B3" s="6"/>
      <c r="C3" s="734" t="s">
        <v>210</v>
      </c>
      <c r="D3" s="735"/>
      <c r="E3" s="735"/>
      <c r="F3" s="735"/>
      <c r="G3" s="735"/>
      <c r="H3" s="735"/>
      <c r="I3" s="735"/>
      <c r="J3" s="735"/>
      <c r="K3" s="735"/>
      <c r="L3" s="735"/>
      <c r="M3" s="735"/>
      <c r="N3" s="735"/>
      <c r="O3" s="735"/>
      <c r="P3" s="735"/>
      <c r="Q3" s="735"/>
      <c r="R3" s="735"/>
      <c r="S3" s="735"/>
      <c r="T3" s="735"/>
      <c r="U3" s="735"/>
      <c r="V3" s="735"/>
      <c r="W3" s="735"/>
      <c r="X3" s="735"/>
      <c r="Y3" s="735"/>
      <c r="Z3" s="735"/>
      <c r="AA3" s="735"/>
      <c r="AB3" s="735"/>
      <c r="AC3" s="735"/>
      <c r="AD3" s="735"/>
      <c r="AE3" s="735"/>
      <c r="AF3" s="735"/>
      <c r="AG3" s="735"/>
      <c r="AH3" s="735"/>
      <c r="AI3" s="735"/>
      <c r="AJ3" s="735"/>
      <c r="AK3" s="736"/>
      <c r="AL3" s="18"/>
      <c r="AM3" s="79">
        <f>SUM(AM6:AM305)</f>
        <v>0</v>
      </c>
      <c r="AN3" s="12"/>
      <c r="AO3" s="12"/>
      <c r="AP3" s="12"/>
      <c r="AQ3" s="12"/>
      <c r="AR3" s="13"/>
      <c r="AU3" s="737" t="s">
        <v>395</v>
      </c>
      <c r="AV3" s="737"/>
      <c r="AW3" s="737" t="s">
        <v>396</v>
      </c>
      <c r="AX3" s="737"/>
    </row>
    <row r="4" spans="2:50" ht="7.5" customHeight="1" thickBot="1" x14ac:dyDescent="0.2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N4" s="12"/>
      <c r="AO4" s="12"/>
      <c r="AP4" s="12"/>
      <c r="AQ4" s="12"/>
      <c r="AR4" s="13"/>
    </row>
    <row r="5" spans="2:50" ht="52.5" customHeight="1" thickBot="1" x14ac:dyDescent="0.25">
      <c r="B5" s="6"/>
      <c r="C5" s="7" t="s">
        <v>182</v>
      </c>
      <c r="D5" s="8" t="s">
        <v>0</v>
      </c>
      <c r="E5" s="8" t="s">
        <v>1</v>
      </c>
      <c r="F5" s="19" t="s">
        <v>185</v>
      </c>
      <c r="G5" s="70" t="s">
        <v>246</v>
      </c>
      <c r="H5" s="30" t="s">
        <v>32</v>
      </c>
      <c r="I5" s="26" t="s">
        <v>33</v>
      </c>
      <c r="J5" s="27" t="s">
        <v>34</v>
      </c>
      <c r="K5" s="27" t="s">
        <v>35</v>
      </c>
      <c r="L5" s="27" t="s">
        <v>36</v>
      </c>
      <c r="M5" s="27" t="s">
        <v>37</v>
      </c>
      <c r="N5" s="28" t="s">
        <v>38</v>
      </c>
      <c r="O5" s="28" t="s">
        <v>39</v>
      </c>
      <c r="P5" s="29" t="s">
        <v>40</v>
      </c>
      <c r="Q5" s="29" t="s">
        <v>41</v>
      </c>
      <c r="R5" s="28" t="s">
        <v>42</v>
      </c>
      <c r="S5" s="28" t="s">
        <v>43</v>
      </c>
      <c r="T5" s="27" t="s">
        <v>44</v>
      </c>
      <c r="U5" s="27" t="s">
        <v>45</v>
      </c>
      <c r="V5" s="27" t="s">
        <v>46</v>
      </c>
      <c r="W5" s="27" t="s">
        <v>47</v>
      </c>
      <c r="X5" s="29" t="s">
        <v>2</v>
      </c>
      <c r="Y5" s="28" t="s">
        <v>48</v>
      </c>
      <c r="Z5" s="28" t="s">
        <v>49</v>
      </c>
      <c r="AA5" s="26" t="s">
        <v>50</v>
      </c>
      <c r="AB5" s="31" t="s">
        <v>51</v>
      </c>
      <c r="AC5" s="34" t="str">
        <f>AO5</f>
        <v>OP. DIA TODO</v>
      </c>
      <c r="AD5" s="39" t="s">
        <v>208</v>
      </c>
      <c r="AE5" s="8" t="str">
        <f>AO6</f>
        <v>OP. MANHÃ</v>
      </c>
      <c r="AF5" s="39" t="s">
        <v>208</v>
      </c>
      <c r="AG5" s="8" t="str">
        <f>AO7</f>
        <v>OP. TARDE / NOITE</v>
      </c>
      <c r="AH5" s="39" t="s">
        <v>208</v>
      </c>
      <c r="AI5" s="8" t="str">
        <f>AO8</f>
        <v>OP. Hor. PICO</v>
      </c>
      <c r="AJ5" s="39" t="s">
        <v>208</v>
      </c>
      <c r="AK5" s="36" t="s">
        <v>31</v>
      </c>
      <c r="AL5" s="6"/>
      <c r="AM5" s="80" t="s">
        <v>251</v>
      </c>
      <c r="AN5" s="12"/>
      <c r="AO5" s="118" t="s">
        <v>183</v>
      </c>
      <c r="AP5" s="25" t="s">
        <v>178</v>
      </c>
      <c r="AQ5" s="25" t="s">
        <v>53</v>
      </c>
      <c r="AR5" s="14"/>
      <c r="AU5" s="5" t="s">
        <v>390</v>
      </c>
      <c r="AV5" s="5" t="s">
        <v>391</v>
      </c>
      <c r="AW5" s="5" t="s">
        <v>390</v>
      </c>
      <c r="AX5" s="5" t="s">
        <v>391</v>
      </c>
    </row>
    <row r="6" spans="2:50" ht="17.25" customHeight="1" x14ac:dyDescent="0.2">
      <c r="B6" s="6"/>
      <c r="C6" s="49" t="str">
        <f>IF(FROTA!B6="","",FROTA!B6)</f>
        <v/>
      </c>
      <c r="D6" s="220" t="str">
        <f>IF(C6="","",VLOOKUP(SEM!C6,FROTA!$B$5:$C$305,2,0))</f>
        <v/>
      </c>
      <c r="E6" s="24" t="str">
        <f>IF(C6="","",VLOOKUP(C6,FROTA!$B$5:$H$305,7,0))</f>
        <v/>
      </c>
      <c r="F6" s="38" t="str">
        <f>IF(E6="","",VLOOKUP(E6,$AP$5:$AQ$18,2,0))</f>
        <v/>
      </c>
      <c r="G6" s="71" t="str">
        <f>IF(C6="","",F6/$F$307)</f>
        <v/>
      </c>
      <c r="H6" s="85" t="str">
        <f>IF($C6="","",IF(SUM(H$307*$G6)&gt;$F6,$F6,SUM(H$307*$G6)))</f>
        <v/>
      </c>
      <c r="I6" s="86" t="str">
        <f>IF($C6="","",IF(SUM(I$307*$G6)&gt;$F6,$F6,SUM(I$307*$G6)))</f>
        <v/>
      </c>
      <c r="J6" s="86" t="str">
        <f>IF($C6="","",IF(SUM(J$307*$G6)&gt;$F6,$F6,SUM(J$307*$G6)))</f>
        <v/>
      </c>
      <c r="K6" s="86" t="str">
        <f t="shared" ref="K6:Q21" si="0">IF($C6="","",IF(SUM(K$307*$G6)&gt;$F6,$F6,SUM(K$307*$G6)))</f>
        <v/>
      </c>
      <c r="L6" s="86" t="str">
        <f>IF($C6="","",IF(SUM(L$307*$G6)&gt;$F6,$F6,SUM(L$307*$G6)))</f>
        <v/>
      </c>
      <c r="M6" s="86" t="str">
        <f t="shared" si="0"/>
        <v/>
      </c>
      <c r="N6" s="86" t="str">
        <f>IF($C6="","",IF(SUM(N$307*$G6)&gt;$F6,$F6,SUM(N$307*$G6)))</f>
        <v/>
      </c>
      <c r="O6" s="86" t="str">
        <f>IF($C6="","",IF(SUM(O$307*$G6)&gt;$F6,$F6,SUM(O$307*$G6)))</f>
        <v/>
      </c>
      <c r="P6" s="86" t="str">
        <f>IF($C6="","",IF(SUM(P$307*$G6)&gt;$F6,$F6,SUM(P$307*$G6)))</f>
        <v/>
      </c>
      <c r="Q6" s="86" t="str">
        <f>IF($C6="","",IF(SUM(Q$307*$G6)&gt;$F6,$F6,SUM(Q$307*$G6)))</f>
        <v/>
      </c>
      <c r="R6" s="86" t="str">
        <f t="shared" ref="R6:AB21" si="1">IF($C6="","",IF(SUM(R$307*$G6)&gt;$F6,$F6,SUM(R$307*$G6)))</f>
        <v/>
      </c>
      <c r="S6" s="86" t="str">
        <f t="shared" si="1"/>
        <v/>
      </c>
      <c r="T6" s="86" t="str">
        <f t="shared" si="1"/>
        <v/>
      </c>
      <c r="U6" s="86" t="str">
        <f t="shared" si="1"/>
        <v/>
      </c>
      <c r="V6" s="86" t="str">
        <f t="shared" si="1"/>
        <v/>
      </c>
      <c r="W6" s="86" t="str">
        <f t="shared" si="1"/>
        <v/>
      </c>
      <c r="X6" s="86" t="str">
        <f t="shared" si="1"/>
        <v/>
      </c>
      <c r="Y6" s="86" t="str">
        <f t="shared" si="1"/>
        <v/>
      </c>
      <c r="Z6" s="86" t="str">
        <f t="shared" si="1"/>
        <v/>
      </c>
      <c r="AA6" s="86" t="str">
        <f t="shared" si="1"/>
        <v/>
      </c>
      <c r="AB6" s="87" t="str">
        <f t="shared" si="1"/>
        <v/>
      </c>
      <c r="AC6" s="35" t="str">
        <f>IF(C6="","",SUM(H6:AB6)*AK6)</f>
        <v/>
      </c>
      <c r="AD6" s="40" t="str">
        <f>IF(C6="","",SUM(H6:AB6))</f>
        <v/>
      </c>
      <c r="AE6" s="37" t="str">
        <f>IF(C6="","",SUM(H6:R6)*AK6)</f>
        <v/>
      </c>
      <c r="AF6" s="40" t="str">
        <f>IF(C6="","",SUM(H6:Q6))</f>
        <v/>
      </c>
      <c r="AG6" s="37" t="str">
        <f>IF(C6="","",SUM(R6:AB6)*AK6)</f>
        <v/>
      </c>
      <c r="AH6" s="40" t="str">
        <f>IF(C6="","",SUM(R6:AB6))</f>
        <v/>
      </c>
      <c r="AI6" s="37" t="str">
        <f>IF(C6="","",SUM(J6:M6,T6:W6)*AK6)</f>
        <v/>
      </c>
      <c r="AJ6" s="40" t="str">
        <f>IF(C6="","",SUM(J6:M6,T6:W6))</f>
        <v/>
      </c>
      <c r="AK6" s="204" t="str">
        <f>IF(C6="","",IF(E6=FROTA!$AT$18,IF('DEFINA!!!'!$L$6="D-E-F-I-N-A !!!!!!!",0,IF('DEFINA!!!'!$L$6="Opto por Idade Média",SEM!AW6,IF('DEFINA!!!'!$L$6="Opto pelo Valor aplicado ao  Ano de cada Carro",SEM!AX6,0))),IF(E6=FROTA!$AT$17,IF('DEFINA!!!'!$L$6="D-E-F-I-N-A !!!!!!!",0,IF('DEFINA!!!'!$L$6="Opto por Idade Média",SEM!AW6,IF('DEFINA!!!'!$L$6="Opto pelo Valor aplicado ao  Ano de cada Carro",SEM!AX6,0))),IF(E6=FROTA!$AT$16,IF('DEFINA!!!'!$L$6="D-E-F-I-N-A !!!!!!!",0,IF('DEFINA!!!'!$L$6="Opto por Idade Média",SEM!AW6,IF('DEFINA!!!'!$L$6="Opto pelo Valor aplicado ao  Ano de cada Carro",SEM!AX6,0))),IF('DEFINA!!!'!$L$6="D-E-F-I-N-A !!!!!!!",0,IF('DEFINA!!!'!$L$6="Opto por Idade Média",SEM!AU6,IF('DEFINA!!!'!$L$6="Opto pelo Valor aplicado ao  Ano de cada Carro",SEM!AV6,0)))))))</f>
        <v/>
      </c>
      <c r="AL6" s="6"/>
      <c r="AM6" s="79" t="str">
        <f>IF(C6="","",SUM(H6:AB6))</f>
        <v/>
      </c>
      <c r="AN6" s="12"/>
      <c r="AO6" s="118" t="s">
        <v>187</v>
      </c>
      <c r="AP6" s="17" t="s">
        <v>54</v>
      </c>
      <c r="AQ6" s="44">
        <v>22</v>
      </c>
      <c r="AR6" s="15"/>
      <c r="AU6" s="198" t="str">
        <f>IF(C6="","",VLOOKUP(FROTA!$AB$2,RECEBÍVEIS!$AA$11:$AB$43,2,0))</f>
        <v/>
      </c>
      <c r="AV6" s="198" t="str">
        <f>IF(C6="","",IF(C6=FROTA!Z6="","",VLOOKUP(FROTA!Z6,RECEBÍVEIS!$AA$11:$AB$43,2,0)))</f>
        <v/>
      </c>
      <c r="AW6" s="198" t="str">
        <f>IF(C6="","",VLOOKUP(FROTA!$AB$2,RECEBÍVEIS!$AA$11:$AC$43,3,0))</f>
        <v/>
      </c>
      <c r="AX6" s="198" t="str">
        <f>IF(C6="","",IF(C6=FROTA!Z6="","",VLOOKUP(FROTA!Z6,RECEBÍVEIS!$AA$11:$AC$43,3,0)))</f>
        <v/>
      </c>
    </row>
    <row r="7" spans="2:50" ht="17.25" customHeight="1" x14ac:dyDescent="0.2">
      <c r="B7" s="6"/>
      <c r="C7" s="49" t="str">
        <f>IF(FROTA!B7="","",FROTA!B7)</f>
        <v/>
      </c>
      <c r="D7" s="220" t="str">
        <f>IF(C7="","",VLOOKUP(SEM!C7,FROTA!$B$5:$C$305,2,0))</f>
        <v/>
      </c>
      <c r="E7" s="24" t="str">
        <f>IF(C7="","",VLOOKUP(C7,FROTA!$B$5:$H$305,7,0))</f>
        <v/>
      </c>
      <c r="F7" s="38" t="str">
        <f t="shared" ref="F7:F70" si="2">IF(E7="","",VLOOKUP(E7,$AP$5:$AQ$18,2,0))</f>
        <v/>
      </c>
      <c r="G7" s="71" t="str">
        <f>IF(C7="","",F7/$F$307)</f>
        <v/>
      </c>
      <c r="H7" s="32" t="str">
        <f t="shared" ref="H7:J70" si="3">IF($C7="","",IF(SUM(H$307*$G7)&gt;$F7,$F7,SUM(H$307*$G7)))</f>
        <v/>
      </c>
      <c r="I7" s="73" t="str">
        <f t="shared" si="3"/>
        <v/>
      </c>
      <c r="J7" s="73" t="str">
        <f t="shared" si="3"/>
        <v/>
      </c>
      <c r="K7" s="73" t="str">
        <f t="shared" si="0"/>
        <v/>
      </c>
      <c r="L7" s="73" t="str">
        <f t="shared" si="0"/>
        <v/>
      </c>
      <c r="M7" s="73" t="str">
        <f t="shared" si="0"/>
        <v/>
      </c>
      <c r="N7" s="73" t="str">
        <f t="shared" si="0"/>
        <v/>
      </c>
      <c r="O7" s="73" t="str">
        <f t="shared" si="0"/>
        <v/>
      </c>
      <c r="P7" s="73" t="str">
        <f t="shared" si="0"/>
        <v/>
      </c>
      <c r="Q7" s="73" t="str">
        <f t="shared" si="0"/>
        <v/>
      </c>
      <c r="R7" s="73" t="str">
        <f t="shared" si="1"/>
        <v/>
      </c>
      <c r="S7" s="73" t="str">
        <f t="shared" si="1"/>
        <v/>
      </c>
      <c r="T7" s="73" t="str">
        <f t="shared" si="1"/>
        <v/>
      </c>
      <c r="U7" s="73" t="str">
        <f t="shared" si="1"/>
        <v/>
      </c>
      <c r="V7" s="73" t="str">
        <f t="shared" si="1"/>
        <v/>
      </c>
      <c r="W7" s="73" t="str">
        <f t="shared" si="1"/>
        <v/>
      </c>
      <c r="X7" s="73" t="str">
        <f t="shared" si="1"/>
        <v/>
      </c>
      <c r="Y7" s="73" t="str">
        <f t="shared" si="1"/>
        <v/>
      </c>
      <c r="Z7" s="73" t="str">
        <f t="shared" si="1"/>
        <v/>
      </c>
      <c r="AA7" s="73" t="str">
        <f t="shared" si="1"/>
        <v/>
      </c>
      <c r="AB7" s="74" t="str">
        <f t="shared" si="1"/>
        <v/>
      </c>
      <c r="AC7" s="35" t="str">
        <f t="shared" ref="AC7:AC70" si="4">IF(C7="","",SUM(H7:AB7)*AK7)</f>
        <v/>
      </c>
      <c r="AD7" s="40" t="str">
        <f t="shared" ref="AD7:AD70" si="5">IF(C7="","",SUM(H7:AB7))</f>
        <v/>
      </c>
      <c r="AE7" s="37" t="str">
        <f t="shared" ref="AE7:AE70" si="6">IF(C7="","",SUM(H7:R7)*AK7)</f>
        <v/>
      </c>
      <c r="AF7" s="40" t="str">
        <f t="shared" ref="AF7:AF70" si="7">IF(C7="","",SUM(H7:Q7))</f>
        <v/>
      </c>
      <c r="AG7" s="37" t="str">
        <f t="shared" ref="AG7:AG70" si="8">IF(C7="","",SUM(R7:AB7)*AK7)</f>
        <v/>
      </c>
      <c r="AH7" s="40" t="str">
        <f t="shared" ref="AH7:AH70" si="9">IF(C7="","",SUM(R7:AB7))</f>
        <v/>
      </c>
      <c r="AI7" s="37" t="str">
        <f t="shared" ref="AI7:AI70" si="10">IF(C7="","",SUM(J7:M7,T7:W7)*AK7)</f>
        <v/>
      </c>
      <c r="AJ7" s="40" t="str">
        <f t="shared" ref="AJ7:AJ70" si="11">IF(C7="","",SUM(J7:M7,T7:W7))</f>
        <v/>
      </c>
      <c r="AK7" s="204" t="str">
        <f>IF(C7="","",IF(E7=FROTA!$AT$18,IF('DEFINA!!!'!$L$6="D-E-F-I-N-A !!!!!!!",0,IF('DEFINA!!!'!$L$6="Opto por Idade Média",SEM!AW7,IF('DEFINA!!!'!$L$6="Opto pelo Valor aplicado ao  Ano de cada Carro",SEM!AX7,0))),IF(E7=FROTA!$AT$17,IF('DEFINA!!!'!$L$6="D-E-F-I-N-A !!!!!!!",0,IF('DEFINA!!!'!$L$6="Opto por Idade Média",SEM!AW7,IF('DEFINA!!!'!$L$6="Opto pelo Valor aplicado ao  Ano de cada Carro",SEM!AX7,0))),IF(E7=FROTA!$AT$16,IF('DEFINA!!!'!$L$6="D-E-F-I-N-A !!!!!!!",0,IF('DEFINA!!!'!$L$6="Opto por Idade Média",SEM!AW7,IF('DEFINA!!!'!$L$6="Opto pelo Valor aplicado ao  Ano de cada Carro",SEM!AX7,0))),IF('DEFINA!!!'!$L$6="D-E-F-I-N-A !!!!!!!",0,IF('DEFINA!!!'!$L$6="Opto por Idade Média",SEM!AU7,IF('DEFINA!!!'!$L$6="Opto pelo Valor aplicado ao  Ano de cada Carro",SEM!AV7,0)))))))</f>
        <v/>
      </c>
      <c r="AL7" s="6"/>
      <c r="AM7" s="79" t="str">
        <f t="shared" ref="AM7:AM70" si="12">IF(C7="","",SUM(H7:AB7))</f>
        <v/>
      </c>
      <c r="AN7" s="12"/>
      <c r="AO7" s="118" t="s">
        <v>186</v>
      </c>
      <c r="AP7" s="17" t="s">
        <v>179</v>
      </c>
      <c r="AQ7" s="44">
        <v>32</v>
      </c>
      <c r="AR7" s="15"/>
      <c r="AU7" s="198" t="str">
        <f>IF(C7="","",VLOOKUP(FROTA!$AB$2,RECEBÍVEIS!$AA$11:$AB$43,2,0))</f>
        <v/>
      </c>
      <c r="AV7" s="198" t="str">
        <f>IF(C7="","",IF(C7=FROTA!Z7="","",VLOOKUP(FROTA!Z7,RECEBÍVEIS!$AA$11:$AB$43,2,0)))</f>
        <v/>
      </c>
      <c r="AW7" s="198" t="str">
        <f>IF(C7="","",VLOOKUP(FROTA!$AB$2,RECEBÍVEIS!$AA$11:$AC$43,3,0))</f>
        <v/>
      </c>
      <c r="AX7" s="198" t="str">
        <f>IF(C7="","",IF(C7=FROTA!Z7="","",VLOOKUP(FROTA!Z7,RECEBÍVEIS!$AA$11:$AC$43,3,0)))</f>
        <v/>
      </c>
    </row>
    <row r="8" spans="2:50" ht="17.25" customHeight="1" x14ac:dyDescent="0.2">
      <c r="B8" s="6"/>
      <c r="C8" s="49" t="str">
        <f>IF(FROTA!B8="","",FROTA!B8)</f>
        <v/>
      </c>
      <c r="D8" s="220" t="str">
        <f>IF(C8="","",VLOOKUP(SEM!C8,FROTA!$B$5:$C$305,2,0))</f>
        <v/>
      </c>
      <c r="E8" s="24" t="str">
        <f>IF(C8="","",VLOOKUP(C8,FROTA!$B$5:$H$305,7,0))</f>
        <v/>
      </c>
      <c r="F8" s="38" t="str">
        <f t="shared" si="2"/>
        <v/>
      </c>
      <c r="G8" s="71" t="str">
        <f>IF(C8="","",F8/$F$307)</f>
        <v/>
      </c>
      <c r="H8" s="32" t="str">
        <f t="shared" si="3"/>
        <v/>
      </c>
      <c r="I8" s="73" t="str">
        <f t="shared" si="3"/>
        <v/>
      </c>
      <c r="J8" s="73" t="str">
        <f t="shared" si="3"/>
        <v/>
      </c>
      <c r="K8" s="73" t="str">
        <f t="shared" si="0"/>
        <v/>
      </c>
      <c r="L8" s="73" t="str">
        <f t="shared" si="0"/>
        <v/>
      </c>
      <c r="M8" s="73" t="str">
        <f t="shared" si="0"/>
        <v/>
      </c>
      <c r="N8" s="73" t="str">
        <f t="shared" si="0"/>
        <v/>
      </c>
      <c r="O8" s="73" t="str">
        <f t="shared" si="0"/>
        <v/>
      </c>
      <c r="P8" s="73" t="str">
        <f t="shared" si="0"/>
        <v/>
      </c>
      <c r="Q8" s="73" t="str">
        <f t="shared" si="0"/>
        <v/>
      </c>
      <c r="R8" s="73" t="str">
        <f t="shared" si="1"/>
        <v/>
      </c>
      <c r="S8" s="73" t="str">
        <f t="shared" si="1"/>
        <v/>
      </c>
      <c r="T8" s="73" t="str">
        <f t="shared" si="1"/>
        <v/>
      </c>
      <c r="U8" s="73" t="str">
        <f t="shared" si="1"/>
        <v/>
      </c>
      <c r="V8" s="73" t="str">
        <f t="shared" si="1"/>
        <v/>
      </c>
      <c r="W8" s="73" t="str">
        <f t="shared" si="1"/>
        <v/>
      </c>
      <c r="X8" s="73" t="str">
        <f t="shared" si="1"/>
        <v/>
      </c>
      <c r="Y8" s="73" t="str">
        <f t="shared" si="1"/>
        <v/>
      </c>
      <c r="Z8" s="73" t="str">
        <f t="shared" si="1"/>
        <v/>
      </c>
      <c r="AA8" s="73" t="str">
        <f t="shared" si="1"/>
        <v/>
      </c>
      <c r="AB8" s="74" t="str">
        <f t="shared" si="1"/>
        <v/>
      </c>
      <c r="AC8" s="35" t="str">
        <f t="shared" si="4"/>
        <v/>
      </c>
      <c r="AD8" s="40" t="str">
        <f t="shared" si="5"/>
        <v/>
      </c>
      <c r="AE8" s="37" t="str">
        <f t="shared" si="6"/>
        <v/>
      </c>
      <c r="AF8" s="40" t="str">
        <f t="shared" si="7"/>
        <v/>
      </c>
      <c r="AG8" s="37" t="str">
        <f t="shared" si="8"/>
        <v/>
      </c>
      <c r="AH8" s="40" t="str">
        <f t="shared" si="9"/>
        <v/>
      </c>
      <c r="AI8" s="37" t="str">
        <f t="shared" si="10"/>
        <v/>
      </c>
      <c r="AJ8" s="40" t="str">
        <f t="shared" si="11"/>
        <v/>
      </c>
      <c r="AK8" s="204" t="str">
        <f>IF(C8="","",IF(E8=FROTA!$AT$18,IF('DEFINA!!!'!$L$6="D-E-F-I-N-A !!!!!!!",0,IF('DEFINA!!!'!$L$6="Opto por Idade Média",SEM!AW8,IF('DEFINA!!!'!$L$6="Opto pelo Valor aplicado ao  Ano de cada Carro",SEM!AX8,0))),IF(E8=FROTA!$AT$17,IF('DEFINA!!!'!$L$6="D-E-F-I-N-A !!!!!!!",0,IF('DEFINA!!!'!$L$6="Opto por Idade Média",SEM!AW8,IF('DEFINA!!!'!$L$6="Opto pelo Valor aplicado ao  Ano de cada Carro",SEM!AX8,0))),IF(E8=FROTA!$AT$16,IF('DEFINA!!!'!$L$6="D-E-F-I-N-A !!!!!!!",0,IF('DEFINA!!!'!$L$6="Opto por Idade Média",SEM!AW8,IF('DEFINA!!!'!$L$6="Opto pelo Valor aplicado ao  Ano de cada Carro",SEM!AX8,0))),IF('DEFINA!!!'!$L$6="D-E-F-I-N-A !!!!!!!",0,IF('DEFINA!!!'!$L$6="Opto por Idade Média",SEM!AU8,IF('DEFINA!!!'!$L$6="Opto pelo Valor aplicado ao  Ano de cada Carro",SEM!AV8,0)))))))</f>
        <v/>
      </c>
      <c r="AL8" s="6"/>
      <c r="AM8" s="79" t="str">
        <f t="shared" si="12"/>
        <v/>
      </c>
      <c r="AN8" s="12"/>
      <c r="AO8" s="118" t="s">
        <v>184</v>
      </c>
      <c r="AP8" s="17" t="s">
        <v>265</v>
      </c>
      <c r="AQ8" s="44">
        <v>67</v>
      </c>
      <c r="AR8" s="15"/>
      <c r="AU8" s="198" t="str">
        <f>IF(C8="","",VLOOKUP(FROTA!$AB$2,RECEBÍVEIS!$AA$11:$AB$43,2,0))</f>
        <v/>
      </c>
      <c r="AV8" s="198" t="str">
        <f>IF(C8="","",IF(C8=FROTA!Z8="","",VLOOKUP(FROTA!Z8,RECEBÍVEIS!$AA$11:$AB$43,2,0)))</f>
        <v/>
      </c>
      <c r="AW8" s="198" t="str">
        <f>IF(C8="","",VLOOKUP(FROTA!$AB$2,RECEBÍVEIS!$AA$11:$AC$43,3,0))</f>
        <v/>
      </c>
      <c r="AX8" s="198" t="str">
        <f>IF(C8="","",IF(C8=FROTA!Z8="","",VLOOKUP(FROTA!Z8,RECEBÍVEIS!$AA$11:$AC$43,3,0)))</f>
        <v/>
      </c>
    </row>
    <row r="9" spans="2:50" ht="17.25" customHeight="1" x14ac:dyDescent="0.2">
      <c r="B9" s="6"/>
      <c r="C9" s="49" t="str">
        <f>IF(FROTA!B9="","",FROTA!B9)</f>
        <v/>
      </c>
      <c r="D9" s="220" t="str">
        <f>IF(C9="","",VLOOKUP(SEM!C9,FROTA!$B$5:$C$305,2,0))</f>
        <v/>
      </c>
      <c r="E9" s="24" t="str">
        <f>IF(C9="","",VLOOKUP(C9,FROTA!$B$5:$H$305,7,0))</f>
        <v/>
      </c>
      <c r="F9" s="38" t="str">
        <f t="shared" si="2"/>
        <v/>
      </c>
      <c r="G9" s="71" t="str">
        <f t="shared" ref="G9:G72" si="13">IF(C9="","",F9/$F$307)</f>
        <v/>
      </c>
      <c r="H9" s="32" t="str">
        <f t="shared" si="3"/>
        <v/>
      </c>
      <c r="I9" s="73" t="str">
        <f t="shared" si="3"/>
        <v/>
      </c>
      <c r="J9" s="73" t="str">
        <f t="shared" si="3"/>
        <v/>
      </c>
      <c r="K9" s="73" t="str">
        <f t="shared" si="0"/>
        <v/>
      </c>
      <c r="L9" s="73" t="str">
        <f t="shared" si="0"/>
        <v/>
      </c>
      <c r="M9" s="73" t="str">
        <f t="shared" si="0"/>
        <v/>
      </c>
      <c r="N9" s="73" t="str">
        <f t="shared" si="0"/>
        <v/>
      </c>
      <c r="O9" s="73" t="str">
        <f t="shared" si="0"/>
        <v/>
      </c>
      <c r="P9" s="73" t="str">
        <f t="shared" si="0"/>
        <v/>
      </c>
      <c r="Q9" s="73" t="str">
        <f t="shared" si="0"/>
        <v/>
      </c>
      <c r="R9" s="73" t="str">
        <f t="shared" si="1"/>
        <v/>
      </c>
      <c r="S9" s="73" t="str">
        <f t="shared" si="1"/>
        <v/>
      </c>
      <c r="T9" s="73" t="str">
        <f t="shared" si="1"/>
        <v/>
      </c>
      <c r="U9" s="73" t="str">
        <f t="shared" si="1"/>
        <v/>
      </c>
      <c r="V9" s="73" t="str">
        <f t="shared" si="1"/>
        <v/>
      </c>
      <c r="W9" s="73" t="str">
        <f t="shared" si="1"/>
        <v/>
      </c>
      <c r="X9" s="73" t="str">
        <f t="shared" si="1"/>
        <v/>
      </c>
      <c r="Y9" s="73" t="str">
        <f t="shared" si="1"/>
        <v/>
      </c>
      <c r="Z9" s="73" t="str">
        <f t="shared" si="1"/>
        <v/>
      </c>
      <c r="AA9" s="73" t="str">
        <f t="shared" si="1"/>
        <v/>
      </c>
      <c r="AB9" s="74" t="str">
        <f t="shared" si="1"/>
        <v/>
      </c>
      <c r="AC9" s="35" t="str">
        <f t="shared" si="4"/>
        <v/>
      </c>
      <c r="AD9" s="40" t="str">
        <f t="shared" si="5"/>
        <v/>
      </c>
      <c r="AE9" s="37" t="str">
        <f t="shared" si="6"/>
        <v/>
      </c>
      <c r="AF9" s="40" t="str">
        <f t="shared" si="7"/>
        <v/>
      </c>
      <c r="AG9" s="37" t="str">
        <f t="shared" si="8"/>
        <v/>
      </c>
      <c r="AH9" s="40" t="str">
        <f t="shared" si="9"/>
        <v/>
      </c>
      <c r="AI9" s="37" t="str">
        <f t="shared" si="10"/>
        <v/>
      </c>
      <c r="AJ9" s="40" t="str">
        <f t="shared" si="11"/>
        <v/>
      </c>
      <c r="AK9" s="204" t="str">
        <f>IF(C9="","",IF(E9=FROTA!$AT$18,IF('DEFINA!!!'!$L$6="D-E-F-I-N-A !!!!!!!",0,IF('DEFINA!!!'!$L$6="Opto por Idade Média",SEM!AW9,IF('DEFINA!!!'!$L$6="Opto pelo Valor aplicado ao  Ano de cada Carro",SEM!AX9,0))),IF(E9=FROTA!$AT$17,IF('DEFINA!!!'!$L$6="D-E-F-I-N-A !!!!!!!",0,IF('DEFINA!!!'!$L$6="Opto por Idade Média",SEM!AW9,IF('DEFINA!!!'!$L$6="Opto pelo Valor aplicado ao  Ano de cada Carro",SEM!AX9,0))),IF(E9=FROTA!$AT$16,IF('DEFINA!!!'!$L$6="D-E-F-I-N-A !!!!!!!",0,IF('DEFINA!!!'!$L$6="Opto por Idade Média",SEM!AW9,IF('DEFINA!!!'!$L$6="Opto pelo Valor aplicado ao  Ano de cada Carro",SEM!AX9,0))),IF('DEFINA!!!'!$L$6="D-E-F-I-N-A !!!!!!!",0,IF('DEFINA!!!'!$L$6="Opto por Idade Média",SEM!AU9,IF('DEFINA!!!'!$L$6="Opto pelo Valor aplicado ao  Ano de cada Carro",SEM!AV9,0)))))))</f>
        <v/>
      </c>
      <c r="AL9" s="6"/>
      <c r="AM9" s="79" t="str">
        <f t="shared" si="12"/>
        <v/>
      </c>
      <c r="AN9" s="12"/>
      <c r="AO9" s="12"/>
      <c r="AP9" s="17" t="s">
        <v>55</v>
      </c>
      <c r="AQ9" s="44">
        <v>90</v>
      </c>
      <c r="AR9" s="15"/>
      <c r="AU9" s="198" t="str">
        <f>IF(C9="","",VLOOKUP(FROTA!$AB$2,RECEBÍVEIS!$AA$11:$AB$43,2,0))</f>
        <v/>
      </c>
      <c r="AV9" s="198" t="str">
        <f>IF(C9="","",IF(C9=FROTA!Z9="","",VLOOKUP(FROTA!Z9,RECEBÍVEIS!$AA$11:$AB$43,2,0)))</f>
        <v/>
      </c>
      <c r="AW9" s="198" t="str">
        <f>IF(C9="","",VLOOKUP(FROTA!$AB$2,RECEBÍVEIS!$AA$11:$AC$43,3,0))</f>
        <v/>
      </c>
      <c r="AX9" s="198" t="str">
        <f>IF(C9="","",IF(C9=FROTA!Z9="","",VLOOKUP(FROTA!Z9,RECEBÍVEIS!$AA$11:$AC$43,3,0)))</f>
        <v/>
      </c>
    </row>
    <row r="10" spans="2:50" ht="17.25" customHeight="1" x14ac:dyDescent="0.2">
      <c r="B10" s="6"/>
      <c r="C10" s="49" t="str">
        <f>IF(FROTA!B10="","",FROTA!B10)</f>
        <v/>
      </c>
      <c r="D10" s="220" t="str">
        <f>IF(C10="","",VLOOKUP(SEM!C10,FROTA!$B$5:$C$305,2,0))</f>
        <v/>
      </c>
      <c r="E10" s="24" t="str">
        <f>IF(C10="","",VLOOKUP(C10,FROTA!$B$5:$H$305,7,0))</f>
        <v/>
      </c>
      <c r="F10" s="38" t="str">
        <f t="shared" si="2"/>
        <v/>
      </c>
      <c r="G10" s="71" t="str">
        <f t="shared" si="13"/>
        <v/>
      </c>
      <c r="H10" s="32" t="str">
        <f t="shared" si="3"/>
        <v/>
      </c>
      <c r="I10" s="73" t="str">
        <f t="shared" si="3"/>
        <v/>
      </c>
      <c r="J10" s="73" t="str">
        <f t="shared" si="3"/>
        <v/>
      </c>
      <c r="K10" s="73" t="str">
        <f t="shared" si="0"/>
        <v/>
      </c>
      <c r="L10" s="73" t="str">
        <f t="shared" si="0"/>
        <v/>
      </c>
      <c r="M10" s="73" t="str">
        <f t="shared" si="0"/>
        <v/>
      </c>
      <c r="N10" s="73" t="str">
        <f t="shared" si="0"/>
        <v/>
      </c>
      <c r="O10" s="73" t="str">
        <f t="shared" si="0"/>
        <v/>
      </c>
      <c r="P10" s="73" t="str">
        <f t="shared" si="0"/>
        <v/>
      </c>
      <c r="Q10" s="73" t="str">
        <f t="shared" si="0"/>
        <v/>
      </c>
      <c r="R10" s="73" t="str">
        <f t="shared" si="1"/>
        <v/>
      </c>
      <c r="S10" s="73" t="str">
        <f t="shared" si="1"/>
        <v/>
      </c>
      <c r="T10" s="73" t="str">
        <f t="shared" si="1"/>
        <v/>
      </c>
      <c r="U10" s="73" t="str">
        <f t="shared" si="1"/>
        <v/>
      </c>
      <c r="V10" s="73" t="str">
        <f t="shared" si="1"/>
        <v/>
      </c>
      <c r="W10" s="73" t="str">
        <f t="shared" si="1"/>
        <v/>
      </c>
      <c r="X10" s="73" t="str">
        <f t="shared" si="1"/>
        <v/>
      </c>
      <c r="Y10" s="73" t="str">
        <f t="shared" si="1"/>
        <v/>
      </c>
      <c r="Z10" s="73" t="str">
        <f t="shared" si="1"/>
        <v/>
      </c>
      <c r="AA10" s="73" t="str">
        <f t="shared" si="1"/>
        <v/>
      </c>
      <c r="AB10" s="74" t="str">
        <f t="shared" si="1"/>
        <v/>
      </c>
      <c r="AC10" s="35" t="str">
        <f t="shared" si="4"/>
        <v/>
      </c>
      <c r="AD10" s="40" t="str">
        <f t="shared" si="5"/>
        <v/>
      </c>
      <c r="AE10" s="37" t="str">
        <f t="shared" si="6"/>
        <v/>
      </c>
      <c r="AF10" s="40" t="str">
        <f t="shared" si="7"/>
        <v/>
      </c>
      <c r="AG10" s="37" t="str">
        <f t="shared" si="8"/>
        <v/>
      </c>
      <c r="AH10" s="40" t="str">
        <f t="shared" si="9"/>
        <v/>
      </c>
      <c r="AI10" s="37" t="str">
        <f t="shared" si="10"/>
        <v/>
      </c>
      <c r="AJ10" s="40" t="str">
        <f t="shared" si="11"/>
        <v/>
      </c>
      <c r="AK10" s="204" t="str">
        <f>IF(C10="","",IF(E10=FROTA!$AT$18,IF('DEFINA!!!'!$L$6="D-E-F-I-N-A !!!!!!!",0,IF('DEFINA!!!'!$L$6="Opto por Idade Média",SEM!AW10,IF('DEFINA!!!'!$L$6="Opto pelo Valor aplicado ao  Ano de cada Carro",SEM!AX10,0))),IF(E10=FROTA!$AT$17,IF('DEFINA!!!'!$L$6="D-E-F-I-N-A !!!!!!!",0,IF('DEFINA!!!'!$L$6="Opto por Idade Média",SEM!AW10,IF('DEFINA!!!'!$L$6="Opto pelo Valor aplicado ao  Ano de cada Carro",SEM!AX10,0))),IF(E10=FROTA!$AT$16,IF('DEFINA!!!'!$L$6="D-E-F-I-N-A !!!!!!!",0,IF('DEFINA!!!'!$L$6="Opto por Idade Média",SEM!AW10,IF('DEFINA!!!'!$L$6="Opto pelo Valor aplicado ao  Ano de cada Carro",SEM!AX10,0))),IF('DEFINA!!!'!$L$6="D-E-F-I-N-A !!!!!!!",0,IF('DEFINA!!!'!$L$6="Opto por Idade Média",SEM!AU10,IF('DEFINA!!!'!$L$6="Opto pelo Valor aplicado ao  Ano de cada Carro",SEM!AV10,0)))))))</f>
        <v/>
      </c>
      <c r="AL10" s="6"/>
      <c r="AM10" s="79" t="str">
        <f t="shared" si="12"/>
        <v/>
      </c>
      <c r="AN10" s="12"/>
      <c r="AO10" s="12"/>
      <c r="AP10" s="17" t="s">
        <v>180</v>
      </c>
      <c r="AQ10" s="44">
        <v>105</v>
      </c>
      <c r="AR10" s="15"/>
      <c r="AU10" s="198" t="str">
        <f>IF(C10="","",VLOOKUP(FROTA!$AB$2,RECEBÍVEIS!$AA$11:$AB$43,2,0))</f>
        <v/>
      </c>
      <c r="AV10" s="198" t="str">
        <f>IF(C10="","",IF(C10=FROTA!Z10="","",VLOOKUP(FROTA!Z10,RECEBÍVEIS!$AA$11:$AB$43,2,0)))</f>
        <v/>
      </c>
      <c r="AW10" s="198" t="str">
        <f>IF(C10="","",VLOOKUP(FROTA!$AB$2,RECEBÍVEIS!$AA$11:$AC$43,3,0))</f>
        <v/>
      </c>
      <c r="AX10" s="198" t="str">
        <f>IF(C10="","",IF(C10=FROTA!Z10="","",VLOOKUP(FROTA!Z10,RECEBÍVEIS!$AA$11:$AC$43,3,0)))</f>
        <v/>
      </c>
    </row>
    <row r="11" spans="2:50" ht="17.25" customHeight="1" x14ac:dyDescent="0.2">
      <c r="B11" s="6"/>
      <c r="C11" s="49" t="str">
        <f>IF(FROTA!B11="","",FROTA!B11)</f>
        <v/>
      </c>
      <c r="D11" s="220" t="str">
        <f>IF(C11="","",VLOOKUP(SEM!C11,FROTA!$B$5:$C$305,2,0))</f>
        <v/>
      </c>
      <c r="E11" s="24" t="str">
        <f>IF(C11="","",VLOOKUP(C11,FROTA!$B$5:$H$305,7,0))</f>
        <v/>
      </c>
      <c r="F11" s="38" t="str">
        <f t="shared" si="2"/>
        <v/>
      </c>
      <c r="G11" s="71" t="str">
        <f t="shared" si="13"/>
        <v/>
      </c>
      <c r="H11" s="32" t="str">
        <f t="shared" si="3"/>
        <v/>
      </c>
      <c r="I11" s="73" t="str">
        <f t="shared" si="3"/>
        <v/>
      </c>
      <c r="J11" s="73" t="str">
        <f t="shared" si="3"/>
        <v/>
      </c>
      <c r="K11" s="73" t="str">
        <f t="shared" si="0"/>
        <v/>
      </c>
      <c r="L11" s="73" t="str">
        <f t="shared" si="0"/>
        <v/>
      </c>
      <c r="M11" s="73" t="str">
        <f t="shared" si="0"/>
        <v/>
      </c>
      <c r="N11" s="73" t="str">
        <f t="shared" si="0"/>
        <v/>
      </c>
      <c r="O11" s="73" t="str">
        <f t="shared" si="0"/>
        <v/>
      </c>
      <c r="P11" s="73" t="str">
        <f t="shared" si="0"/>
        <v/>
      </c>
      <c r="Q11" s="73" t="str">
        <f t="shared" si="0"/>
        <v/>
      </c>
      <c r="R11" s="73" t="str">
        <f t="shared" si="1"/>
        <v/>
      </c>
      <c r="S11" s="73" t="str">
        <f t="shared" si="1"/>
        <v/>
      </c>
      <c r="T11" s="73" t="str">
        <f t="shared" si="1"/>
        <v/>
      </c>
      <c r="U11" s="73" t="str">
        <f t="shared" si="1"/>
        <v/>
      </c>
      <c r="V11" s="73" t="str">
        <f t="shared" si="1"/>
        <v/>
      </c>
      <c r="W11" s="73" t="str">
        <f t="shared" si="1"/>
        <v/>
      </c>
      <c r="X11" s="73" t="str">
        <f t="shared" si="1"/>
        <v/>
      </c>
      <c r="Y11" s="73" t="str">
        <f t="shared" si="1"/>
        <v/>
      </c>
      <c r="Z11" s="73" t="str">
        <f t="shared" si="1"/>
        <v/>
      </c>
      <c r="AA11" s="73" t="str">
        <f t="shared" si="1"/>
        <v/>
      </c>
      <c r="AB11" s="74" t="str">
        <f t="shared" si="1"/>
        <v/>
      </c>
      <c r="AC11" s="35" t="str">
        <f t="shared" si="4"/>
        <v/>
      </c>
      <c r="AD11" s="40" t="str">
        <f t="shared" si="5"/>
        <v/>
      </c>
      <c r="AE11" s="37" t="str">
        <f t="shared" si="6"/>
        <v/>
      </c>
      <c r="AF11" s="40" t="str">
        <f t="shared" si="7"/>
        <v/>
      </c>
      <c r="AG11" s="37" t="str">
        <f t="shared" si="8"/>
        <v/>
      </c>
      <c r="AH11" s="40" t="str">
        <f t="shared" si="9"/>
        <v/>
      </c>
      <c r="AI11" s="37" t="str">
        <f t="shared" si="10"/>
        <v/>
      </c>
      <c r="AJ11" s="40" t="str">
        <f t="shared" si="11"/>
        <v/>
      </c>
      <c r="AK11" s="204" t="str">
        <f>IF(C11="","",IF(E11=FROTA!$AT$18,IF('DEFINA!!!'!$L$6="D-E-F-I-N-A !!!!!!!",0,IF('DEFINA!!!'!$L$6="Opto por Idade Média",SEM!AW11,IF('DEFINA!!!'!$L$6="Opto pelo Valor aplicado ao  Ano de cada Carro",SEM!AX11,0))),IF(E11=FROTA!$AT$17,IF('DEFINA!!!'!$L$6="D-E-F-I-N-A !!!!!!!",0,IF('DEFINA!!!'!$L$6="Opto por Idade Média",SEM!AW11,IF('DEFINA!!!'!$L$6="Opto pelo Valor aplicado ao  Ano de cada Carro",SEM!AX11,0))),IF(E11=FROTA!$AT$16,IF('DEFINA!!!'!$L$6="D-E-F-I-N-A !!!!!!!",0,IF('DEFINA!!!'!$L$6="Opto por Idade Média",SEM!AW11,IF('DEFINA!!!'!$L$6="Opto pelo Valor aplicado ao  Ano de cada Carro",SEM!AX11,0))),IF('DEFINA!!!'!$L$6="D-E-F-I-N-A !!!!!!!",0,IF('DEFINA!!!'!$L$6="Opto por Idade Média",SEM!AU11,IF('DEFINA!!!'!$L$6="Opto pelo Valor aplicado ao  Ano de cada Carro",SEM!AV11,0)))))))</f>
        <v/>
      </c>
      <c r="AL11" s="6"/>
      <c r="AM11" s="79" t="str">
        <f t="shared" si="12"/>
        <v/>
      </c>
      <c r="AN11" s="12"/>
      <c r="AO11" s="12"/>
      <c r="AP11" s="17" t="s">
        <v>56</v>
      </c>
      <c r="AQ11" s="44">
        <v>145</v>
      </c>
      <c r="AR11" s="15"/>
      <c r="AU11" s="198" t="str">
        <f>IF(C11="","",VLOOKUP(FROTA!$AB$2,RECEBÍVEIS!$AA$11:$AB$43,2,0))</f>
        <v/>
      </c>
      <c r="AV11" s="198" t="str">
        <f>IF(C11="","",IF(C11=FROTA!Z11="","",VLOOKUP(FROTA!Z11,RECEBÍVEIS!$AA$11:$AB$43,2,0)))</f>
        <v/>
      </c>
      <c r="AW11" s="198" t="str">
        <f>IF(C11="","",VLOOKUP(FROTA!$AB$2,RECEBÍVEIS!$AA$11:$AC$43,3,0))</f>
        <v/>
      </c>
      <c r="AX11" s="198" t="str">
        <f>IF(C11="","",IF(C11=FROTA!Z11="","",VLOOKUP(FROTA!Z11,RECEBÍVEIS!$AA$11:$AC$43,3,0)))</f>
        <v/>
      </c>
    </row>
    <row r="12" spans="2:50" ht="17.25" customHeight="1" x14ac:dyDescent="0.2">
      <c r="B12" s="6"/>
      <c r="C12" s="49" t="str">
        <f>IF(FROTA!B12="","",FROTA!B12)</f>
        <v/>
      </c>
      <c r="D12" s="220" t="str">
        <f>IF(C12="","",VLOOKUP(SEM!C12,FROTA!$B$5:$C$305,2,0))</f>
        <v/>
      </c>
      <c r="E12" s="24" t="str">
        <f>IF(C12="","",VLOOKUP(C12,FROTA!$B$5:$H$305,7,0))</f>
        <v/>
      </c>
      <c r="F12" s="38" t="str">
        <f t="shared" si="2"/>
        <v/>
      </c>
      <c r="G12" s="71" t="str">
        <f t="shared" si="13"/>
        <v/>
      </c>
      <c r="H12" s="32" t="str">
        <f t="shared" si="3"/>
        <v/>
      </c>
      <c r="I12" s="73" t="str">
        <f t="shared" si="3"/>
        <v/>
      </c>
      <c r="J12" s="73" t="str">
        <f t="shared" si="3"/>
        <v/>
      </c>
      <c r="K12" s="73" t="str">
        <f t="shared" si="0"/>
        <v/>
      </c>
      <c r="L12" s="73" t="str">
        <f t="shared" si="0"/>
        <v/>
      </c>
      <c r="M12" s="73" t="str">
        <f t="shared" si="0"/>
        <v/>
      </c>
      <c r="N12" s="73" t="str">
        <f t="shared" si="0"/>
        <v/>
      </c>
      <c r="O12" s="73" t="str">
        <f t="shared" si="0"/>
        <v/>
      </c>
      <c r="P12" s="73" t="str">
        <f t="shared" si="0"/>
        <v/>
      </c>
      <c r="Q12" s="73" t="str">
        <f t="shared" si="0"/>
        <v/>
      </c>
      <c r="R12" s="73" t="str">
        <f t="shared" si="1"/>
        <v/>
      </c>
      <c r="S12" s="73" t="str">
        <f t="shared" si="1"/>
        <v/>
      </c>
      <c r="T12" s="73" t="str">
        <f t="shared" si="1"/>
        <v/>
      </c>
      <c r="U12" s="73" t="str">
        <f t="shared" si="1"/>
        <v/>
      </c>
      <c r="V12" s="73" t="str">
        <f t="shared" si="1"/>
        <v/>
      </c>
      <c r="W12" s="73" t="str">
        <f t="shared" si="1"/>
        <v/>
      </c>
      <c r="X12" s="73" t="str">
        <f t="shared" si="1"/>
        <v/>
      </c>
      <c r="Y12" s="73" t="str">
        <f t="shared" si="1"/>
        <v/>
      </c>
      <c r="Z12" s="73" t="str">
        <f t="shared" si="1"/>
        <v/>
      </c>
      <c r="AA12" s="73" t="str">
        <f t="shared" si="1"/>
        <v/>
      </c>
      <c r="AB12" s="74" t="str">
        <f t="shared" si="1"/>
        <v/>
      </c>
      <c r="AC12" s="35" t="str">
        <f>IF(C12="","",SUM(H12:AB12)*AK12)</f>
        <v/>
      </c>
      <c r="AD12" s="40" t="str">
        <f t="shared" si="5"/>
        <v/>
      </c>
      <c r="AE12" s="37" t="str">
        <f t="shared" si="6"/>
        <v/>
      </c>
      <c r="AF12" s="40" t="str">
        <f t="shared" si="7"/>
        <v/>
      </c>
      <c r="AG12" s="37" t="str">
        <f t="shared" si="8"/>
        <v/>
      </c>
      <c r="AH12" s="40" t="str">
        <f t="shared" si="9"/>
        <v/>
      </c>
      <c r="AI12" s="37" t="str">
        <f t="shared" si="10"/>
        <v/>
      </c>
      <c r="AJ12" s="40" t="str">
        <f t="shared" si="11"/>
        <v/>
      </c>
      <c r="AK12" s="204" t="str">
        <f>IF(C12="","",IF(E12=FROTA!$AT$18,IF('DEFINA!!!'!$L$6="D-E-F-I-N-A !!!!!!!",0,IF('DEFINA!!!'!$L$6="Opto por Idade Média",SEM!AW12,IF('DEFINA!!!'!$L$6="Opto pelo Valor aplicado ao  Ano de cada Carro",SEM!AX12,0))),IF(E12=FROTA!$AT$17,IF('DEFINA!!!'!$L$6="D-E-F-I-N-A !!!!!!!",0,IF('DEFINA!!!'!$L$6="Opto por Idade Média",SEM!AW12,IF('DEFINA!!!'!$L$6="Opto pelo Valor aplicado ao  Ano de cada Carro",SEM!AX12,0))),IF(E12=FROTA!$AT$16,IF('DEFINA!!!'!$L$6="D-E-F-I-N-A !!!!!!!",0,IF('DEFINA!!!'!$L$6="Opto por Idade Média",SEM!AW12,IF('DEFINA!!!'!$L$6="Opto pelo Valor aplicado ao  Ano de cada Carro",SEM!AX12,0))),IF('DEFINA!!!'!$L$6="D-E-F-I-N-A !!!!!!!",0,IF('DEFINA!!!'!$L$6="Opto por Idade Média",SEM!AU12,IF('DEFINA!!!'!$L$6="Opto pelo Valor aplicado ao  Ano de cada Carro",SEM!AV12,0)))))))</f>
        <v/>
      </c>
      <c r="AL12" s="6"/>
      <c r="AM12" s="79" t="str">
        <f t="shared" si="12"/>
        <v/>
      </c>
      <c r="AN12" s="12"/>
      <c r="AO12" s="12"/>
      <c r="AP12" s="17" t="s">
        <v>181</v>
      </c>
      <c r="AQ12" s="44">
        <v>195</v>
      </c>
      <c r="AR12" s="15"/>
      <c r="AU12" s="198" t="str">
        <f>IF(C12="","",VLOOKUP(FROTA!$AB$2,RECEBÍVEIS!$AA$11:$AB$43,2,0))</f>
        <v/>
      </c>
      <c r="AV12" s="198" t="str">
        <f>IF(C12="","",IF(C12=FROTA!Z12="","",VLOOKUP(FROTA!Z12,RECEBÍVEIS!$AA$11:$AB$43,2,0)))</f>
        <v/>
      </c>
      <c r="AW12" s="198" t="str">
        <f>IF(C12="","",VLOOKUP(FROTA!$AB$2,RECEBÍVEIS!$AA$11:$AC$43,3,0))</f>
        <v/>
      </c>
      <c r="AX12" s="198" t="str">
        <f>IF(C12="","",IF(C12=FROTA!Z12="","",VLOOKUP(FROTA!Z12,RECEBÍVEIS!$AA$11:$AC$43,3,0)))</f>
        <v/>
      </c>
    </row>
    <row r="13" spans="2:50" ht="17.25" customHeight="1" x14ac:dyDescent="0.2">
      <c r="B13" s="6"/>
      <c r="C13" s="49" t="str">
        <f>IF(FROTA!B13="","",FROTA!B13)</f>
        <v/>
      </c>
      <c r="D13" s="220" t="str">
        <f>IF(C13="","",VLOOKUP(SEM!C13,FROTA!$B$5:$C$305,2,0))</f>
        <v/>
      </c>
      <c r="E13" s="24" t="str">
        <f>IF(C13="","",VLOOKUP(C13,FROTA!$B$5:$H$305,7,0))</f>
        <v/>
      </c>
      <c r="F13" s="38" t="str">
        <f t="shared" si="2"/>
        <v/>
      </c>
      <c r="G13" s="71" t="str">
        <f t="shared" si="13"/>
        <v/>
      </c>
      <c r="H13" s="32" t="str">
        <f t="shared" si="3"/>
        <v/>
      </c>
      <c r="I13" s="73" t="str">
        <f t="shared" si="3"/>
        <v/>
      </c>
      <c r="J13" s="73" t="str">
        <f t="shared" si="3"/>
        <v/>
      </c>
      <c r="K13" s="73" t="str">
        <f t="shared" si="0"/>
        <v/>
      </c>
      <c r="L13" s="73" t="str">
        <f t="shared" si="0"/>
        <v/>
      </c>
      <c r="M13" s="73" t="str">
        <f t="shared" si="0"/>
        <v/>
      </c>
      <c r="N13" s="73" t="str">
        <f t="shared" si="0"/>
        <v/>
      </c>
      <c r="O13" s="73" t="str">
        <f t="shared" si="0"/>
        <v/>
      </c>
      <c r="P13" s="73" t="str">
        <f t="shared" si="0"/>
        <v/>
      </c>
      <c r="Q13" s="73" t="str">
        <f t="shared" si="0"/>
        <v/>
      </c>
      <c r="R13" s="73" t="str">
        <f t="shared" si="1"/>
        <v/>
      </c>
      <c r="S13" s="73" t="str">
        <f t="shared" si="1"/>
        <v/>
      </c>
      <c r="T13" s="73" t="str">
        <f t="shared" si="1"/>
        <v/>
      </c>
      <c r="U13" s="73" t="str">
        <f t="shared" si="1"/>
        <v/>
      </c>
      <c r="V13" s="73" t="str">
        <f t="shared" si="1"/>
        <v/>
      </c>
      <c r="W13" s="73" t="str">
        <f t="shared" si="1"/>
        <v/>
      </c>
      <c r="X13" s="73" t="str">
        <f t="shared" si="1"/>
        <v/>
      </c>
      <c r="Y13" s="73" t="str">
        <f t="shared" si="1"/>
        <v/>
      </c>
      <c r="Z13" s="73" t="str">
        <f t="shared" si="1"/>
        <v/>
      </c>
      <c r="AA13" s="73" t="str">
        <f t="shared" si="1"/>
        <v/>
      </c>
      <c r="AB13" s="74" t="str">
        <f t="shared" si="1"/>
        <v/>
      </c>
      <c r="AC13" s="35" t="str">
        <f t="shared" si="4"/>
        <v/>
      </c>
      <c r="AD13" s="40" t="str">
        <f t="shared" si="5"/>
        <v/>
      </c>
      <c r="AE13" s="37" t="str">
        <f t="shared" si="6"/>
        <v/>
      </c>
      <c r="AF13" s="40" t="str">
        <f t="shared" si="7"/>
        <v/>
      </c>
      <c r="AG13" s="37" t="str">
        <f t="shared" si="8"/>
        <v/>
      </c>
      <c r="AH13" s="40" t="str">
        <f t="shared" si="9"/>
        <v/>
      </c>
      <c r="AI13" s="37" t="str">
        <f t="shared" si="10"/>
        <v/>
      </c>
      <c r="AJ13" s="40" t="str">
        <f t="shared" si="11"/>
        <v/>
      </c>
      <c r="AK13" s="204" t="str">
        <f>IF(C13="","",IF(E13=FROTA!$AT$18,IF('DEFINA!!!'!$L$6="D-E-F-I-N-A !!!!!!!",0,IF('DEFINA!!!'!$L$6="Opto por Idade Média",SEM!AW13,IF('DEFINA!!!'!$L$6="Opto pelo Valor aplicado ao  Ano de cada Carro",SEM!AX13,0))),IF(E13=FROTA!$AT$17,IF('DEFINA!!!'!$L$6="D-E-F-I-N-A !!!!!!!",0,IF('DEFINA!!!'!$L$6="Opto por Idade Média",SEM!AW13,IF('DEFINA!!!'!$L$6="Opto pelo Valor aplicado ao  Ano de cada Carro",SEM!AX13,0))),IF(E13=FROTA!$AT$16,IF('DEFINA!!!'!$L$6="D-E-F-I-N-A !!!!!!!",0,IF('DEFINA!!!'!$L$6="Opto por Idade Média",SEM!AW13,IF('DEFINA!!!'!$L$6="Opto pelo Valor aplicado ao  Ano de cada Carro",SEM!AX13,0))),IF('DEFINA!!!'!$L$6="D-E-F-I-N-A !!!!!!!",0,IF('DEFINA!!!'!$L$6="Opto por Idade Média",SEM!AU13,IF('DEFINA!!!'!$L$6="Opto pelo Valor aplicado ao  Ano de cada Carro",SEM!AV13,0)))))))</f>
        <v/>
      </c>
      <c r="AL13" s="6"/>
      <c r="AM13" s="79" t="str">
        <f t="shared" si="12"/>
        <v/>
      </c>
      <c r="AN13" s="12"/>
      <c r="AO13" s="12"/>
      <c r="AP13" s="17" t="s">
        <v>57</v>
      </c>
      <c r="AQ13" s="44">
        <v>250</v>
      </c>
      <c r="AR13" s="15"/>
      <c r="AU13" s="198" t="str">
        <f>IF(C13="","",VLOOKUP(FROTA!$AB$2,RECEBÍVEIS!$AA$11:$AB$43,2,0))</f>
        <v/>
      </c>
      <c r="AV13" s="198" t="str">
        <f>IF(C13="","",IF(C13=FROTA!Z13="","",VLOOKUP(FROTA!Z13,RECEBÍVEIS!$AA$11:$AB$43,2,0)))</f>
        <v/>
      </c>
      <c r="AW13" s="198" t="str">
        <f>IF(C13="","",VLOOKUP(FROTA!$AB$2,RECEBÍVEIS!$AA$11:$AC$43,3,0))</f>
        <v/>
      </c>
      <c r="AX13" s="198" t="str">
        <f>IF(C13="","",IF(C13=FROTA!Z13="","",VLOOKUP(FROTA!Z13,RECEBÍVEIS!$AA$11:$AC$43,3,0)))</f>
        <v/>
      </c>
    </row>
    <row r="14" spans="2:50" ht="17.25" customHeight="1" x14ac:dyDescent="0.2">
      <c r="B14" s="6"/>
      <c r="C14" s="49" t="str">
        <f>IF(FROTA!B14="","",FROTA!B14)</f>
        <v/>
      </c>
      <c r="D14" s="220" t="str">
        <f>IF(C14="","",VLOOKUP(SEM!C14,FROTA!$B$5:$C$305,2,0))</f>
        <v/>
      </c>
      <c r="E14" s="24" t="str">
        <f>IF(C14="","",VLOOKUP(C14,FROTA!$B$5:$H$305,7,0))</f>
        <v/>
      </c>
      <c r="F14" s="38" t="str">
        <f t="shared" si="2"/>
        <v/>
      </c>
      <c r="G14" s="71" t="str">
        <f t="shared" si="13"/>
        <v/>
      </c>
      <c r="H14" s="32" t="str">
        <f t="shared" si="3"/>
        <v/>
      </c>
      <c r="I14" s="73" t="str">
        <f t="shared" si="3"/>
        <v/>
      </c>
      <c r="J14" s="73" t="str">
        <f t="shared" si="3"/>
        <v/>
      </c>
      <c r="K14" s="73" t="str">
        <f t="shared" si="0"/>
        <v/>
      </c>
      <c r="L14" s="73" t="str">
        <f t="shared" si="0"/>
        <v/>
      </c>
      <c r="M14" s="73" t="str">
        <f t="shared" si="0"/>
        <v/>
      </c>
      <c r="N14" s="73" t="str">
        <f t="shared" si="0"/>
        <v/>
      </c>
      <c r="O14" s="73" t="str">
        <f t="shared" si="0"/>
        <v/>
      </c>
      <c r="P14" s="73" t="str">
        <f t="shared" si="0"/>
        <v/>
      </c>
      <c r="Q14" s="73" t="str">
        <f t="shared" si="0"/>
        <v/>
      </c>
      <c r="R14" s="73" t="str">
        <f t="shared" si="1"/>
        <v/>
      </c>
      <c r="S14" s="73" t="str">
        <f t="shared" si="1"/>
        <v/>
      </c>
      <c r="T14" s="73" t="str">
        <f t="shared" si="1"/>
        <v/>
      </c>
      <c r="U14" s="73" t="str">
        <f t="shared" si="1"/>
        <v/>
      </c>
      <c r="V14" s="73" t="str">
        <f t="shared" si="1"/>
        <v/>
      </c>
      <c r="W14" s="73" t="str">
        <f t="shared" si="1"/>
        <v/>
      </c>
      <c r="X14" s="73" t="str">
        <f t="shared" si="1"/>
        <v/>
      </c>
      <c r="Y14" s="73" t="str">
        <f t="shared" si="1"/>
        <v/>
      </c>
      <c r="Z14" s="73" t="str">
        <f t="shared" si="1"/>
        <v/>
      </c>
      <c r="AA14" s="73" t="str">
        <f t="shared" si="1"/>
        <v/>
      </c>
      <c r="AB14" s="74" t="str">
        <f t="shared" si="1"/>
        <v/>
      </c>
      <c r="AC14" s="35" t="str">
        <f t="shared" si="4"/>
        <v/>
      </c>
      <c r="AD14" s="40" t="str">
        <f t="shared" si="5"/>
        <v/>
      </c>
      <c r="AE14" s="37" t="str">
        <f t="shared" si="6"/>
        <v/>
      </c>
      <c r="AF14" s="40" t="str">
        <f t="shared" si="7"/>
        <v/>
      </c>
      <c r="AG14" s="37" t="str">
        <f t="shared" si="8"/>
        <v/>
      </c>
      <c r="AH14" s="40" t="str">
        <f t="shared" si="9"/>
        <v/>
      </c>
      <c r="AI14" s="37" t="str">
        <f t="shared" si="10"/>
        <v/>
      </c>
      <c r="AJ14" s="40" t="str">
        <f t="shared" si="11"/>
        <v/>
      </c>
      <c r="AK14" s="204" t="str">
        <f>IF(C14="","",IF(E14=FROTA!$AT$18,IF('DEFINA!!!'!$L$6="D-E-F-I-N-A !!!!!!!",0,IF('DEFINA!!!'!$L$6="Opto por Idade Média",SEM!AW14,IF('DEFINA!!!'!$L$6="Opto pelo Valor aplicado ao  Ano de cada Carro",SEM!AX14,0))),IF(E14=FROTA!$AT$17,IF('DEFINA!!!'!$L$6="D-E-F-I-N-A !!!!!!!",0,IF('DEFINA!!!'!$L$6="Opto por Idade Média",SEM!AW14,IF('DEFINA!!!'!$L$6="Opto pelo Valor aplicado ao  Ano de cada Carro",SEM!AX14,0))),IF(E14=FROTA!$AT$16,IF('DEFINA!!!'!$L$6="D-E-F-I-N-A !!!!!!!",0,IF('DEFINA!!!'!$L$6="Opto por Idade Média",SEM!AW14,IF('DEFINA!!!'!$L$6="Opto pelo Valor aplicado ao  Ano de cada Carro",SEM!AX14,0))),IF('DEFINA!!!'!$L$6="D-E-F-I-N-A !!!!!!!",0,IF('DEFINA!!!'!$L$6="Opto por Idade Média",SEM!AU14,IF('DEFINA!!!'!$L$6="Opto pelo Valor aplicado ao  Ano de cada Carro",SEM!AV14,0)))))))</f>
        <v/>
      </c>
      <c r="AL14" s="6"/>
      <c r="AM14" s="79" t="str">
        <f t="shared" si="12"/>
        <v/>
      </c>
      <c r="AN14" s="12"/>
      <c r="AO14" s="12"/>
      <c r="AP14" s="203" t="s">
        <v>1019</v>
      </c>
      <c r="AQ14" s="45">
        <v>45</v>
      </c>
      <c r="AR14" s="15"/>
      <c r="AU14" s="198" t="str">
        <f>IF(C14="","",VLOOKUP(FROTA!$AB$2,RECEBÍVEIS!$AA$11:$AB$43,2,0))</f>
        <v/>
      </c>
      <c r="AV14" s="198" t="str">
        <f>IF(C14="","",IF(C14=FROTA!Z14="","",VLOOKUP(FROTA!Z14,RECEBÍVEIS!$AA$11:$AB$43,2,0)))</f>
        <v/>
      </c>
      <c r="AW14" s="198" t="str">
        <f>IF(C14="","",VLOOKUP(FROTA!$AB$2,RECEBÍVEIS!$AA$11:$AC$43,3,0))</f>
        <v/>
      </c>
      <c r="AX14" s="198" t="str">
        <f>IF(C14="","",IF(C14=FROTA!Z14="","",VLOOKUP(FROTA!Z14,RECEBÍVEIS!$AA$11:$AC$43,3,0)))</f>
        <v/>
      </c>
    </row>
    <row r="15" spans="2:50" ht="17.25" customHeight="1" x14ac:dyDescent="0.2">
      <c r="B15" s="6"/>
      <c r="C15" s="49" t="str">
        <f>IF(FROTA!B15="","",FROTA!B15)</f>
        <v/>
      </c>
      <c r="D15" s="220" t="str">
        <f>IF(C15="","",VLOOKUP(SEM!C15,FROTA!$B$5:$C$305,2,0))</f>
        <v/>
      </c>
      <c r="E15" s="24" t="str">
        <f>IF(C15="","",VLOOKUP(C15,FROTA!$B$5:$H$305,7,0))</f>
        <v/>
      </c>
      <c r="F15" s="38" t="str">
        <f t="shared" si="2"/>
        <v/>
      </c>
      <c r="G15" s="71" t="str">
        <f t="shared" si="13"/>
        <v/>
      </c>
      <c r="H15" s="32" t="str">
        <f t="shared" si="3"/>
        <v/>
      </c>
      <c r="I15" s="73" t="str">
        <f t="shared" si="3"/>
        <v/>
      </c>
      <c r="J15" s="73" t="str">
        <f t="shared" si="3"/>
        <v/>
      </c>
      <c r="K15" s="73" t="str">
        <f t="shared" si="0"/>
        <v/>
      </c>
      <c r="L15" s="73" t="str">
        <f t="shared" si="0"/>
        <v/>
      </c>
      <c r="M15" s="73" t="str">
        <f t="shared" si="0"/>
        <v/>
      </c>
      <c r="N15" s="73" t="str">
        <f t="shared" si="0"/>
        <v/>
      </c>
      <c r="O15" s="73" t="str">
        <f t="shared" si="0"/>
        <v/>
      </c>
      <c r="P15" s="73" t="str">
        <f t="shared" si="0"/>
        <v/>
      </c>
      <c r="Q15" s="73" t="str">
        <f t="shared" si="0"/>
        <v/>
      </c>
      <c r="R15" s="73" t="str">
        <f t="shared" si="1"/>
        <v/>
      </c>
      <c r="S15" s="73" t="str">
        <f t="shared" si="1"/>
        <v/>
      </c>
      <c r="T15" s="73" t="str">
        <f t="shared" si="1"/>
        <v/>
      </c>
      <c r="U15" s="73" t="str">
        <f t="shared" si="1"/>
        <v/>
      </c>
      <c r="V15" s="73" t="str">
        <f t="shared" si="1"/>
        <v/>
      </c>
      <c r="W15" s="73" t="str">
        <f t="shared" si="1"/>
        <v/>
      </c>
      <c r="X15" s="73" t="str">
        <f t="shared" si="1"/>
        <v/>
      </c>
      <c r="Y15" s="73" t="str">
        <f t="shared" si="1"/>
        <v/>
      </c>
      <c r="Z15" s="73" t="str">
        <f t="shared" si="1"/>
        <v/>
      </c>
      <c r="AA15" s="73" t="str">
        <f t="shared" si="1"/>
        <v/>
      </c>
      <c r="AB15" s="74" t="str">
        <f t="shared" si="1"/>
        <v/>
      </c>
      <c r="AC15" s="35" t="str">
        <f t="shared" si="4"/>
        <v/>
      </c>
      <c r="AD15" s="40" t="str">
        <f t="shared" si="5"/>
        <v/>
      </c>
      <c r="AE15" s="37" t="str">
        <f t="shared" si="6"/>
        <v/>
      </c>
      <c r="AF15" s="40" t="str">
        <f t="shared" si="7"/>
        <v/>
      </c>
      <c r="AG15" s="37" t="str">
        <f t="shared" si="8"/>
        <v/>
      </c>
      <c r="AH15" s="40" t="str">
        <f t="shared" si="9"/>
        <v/>
      </c>
      <c r="AI15" s="37" t="str">
        <f t="shared" si="10"/>
        <v/>
      </c>
      <c r="AJ15" s="40" t="str">
        <f t="shared" si="11"/>
        <v/>
      </c>
      <c r="AK15" s="204" t="str">
        <f>IF(C15="","",IF(E15=FROTA!$AT$18,IF('DEFINA!!!'!$L$6="D-E-F-I-N-A !!!!!!!",0,IF('DEFINA!!!'!$L$6="Opto por Idade Média",SEM!AW15,IF('DEFINA!!!'!$L$6="Opto pelo Valor aplicado ao  Ano de cada Carro",SEM!AX15,0))),IF(E15=FROTA!$AT$17,IF('DEFINA!!!'!$L$6="D-E-F-I-N-A !!!!!!!",0,IF('DEFINA!!!'!$L$6="Opto por Idade Média",SEM!AW15,IF('DEFINA!!!'!$L$6="Opto pelo Valor aplicado ao  Ano de cada Carro",SEM!AX15,0))),IF(E15=FROTA!$AT$16,IF('DEFINA!!!'!$L$6="D-E-F-I-N-A !!!!!!!",0,IF('DEFINA!!!'!$L$6="Opto por Idade Média",SEM!AW15,IF('DEFINA!!!'!$L$6="Opto pelo Valor aplicado ao  Ano de cada Carro",SEM!AX15,0))),IF('DEFINA!!!'!$L$6="D-E-F-I-N-A !!!!!!!",0,IF('DEFINA!!!'!$L$6="Opto por Idade Média",SEM!AU15,IF('DEFINA!!!'!$L$6="Opto pelo Valor aplicado ao  Ano de cada Carro",SEM!AV15,0)))))))</f>
        <v/>
      </c>
      <c r="AL15" s="6"/>
      <c r="AM15" s="79" t="str">
        <f t="shared" si="12"/>
        <v/>
      </c>
      <c r="AN15" s="12"/>
      <c r="AO15" s="12"/>
      <c r="AP15" s="203" t="s">
        <v>402</v>
      </c>
      <c r="AQ15" s="45">
        <v>40</v>
      </c>
      <c r="AR15" s="15"/>
      <c r="AU15" s="198" t="str">
        <f>IF(C15="","",VLOOKUP(FROTA!$AB$2,RECEBÍVEIS!$AA$11:$AB$43,2,0))</f>
        <v/>
      </c>
      <c r="AV15" s="198" t="str">
        <f>IF(C15="","",IF(C15=FROTA!Z15="","",VLOOKUP(FROTA!Z15,RECEBÍVEIS!$AA$11:$AB$43,2,0)))</f>
        <v/>
      </c>
      <c r="AW15" s="198" t="str">
        <f>IF(C15="","",VLOOKUP(FROTA!$AB$2,RECEBÍVEIS!$AA$11:$AC$43,3,0))</f>
        <v/>
      </c>
      <c r="AX15" s="198" t="str">
        <f>IF(C15="","",IF(C15=FROTA!Z15="","",VLOOKUP(FROTA!Z15,RECEBÍVEIS!$AA$11:$AC$43,3,0)))</f>
        <v/>
      </c>
    </row>
    <row r="16" spans="2:50" ht="17.25" customHeight="1" x14ac:dyDescent="0.2">
      <c r="B16" s="6"/>
      <c r="C16" s="49" t="str">
        <f>IF(FROTA!B16="","",FROTA!B16)</f>
        <v/>
      </c>
      <c r="D16" s="220" t="str">
        <f>IF(C16="","",VLOOKUP(SEM!C16,FROTA!$B$5:$C$305,2,0))</f>
        <v/>
      </c>
      <c r="E16" s="24" t="str">
        <f>IF(C16="","",VLOOKUP(C16,FROTA!$B$5:$H$305,7,0))</f>
        <v/>
      </c>
      <c r="F16" s="38" t="str">
        <f t="shared" si="2"/>
        <v/>
      </c>
      <c r="G16" s="71" t="str">
        <f t="shared" si="13"/>
        <v/>
      </c>
      <c r="H16" s="32" t="str">
        <f t="shared" si="3"/>
        <v/>
      </c>
      <c r="I16" s="73" t="str">
        <f t="shared" si="3"/>
        <v/>
      </c>
      <c r="J16" s="73" t="str">
        <f t="shared" si="3"/>
        <v/>
      </c>
      <c r="K16" s="73" t="str">
        <f t="shared" si="0"/>
        <v/>
      </c>
      <c r="L16" s="73" t="str">
        <f t="shared" si="0"/>
        <v/>
      </c>
      <c r="M16" s="73" t="str">
        <f t="shared" si="0"/>
        <v/>
      </c>
      <c r="N16" s="73" t="str">
        <f t="shared" si="0"/>
        <v/>
      </c>
      <c r="O16" s="73" t="str">
        <f t="shared" si="0"/>
        <v/>
      </c>
      <c r="P16" s="73" t="str">
        <f t="shared" si="0"/>
        <v/>
      </c>
      <c r="Q16" s="73" t="str">
        <f t="shared" si="0"/>
        <v/>
      </c>
      <c r="R16" s="73" t="str">
        <f t="shared" si="1"/>
        <v/>
      </c>
      <c r="S16" s="73" t="str">
        <f t="shared" si="1"/>
        <v/>
      </c>
      <c r="T16" s="73" t="str">
        <f t="shared" si="1"/>
        <v/>
      </c>
      <c r="U16" s="73" t="str">
        <f t="shared" si="1"/>
        <v/>
      </c>
      <c r="V16" s="73" t="str">
        <f t="shared" si="1"/>
        <v/>
      </c>
      <c r="W16" s="73" t="str">
        <f t="shared" si="1"/>
        <v/>
      </c>
      <c r="X16" s="73" t="str">
        <f t="shared" si="1"/>
        <v/>
      </c>
      <c r="Y16" s="73" t="str">
        <f t="shared" si="1"/>
        <v/>
      </c>
      <c r="Z16" s="73" t="str">
        <f t="shared" si="1"/>
        <v/>
      </c>
      <c r="AA16" s="73" t="str">
        <f t="shared" si="1"/>
        <v/>
      </c>
      <c r="AB16" s="74" t="str">
        <f t="shared" si="1"/>
        <v/>
      </c>
      <c r="AC16" s="35" t="str">
        <f t="shared" si="4"/>
        <v/>
      </c>
      <c r="AD16" s="40" t="str">
        <f t="shared" si="5"/>
        <v/>
      </c>
      <c r="AE16" s="37" t="str">
        <f t="shared" si="6"/>
        <v/>
      </c>
      <c r="AF16" s="40" t="str">
        <f t="shared" si="7"/>
        <v/>
      </c>
      <c r="AG16" s="37" t="str">
        <f t="shared" si="8"/>
        <v/>
      </c>
      <c r="AH16" s="40" t="str">
        <f t="shared" si="9"/>
        <v/>
      </c>
      <c r="AI16" s="37" t="str">
        <f t="shared" si="10"/>
        <v/>
      </c>
      <c r="AJ16" s="40" t="str">
        <f t="shared" si="11"/>
        <v/>
      </c>
      <c r="AK16" s="204" t="str">
        <f>IF(C16="","",IF(E16=FROTA!$AT$18,IF('DEFINA!!!'!$L$6="D-E-F-I-N-A !!!!!!!",0,IF('DEFINA!!!'!$L$6="Opto por Idade Média",SEM!AW16,IF('DEFINA!!!'!$L$6="Opto pelo Valor aplicado ao  Ano de cada Carro",SEM!AX16,0))),IF(E16=FROTA!$AT$17,IF('DEFINA!!!'!$L$6="D-E-F-I-N-A !!!!!!!",0,IF('DEFINA!!!'!$L$6="Opto por Idade Média",SEM!AW16,IF('DEFINA!!!'!$L$6="Opto pelo Valor aplicado ao  Ano de cada Carro",SEM!AX16,0))),IF(E16=FROTA!$AT$16,IF('DEFINA!!!'!$L$6="D-E-F-I-N-A !!!!!!!",0,IF('DEFINA!!!'!$L$6="Opto por Idade Média",SEM!AW16,IF('DEFINA!!!'!$L$6="Opto pelo Valor aplicado ao  Ano de cada Carro",SEM!AX16,0))),IF('DEFINA!!!'!$L$6="D-E-F-I-N-A !!!!!!!",0,IF('DEFINA!!!'!$L$6="Opto por Idade Média",SEM!AU16,IF('DEFINA!!!'!$L$6="Opto pelo Valor aplicado ao  Ano de cada Carro",SEM!AV16,0)))))))</f>
        <v/>
      </c>
      <c r="AL16" s="6"/>
      <c r="AM16" s="79" t="str">
        <f t="shared" si="12"/>
        <v/>
      </c>
      <c r="AN16" s="12"/>
      <c r="AO16" s="12"/>
      <c r="AP16" s="203" t="s">
        <v>1022</v>
      </c>
      <c r="AQ16" s="45">
        <v>45</v>
      </c>
      <c r="AR16" s="15"/>
      <c r="AU16" s="198" t="str">
        <f>IF(C16="","",VLOOKUP(FROTA!$AB$2,RECEBÍVEIS!$AA$11:$AB$43,2,0))</f>
        <v/>
      </c>
      <c r="AV16" s="198" t="str">
        <f>IF(C16="","",IF(C16=FROTA!Z16="","",VLOOKUP(FROTA!Z16,RECEBÍVEIS!$AA$11:$AB$43,2,0)))</f>
        <v/>
      </c>
      <c r="AW16" s="198" t="str">
        <f>IF(C16="","",VLOOKUP(FROTA!$AB$2,RECEBÍVEIS!$AA$11:$AC$43,3,0))</f>
        <v/>
      </c>
      <c r="AX16" s="198" t="str">
        <f>IF(C16="","",IF(C16=FROTA!Z16="","",VLOOKUP(FROTA!Z16,RECEBÍVEIS!$AA$11:$AC$43,3,0)))</f>
        <v/>
      </c>
    </row>
    <row r="17" spans="2:50" ht="17.25" customHeight="1" x14ac:dyDescent="0.2">
      <c r="B17" s="6"/>
      <c r="C17" s="49" t="str">
        <f>IF(FROTA!B17="","",FROTA!B17)</f>
        <v/>
      </c>
      <c r="D17" s="220" t="str">
        <f>IF(C17="","",VLOOKUP(SEM!C17,FROTA!$B$5:$C$305,2,0))</f>
        <v/>
      </c>
      <c r="E17" s="24" t="str">
        <f>IF(C17="","",VLOOKUP(C17,FROTA!$B$5:$H$305,7,0))</f>
        <v/>
      </c>
      <c r="F17" s="38" t="str">
        <f t="shared" si="2"/>
        <v/>
      </c>
      <c r="G17" s="71" t="str">
        <f t="shared" si="13"/>
        <v/>
      </c>
      <c r="H17" s="32" t="str">
        <f t="shared" si="3"/>
        <v/>
      </c>
      <c r="I17" s="73" t="str">
        <f t="shared" si="3"/>
        <v/>
      </c>
      <c r="J17" s="73" t="str">
        <f t="shared" si="3"/>
        <v/>
      </c>
      <c r="K17" s="73" t="str">
        <f t="shared" si="0"/>
        <v/>
      </c>
      <c r="L17" s="73" t="str">
        <f t="shared" si="0"/>
        <v/>
      </c>
      <c r="M17" s="73" t="str">
        <f t="shared" si="0"/>
        <v/>
      </c>
      <c r="N17" s="73" t="str">
        <f t="shared" si="0"/>
        <v/>
      </c>
      <c r="O17" s="73" t="str">
        <f t="shared" si="0"/>
        <v/>
      </c>
      <c r="P17" s="73" t="str">
        <f t="shared" si="0"/>
        <v/>
      </c>
      <c r="Q17" s="73" t="str">
        <f t="shared" si="0"/>
        <v/>
      </c>
      <c r="R17" s="73" t="str">
        <f t="shared" si="1"/>
        <v/>
      </c>
      <c r="S17" s="73" t="str">
        <f t="shared" si="1"/>
        <v/>
      </c>
      <c r="T17" s="73" t="str">
        <f t="shared" si="1"/>
        <v/>
      </c>
      <c r="U17" s="73" t="str">
        <f t="shared" si="1"/>
        <v/>
      </c>
      <c r="V17" s="73" t="str">
        <f t="shared" si="1"/>
        <v/>
      </c>
      <c r="W17" s="73" t="str">
        <f t="shared" si="1"/>
        <v/>
      </c>
      <c r="X17" s="73" t="str">
        <f t="shared" si="1"/>
        <v/>
      </c>
      <c r="Y17" s="73" t="str">
        <f t="shared" si="1"/>
        <v/>
      </c>
      <c r="Z17" s="73" t="str">
        <f t="shared" si="1"/>
        <v/>
      </c>
      <c r="AA17" s="73" t="str">
        <f t="shared" si="1"/>
        <v/>
      </c>
      <c r="AB17" s="74" t="str">
        <f t="shared" si="1"/>
        <v/>
      </c>
      <c r="AC17" s="35" t="str">
        <f t="shared" si="4"/>
        <v/>
      </c>
      <c r="AD17" s="40" t="str">
        <f t="shared" si="5"/>
        <v/>
      </c>
      <c r="AE17" s="37" t="str">
        <f t="shared" si="6"/>
        <v/>
      </c>
      <c r="AF17" s="40" t="str">
        <f t="shared" si="7"/>
        <v/>
      </c>
      <c r="AG17" s="37" t="str">
        <f t="shared" si="8"/>
        <v/>
      </c>
      <c r="AH17" s="40" t="str">
        <f t="shared" si="9"/>
        <v/>
      </c>
      <c r="AI17" s="37" t="str">
        <f t="shared" si="10"/>
        <v/>
      </c>
      <c r="AJ17" s="40" t="str">
        <f t="shared" si="11"/>
        <v/>
      </c>
      <c r="AK17" s="204" t="str">
        <f>IF(C17="","",IF(E17=FROTA!$AT$18,IF('DEFINA!!!'!$L$6="D-E-F-I-N-A !!!!!!!",0,IF('DEFINA!!!'!$L$6="Opto por Idade Média",SEM!AW17,IF('DEFINA!!!'!$L$6="Opto pelo Valor aplicado ao  Ano de cada Carro",SEM!AX17,0))),IF(E17=FROTA!$AT$17,IF('DEFINA!!!'!$L$6="D-E-F-I-N-A !!!!!!!",0,IF('DEFINA!!!'!$L$6="Opto por Idade Média",SEM!AW17,IF('DEFINA!!!'!$L$6="Opto pelo Valor aplicado ao  Ano de cada Carro",SEM!AX17,0))),IF(E17=FROTA!$AT$16,IF('DEFINA!!!'!$L$6="D-E-F-I-N-A !!!!!!!",0,IF('DEFINA!!!'!$L$6="Opto por Idade Média",SEM!AW17,IF('DEFINA!!!'!$L$6="Opto pelo Valor aplicado ao  Ano de cada Carro",SEM!AX17,0))),IF('DEFINA!!!'!$L$6="D-E-F-I-N-A !!!!!!!",0,IF('DEFINA!!!'!$L$6="Opto por Idade Média",SEM!AU17,IF('DEFINA!!!'!$L$6="Opto pelo Valor aplicado ao  Ano de cada Carro",SEM!AV17,0)))))))</f>
        <v/>
      </c>
      <c r="AL17" s="6"/>
      <c r="AM17" s="79" t="str">
        <f t="shared" si="12"/>
        <v/>
      </c>
      <c r="AN17" s="12"/>
      <c r="AO17" s="12"/>
      <c r="AP17" s="203" t="s">
        <v>1020</v>
      </c>
      <c r="AQ17" s="45">
        <v>45</v>
      </c>
      <c r="AR17" s="15"/>
      <c r="AU17" s="198" t="str">
        <f>IF(C17="","",VLOOKUP(FROTA!$AB$2,RECEBÍVEIS!$AA$11:$AB$43,2,0))</f>
        <v/>
      </c>
      <c r="AV17" s="198" t="str">
        <f>IF(C17="","",IF(C17=FROTA!Z17="","",VLOOKUP(FROTA!Z17,RECEBÍVEIS!$AA$11:$AB$43,2,0)))</f>
        <v/>
      </c>
      <c r="AW17" s="198" t="str">
        <f>IF(C17="","",VLOOKUP(FROTA!$AB$2,RECEBÍVEIS!$AA$11:$AC$43,3,0))</f>
        <v/>
      </c>
      <c r="AX17" s="198" t="str">
        <f>IF(C17="","",IF(C17=FROTA!Z17="","",VLOOKUP(FROTA!Z17,RECEBÍVEIS!$AA$11:$AC$43,3,0)))</f>
        <v/>
      </c>
    </row>
    <row r="18" spans="2:50" ht="17.25" customHeight="1" x14ac:dyDescent="0.2">
      <c r="B18" s="6"/>
      <c r="C18" s="49" t="str">
        <f>IF(FROTA!B18="","",FROTA!B18)</f>
        <v/>
      </c>
      <c r="D18" s="220" t="str">
        <f>IF(C18="","",VLOOKUP(SEM!C18,FROTA!$B$5:$C$305,2,0))</f>
        <v/>
      </c>
      <c r="E18" s="24" t="str">
        <f>IF(C18="","",VLOOKUP(C18,FROTA!$B$5:$H$305,7,0))</f>
        <v/>
      </c>
      <c r="F18" s="38" t="str">
        <f t="shared" si="2"/>
        <v/>
      </c>
      <c r="G18" s="71" t="str">
        <f t="shared" si="13"/>
        <v/>
      </c>
      <c r="H18" s="32" t="str">
        <f t="shared" si="3"/>
        <v/>
      </c>
      <c r="I18" s="73" t="str">
        <f t="shared" si="3"/>
        <v/>
      </c>
      <c r="J18" s="73" t="str">
        <f t="shared" si="3"/>
        <v/>
      </c>
      <c r="K18" s="73" t="str">
        <f t="shared" si="0"/>
        <v/>
      </c>
      <c r="L18" s="73" t="str">
        <f t="shared" si="0"/>
        <v/>
      </c>
      <c r="M18" s="73" t="str">
        <f t="shared" si="0"/>
        <v/>
      </c>
      <c r="N18" s="73" t="str">
        <f t="shared" si="0"/>
        <v/>
      </c>
      <c r="O18" s="73" t="str">
        <f t="shared" si="0"/>
        <v/>
      </c>
      <c r="P18" s="73" t="str">
        <f t="shared" si="0"/>
        <v/>
      </c>
      <c r="Q18" s="73" t="str">
        <f t="shared" si="0"/>
        <v/>
      </c>
      <c r="R18" s="73" t="str">
        <f t="shared" si="1"/>
        <v/>
      </c>
      <c r="S18" s="73" t="str">
        <f t="shared" si="1"/>
        <v/>
      </c>
      <c r="T18" s="73" t="str">
        <f t="shared" si="1"/>
        <v/>
      </c>
      <c r="U18" s="73" t="str">
        <f t="shared" si="1"/>
        <v/>
      </c>
      <c r="V18" s="73" t="str">
        <f t="shared" si="1"/>
        <v/>
      </c>
      <c r="W18" s="73" t="str">
        <f t="shared" si="1"/>
        <v/>
      </c>
      <c r="X18" s="73" t="str">
        <f t="shared" si="1"/>
        <v/>
      </c>
      <c r="Y18" s="73" t="str">
        <f t="shared" si="1"/>
        <v/>
      </c>
      <c r="Z18" s="73" t="str">
        <f t="shared" si="1"/>
        <v/>
      </c>
      <c r="AA18" s="73" t="str">
        <f t="shared" si="1"/>
        <v/>
      </c>
      <c r="AB18" s="74" t="str">
        <f t="shared" si="1"/>
        <v/>
      </c>
      <c r="AC18" s="35" t="str">
        <f t="shared" si="4"/>
        <v/>
      </c>
      <c r="AD18" s="40" t="str">
        <f t="shared" si="5"/>
        <v/>
      </c>
      <c r="AE18" s="37" t="str">
        <f t="shared" si="6"/>
        <v/>
      </c>
      <c r="AF18" s="40" t="str">
        <f t="shared" si="7"/>
        <v/>
      </c>
      <c r="AG18" s="37" t="str">
        <f t="shared" si="8"/>
        <v/>
      </c>
      <c r="AH18" s="40" t="str">
        <f t="shared" si="9"/>
        <v/>
      </c>
      <c r="AI18" s="37" t="str">
        <f t="shared" si="10"/>
        <v/>
      </c>
      <c r="AJ18" s="40" t="str">
        <f t="shared" si="11"/>
        <v/>
      </c>
      <c r="AK18" s="204" t="str">
        <f>IF(C18="","",IF(E18=FROTA!$AT$18,IF('DEFINA!!!'!$L$6="D-E-F-I-N-A !!!!!!!",0,IF('DEFINA!!!'!$L$6="Opto por Idade Média",SEM!AW18,IF('DEFINA!!!'!$L$6="Opto pelo Valor aplicado ao  Ano de cada Carro",SEM!AX18,0))),IF(E18=FROTA!$AT$17,IF('DEFINA!!!'!$L$6="D-E-F-I-N-A !!!!!!!",0,IF('DEFINA!!!'!$L$6="Opto por Idade Média",SEM!AW18,IF('DEFINA!!!'!$L$6="Opto pelo Valor aplicado ao  Ano de cada Carro",SEM!AX18,0))),IF(E18=FROTA!$AT$16,IF('DEFINA!!!'!$L$6="D-E-F-I-N-A !!!!!!!",0,IF('DEFINA!!!'!$L$6="Opto por Idade Média",SEM!AW18,IF('DEFINA!!!'!$L$6="Opto pelo Valor aplicado ao  Ano de cada Carro",SEM!AX18,0))),IF('DEFINA!!!'!$L$6="D-E-F-I-N-A !!!!!!!",0,IF('DEFINA!!!'!$L$6="Opto por Idade Média",SEM!AU18,IF('DEFINA!!!'!$L$6="Opto pelo Valor aplicado ao  Ano de cada Carro",SEM!AV18,0)))))))</f>
        <v/>
      </c>
      <c r="AL18" s="6"/>
      <c r="AM18" s="79" t="str">
        <f t="shared" si="12"/>
        <v/>
      </c>
      <c r="AN18" s="12"/>
      <c r="AO18" s="12"/>
      <c r="AP18" s="203" t="s">
        <v>1021</v>
      </c>
      <c r="AQ18" s="45">
        <v>45</v>
      </c>
      <c r="AR18" s="15"/>
      <c r="AU18" s="198" t="str">
        <f>IF(C18="","",VLOOKUP(FROTA!$AB$2,RECEBÍVEIS!$AA$11:$AB$43,2,0))</f>
        <v/>
      </c>
      <c r="AV18" s="198" t="str">
        <f>IF(C18="","",IF(C18=FROTA!Z18="","",VLOOKUP(FROTA!Z18,RECEBÍVEIS!$AA$11:$AB$43,2,0)))</f>
        <v/>
      </c>
      <c r="AW18" s="198" t="str">
        <f>IF(C18="","",VLOOKUP(FROTA!$AB$2,RECEBÍVEIS!$AA$11:$AC$43,3,0))</f>
        <v/>
      </c>
      <c r="AX18" s="198" t="str">
        <f>IF(C18="","",IF(C18=FROTA!Z18="","",VLOOKUP(FROTA!Z18,RECEBÍVEIS!$AA$11:$AC$43,3,0)))</f>
        <v/>
      </c>
    </row>
    <row r="19" spans="2:50" ht="17.25" customHeight="1" x14ac:dyDescent="0.2">
      <c r="B19" s="6"/>
      <c r="C19" s="49" t="str">
        <f>IF(FROTA!B19="","",FROTA!B19)</f>
        <v/>
      </c>
      <c r="D19" s="220" t="str">
        <f>IF(C19="","",VLOOKUP(SEM!C19,FROTA!$B$5:$C$305,2,0))</f>
        <v/>
      </c>
      <c r="E19" s="24" t="str">
        <f>IF(C19="","",VLOOKUP(C19,FROTA!$B$5:$H$305,7,0))</f>
        <v/>
      </c>
      <c r="F19" s="38" t="str">
        <f t="shared" si="2"/>
        <v/>
      </c>
      <c r="G19" s="71" t="str">
        <f t="shared" si="13"/>
        <v/>
      </c>
      <c r="H19" s="32" t="str">
        <f t="shared" si="3"/>
        <v/>
      </c>
      <c r="I19" s="73" t="str">
        <f t="shared" si="3"/>
        <v/>
      </c>
      <c r="J19" s="73" t="str">
        <f t="shared" si="3"/>
        <v/>
      </c>
      <c r="K19" s="73" t="str">
        <f t="shared" si="0"/>
        <v/>
      </c>
      <c r="L19" s="73" t="str">
        <f t="shared" si="0"/>
        <v/>
      </c>
      <c r="M19" s="73" t="str">
        <f t="shared" si="0"/>
        <v/>
      </c>
      <c r="N19" s="73" t="str">
        <f t="shared" si="0"/>
        <v/>
      </c>
      <c r="O19" s="73" t="str">
        <f t="shared" si="0"/>
        <v/>
      </c>
      <c r="P19" s="73" t="str">
        <f t="shared" si="0"/>
        <v/>
      </c>
      <c r="Q19" s="73" t="str">
        <f t="shared" si="0"/>
        <v/>
      </c>
      <c r="R19" s="73" t="str">
        <f t="shared" si="1"/>
        <v/>
      </c>
      <c r="S19" s="73" t="str">
        <f t="shared" si="1"/>
        <v/>
      </c>
      <c r="T19" s="73" t="str">
        <f t="shared" si="1"/>
        <v/>
      </c>
      <c r="U19" s="73" t="str">
        <f t="shared" si="1"/>
        <v/>
      </c>
      <c r="V19" s="73" t="str">
        <f t="shared" si="1"/>
        <v/>
      </c>
      <c r="W19" s="73" t="str">
        <f t="shared" si="1"/>
        <v/>
      </c>
      <c r="X19" s="73" t="str">
        <f t="shared" si="1"/>
        <v/>
      </c>
      <c r="Y19" s="73" t="str">
        <f t="shared" si="1"/>
        <v/>
      </c>
      <c r="Z19" s="73" t="str">
        <f t="shared" si="1"/>
        <v/>
      </c>
      <c r="AA19" s="73" t="str">
        <f t="shared" si="1"/>
        <v/>
      </c>
      <c r="AB19" s="74" t="str">
        <f t="shared" si="1"/>
        <v/>
      </c>
      <c r="AC19" s="35" t="str">
        <f t="shared" si="4"/>
        <v/>
      </c>
      <c r="AD19" s="40" t="str">
        <f t="shared" si="5"/>
        <v/>
      </c>
      <c r="AE19" s="37" t="str">
        <f t="shared" si="6"/>
        <v/>
      </c>
      <c r="AF19" s="40" t="str">
        <f t="shared" si="7"/>
        <v/>
      </c>
      <c r="AG19" s="37" t="str">
        <f t="shared" si="8"/>
        <v/>
      </c>
      <c r="AH19" s="40" t="str">
        <f t="shared" si="9"/>
        <v/>
      </c>
      <c r="AI19" s="37" t="str">
        <f t="shared" si="10"/>
        <v/>
      </c>
      <c r="AJ19" s="40" t="str">
        <f t="shared" si="11"/>
        <v/>
      </c>
      <c r="AK19" s="204" t="str">
        <f>IF(C19="","",IF(E19=FROTA!$AT$18,IF('DEFINA!!!'!$L$6="D-E-F-I-N-A !!!!!!!",0,IF('DEFINA!!!'!$L$6="Opto por Idade Média",SEM!AW19,IF('DEFINA!!!'!$L$6="Opto pelo Valor aplicado ao  Ano de cada Carro",SEM!AX19,0))),IF(E19=FROTA!$AT$17,IF('DEFINA!!!'!$L$6="D-E-F-I-N-A !!!!!!!",0,IF('DEFINA!!!'!$L$6="Opto por Idade Média",SEM!AW19,IF('DEFINA!!!'!$L$6="Opto pelo Valor aplicado ao  Ano de cada Carro",SEM!AX19,0))),IF(E19=FROTA!$AT$16,IF('DEFINA!!!'!$L$6="D-E-F-I-N-A !!!!!!!",0,IF('DEFINA!!!'!$L$6="Opto por Idade Média",SEM!AW19,IF('DEFINA!!!'!$L$6="Opto pelo Valor aplicado ao  Ano de cada Carro",SEM!AX19,0))),IF('DEFINA!!!'!$L$6="D-E-F-I-N-A !!!!!!!",0,IF('DEFINA!!!'!$L$6="Opto por Idade Média",SEM!AU19,IF('DEFINA!!!'!$L$6="Opto pelo Valor aplicado ao  Ano de cada Carro",SEM!AV19,0)))))))</f>
        <v/>
      </c>
      <c r="AL19" s="6"/>
      <c r="AM19" s="79" t="str">
        <f t="shared" si="12"/>
        <v/>
      </c>
      <c r="AN19" s="12"/>
      <c r="AO19" s="12"/>
      <c r="AP19" s="14"/>
      <c r="AQ19" s="16"/>
      <c r="AR19" s="15"/>
      <c r="AU19" s="198" t="str">
        <f>IF(C19="","",VLOOKUP(FROTA!$AB$2,RECEBÍVEIS!$AA$11:$AB$43,2,0))</f>
        <v/>
      </c>
      <c r="AV19" s="198" t="str">
        <f>IF(C19="","",IF(C19=FROTA!Z19="","",VLOOKUP(FROTA!Z19,RECEBÍVEIS!$AA$11:$AB$43,2,0)))</f>
        <v/>
      </c>
      <c r="AW19" s="198" t="str">
        <f>IF(C19="","",VLOOKUP(FROTA!$AB$2,RECEBÍVEIS!$AA$11:$AC$43,3,0))</f>
        <v/>
      </c>
      <c r="AX19" s="198" t="str">
        <f>IF(C19="","",IF(C19=FROTA!Z19="","",VLOOKUP(FROTA!Z19,RECEBÍVEIS!$AA$11:$AC$43,3,0)))</f>
        <v/>
      </c>
    </row>
    <row r="20" spans="2:50" ht="17.25" customHeight="1" x14ac:dyDescent="0.2">
      <c r="B20" s="6"/>
      <c r="C20" s="49" t="str">
        <f>IF(FROTA!B20="","",FROTA!B20)</f>
        <v/>
      </c>
      <c r="D20" s="220" t="str">
        <f>IF(C20="","",VLOOKUP(SEM!C20,FROTA!$B$5:$C$305,2,0))</f>
        <v/>
      </c>
      <c r="E20" s="24" t="str">
        <f>IF(C20="","",VLOOKUP(C20,FROTA!$B$5:$H$305,7,0))</f>
        <v/>
      </c>
      <c r="F20" s="38" t="str">
        <f t="shared" si="2"/>
        <v/>
      </c>
      <c r="G20" s="71" t="str">
        <f t="shared" si="13"/>
        <v/>
      </c>
      <c r="H20" s="32" t="str">
        <f t="shared" si="3"/>
        <v/>
      </c>
      <c r="I20" s="73" t="str">
        <f t="shared" si="3"/>
        <v/>
      </c>
      <c r="J20" s="73" t="str">
        <f t="shared" si="3"/>
        <v/>
      </c>
      <c r="K20" s="73" t="str">
        <f t="shared" si="0"/>
        <v/>
      </c>
      <c r="L20" s="73" t="str">
        <f t="shared" si="0"/>
        <v/>
      </c>
      <c r="M20" s="73" t="str">
        <f t="shared" si="0"/>
        <v/>
      </c>
      <c r="N20" s="73" t="str">
        <f t="shared" si="0"/>
        <v/>
      </c>
      <c r="O20" s="73" t="str">
        <f t="shared" si="0"/>
        <v/>
      </c>
      <c r="P20" s="73" t="str">
        <f t="shared" si="0"/>
        <v/>
      </c>
      <c r="Q20" s="73" t="str">
        <f t="shared" si="0"/>
        <v/>
      </c>
      <c r="R20" s="73" t="str">
        <f t="shared" si="1"/>
        <v/>
      </c>
      <c r="S20" s="73" t="str">
        <f t="shared" si="1"/>
        <v/>
      </c>
      <c r="T20" s="73" t="str">
        <f t="shared" si="1"/>
        <v/>
      </c>
      <c r="U20" s="73" t="str">
        <f t="shared" si="1"/>
        <v/>
      </c>
      <c r="V20" s="73" t="str">
        <f t="shared" si="1"/>
        <v/>
      </c>
      <c r="W20" s="73" t="str">
        <f t="shared" si="1"/>
        <v/>
      </c>
      <c r="X20" s="73" t="str">
        <f t="shared" si="1"/>
        <v/>
      </c>
      <c r="Y20" s="73" t="str">
        <f t="shared" si="1"/>
        <v/>
      </c>
      <c r="Z20" s="73" t="str">
        <f t="shared" si="1"/>
        <v/>
      </c>
      <c r="AA20" s="73" t="str">
        <f t="shared" si="1"/>
        <v/>
      </c>
      <c r="AB20" s="74" t="str">
        <f t="shared" si="1"/>
        <v/>
      </c>
      <c r="AC20" s="35" t="str">
        <f t="shared" si="4"/>
        <v/>
      </c>
      <c r="AD20" s="40" t="str">
        <f t="shared" si="5"/>
        <v/>
      </c>
      <c r="AE20" s="37" t="str">
        <f t="shared" si="6"/>
        <v/>
      </c>
      <c r="AF20" s="40" t="str">
        <f t="shared" si="7"/>
        <v/>
      </c>
      <c r="AG20" s="37" t="str">
        <f t="shared" si="8"/>
        <v/>
      </c>
      <c r="AH20" s="40" t="str">
        <f t="shared" si="9"/>
        <v/>
      </c>
      <c r="AI20" s="37" t="str">
        <f t="shared" si="10"/>
        <v/>
      </c>
      <c r="AJ20" s="40" t="str">
        <f t="shared" si="11"/>
        <v/>
      </c>
      <c r="AK20" s="204" t="str">
        <f>IF(C20="","",IF(E20=FROTA!$AT$18,IF('DEFINA!!!'!$L$6="D-E-F-I-N-A !!!!!!!",0,IF('DEFINA!!!'!$L$6="Opto por Idade Média",SEM!AW20,IF('DEFINA!!!'!$L$6="Opto pelo Valor aplicado ao  Ano de cada Carro",SEM!AX20,0))),IF(E20=FROTA!$AT$17,IF('DEFINA!!!'!$L$6="D-E-F-I-N-A !!!!!!!",0,IF('DEFINA!!!'!$L$6="Opto por Idade Média",SEM!AW20,IF('DEFINA!!!'!$L$6="Opto pelo Valor aplicado ao  Ano de cada Carro",SEM!AX20,0))),IF(E20=FROTA!$AT$16,IF('DEFINA!!!'!$L$6="D-E-F-I-N-A !!!!!!!",0,IF('DEFINA!!!'!$L$6="Opto por Idade Média",SEM!AW20,IF('DEFINA!!!'!$L$6="Opto pelo Valor aplicado ao  Ano de cada Carro",SEM!AX20,0))),IF('DEFINA!!!'!$L$6="D-E-F-I-N-A !!!!!!!",0,IF('DEFINA!!!'!$L$6="Opto por Idade Média",SEM!AU20,IF('DEFINA!!!'!$L$6="Opto pelo Valor aplicado ao  Ano de cada Carro",SEM!AV20,0)))))))</f>
        <v/>
      </c>
      <c r="AL20" s="6"/>
      <c r="AM20" s="79" t="str">
        <f t="shared" si="12"/>
        <v/>
      </c>
      <c r="AN20" s="12"/>
      <c r="AO20" s="12"/>
      <c r="AP20" s="14"/>
      <c r="AQ20" s="16"/>
      <c r="AR20" s="15"/>
      <c r="AU20" s="198" t="str">
        <f>IF(C20="","",VLOOKUP(FROTA!$AB$2,RECEBÍVEIS!$AA$11:$AB$43,2,0))</f>
        <v/>
      </c>
      <c r="AV20" s="198" t="str">
        <f>IF(C20="","",IF(C20=FROTA!Z20="","",VLOOKUP(FROTA!Z20,RECEBÍVEIS!$AA$11:$AB$43,2,0)))</f>
        <v/>
      </c>
      <c r="AW20" s="198" t="str">
        <f>IF(C20="","",VLOOKUP(FROTA!$AB$2,RECEBÍVEIS!$AA$11:$AC$43,3,0))</f>
        <v/>
      </c>
      <c r="AX20" s="198" t="str">
        <f>IF(C20="","",IF(C20=FROTA!Z20="","",VLOOKUP(FROTA!Z20,RECEBÍVEIS!$AA$11:$AC$43,3,0)))</f>
        <v/>
      </c>
    </row>
    <row r="21" spans="2:50" ht="17.25" customHeight="1" x14ac:dyDescent="0.2">
      <c r="B21" s="6"/>
      <c r="C21" s="49" t="str">
        <f>IF(FROTA!B21="","",FROTA!B21)</f>
        <v/>
      </c>
      <c r="D21" s="220" t="str">
        <f>IF(C21="","",VLOOKUP(SEM!C21,FROTA!$B$5:$C$305,2,0))</f>
        <v/>
      </c>
      <c r="E21" s="24" t="str">
        <f>IF(C21="","",VLOOKUP(C21,FROTA!$B$5:$H$305,7,0))</f>
        <v/>
      </c>
      <c r="F21" s="38" t="str">
        <f t="shared" si="2"/>
        <v/>
      </c>
      <c r="G21" s="71" t="str">
        <f t="shared" si="13"/>
        <v/>
      </c>
      <c r="H21" s="32" t="str">
        <f t="shared" si="3"/>
        <v/>
      </c>
      <c r="I21" s="73" t="str">
        <f t="shared" si="3"/>
        <v/>
      </c>
      <c r="J21" s="73" t="str">
        <f t="shared" si="3"/>
        <v/>
      </c>
      <c r="K21" s="73" t="str">
        <f t="shared" si="0"/>
        <v/>
      </c>
      <c r="L21" s="73" t="str">
        <f t="shared" si="0"/>
        <v/>
      </c>
      <c r="M21" s="73" t="str">
        <f t="shared" si="0"/>
        <v/>
      </c>
      <c r="N21" s="73" t="str">
        <f t="shared" si="0"/>
        <v/>
      </c>
      <c r="O21" s="73" t="str">
        <f t="shared" si="0"/>
        <v/>
      </c>
      <c r="P21" s="73" t="str">
        <f t="shared" si="0"/>
        <v/>
      </c>
      <c r="Q21" s="73" t="str">
        <f t="shared" si="0"/>
        <v/>
      </c>
      <c r="R21" s="73" t="str">
        <f t="shared" si="1"/>
        <v/>
      </c>
      <c r="S21" s="73" t="str">
        <f t="shared" si="1"/>
        <v/>
      </c>
      <c r="T21" s="73" t="str">
        <f t="shared" si="1"/>
        <v/>
      </c>
      <c r="U21" s="73" t="str">
        <f t="shared" si="1"/>
        <v/>
      </c>
      <c r="V21" s="73" t="str">
        <f t="shared" si="1"/>
        <v/>
      </c>
      <c r="W21" s="73" t="str">
        <f t="shared" si="1"/>
        <v/>
      </c>
      <c r="X21" s="73" t="str">
        <f t="shared" si="1"/>
        <v/>
      </c>
      <c r="Y21" s="73" t="str">
        <f t="shared" si="1"/>
        <v/>
      </c>
      <c r="Z21" s="73" t="str">
        <f t="shared" si="1"/>
        <v/>
      </c>
      <c r="AA21" s="73" t="str">
        <f t="shared" si="1"/>
        <v/>
      </c>
      <c r="AB21" s="74" t="str">
        <f t="shared" si="1"/>
        <v/>
      </c>
      <c r="AC21" s="35" t="str">
        <f t="shared" si="4"/>
        <v/>
      </c>
      <c r="AD21" s="40" t="str">
        <f t="shared" si="5"/>
        <v/>
      </c>
      <c r="AE21" s="37" t="str">
        <f t="shared" si="6"/>
        <v/>
      </c>
      <c r="AF21" s="40" t="str">
        <f t="shared" si="7"/>
        <v/>
      </c>
      <c r="AG21" s="37" t="str">
        <f t="shared" si="8"/>
        <v/>
      </c>
      <c r="AH21" s="40" t="str">
        <f t="shared" si="9"/>
        <v/>
      </c>
      <c r="AI21" s="37" t="str">
        <f t="shared" si="10"/>
        <v/>
      </c>
      <c r="AJ21" s="40" t="str">
        <f t="shared" si="11"/>
        <v/>
      </c>
      <c r="AK21" s="204" t="str">
        <f>IF(C21="","",IF(E21=FROTA!$AT$18,IF('DEFINA!!!'!$L$6="D-E-F-I-N-A !!!!!!!",0,IF('DEFINA!!!'!$L$6="Opto por Idade Média",SEM!AW21,IF('DEFINA!!!'!$L$6="Opto pelo Valor aplicado ao  Ano de cada Carro",SEM!AX21,0))),IF(E21=FROTA!$AT$17,IF('DEFINA!!!'!$L$6="D-E-F-I-N-A !!!!!!!",0,IF('DEFINA!!!'!$L$6="Opto por Idade Média",SEM!AW21,IF('DEFINA!!!'!$L$6="Opto pelo Valor aplicado ao  Ano de cada Carro",SEM!AX21,0))),IF(E21=FROTA!$AT$16,IF('DEFINA!!!'!$L$6="D-E-F-I-N-A !!!!!!!",0,IF('DEFINA!!!'!$L$6="Opto por Idade Média",SEM!AW21,IF('DEFINA!!!'!$L$6="Opto pelo Valor aplicado ao  Ano de cada Carro",SEM!AX21,0))),IF('DEFINA!!!'!$L$6="D-E-F-I-N-A !!!!!!!",0,IF('DEFINA!!!'!$L$6="Opto por Idade Média",SEM!AU21,IF('DEFINA!!!'!$L$6="Opto pelo Valor aplicado ao  Ano de cada Carro",SEM!AV21,0)))))))</f>
        <v/>
      </c>
      <c r="AL21" s="6"/>
      <c r="AM21" s="79" t="str">
        <f t="shared" si="12"/>
        <v/>
      </c>
      <c r="AN21" s="12"/>
      <c r="AO21" s="12"/>
      <c r="AP21" s="14"/>
      <c r="AQ21" s="16"/>
      <c r="AR21" s="15"/>
      <c r="AU21" s="198" t="str">
        <f>IF(C21="","",VLOOKUP(FROTA!$AB$2,RECEBÍVEIS!$AA$11:$AB$43,2,0))</f>
        <v/>
      </c>
      <c r="AV21" s="198" t="str">
        <f>IF(C21="","",IF(C21=FROTA!Z21="","",VLOOKUP(FROTA!Z21,RECEBÍVEIS!$AA$11:$AB$43,2,0)))</f>
        <v/>
      </c>
      <c r="AW21" s="198" t="str">
        <f>IF(C21="","",VLOOKUP(FROTA!$AB$2,RECEBÍVEIS!$AA$11:$AC$43,3,0))</f>
        <v/>
      </c>
      <c r="AX21" s="198" t="str">
        <f>IF(C21="","",IF(C21=FROTA!Z21="","",VLOOKUP(FROTA!Z21,RECEBÍVEIS!$AA$11:$AC$43,3,0)))</f>
        <v/>
      </c>
    </row>
    <row r="22" spans="2:50" ht="17.25" customHeight="1" x14ac:dyDescent="0.2">
      <c r="B22" s="6"/>
      <c r="C22" s="49" t="str">
        <f>IF(FROTA!B22="","",FROTA!B22)</f>
        <v/>
      </c>
      <c r="D22" s="220" t="str">
        <f>IF(C22="","",VLOOKUP(SEM!C22,FROTA!$B$5:$C$305,2,0))</f>
        <v/>
      </c>
      <c r="E22" s="24" t="str">
        <f>IF(C22="","",VLOOKUP(C22,FROTA!$B$5:$H$305,7,0))</f>
        <v/>
      </c>
      <c r="F22" s="38" t="str">
        <f t="shared" si="2"/>
        <v/>
      </c>
      <c r="G22" s="71" t="str">
        <f t="shared" si="13"/>
        <v/>
      </c>
      <c r="H22" s="32" t="str">
        <f t="shared" si="3"/>
        <v/>
      </c>
      <c r="I22" s="73" t="str">
        <f t="shared" si="3"/>
        <v/>
      </c>
      <c r="J22" s="73" t="str">
        <f t="shared" si="3"/>
        <v/>
      </c>
      <c r="K22" s="73" t="str">
        <f t="shared" ref="K22:Q58" si="14">IF($C22="","",IF(SUM(K$307*$G22)&gt;$F22,$F22,SUM(K$307*$G22)))</f>
        <v/>
      </c>
      <c r="L22" s="73" t="str">
        <f t="shared" si="14"/>
        <v/>
      </c>
      <c r="M22" s="73" t="str">
        <f t="shared" si="14"/>
        <v/>
      </c>
      <c r="N22" s="73" t="str">
        <f t="shared" si="14"/>
        <v/>
      </c>
      <c r="O22" s="73" t="str">
        <f t="shared" si="14"/>
        <v/>
      </c>
      <c r="P22" s="73" t="str">
        <f t="shared" si="14"/>
        <v/>
      </c>
      <c r="Q22" s="73" t="str">
        <f t="shared" si="14"/>
        <v/>
      </c>
      <c r="R22" s="73" t="str">
        <f t="shared" ref="R22:AB45" si="15">IF($C22="","",IF(SUM(R$307*$G22)&gt;$F22,$F22,SUM(R$307*$G22)))</f>
        <v/>
      </c>
      <c r="S22" s="73" t="str">
        <f t="shared" si="15"/>
        <v/>
      </c>
      <c r="T22" s="73" t="str">
        <f t="shared" si="15"/>
        <v/>
      </c>
      <c r="U22" s="73" t="str">
        <f t="shared" si="15"/>
        <v/>
      </c>
      <c r="V22" s="73" t="str">
        <f t="shared" si="15"/>
        <v/>
      </c>
      <c r="W22" s="73" t="str">
        <f t="shared" si="15"/>
        <v/>
      </c>
      <c r="X22" s="73" t="str">
        <f t="shared" si="15"/>
        <v/>
      </c>
      <c r="Y22" s="73" t="str">
        <f t="shared" si="15"/>
        <v/>
      </c>
      <c r="Z22" s="73" t="str">
        <f t="shared" si="15"/>
        <v/>
      </c>
      <c r="AA22" s="73" t="str">
        <f t="shared" si="15"/>
        <v/>
      </c>
      <c r="AB22" s="74" t="str">
        <f t="shared" si="15"/>
        <v/>
      </c>
      <c r="AC22" s="35" t="str">
        <f t="shared" si="4"/>
        <v/>
      </c>
      <c r="AD22" s="40" t="str">
        <f t="shared" si="5"/>
        <v/>
      </c>
      <c r="AE22" s="37" t="str">
        <f t="shared" si="6"/>
        <v/>
      </c>
      <c r="AF22" s="40" t="str">
        <f t="shared" si="7"/>
        <v/>
      </c>
      <c r="AG22" s="37" t="str">
        <f t="shared" si="8"/>
        <v/>
      </c>
      <c r="AH22" s="40" t="str">
        <f t="shared" si="9"/>
        <v/>
      </c>
      <c r="AI22" s="37" t="str">
        <f t="shared" si="10"/>
        <v/>
      </c>
      <c r="AJ22" s="40" t="str">
        <f t="shared" si="11"/>
        <v/>
      </c>
      <c r="AK22" s="204" t="str">
        <f>IF(C22="","",IF(E22=FROTA!$AT$18,IF('DEFINA!!!'!$L$6="D-E-F-I-N-A !!!!!!!",0,IF('DEFINA!!!'!$L$6="Opto por Idade Média",SEM!AW22,IF('DEFINA!!!'!$L$6="Opto pelo Valor aplicado ao  Ano de cada Carro",SEM!AX22,0))),IF(E22=FROTA!$AT$17,IF('DEFINA!!!'!$L$6="D-E-F-I-N-A !!!!!!!",0,IF('DEFINA!!!'!$L$6="Opto por Idade Média",SEM!AW22,IF('DEFINA!!!'!$L$6="Opto pelo Valor aplicado ao  Ano de cada Carro",SEM!AX22,0))),IF(E22=FROTA!$AT$16,IF('DEFINA!!!'!$L$6="D-E-F-I-N-A !!!!!!!",0,IF('DEFINA!!!'!$L$6="Opto por Idade Média",SEM!AW22,IF('DEFINA!!!'!$L$6="Opto pelo Valor aplicado ao  Ano de cada Carro",SEM!AX22,0))),IF('DEFINA!!!'!$L$6="D-E-F-I-N-A !!!!!!!",0,IF('DEFINA!!!'!$L$6="Opto por Idade Média",SEM!AU22,IF('DEFINA!!!'!$L$6="Opto pelo Valor aplicado ao  Ano de cada Carro",SEM!AV22,0)))))))</f>
        <v/>
      </c>
      <c r="AL22" s="6"/>
      <c r="AM22" s="79" t="str">
        <f t="shared" si="12"/>
        <v/>
      </c>
      <c r="AN22" s="12"/>
      <c r="AO22" s="12"/>
      <c r="AP22" s="14"/>
      <c r="AQ22" s="16"/>
      <c r="AR22" s="15"/>
      <c r="AU22" s="198" t="str">
        <f>IF(C22="","",VLOOKUP(FROTA!$AB$2,RECEBÍVEIS!$AA$11:$AB$43,2,0))</f>
        <v/>
      </c>
      <c r="AV22" s="198" t="str">
        <f>IF(C22="","",IF(C22=FROTA!Z22="","",VLOOKUP(FROTA!Z22,RECEBÍVEIS!$AA$11:$AB$43,2,0)))</f>
        <v/>
      </c>
      <c r="AW22" s="198" t="str">
        <f>IF(C22="","",VLOOKUP(FROTA!$AB$2,RECEBÍVEIS!$AA$11:$AC$43,3,0))</f>
        <v/>
      </c>
      <c r="AX22" s="198" t="str">
        <f>IF(C22="","",IF(C22=FROTA!Z22="","",VLOOKUP(FROTA!Z22,RECEBÍVEIS!$AA$11:$AC$43,3,0)))</f>
        <v/>
      </c>
    </row>
    <row r="23" spans="2:50" ht="17.25" customHeight="1" x14ac:dyDescent="0.2">
      <c r="B23" s="6"/>
      <c r="C23" s="49" t="str">
        <f>IF(FROTA!B23="","",FROTA!B23)</f>
        <v/>
      </c>
      <c r="D23" s="220" t="str">
        <f>IF(C23="","",VLOOKUP(SEM!C23,FROTA!$B$5:$C$305,2,0))</f>
        <v/>
      </c>
      <c r="E23" s="24" t="str">
        <f>IF(C23="","",VLOOKUP(C23,FROTA!$B$5:$H$305,7,0))</f>
        <v/>
      </c>
      <c r="F23" s="38" t="str">
        <f t="shared" si="2"/>
        <v/>
      </c>
      <c r="G23" s="71" t="str">
        <f t="shared" si="13"/>
        <v/>
      </c>
      <c r="H23" s="32" t="str">
        <f t="shared" si="3"/>
        <v/>
      </c>
      <c r="I23" s="73" t="str">
        <f t="shared" si="3"/>
        <v/>
      </c>
      <c r="J23" s="73" t="str">
        <f t="shared" si="3"/>
        <v/>
      </c>
      <c r="K23" s="73" t="str">
        <f t="shared" si="14"/>
        <v/>
      </c>
      <c r="L23" s="73" t="str">
        <f t="shared" si="14"/>
        <v/>
      </c>
      <c r="M23" s="73" t="str">
        <f t="shared" si="14"/>
        <v/>
      </c>
      <c r="N23" s="73" t="str">
        <f t="shared" si="14"/>
        <v/>
      </c>
      <c r="O23" s="73" t="str">
        <f t="shared" si="14"/>
        <v/>
      </c>
      <c r="P23" s="73" t="str">
        <f t="shared" si="14"/>
        <v/>
      </c>
      <c r="Q23" s="73" t="str">
        <f t="shared" si="14"/>
        <v/>
      </c>
      <c r="R23" s="73" t="str">
        <f t="shared" si="15"/>
        <v/>
      </c>
      <c r="S23" s="73" t="str">
        <f t="shared" si="15"/>
        <v/>
      </c>
      <c r="T23" s="73" t="str">
        <f t="shared" si="15"/>
        <v/>
      </c>
      <c r="U23" s="73" t="str">
        <f t="shared" si="15"/>
        <v/>
      </c>
      <c r="V23" s="73" t="str">
        <f t="shared" si="15"/>
        <v/>
      </c>
      <c r="W23" s="73" t="str">
        <f t="shared" si="15"/>
        <v/>
      </c>
      <c r="X23" s="73" t="str">
        <f t="shared" si="15"/>
        <v/>
      </c>
      <c r="Y23" s="73" t="str">
        <f t="shared" si="15"/>
        <v/>
      </c>
      <c r="Z23" s="73" t="str">
        <f t="shared" si="15"/>
        <v/>
      </c>
      <c r="AA23" s="73" t="str">
        <f t="shared" si="15"/>
        <v/>
      </c>
      <c r="AB23" s="74" t="str">
        <f t="shared" si="15"/>
        <v/>
      </c>
      <c r="AC23" s="35" t="str">
        <f t="shared" si="4"/>
        <v/>
      </c>
      <c r="AD23" s="40" t="str">
        <f t="shared" si="5"/>
        <v/>
      </c>
      <c r="AE23" s="37" t="str">
        <f t="shared" si="6"/>
        <v/>
      </c>
      <c r="AF23" s="40" t="str">
        <f t="shared" si="7"/>
        <v/>
      </c>
      <c r="AG23" s="37" t="str">
        <f t="shared" si="8"/>
        <v/>
      </c>
      <c r="AH23" s="40" t="str">
        <f t="shared" si="9"/>
        <v/>
      </c>
      <c r="AI23" s="37" t="str">
        <f t="shared" si="10"/>
        <v/>
      </c>
      <c r="AJ23" s="40" t="str">
        <f t="shared" si="11"/>
        <v/>
      </c>
      <c r="AK23" s="204" t="str">
        <f>IF(C23="","",IF(E23=FROTA!$AT$18,IF('DEFINA!!!'!$L$6="D-E-F-I-N-A !!!!!!!",0,IF('DEFINA!!!'!$L$6="Opto por Idade Média",SEM!AW23,IF('DEFINA!!!'!$L$6="Opto pelo Valor aplicado ao  Ano de cada Carro",SEM!AX23,0))),IF(E23=FROTA!$AT$17,IF('DEFINA!!!'!$L$6="D-E-F-I-N-A !!!!!!!",0,IF('DEFINA!!!'!$L$6="Opto por Idade Média",SEM!AW23,IF('DEFINA!!!'!$L$6="Opto pelo Valor aplicado ao  Ano de cada Carro",SEM!AX23,0))),IF(E23=FROTA!$AT$16,IF('DEFINA!!!'!$L$6="D-E-F-I-N-A !!!!!!!",0,IF('DEFINA!!!'!$L$6="Opto por Idade Média",SEM!AW23,IF('DEFINA!!!'!$L$6="Opto pelo Valor aplicado ao  Ano de cada Carro",SEM!AX23,0))),IF('DEFINA!!!'!$L$6="D-E-F-I-N-A !!!!!!!",0,IF('DEFINA!!!'!$L$6="Opto por Idade Média",SEM!AU23,IF('DEFINA!!!'!$L$6="Opto pelo Valor aplicado ao  Ano de cada Carro",SEM!AV23,0)))))))</f>
        <v/>
      </c>
      <c r="AL23" s="6"/>
      <c r="AM23" s="79" t="str">
        <f t="shared" si="12"/>
        <v/>
      </c>
      <c r="AN23" s="12"/>
      <c r="AO23" s="12"/>
      <c r="AP23" s="14"/>
      <c r="AQ23" s="16"/>
      <c r="AR23" s="15"/>
      <c r="AU23" s="198" t="str">
        <f>IF(C23="","",VLOOKUP(FROTA!$AB$2,RECEBÍVEIS!$AA$11:$AB$43,2,0))</f>
        <v/>
      </c>
      <c r="AV23" s="198" t="str">
        <f>IF(C23="","",IF(C23=FROTA!Z23="","",VLOOKUP(FROTA!Z23,RECEBÍVEIS!$AA$11:$AB$43,2,0)))</f>
        <v/>
      </c>
      <c r="AW23" s="198" t="str">
        <f>IF(C23="","",VLOOKUP(FROTA!$AB$2,RECEBÍVEIS!$AA$11:$AC$43,3,0))</f>
        <v/>
      </c>
      <c r="AX23" s="198" t="str">
        <f>IF(C23="","",IF(C23=FROTA!Z23="","",VLOOKUP(FROTA!Z23,RECEBÍVEIS!$AA$11:$AC$43,3,0)))</f>
        <v/>
      </c>
    </row>
    <row r="24" spans="2:50" ht="17.25" customHeight="1" x14ac:dyDescent="0.2">
      <c r="B24" s="6"/>
      <c r="C24" s="49" t="str">
        <f>IF(FROTA!B24="","",FROTA!B24)</f>
        <v/>
      </c>
      <c r="D24" s="220" t="str">
        <f>IF(C24="","",VLOOKUP(SEM!C24,FROTA!$B$5:$C$305,2,0))</f>
        <v/>
      </c>
      <c r="E24" s="24" t="str">
        <f>IF(C24="","",VLOOKUP(C24,FROTA!$B$5:$H$305,7,0))</f>
        <v/>
      </c>
      <c r="F24" s="38" t="str">
        <f t="shared" si="2"/>
        <v/>
      </c>
      <c r="G24" s="71" t="str">
        <f t="shared" si="13"/>
        <v/>
      </c>
      <c r="H24" s="32" t="str">
        <f t="shared" si="3"/>
        <v/>
      </c>
      <c r="I24" s="73" t="str">
        <f t="shared" si="3"/>
        <v/>
      </c>
      <c r="J24" s="73" t="str">
        <f t="shared" si="3"/>
        <v/>
      </c>
      <c r="K24" s="73" t="str">
        <f t="shared" si="14"/>
        <v/>
      </c>
      <c r="L24" s="73" t="str">
        <f t="shared" si="14"/>
        <v/>
      </c>
      <c r="M24" s="73" t="str">
        <f t="shared" si="14"/>
        <v/>
      </c>
      <c r="N24" s="73" t="str">
        <f t="shared" si="14"/>
        <v/>
      </c>
      <c r="O24" s="73" t="str">
        <f t="shared" si="14"/>
        <v/>
      </c>
      <c r="P24" s="73" t="str">
        <f t="shared" si="14"/>
        <v/>
      </c>
      <c r="Q24" s="73" t="str">
        <f t="shared" si="14"/>
        <v/>
      </c>
      <c r="R24" s="73" t="str">
        <f t="shared" si="15"/>
        <v/>
      </c>
      <c r="S24" s="73" t="str">
        <f t="shared" si="15"/>
        <v/>
      </c>
      <c r="T24" s="73" t="str">
        <f t="shared" si="15"/>
        <v/>
      </c>
      <c r="U24" s="73" t="str">
        <f t="shared" si="15"/>
        <v/>
      </c>
      <c r="V24" s="73" t="str">
        <f t="shared" si="15"/>
        <v/>
      </c>
      <c r="W24" s="73" t="str">
        <f t="shared" si="15"/>
        <v/>
      </c>
      <c r="X24" s="73" t="str">
        <f t="shared" si="15"/>
        <v/>
      </c>
      <c r="Y24" s="73" t="str">
        <f t="shared" si="15"/>
        <v/>
      </c>
      <c r="Z24" s="73" t="str">
        <f t="shared" si="15"/>
        <v/>
      </c>
      <c r="AA24" s="73" t="str">
        <f t="shared" si="15"/>
        <v/>
      </c>
      <c r="AB24" s="74" t="str">
        <f t="shared" si="15"/>
        <v/>
      </c>
      <c r="AC24" s="35" t="str">
        <f t="shared" si="4"/>
        <v/>
      </c>
      <c r="AD24" s="40" t="str">
        <f t="shared" si="5"/>
        <v/>
      </c>
      <c r="AE24" s="37" t="str">
        <f t="shared" si="6"/>
        <v/>
      </c>
      <c r="AF24" s="40" t="str">
        <f t="shared" si="7"/>
        <v/>
      </c>
      <c r="AG24" s="37" t="str">
        <f t="shared" si="8"/>
        <v/>
      </c>
      <c r="AH24" s="40" t="str">
        <f t="shared" si="9"/>
        <v/>
      </c>
      <c r="AI24" s="37" t="str">
        <f t="shared" si="10"/>
        <v/>
      </c>
      <c r="AJ24" s="40" t="str">
        <f t="shared" si="11"/>
        <v/>
      </c>
      <c r="AK24" s="204" t="str">
        <f>IF(C24="","",IF(E24=FROTA!$AT$18,IF('DEFINA!!!'!$L$6="D-E-F-I-N-A !!!!!!!",0,IF('DEFINA!!!'!$L$6="Opto por Idade Média",SEM!AW24,IF('DEFINA!!!'!$L$6="Opto pelo Valor aplicado ao  Ano de cada Carro",SEM!AX24,0))),IF(E24=FROTA!$AT$17,IF('DEFINA!!!'!$L$6="D-E-F-I-N-A !!!!!!!",0,IF('DEFINA!!!'!$L$6="Opto por Idade Média",SEM!AW24,IF('DEFINA!!!'!$L$6="Opto pelo Valor aplicado ao  Ano de cada Carro",SEM!AX24,0))),IF(E24=FROTA!$AT$16,IF('DEFINA!!!'!$L$6="D-E-F-I-N-A !!!!!!!",0,IF('DEFINA!!!'!$L$6="Opto por Idade Média",SEM!AW24,IF('DEFINA!!!'!$L$6="Opto pelo Valor aplicado ao  Ano de cada Carro",SEM!AX24,0))),IF('DEFINA!!!'!$L$6="D-E-F-I-N-A !!!!!!!",0,IF('DEFINA!!!'!$L$6="Opto por Idade Média",SEM!AU24,IF('DEFINA!!!'!$L$6="Opto pelo Valor aplicado ao  Ano de cada Carro",SEM!AV24,0)))))))</f>
        <v/>
      </c>
      <c r="AL24" s="6"/>
      <c r="AM24" s="79" t="str">
        <f t="shared" si="12"/>
        <v/>
      </c>
      <c r="AN24" s="12"/>
      <c r="AO24" s="12"/>
      <c r="AP24" s="14"/>
      <c r="AQ24" s="16"/>
      <c r="AR24" s="15"/>
      <c r="AU24" s="198" t="str">
        <f>IF(C24="","",VLOOKUP(FROTA!$AB$2,RECEBÍVEIS!$AA$11:$AB$43,2,0))</f>
        <v/>
      </c>
      <c r="AV24" s="198" t="str">
        <f>IF(C24="","",IF(C24=FROTA!Z24="","",VLOOKUP(FROTA!Z24,RECEBÍVEIS!$AA$11:$AB$43,2,0)))</f>
        <v/>
      </c>
      <c r="AW24" s="198" t="str">
        <f>IF(C24="","",VLOOKUP(FROTA!$AB$2,RECEBÍVEIS!$AA$11:$AC$43,3,0))</f>
        <v/>
      </c>
      <c r="AX24" s="198" t="str">
        <f>IF(C24="","",IF(C24=FROTA!Z24="","",VLOOKUP(FROTA!Z24,RECEBÍVEIS!$AA$11:$AC$43,3,0)))</f>
        <v/>
      </c>
    </row>
    <row r="25" spans="2:50" ht="17.25" customHeight="1" x14ac:dyDescent="0.2">
      <c r="B25" s="6"/>
      <c r="C25" s="49" t="str">
        <f>IF(FROTA!B25="","",FROTA!B25)</f>
        <v/>
      </c>
      <c r="D25" s="220" t="str">
        <f>IF(C25="","",VLOOKUP(SEM!C25,FROTA!$B$5:$C$305,2,0))</f>
        <v/>
      </c>
      <c r="E25" s="24" t="str">
        <f>IF(C25="","",VLOOKUP(C25,FROTA!$B$5:$H$305,7,0))</f>
        <v/>
      </c>
      <c r="F25" s="38" t="str">
        <f t="shared" si="2"/>
        <v/>
      </c>
      <c r="G25" s="71" t="str">
        <f t="shared" si="13"/>
        <v/>
      </c>
      <c r="H25" s="32" t="str">
        <f t="shared" si="3"/>
        <v/>
      </c>
      <c r="I25" s="73" t="str">
        <f t="shared" si="3"/>
        <v/>
      </c>
      <c r="J25" s="73" t="str">
        <f t="shared" si="3"/>
        <v/>
      </c>
      <c r="K25" s="73" t="str">
        <f t="shared" si="14"/>
        <v/>
      </c>
      <c r="L25" s="73" t="str">
        <f t="shared" si="14"/>
        <v/>
      </c>
      <c r="M25" s="73" t="str">
        <f t="shared" si="14"/>
        <v/>
      </c>
      <c r="N25" s="73" t="str">
        <f t="shared" si="14"/>
        <v/>
      </c>
      <c r="O25" s="73" t="str">
        <f t="shared" si="14"/>
        <v/>
      </c>
      <c r="P25" s="73" t="str">
        <f t="shared" si="14"/>
        <v/>
      </c>
      <c r="Q25" s="73" t="str">
        <f t="shared" si="14"/>
        <v/>
      </c>
      <c r="R25" s="73" t="str">
        <f t="shared" si="15"/>
        <v/>
      </c>
      <c r="S25" s="73" t="str">
        <f t="shared" si="15"/>
        <v/>
      </c>
      <c r="T25" s="73" t="str">
        <f t="shared" si="15"/>
        <v/>
      </c>
      <c r="U25" s="73" t="str">
        <f t="shared" si="15"/>
        <v/>
      </c>
      <c r="V25" s="73" t="str">
        <f t="shared" si="15"/>
        <v/>
      </c>
      <c r="W25" s="73" t="str">
        <f t="shared" si="15"/>
        <v/>
      </c>
      <c r="X25" s="73" t="str">
        <f t="shared" si="15"/>
        <v/>
      </c>
      <c r="Y25" s="73" t="str">
        <f t="shared" si="15"/>
        <v/>
      </c>
      <c r="Z25" s="73" t="str">
        <f t="shared" si="15"/>
        <v/>
      </c>
      <c r="AA25" s="73" t="str">
        <f t="shared" si="15"/>
        <v/>
      </c>
      <c r="AB25" s="74" t="str">
        <f t="shared" si="15"/>
        <v/>
      </c>
      <c r="AC25" s="35" t="str">
        <f t="shared" si="4"/>
        <v/>
      </c>
      <c r="AD25" s="40" t="str">
        <f t="shared" si="5"/>
        <v/>
      </c>
      <c r="AE25" s="37" t="str">
        <f t="shared" si="6"/>
        <v/>
      </c>
      <c r="AF25" s="40" t="str">
        <f t="shared" si="7"/>
        <v/>
      </c>
      <c r="AG25" s="37" t="str">
        <f t="shared" si="8"/>
        <v/>
      </c>
      <c r="AH25" s="40" t="str">
        <f t="shared" si="9"/>
        <v/>
      </c>
      <c r="AI25" s="37" t="str">
        <f t="shared" si="10"/>
        <v/>
      </c>
      <c r="AJ25" s="40" t="str">
        <f t="shared" si="11"/>
        <v/>
      </c>
      <c r="AK25" s="204" t="str">
        <f>IF(C25="","",IF(E25=FROTA!$AT$18,IF('DEFINA!!!'!$L$6="D-E-F-I-N-A !!!!!!!",0,IF('DEFINA!!!'!$L$6="Opto por Idade Média",SEM!AW25,IF('DEFINA!!!'!$L$6="Opto pelo Valor aplicado ao  Ano de cada Carro",SEM!AX25,0))),IF(E25=FROTA!$AT$17,IF('DEFINA!!!'!$L$6="D-E-F-I-N-A !!!!!!!",0,IF('DEFINA!!!'!$L$6="Opto por Idade Média",SEM!AW25,IF('DEFINA!!!'!$L$6="Opto pelo Valor aplicado ao  Ano de cada Carro",SEM!AX25,0))),IF(E25=FROTA!$AT$16,IF('DEFINA!!!'!$L$6="D-E-F-I-N-A !!!!!!!",0,IF('DEFINA!!!'!$L$6="Opto por Idade Média",SEM!AW25,IF('DEFINA!!!'!$L$6="Opto pelo Valor aplicado ao  Ano de cada Carro",SEM!AX25,0))),IF('DEFINA!!!'!$L$6="D-E-F-I-N-A !!!!!!!",0,IF('DEFINA!!!'!$L$6="Opto por Idade Média",SEM!AU25,IF('DEFINA!!!'!$L$6="Opto pelo Valor aplicado ao  Ano de cada Carro",SEM!AV25,0)))))))</f>
        <v/>
      </c>
      <c r="AL25" s="6"/>
      <c r="AM25" s="79" t="str">
        <f t="shared" si="12"/>
        <v/>
      </c>
      <c r="AN25" s="12"/>
      <c r="AO25" s="12"/>
      <c r="AP25" s="14"/>
      <c r="AQ25" s="16"/>
      <c r="AR25" s="15"/>
      <c r="AU25" s="198" t="str">
        <f>IF(C25="","",VLOOKUP(FROTA!$AB$2,RECEBÍVEIS!$AA$11:$AB$43,2,0))</f>
        <v/>
      </c>
      <c r="AV25" s="198" t="str">
        <f>IF(C25="","",IF(C25=FROTA!Z25="","",VLOOKUP(FROTA!Z25,RECEBÍVEIS!$AA$11:$AB$43,2,0)))</f>
        <v/>
      </c>
      <c r="AW25" s="198" t="str">
        <f>IF(C25="","",VLOOKUP(FROTA!$AB$2,RECEBÍVEIS!$AA$11:$AC$43,3,0))</f>
        <v/>
      </c>
      <c r="AX25" s="198" t="str">
        <f>IF(C25="","",IF(C25=FROTA!Z25="","",VLOOKUP(FROTA!Z25,RECEBÍVEIS!$AA$11:$AC$43,3,0)))</f>
        <v/>
      </c>
    </row>
    <row r="26" spans="2:50" ht="17.25" customHeight="1" x14ac:dyDescent="0.2">
      <c r="B26" s="6"/>
      <c r="C26" s="49" t="str">
        <f>IF(FROTA!B26="","",FROTA!B26)</f>
        <v/>
      </c>
      <c r="D26" s="220" t="str">
        <f>IF(C26="","",VLOOKUP(SEM!C26,FROTA!$B$5:$C$305,2,0))</f>
        <v/>
      </c>
      <c r="E26" s="24" t="str">
        <f>IF(C26="","",VLOOKUP(C26,FROTA!$B$5:$H$305,7,0))</f>
        <v/>
      </c>
      <c r="F26" s="38" t="str">
        <f t="shared" si="2"/>
        <v/>
      </c>
      <c r="G26" s="71" t="str">
        <f t="shared" si="13"/>
        <v/>
      </c>
      <c r="H26" s="32" t="str">
        <f t="shared" si="3"/>
        <v/>
      </c>
      <c r="I26" s="73" t="str">
        <f t="shared" si="3"/>
        <v/>
      </c>
      <c r="J26" s="73" t="str">
        <f t="shared" si="3"/>
        <v/>
      </c>
      <c r="K26" s="73" t="str">
        <f t="shared" si="14"/>
        <v/>
      </c>
      <c r="L26" s="73" t="str">
        <f t="shared" si="14"/>
        <v/>
      </c>
      <c r="M26" s="73" t="str">
        <f t="shared" si="14"/>
        <v/>
      </c>
      <c r="N26" s="73" t="str">
        <f t="shared" si="14"/>
        <v/>
      </c>
      <c r="O26" s="73" t="str">
        <f t="shared" si="14"/>
        <v/>
      </c>
      <c r="P26" s="73" t="str">
        <f t="shared" si="14"/>
        <v/>
      </c>
      <c r="Q26" s="73" t="str">
        <f t="shared" si="14"/>
        <v/>
      </c>
      <c r="R26" s="73" t="str">
        <f t="shared" si="15"/>
        <v/>
      </c>
      <c r="S26" s="73" t="str">
        <f t="shared" si="15"/>
        <v/>
      </c>
      <c r="T26" s="73" t="str">
        <f t="shared" si="15"/>
        <v/>
      </c>
      <c r="U26" s="73" t="str">
        <f t="shared" si="15"/>
        <v/>
      </c>
      <c r="V26" s="73" t="str">
        <f t="shared" si="15"/>
        <v/>
      </c>
      <c r="W26" s="73" t="str">
        <f t="shared" si="15"/>
        <v/>
      </c>
      <c r="X26" s="73" t="str">
        <f t="shared" si="15"/>
        <v/>
      </c>
      <c r="Y26" s="73" t="str">
        <f t="shared" si="15"/>
        <v/>
      </c>
      <c r="Z26" s="73" t="str">
        <f t="shared" si="15"/>
        <v/>
      </c>
      <c r="AA26" s="73" t="str">
        <f t="shared" si="15"/>
        <v/>
      </c>
      <c r="AB26" s="74" t="str">
        <f t="shared" si="15"/>
        <v/>
      </c>
      <c r="AC26" s="35" t="str">
        <f t="shared" si="4"/>
        <v/>
      </c>
      <c r="AD26" s="40" t="str">
        <f t="shared" si="5"/>
        <v/>
      </c>
      <c r="AE26" s="37" t="str">
        <f t="shared" si="6"/>
        <v/>
      </c>
      <c r="AF26" s="40" t="str">
        <f t="shared" si="7"/>
        <v/>
      </c>
      <c r="AG26" s="37" t="str">
        <f t="shared" si="8"/>
        <v/>
      </c>
      <c r="AH26" s="40" t="str">
        <f t="shared" si="9"/>
        <v/>
      </c>
      <c r="AI26" s="37" t="str">
        <f t="shared" si="10"/>
        <v/>
      </c>
      <c r="AJ26" s="40" t="str">
        <f t="shared" si="11"/>
        <v/>
      </c>
      <c r="AK26" s="204" t="str">
        <f>IF(C26="","",IF(E26=FROTA!$AT$18,IF('DEFINA!!!'!$L$6="D-E-F-I-N-A !!!!!!!",0,IF('DEFINA!!!'!$L$6="Opto por Idade Média",SEM!AW26,IF('DEFINA!!!'!$L$6="Opto pelo Valor aplicado ao  Ano de cada Carro",SEM!AX26,0))),IF(E26=FROTA!$AT$17,IF('DEFINA!!!'!$L$6="D-E-F-I-N-A !!!!!!!",0,IF('DEFINA!!!'!$L$6="Opto por Idade Média",SEM!AW26,IF('DEFINA!!!'!$L$6="Opto pelo Valor aplicado ao  Ano de cada Carro",SEM!AX26,0))),IF(E26=FROTA!$AT$16,IF('DEFINA!!!'!$L$6="D-E-F-I-N-A !!!!!!!",0,IF('DEFINA!!!'!$L$6="Opto por Idade Média",SEM!AW26,IF('DEFINA!!!'!$L$6="Opto pelo Valor aplicado ao  Ano de cada Carro",SEM!AX26,0))),IF('DEFINA!!!'!$L$6="D-E-F-I-N-A !!!!!!!",0,IF('DEFINA!!!'!$L$6="Opto por Idade Média",SEM!AU26,IF('DEFINA!!!'!$L$6="Opto pelo Valor aplicado ao  Ano de cada Carro",SEM!AV26,0)))))))</f>
        <v/>
      </c>
      <c r="AL26" s="6"/>
      <c r="AM26" s="79" t="str">
        <f t="shared" si="12"/>
        <v/>
      </c>
      <c r="AN26" s="12"/>
      <c r="AO26" s="12"/>
      <c r="AP26" s="14"/>
      <c r="AQ26" s="16"/>
      <c r="AR26" s="15"/>
      <c r="AU26" s="198" t="str">
        <f>IF(C26="","",VLOOKUP(FROTA!$AB$2,RECEBÍVEIS!$AA$11:$AB$43,2,0))</f>
        <v/>
      </c>
      <c r="AV26" s="198" t="str">
        <f>IF(C26="","",IF(C26=FROTA!Z26="","",VLOOKUP(FROTA!Z26,RECEBÍVEIS!$AA$11:$AB$43,2,0)))</f>
        <v/>
      </c>
      <c r="AW26" s="198" t="str">
        <f>IF(C26="","",VLOOKUP(FROTA!$AB$2,RECEBÍVEIS!$AA$11:$AC$43,3,0))</f>
        <v/>
      </c>
      <c r="AX26" s="198" t="str">
        <f>IF(C26="","",IF(C26=FROTA!Z26="","",VLOOKUP(FROTA!Z26,RECEBÍVEIS!$AA$11:$AC$43,3,0)))</f>
        <v/>
      </c>
    </row>
    <row r="27" spans="2:50" ht="17.25" customHeight="1" x14ac:dyDescent="0.2">
      <c r="B27" s="6"/>
      <c r="C27" s="49" t="str">
        <f>IF(FROTA!B27="","",FROTA!B27)</f>
        <v/>
      </c>
      <c r="D27" s="220" t="str">
        <f>IF(C27="","",VLOOKUP(SEM!C27,FROTA!$B$5:$C$305,2,0))</f>
        <v/>
      </c>
      <c r="E27" s="24" t="str">
        <f>IF(C27="","",VLOOKUP(C27,FROTA!$B$5:$H$305,7,0))</f>
        <v/>
      </c>
      <c r="F27" s="38" t="str">
        <f t="shared" si="2"/>
        <v/>
      </c>
      <c r="G27" s="71" t="str">
        <f t="shared" si="13"/>
        <v/>
      </c>
      <c r="H27" s="32" t="str">
        <f t="shared" si="3"/>
        <v/>
      </c>
      <c r="I27" s="73" t="str">
        <f t="shared" si="3"/>
        <v/>
      </c>
      <c r="J27" s="73" t="str">
        <f t="shared" si="3"/>
        <v/>
      </c>
      <c r="K27" s="73" t="str">
        <f t="shared" si="14"/>
        <v/>
      </c>
      <c r="L27" s="73" t="str">
        <f t="shared" si="14"/>
        <v/>
      </c>
      <c r="M27" s="73" t="str">
        <f t="shared" si="14"/>
        <v/>
      </c>
      <c r="N27" s="73" t="str">
        <f t="shared" si="14"/>
        <v/>
      </c>
      <c r="O27" s="73" t="str">
        <f t="shared" si="14"/>
        <v/>
      </c>
      <c r="P27" s="73" t="str">
        <f t="shared" si="14"/>
        <v/>
      </c>
      <c r="Q27" s="73" t="str">
        <f t="shared" si="14"/>
        <v/>
      </c>
      <c r="R27" s="73" t="str">
        <f t="shared" si="15"/>
        <v/>
      </c>
      <c r="S27" s="73" t="str">
        <f t="shared" si="15"/>
        <v/>
      </c>
      <c r="T27" s="73" t="str">
        <f t="shared" si="15"/>
        <v/>
      </c>
      <c r="U27" s="73" t="str">
        <f t="shared" si="15"/>
        <v/>
      </c>
      <c r="V27" s="73" t="str">
        <f t="shared" si="15"/>
        <v/>
      </c>
      <c r="W27" s="73" t="str">
        <f t="shared" si="15"/>
        <v/>
      </c>
      <c r="X27" s="73" t="str">
        <f t="shared" si="15"/>
        <v/>
      </c>
      <c r="Y27" s="73" t="str">
        <f t="shared" si="15"/>
        <v/>
      </c>
      <c r="Z27" s="73" t="str">
        <f t="shared" si="15"/>
        <v/>
      </c>
      <c r="AA27" s="73" t="str">
        <f t="shared" si="15"/>
        <v/>
      </c>
      <c r="AB27" s="74" t="str">
        <f t="shared" si="15"/>
        <v/>
      </c>
      <c r="AC27" s="35" t="str">
        <f t="shared" si="4"/>
        <v/>
      </c>
      <c r="AD27" s="40" t="str">
        <f t="shared" si="5"/>
        <v/>
      </c>
      <c r="AE27" s="37" t="str">
        <f t="shared" si="6"/>
        <v/>
      </c>
      <c r="AF27" s="40" t="str">
        <f t="shared" si="7"/>
        <v/>
      </c>
      <c r="AG27" s="37" t="str">
        <f t="shared" si="8"/>
        <v/>
      </c>
      <c r="AH27" s="40" t="str">
        <f t="shared" si="9"/>
        <v/>
      </c>
      <c r="AI27" s="37" t="str">
        <f t="shared" si="10"/>
        <v/>
      </c>
      <c r="AJ27" s="40" t="str">
        <f t="shared" si="11"/>
        <v/>
      </c>
      <c r="AK27" s="204" t="str">
        <f>IF(C27="","",IF(E27=FROTA!$AT$18,IF('DEFINA!!!'!$L$6="D-E-F-I-N-A !!!!!!!",0,IF('DEFINA!!!'!$L$6="Opto por Idade Média",SEM!AW27,IF('DEFINA!!!'!$L$6="Opto pelo Valor aplicado ao  Ano de cada Carro",SEM!AX27,0))),IF(E27=FROTA!$AT$17,IF('DEFINA!!!'!$L$6="D-E-F-I-N-A !!!!!!!",0,IF('DEFINA!!!'!$L$6="Opto por Idade Média",SEM!AW27,IF('DEFINA!!!'!$L$6="Opto pelo Valor aplicado ao  Ano de cada Carro",SEM!AX27,0))),IF(E27=FROTA!$AT$16,IF('DEFINA!!!'!$L$6="D-E-F-I-N-A !!!!!!!",0,IF('DEFINA!!!'!$L$6="Opto por Idade Média",SEM!AW27,IF('DEFINA!!!'!$L$6="Opto pelo Valor aplicado ao  Ano de cada Carro",SEM!AX27,0))),IF('DEFINA!!!'!$L$6="D-E-F-I-N-A !!!!!!!",0,IF('DEFINA!!!'!$L$6="Opto por Idade Média",SEM!AU27,IF('DEFINA!!!'!$L$6="Opto pelo Valor aplicado ao  Ano de cada Carro",SEM!AV27,0)))))))</f>
        <v/>
      </c>
      <c r="AL27" s="6"/>
      <c r="AM27" s="79" t="str">
        <f t="shared" si="12"/>
        <v/>
      </c>
      <c r="AN27" s="12"/>
      <c r="AO27" s="12"/>
      <c r="AP27" s="14"/>
      <c r="AQ27" s="16"/>
      <c r="AR27" s="15"/>
      <c r="AU27" s="198" t="str">
        <f>IF(C27="","",VLOOKUP(FROTA!$AB$2,RECEBÍVEIS!$AA$11:$AB$43,2,0))</f>
        <v/>
      </c>
      <c r="AV27" s="198" t="str">
        <f>IF(C27="","",IF(C27=FROTA!Z27="","",VLOOKUP(FROTA!Z27,RECEBÍVEIS!$AA$11:$AB$43,2,0)))</f>
        <v/>
      </c>
      <c r="AW27" s="198" t="str">
        <f>IF(C27="","",VLOOKUP(FROTA!$AB$2,RECEBÍVEIS!$AA$11:$AC$43,3,0))</f>
        <v/>
      </c>
      <c r="AX27" s="198" t="str">
        <f>IF(C27="","",IF(C27=FROTA!Z27="","",VLOOKUP(FROTA!Z27,RECEBÍVEIS!$AA$11:$AC$43,3,0)))</f>
        <v/>
      </c>
    </row>
    <row r="28" spans="2:50" ht="17.25" customHeight="1" x14ac:dyDescent="0.2">
      <c r="B28" s="6"/>
      <c r="C28" s="49" t="str">
        <f>IF(FROTA!B28="","",FROTA!B28)</f>
        <v/>
      </c>
      <c r="D28" s="220" t="str">
        <f>IF(C28="","",VLOOKUP(SEM!C28,FROTA!$B$5:$C$305,2,0))</f>
        <v/>
      </c>
      <c r="E28" s="24" t="str">
        <f>IF(C28="","",VLOOKUP(C28,FROTA!$B$5:$H$305,7,0))</f>
        <v/>
      </c>
      <c r="F28" s="38" t="str">
        <f t="shared" si="2"/>
        <v/>
      </c>
      <c r="G28" s="71" t="str">
        <f t="shared" si="13"/>
        <v/>
      </c>
      <c r="H28" s="32" t="str">
        <f t="shared" si="3"/>
        <v/>
      </c>
      <c r="I28" s="73" t="str">
        <f t="shared" si="3"/>
        <v/>
      </c>
      <c r="J28" s="73" t="str">
        <f t="shared" si="3"/>
        <v/>
      </c>
      <c r="K28" s="73" t="str">
        <f t="shared" si="14"/>
        <v/>
      </c>
      <c r="L28" s="73" t="str">
        <f t="shared" si="14"/>
        <v/>
      </c>
      <c r="M28" s="73" t="str">
        <f t="shared" si="14"/>
        <v/>
      </c>
      <c r="N28" s="73" t="str">
        <f t="shared" si="14"/>
        <v/>
      </c>
      <c r="O28" s="73" t="str">
        <f t="shared" si="14"/>
        <v/>
      </c>
      <c r="P28" s="73" t="str">
        <f t="shared" si="14"/>
        <v/>
      </c>
      <c r="Q28" s="73" t="str">
        <f t="shared" si="14"/>
        <v/>
      </c>
      <c r="R28" s="73" t="str">
        <f t="shared" si="15"/>
        <v/>
      </c>
      <c r="S28" s="73" t="str">
        <f t="shared" si="15"/>
        <v/>
      </c>
      <c r="T28" s="73" t="str">
        <f t="shared" si="15"/>
        <v/>
      </c>
      <c r="U28" s="73" t="str">
        <f t="shared" si="15"/>
        <v/>
      </c>
      <c r="V28" s="73" t="str">
        <f t="shared" si="15"/>
        <v/>
      </c>
      <c r="W28" s="73" t="str">
        <f t="shared" si="15"/>
        <v/>
      </c>
      <c r="X28" s="73" t="str">
        <f t="shared" si="15"/>
        <v/>
      </c>
      <c r="Y28" s="73" t="str">
        <f t="shared" si="15"/>
        <v/>
      </c>
      <c r="Z28" s="73" t="str">
        <f t="shared" si="15"/>
        <v/>
      </c>
      <c r="AA28" s="73" t="str">
        <f t="shared" si="15"/>
        <v/>
      </c>
      <c r="AB28" s="74" t="str">
        <f t="shared" si="15"/>
        <v/>
      </c>
      <c r="AC28" s="35" t="str">
        <f t="shared" si="4"/>
        <v/>
      </c>
      <c r="AD28" s="40" t="str">
        <f t="shared" si="5"/>
        <v/>
      </c>
      <c r="AE28" s="37" t="str">
        <f t="shared" si="6"/>
        <v/>
      </c>
      <c r="AF28" s="40" t="str">
        <f t="shared" si="7"/>
        <v/>
      </c>
      <c r="AG28" s="37" t="str">
        <f t="shared" si="8"/>
        <v/>
      </c>
      <c r="AH28" s="40" t="str">
        <f t="shared" si="9"/>
        <v/>
      </c>
      <c r="AI28" s="37" t="str">
        <f t="shared" si="10"/>
        <v/>
      </c>
      <c r="AJ28" s="40" t="str">
        <f t="shared" si="11"/>
        <v/>
      </c>
      <c r="AK28" s="204" t="str">
        <f>IF(C28="","",IF(E28=FROTA!$AT$18,IF('DEFINA!!!'!$L$6="D-E-F-I-N-A !!!!!!!",0,IF('DEFINA!!!'!$L$6="Opto por Idade Média",SEM!AW28,IF('DEFINA!!!'!$L$6="Opto pelo Valor aplicado ao  Ano de cada Carro",SEM!AX28,0))),IF(E28=FROTA!$AT$17,IF('DEFINA!!!'!$L$6="D-E-F-I-N-A !!!!!!!",0,IF('DEFINA!!!'!$L$6="Opto por Idade Média",SEM!AW28,IF('DEFINA!!!'!$L$6="Opto pelo Valor aplicado ao  Ano de cada Carro",SEM!AX28,0))),IF(E28=FROTA!$AT$16,IF('DEFINA!!!'!$L$6="D-E-F-I-N-A !!!!!!!",0,IF('DEFINA!!!'!$L$6="Opto por Idade Média",SEM!AW28,IF('DEFINA!!!'!$L$6="Opto pelo Valor aplicado ao  Ano de cada Carro",SEM!AX28,0))),IF('DEFINA!!!'!$L$6="D-E-F-I-N-A !!!!!!!",0,IF('DEFINA!!!'!$L$6="Opto por Idade Média",SEM!AU28,IF('DEFINA!!!'!$L$6="Opto pelo Valor aplicado ao  Ano de cada Carro",SEM!AV28,0)))))))</f>
        <v/>
      </c>
      <c r="AL28" s="6"/>
      <c r="AM28" s="79" t="str">
        <f t="shared" si="12"/>
        <v/>
      </c>
      <c r="AN28" s="12"/>
      <c r="AO28" s="12"/>
      <c r="AP28" s="14"/>
      <c r="AQ28" s="16"/>
      <c r="AR28" s="15"/>
      <c r="AU28" s="198" t="str">
        <f>IF(C28="","",VLOOKUP(FROTA!$AB$2,RECEBÍVEIS!$AA$11:$AB$43,2,0))</f>
        <v/>
      </c>
      <c r="AV28" s="198" t="str">
        <f>IF(C28="","",IF(C28=FROTA!Z28="","",VLOOKUP(FROTA!Z28,RECEBÍVEIS!$AA$11:$AB$43,2,0)))</f>
        <v/>
      </c>
      <c r="AW28" s="198" t="str">
        <f>IF(C28="","",VLOOKUP(FROTA!$AB$2,RECEBÍVEIS!$AA$11:$AC$43,3,0))</f>
        <v/>
      </c>
      <c r="AX28" s="198" t="str">
        <f>IF(C28="","",IF(C28=FROTA!Z28="","",VLOOKUP(FROTA!Z28,RECEBÍVEIS!$AA$11:$AC$43,3,0)))</f>
        <v/>
      </c>
    </row>
    <row r="29" spans="2:50" ht="17.25" customHeight="1" x14ac:dyDescent="0.2">
      <c r="B29" s="6"/>
      <c r="C29" s="49" t="str">
        <f>IF(FROTA!B29="","",FROTA!B29)</f>
        <v/>
      </c>
      <c r="D29" s="220" t="str">
        <f>IF(C29="","",VLOOKUP(SEM!C29,FROTA!$B$5:$C$305,2,0))</f>
        <v/>
      </c>
      <c r="E29" s="24" t="str">
        <f>IF(C29="","",VLOOKUP(C29,FROTA!$B$5:$H$305,7,0))</f>
        <v/>
      </c>
      <c r="F29" s="38" t="str">
        <f t="shared" si="2"/>
        <v/>
      </c>
      <c r="G29" s="71" t="str">
        <f t="shared" si="13"/>
        <v/>
      </c>
      <c r="H29" s="32" t="str">
        <f t="shared" si="3"/>
        <v/>
      </c>
      <c r="I29" s="73" t="str">
        <f t="shared" si="3"/>
        <v/>
      </c>
      <c r="J29" s="73" t="str">
        <f t="shared" si="3"/>
        <v/>
      </c>
      <c r="K29" s="73" t="str">
        <f t="shared" si="14"/>
        <v/>
      </c>
      <c r="L29" s="73" t="str">
        <f t="shared" si="14"/>
        <v/>
      </c>
      <c r="M29" s="73" t="str">
        <f t="shared" si="14"/>
        <v/>
      </c>
      <c r="N29" s="73" t="str">
        <f t="shared" si="14"/>
        <v/>
      </c>
      <c r="O29" s="73" t="str">
        <f t="shared" si="14"/>
        <v/>
      </c>
      <c r="P29" s="73" t="str">
        <f t="shared" si="14"/>
        <v/>
      </c>
      <c r="Q29" s="73" t="str">
        <f t="shared" si="14"/>
        <v/>
      </c>
      <c r="R29" s="73" t="str">
        <f t="shared" si="15"/>
        <v/>
      </c>
      <c r="S29" s="73" t="str">
        <f t="shared" si="15"/>
        <v/>
      </c>
      <c r="T29" s="73" t="str">
        <f t="shared" si="15"/>
        <v/>
      </c>
      <c r="U29" s="73" t="str">
        <f t="shared" si="15"/>
        <v/>
      </c>
      <c r="V29" s="73" t="str">
        <f t="shared" si="15"/>
        <v/>
      </c>
      <c r="W29" s="73" t="str">
        <f t="shared" si="15"/>
        <v/>
      </c>
      <c r="X29" s="73" t="str">
        <f t="shared" si="15"/>
        <v/>
      </c>
      <c r="Y29" s="73" t="str">
        <f t="shared" si="15"/>
        <v/>
      </c>
      <c r="Z29" s="73" t="str">
        <f t="shared" si="15"/>
        <v/>
      </c>
      <c r="AA29" s="73" t="str">
        <f t="shared" si="15"/>
        <v/>
      </c>
      <c r="AB29" s="74" t="str">
        <f t="shared" si="15"/>
        <v/>
      </c>
      <c r="AC29" s="35" t="str">
        <f t="shared" si="4"/>
        <v/>
      </c>
      <c r="AD29" s="40" t="str">
        <f t="shared" si="5"/>
        <v/>
      </c>
      <c r="AE29" s="37" t="str">
        <f t="shared" si="6"/>
        <v/>
      </c>
      <c r="AF29" s="40" t="str">
        <f t="shared" si="7"/>
        <v/>
      </c>
      <c r="AG29" s="37" t="str">
        <f t="shared" si="8"/>
        <v/>
      </c>
      <c r="AH29" s="40" t="str">
        <f t="shared" si="9"/>
        <v/>
      </c>
      <c r="AI29" s="37" t="str">
        <f t="shared" si="10"/>
        <v/>
      </c>
      <c r="AJ29" s="40" t="str">
        <f t="shared" si="11"/>
        <v/>
      </c>
      <c r="AK29" s="204" t="str">
        <f>IF(C29="","",IF(E29=FROTA!$AT$18,IF('DEFINA!!!'!$L$6="D-E-F-I-N-A !!!!!!!",0,IF('DEFINA!!!'!$L$6="Opto por Idade Média",SEM!AW29,IF('DEFINA!!!'!$L$6="Opto pelo Valor aplicado ao  Ano de cada Carro",SEM!AX29,0))),IF(E29=FROTA!$AT$17,IF('DEFINA!!!'!$L$6="D-E-F-I-N-A !!!!!!!",0,IF('DEFINA!!!'!$L$6="Opto por Idade Média",SEM!AW29,IF('DEFINA!!!'!$L$6="Opto pelo Valor aplicado ao  Ano de cada Carro",SEM!AX29,0))),IF(E29=FROTA!$AT$16,IF('DEFINA!!!'!$L$6="D-E-F-I-N-A !!!!!!!",0,IF('DEFINA!!!'!$L$6="Opto por Idade Média",SEM!AW29,IF('DEFINA!!!'!$L$6="Opto pelo Valor aplicado ao  Ano de cada Carro",SEM!AX29,0))),IF('DEFINA!!!'!$L$6="D-E-F-I-N-A !!!!!!!",0,IF('DEFINA!!!'!$L$6="Opto por Idade Média",SEM!AU29,IF('DEFINA!!!'!$L$6="Opto pelo Valor aplicado ao  Ano de cada Carro",SEM!AV29,0)))))))</f>
        <v/>
      </c>
      <c r="AL29" s="6"/>
      <c r="AM29" s="79" t="str">
        <f t="shared" si="12"/>
        <v/>
      </c>
      <c r="AN29" s="12"/>
      <c r="AO29" s="12"/>
      <c r="AP29" s="14"/>
      <c r="AQ29" s="16"/>
      <c r="AR29" s="15"/>
      <c r="AU29" s="198" t="str">
        <f>IF(C29="","",VLOOKUP(FROTA!$AB$2,RECEBÍVEIS!$AA$11:$AB$43,2,0))</f>
        <v/>
      </c>
      <c r="AV29" s="198" t="str">
        <f>IF(C29="","",IF(C29=FROTA!Z29="","",VLOOKUP(FROTA!Z29,RECEBÍVEIS!$AA$11:$AB$43,2,0)))</f>
        <v/>
      </c>
      <c r="AW29" s="198" t="str">
        <f>IF(C29="","",VLOOKUP(FROTA!$AB$2,RECEBÍVEIS!$AA$11:$AC$43,3,0))</f>
        <v/>
      </c>
      <c r="AX29" s="198" t="str">
        <f>IF(C29="","",IF(C29=FROTA!Z29="","",VLOOKUP(FROTA!Z29,RECEBÍVEIS!$AA$11:$AC$43,3,0)))</f>
        <v/>
      </c>
    </row>
    <row r="30" spans="2:50" ht="17.25" customHeight="1" x14ac:dyDescent="0.2">
      <c r="B30" s="6"/>
      <c r="C30" s="49" t="str">
        <f>IF(FROTA!B30="","",FROTA!B30)</f>
        <v/>
      </c>
      <c r="D30" s="220" t="str">
        <f>IF(C30="","",VLOOKUP(SEM!C30,FROTA!$B$5:$C$305,2,0))</f>
        <v/>
      </c>
      <c r="E30" s="24" t="str">
        <f>IF(C30="","",VLOOKUP(C30,FROTA!$B$5:$H$305,7,0))</f>
        <v/>
      </c>
      <c r="F30" s="38" t="str">
        <f t="shared" si="2"/>
        <v/>
      </c>
      <c r="G30" s="71" t="str">
        <f t="shared" si="13"/>
        <v/>
      </c>
      <c r="H30" s="32" t="str">
        <f t="shared" si="3"/>
        <v/>
      </c>
      <c r="I30" s="73" t="str">
        <f t="shared" si="3"/>
        <v/>
      </c>
      <c r="J30" s="73" t="str">
        <f t="shared" si="3"/>
        <v/>
      </c>
      <c r="K30" s="73" t="str">
        <f t="shared" si="14"/>
        <v/>
      </c>
      <c r="L30" s="73" t="str">
        <f t="shared" si="14"/>
        <v/>
      </c>
      <c r="M30" s="73" t="str">
        <f t="shared" si="14"/>
        <v/>
      </c>
      <c r="N30" s="73" t="str">
        <f t="shared" si="14"/>
        <v/>
      </c>
      <c r="O30" s="73" t="str">
        <f t="shared" si="14"/>
        <v/>
      </c>
      <c r="P30" s="73" t="str">
        <f t="shared" si="14"/>
        <v/>
      </c>
      <c r="Q30" s="73" t="str">
        <f t="shared" si="14"/>
        <v/>
      </c>
      <c r="R30" s="73" t="str">
        <f t="shared" si="15"/>
        <v/>
      </c>
      <c r="S30" s="73" t="str">
        <f t="shared" si="15"/>
        <v/>
      </c>
      <c r="T30" s="73" t="str">
        <f t="shared" si="15"/>
        <v/>
      </c>
      <c r="U30" s="73" t="str">
        <f t="shared" si="15"/>
        <v/>
      </c>
      <c r="V30" s="73" t="str">
        <f t="shared" si="15"/>
        <v/>
      </c>
      <c r="W30" s="73" t="str">
        <f t="shared" si="15"/>
        <v/>
      </c>
      <c r="X30" s="73" t="str">
        <f t="shared" si="15"/>
        <v/>
      </c>
      <c r="Y30" s="73" t="str">
        <f t="shared" si="15"/>
        <v/>
      </c>
      <c r="Z30" s="73" t="str">
        <f t="shared" si="15"/>
        <v/>
      </c>
      <c r="AA30" s="73" t="str">
        <f t="shared" si="15"/>
        <v/>
      </c>
      <c r="AB30" s="74" t="str">
        <f t="shared" si="15"/>
        <v/>
      </c>
      <c r="AC30" s="35" t="str">
        <f t="shared" si="4"/>
        <v/>
      </c>
      <c r="AD30" s="40" t="str">
        <f t="shared" si="5"/>
        <v/>
      </c>
      <c r="AE30" s="37" t="str">
        <f t="shared" si="6"/>
        <v/>
      </c>
      <c r="AF30" s="40" t="str">
        <f t="shared" si="7"/>
        <v/>
      </c>
      <c r="AG30" s="37" t="str">
        <f t="shared" si="8"/>
        <v/>
      </c>
      <c r="AH30" s="40" t="str">
        <f t="shared" si="9"/>
        <v/>
      </c>
      <c r="AI30" s="37" t="str">
        <f t="shared" si="10"/>
        <v/>
      </c>
      <c r="AJ30" s="40" t="str">
        <f t="shared" si="11"/>
        <v/>
      </c>
      <c r="AK30" s="204" t="str">
        <f>IF(C30="","",IF(E30=FROTA!$AT$18,IF('DEFINA!!!'!$L$6="D-E-F-I-N-A !!!!!!!",0,IF('DEFINA!!!'!$L$6="Opto por Idade Média",SEM!AW30,IF('DEFINA!!!'!$L$6="Opto pelo Valor aplicado ao  Ano de cada Carro",SEM!AX30,0))),IF(E30=FROTA!$AT$17,IF('DEFINA!!!'!$L$6="D-E-F-I-N-A !!!!!!!",0,IF('DEFINA!!!'!$L$6="Opto por Idade Média",SEM!AW30,IF('DEFINA!!!'!$L$6="Opto pelo Valor aplicado ao  Ano de cada Carro",SEM!AX30,0))),IF(E30=FROTA!$AT$16,IF('DEFINA!!!'!$L$6="D-E-F-I-N-A !!!!!!!",0,IF('DEFINA!!!'!$L$6="Opto por Idade Média",SEM!AW30,IF('DEFINA!!!'!$L$6="Opto pelo Valor aplicado ao  Ano de cada Carro",SEM!AX30,0))),IF('DEFINA!!!'!$L$6="D-E-F-I-N-A !!!!!!!",0,IF('DEFINA!!!'!$L$6="Opto por Idade Média",SEM!AU30,IF('DEFINA!!!'!$L$6="Opto pelo Valor aplicado ao  Ano de cada Carro",SEM!AV30,0)))))))</f>
        <v/>
      </c>
      <c r="AL30" s="6"/>
      <c r="AM30" s="79" t="str">
        <f t="shared" si="12"/>
        <v/>
      </c>
      <c r="AN30" s="12"/>
      <c r="AO30" s="12"/>
      <c r="AP30" s="14"/>
      <c r="AQ30" s="16"/>
      <c r="AR30" s="15"/>
      <c r="AU30" s="198" t="str">
        <f>IF(C30="","",VLOOKUP(FROTA!$AB$2,RECEBÍVEIS!$AA$11:$AB$43,2,0))</f>
        <v/>
      </c>
      <c r="AV30" s="198" t="str">
        <f>IF(C30="","",IF(C30=FROTA!Z30="","",VLOOKUP(FROTA!Z30,RECEBÍVEIS!$AA$11:$AB$43,2,0)))</f>
        <v/>
      </c>
      <c r="AW30" s="198" t="str">
        <f>IF(C30="","",VLOOKUP(FROTA!$AB$2,RECEBÍVEIS!$AA$11:$AC$43,3,0))</f>
        <v/>
      </c>
      <c r="AX30" s="198" t="str">
        <f>IF(C30="","",IF(C30=FROTA!Z30="","",VLOOKUP(FROTA!Z30,RECEBÍVEIS!$AA$11:$AC$43,3,0)))</f>
        <v/>
      </c>
    </row>
    <row r="31" spans="2:50" ht="17.25" customHeight="1" x14ac:dyDescent="0.2">
      <c r="B31" s="6"/>
      <c r="C31" s="49" t="str">
        <f>IF(FROTA!B31="","",FROTA!B31)</f>
        <v/>
      </c>
      <c r="D31" s="220" t="str">
        <f>IF(C31="","",VLOOKUP(SEM!C31,FROTA!$B$5:$C$305,2,0))</f>
        <v/>
      </c>
      <c r="E31" s="24" t="str">
        <f>IF(C31="","",VLOOKUP(C31,FROTA!$B$5:$H$305,7,0))</f>
        <v/>
      </c>
      <c r="F31" s="38" t="str">
        <f t="shared" si="2"/>
        <v/>
      </c>
      <c r="G31" s="71" t="str">
        <f t="shared" si="13"/>
        <v/>
      </c>
      <c r="H31" s="32" t="str">
        <f t="shared" si="3"/>
        <v/>
      </c>
      <c r="I31" s="73" t="str">
        <f t="shared" si="3"/>
        <v/>
      </c>
      <c r="J31" s="73" t="str">
        <f t="shared" si="3"/>
        <v/>
      </c>
      <c r="K31" s="73" t="str">
        <f t="shared" si="14"/>
        <v/>
      </c>
      <c r="L31" s="73" t="str">
        <f t="shared" si="14"/>
        <v/>
      </c>
      <c r="M31" s="73" t="str">
        <f t="shared" si="14"/>
        <v/>
      </c>
      <c r="N31" s="73" t="str">
        <f t="shared" si="14"/>
        <v/>
      </c>
      <c r="O31" s="73" t="str">
        <f t="shared" si="14"/>
        <v/>
      </c>
      <c r="P31" s="73" t="str">
        <f t="shared" si="14"/>
        <v/>
      </c>
      <c r="Q31" s="73" t="str">
        <f t="shared" si="14"/>
        <v/>
      </c>
      <c r="R31" s="73" t="str">
        <f t="shared" si="15"/>
        <v/>
      </c>
      <c r="S31" s="73" t="str">
        <f t="shared" si="15"/>
        <v/>
      </c>
      <c r="T31" s="73" t="str">
        <f t="shared" si="15"/>
        <v/>
      </c>
      <c r="U31" s="73" t="str">
        <f t="shared" si="15"/>
        <v/>
      </c>
      <c r="V31" s="73" t="str">
        <f t="shared" si="15"/>
        <v/>
      </c>
      <c r="W31" s="73" t="str">
        <f t="shared" si="15"/>
        <v/>
      </c>
      <c r="X31" s="73" t="str">
        <f t="shared" si="15"/>
        <v/>
      </c>
      <c r="Y31" s="73" t="str">
        <f t="shared" si="15"/>
        <v/>
      </c>
      <c r="Z31" s="73" t="str">
        <f t="shared" si="15"/>
        <v/>
      </c>
      <c r="AA31" s="73" t="str">
        <f t="shared" si="15"/>
        <v/>
      </c>
      <c r="AB31" s="74" t="str">
        <f t="shared" si="15"/>
        <v/>
      </c>
      <c r="AC31" s="35" t="str">
        <f t="shared" si="4"/>
        <v/>
      </c>
      <c r="AD31" s="40" t="str">
        <f t="shared" si="5"/>
        <v/>
      </c>
      <c r="AE31" s="37" t="str">
        <f t="shared" si="6"/>
        <v/>
      </c>
      <c r="AF31" s="40" t="str">
        <f t="shared" si="7"/>
        <v/>
      </c>
      <c r="AG31" s="37" t="str">
        <f t="shared" si="8"/>
        <v/>
      </c>
      <c r="AH31" s="40" t="str">
        <f t="shared" si="9"/>
        <v/>
      </c>
      <c r="AI31" s="37" t="str">
        <f t="shared" si="10"/>
        <v/>
      </c>
      <c r="AJ31" s="40" t="str">
        <f t="shared" si="11"/>
        <v/>
      </c>
      <c r="AK31" s="204" t="str">
        <f>IF(C31="","",IF(E31=FROTA!$AT$18,IF('DEFINA!!!'!$L$6="D-E-F-I-N-A !!!!!!!",0,IF('DEFINA!!!'!$L$6="Opto por Idade Média",SEM!AW31,IF('DEFINA!!!'!$L$6="Opto pelo Valor aplicado ao  Ano de cada Carro",SEM!AX31,0))),IF(E31=FROTA!$AT$17,IF('DEFINA!!!'!$L$6="D-E-F-I-N-A !!!!!!!",0,IF('DEFINA!!!'!$L$6="Opto por Idade Média",SEM!AW31,IF('DEFINA!!!'!$L$6="Opto pelo Valor aplicado ao  Ano de cada Carro",SEM!AX31,0))),IF(E31=FROTA!$AT$16,IF('DEFINA!!!'!$L$6="D-E-F-I-N-A !!!!!!!",0,IF('DEFINA!!!'!$L$6="Opto por Idade Média",SEM!AW31,IF('DEFINA!!!'!$L$6="Opto pelo Valor aplicado ao  Ano de cada Carro",SEM!AX31,0))),IF('DEFINA!!!'!$L$6="D-E-F-I-N-A !!!!!!!",0,IF('DEFINA!!!'!$L$6="Opto por Idade Média",SEM!AU31,IF('DEFINA!!!'!$L$6="Opto pelo Valor aplicado ao  Ano de cada Carro",SEM!AV31,0)))))))</f>
        <v/>
      </c>
      <c r="AL31" s="6"/>
      <c r="AM31" s="79" t="str">
        <f t="shared" si="12"/>
        <v/>
      </c>
      <c r="AN31" s="12"/>
      <c r="AO31" s="12"/>
      <c r="AP31" s="14"/>
      <c r="AQ31" s="16"/>
      <c r="AR31" s="15"/>
      <c r="AU31" s="198" t="str">
        <f>IF(C31="","",VLOOKUP(FROTA!$AB$2,RECEBÍVEIS!$AA$11:$AB$43,2,0))</f>
        <v/>
      </c>
      <c r="AV31" s="198" t="str">
        <f>IF(C31="","",IF(C31=FROTA!Z31="","",VLOOKUP(FROTA!Z31,RECEBÍVEIS!$AA$11:$AB$43,2,0)))</f>
        <v/>
      </c>
      <c r="AW31" s="198" t="str">
        <f>IF(C31="","",VLOOKUP(FROTA!$AB$2,RECEBÍVEIS!$AA$11:$AC$43,3,0))</f>
        <v/>
      </c>
      <c r="AX31" s="198" t="str">
        <f>IF(C31="","",IF(C31=FROTA!Z31="","",VLOOKUP(FROTA!Z31,RECEBÍVEIS!$AA$11:$AC$43,3,0)))</f>
        <v/>
      </c>
    </row>
    <row r="32" spans="2:50" ht="17.25" customHeight="1" x14ac:dyDescent="0.2">
      <c r="B32" s="6"/>
      <c r="C32" s="49" t="str">
        <f>IF(FROTA!B32="","",FROTA!B32)</f>
        <v/>
      </c>
      <c r="D32" s="220" t="str">
        <f>IF(C32="","",VLOOKUP(SEM!C32,FROTA!$B$5:$C$305,2,0))</f>
        <v/>
      </c>
      <c r="E32" s="24" t="str">
        <f>IF(C32="","",VLOOKUP(C32,FROTA!$B$5:$H$305,7,0))</f>
        <v/>
      </c>
      <c r="F32" s="38" t="str">
        <f t="shared" si="2"/>
        <v/>
      </c>
      <c r="G32" s="71" t="str">
        <f t="shared" si="13"/>
        <v/>
      </c>
      <c r="H32" s="32" t="str">
        <f t="shared" si="3"/>
        <v/>
      </c>
      <c r="I32" s="73" t="str">
        <f t="shared" si="3"/>
        <v/>
      </c>
      <c r="J32" s="73" t="str">
        <f t="shared" si="3"/>
        <v/>
      </c>
      <c r="K32" s="73" t="str">
        <f t="shared" si="14"/>
        <v/>
      </c>
      <c r="L32" s="73" t="str">
        <f t="shared" si="14"/>
        <v/>
      </c>
      <c r="M32" s="73" t="str">
        <f t="shared" si="14"/>
        <v/>
      </c>
      <c r="N32" s="73" t="str">
        <f t="shared" si="14"/>
        <v/>
      </c>
      <c r="O32" s="73" t="str">
        <f t="shared" si="14"/>
        <v/>
      </c>
      <c r="P32" s="73" t="str">
        <f t="shared" si="14"/>
        <v/>
      </c>
      <c r="Q32" s="73" t="str">
        <f t="shared" si="14"/>
        <v/>
      </c>
      <c r="R32" s="73" t="str">
        <f t="shared" si="15"/>
        <v/>
      </c>
      <c r="S32" s="73" t="str">
        <f t="shared" si="15"/>
        <v/>
      </c>
      <c r="T32" s="73" t="str">
        <f t="shared" si="15"/>
        <v/>
      </c>
      <c r="U32" s="73" t="str">
        <f t="shared" si="15"/>
        <v/>
      </c>
      <c r="V32" s="73" t="str">
        <f t="shared" si="15"/>
        <v/>
      </c>
      <c r="W32" s="73" t="str">
        <f t="shared" si="15"/>
        <v/>
      </c>
      <c r="X32" s="73" t="str">
        <f t="shared" si="15"/>
        <v/>
      </c>
      <c r="Y32" s="73" t="str">
        <f t="shared" si="15"/>
        <v/>
      </c>
      <c r="Z32" s="73" t="str">
        <f t="shared" si="15"/>
        <v/>
      </c>
      <c r="AA32" s="73" t="str">
        <f t="shared" si="15"/>
        <v/>
      </c>
      <c r="AB32" s="74" t="str">
        <f t="shared" si="15"/>
        <v/>
      </c>
      <c r="AC32" s="35" t="str">
        <f t="shared" si="4"/>
        <v/>
      </c>
      <c r="AD32" s="40" t="str">
        <f t="shared" si="5"/>
        <v/>
      </c>
      <c r="AE32" s="37" t="str">
        <f t="shared" si="6"/>
        <v/>
      </c>
      <c r="AF32" s="40" t="str">
        <f t="shared" si="7"/>
        <v/>
      </c>
      <c r="AG32" s="37" t="str">
        <f t="shared" si="8"/>
        <v/>
      </c>
      <c r="AH32" s="40" t="str">
        <f t="shared" si="9"/>
        <v/>
      </c>
      <c r="AI32" s="37" t="str">
        <f t="shared" si="10"/>
        <v/>
      </c>
      <c r="AJ32" s="40" t="str">
        <f t="shared" si="11"/>
        <v/>
      </c>
      <c r="AK32" s="204" t="str">
        <f>IF(C32="","",IF(E32=FROTA!$AT$18,IF('DEFINA!!!'!$L$6="D-E-F-I-N-A !!!!!!!",0,IF('DEFINA!!!'!$L$6="Opto por Idade Média",SEM!AW32,IF('DEFINA!!!'!$L$6="Opto pelo Valor aplicado ao  Ano de cada Carro",SEM!AX32,0))),IF(E32=FROTA!$AT$17,IF('DEFINA!!!'!$L$6="D-E-F-I-N-A !!!!!!!",0,IF('DEFINA!!!'!$L$6="Opto por Idade Média",SEM!AW32,IF('DEFINA!!!'!$L$6="Opto pelo Valor aplicado ao  Ano de cada Carro",SEM!AX32,0))),IF(E32=FROTA!$AT$16,IF('DEFINA!!!'!$L$6="D-E-F-I-N-A !!!!!!!",0,IF('DEFINA!!!'!$L$6="Opto por Idade Média",SEM!AW32,IF('DEFINA!!!'!$L$6="Opto pelo Valor aplicado ao  Ano de cada Carro",SEM!AX32,0))),IF('DEFINA!!!'!$L$6="D-E-F-I-N-A !!!!!!!",0,IF('DEFINA!!!'!$L$6="Opto por Idade Média",SEM!AU32,IF('DEFINA!!!'!$L$6="Opto pelo Valor aplicado ao  Ano de cada Carro",SEM!AV32,0)))))))</f>
        <v/>
      </c>
      <c r="AL32" s="6"/>
      <c r="AM32" s="79" t="str">
        <f t="shared" si="12"/>
        <v/>
      </c>
      <c r="AN32" s="12"/>
      <c r="AO32" s="12"/>
      <c r="AP32" s="14"/>
      <c r="AQ32" s="16"/>
      <c r="AR32" s="15"/>
      <c r="AU32" s="198" t="str">
        <f>IF(C32="","",VLOOKUP(FROTA!$AB$2,RECEBÍVEIS!$AA$11:$AB$43,2,0))</f>
        <v/>
      </c>
      <c r="AV32" s="198" t="str">
        <f>IF(C32="","",IF(C32=FROTA!Z32="","",VLOOKUP(FROTA!Z32,RECEBÍVEIS!$AA$11:$AB$43,2,0)))</f>
        <v/>
      </c>
      <c r="AW32" s="198" t="str">
        <f>IF(C32="","",VLOOKUP(FROTA!$AB$2,RECEBÍVEIS!$AA$11:$AC$43,3,0))</f>
        <v/>
      </c>
      <c r="AX32" s="198" t="str">
        <f>IF(C32="","",IF(C32=FROTA!Z32="","",VLOOKUP(FROTA!Z32,RECEBÍVEIS!$AA$11:$AC$43,3,0)))</f>
        <v/>
      </c>
    </row>
    <row r="33" spans="2:50" ht="17.25" customHeight="1" x14ac:dyDescent="0.2">
      <c r="B33" s="6"/>
      <c r="C33" s="49" t="str">
        <f>IF(FROTA!B33="","",FROTA!B33)</f>
        <v/>
      </c>
      <c r="D33" s="220" t="str">
        <f>IF(C33="","",VLOOKUP(SEM!C33,FROTA!$B$5:$C$305,2,0))</f>
        <v/>
      </c>
      <c r="E33" s="24" t="str">
        <f>IF(C33="","",VLOOKUP(C33,FROTA!$B$5:$H$305,7,0))</f>
        <v/>
      </c>
      <c r="F33" s="38" t="str">
        <f t="shared" si="2"/>
        <v/>
      </c>
      <c r="G33" s="71" t="str">
        <f t="shared" si="13"/>
        <v/>
      </c>
      <c r="H33" s="32" t="str">
        <f t="shared" si="3"/>
        <v/>
      </c>
      <c r="I33" s="73" t="str">
        <f t="shared" si="3"/>
        <v/>
      </c>
      <c r="J33" s="73" t="str">
        <f t="shared" si="3"/>
        <v/>
      </c>
      <c r="K33" s="73" t="str">
        <f t="shared" si="14"/>
        <v/>
      </c>
      <c r="L33" s="73" t="str">
        <f t="shared" si="14"/>
        <v/>
      </c>
      <c r="M33" s="73" t="str">
        <f t="shared" si="14"/>
        <v/>
      </c>
      <c r="N33" s="73" t="str">
        <f t="shared" si="14"/>
        <v/>
      </c>
      <c r="O33" s="73" t="str">
        <f t="shared" si="14"/>
        <v/>
      </c>
      <c r="P33" s="73" t="str">
        <f t="shared" si="14"/>
        <v/>
      </c>
      <c r="Q33" s="73" t="str">
        <f t="shared" si="14"/>
        <v/>
      </c>
      <c r="R33" s="73" t="str">
        <f t="shared" si="15"/>
        <v/>
      </c>
      <c r="S33" s="73" t="str">
        <f t="shared" si="15"/>
        <v/>
      </c>
      <c r="T33" s="73" t="str">
        <f t="shared" si="15"/>
        <v/>
      </c>
      <c r="U33" s="73" t="str">
        <f t="shared" si="15"/>
        <v/>
      </c>
      <c r="V33" s="73" t="str">
        <f t="shared" si="15"/>
        <v/>
      </c>
      <c r="W33" s="73" t="str">
        <f t="shared" si="15"/>
        <v/>
      </c>
      <c r="X33" s="73" t="str">
        <f t="shared" si="15"/>
        <v/>
      </c>
      <c r="Y33" s="73" t="str">
        <f t="shared" si="15"/>
        <v/>
      </c>
      <c r="Z33" s="73" t="str">
        <f t="shared" si="15"/>
        <v/>
      </c>
      <c r="AA33" s="73" t="str">
        <f t="shared" si="15"/>
        <v/>
      </c>
      <c r="AB33" s="74" t="str">
        <f t="shared" si="15"/>
        <v/>
      </c>
      <c r="AC33" s="35" t="str">
        <f t="shared" si="4"/>
        <v/>
      </c>
      <c r="AD33" s="40" t="str">
        <f t="shared" si="5"/>
        <v/>
      </c>
      <c r="AE33" s="37" t="str">
        <f t="shared" si="6"/>
        <v/>
      </c>
      <c r="AF33" s="40" t="str">
        <f t="shared" si="7"/>
        <v/>
      </c>
      <c r="AG33" s="37" t="str">
        <f t="shared" si="8"/>
        <v/>
      </c>
      <c r="AH33" s="40" t="str">
        <f t="shared" si="9"/>
        <v/>
      </c>
      <c r="AI33" s="37" t="str">
        <f t="shared" si="10"/>
        <v/>
      </c>
      <c r="AJ33" s="40" t="str">
        <f t="shared" si="11"/>
        <v/>
      </c>
      <c r="AK33" s="204" t="str">
        <f>IF(C33="","",IF(E33=FROTA!$AT$18,IF('DEFINA!!!'!$L$6="D-E-F-I-N-A !!!!!!!",0,IF('DEFINA!!!'!$L$6="Opto por Idade Média",SEM!AW33,IF('DEFINA!!!'!$L$6="Opto pelo Valor aplicado ao  Ano de cada Carro",SEM!AX33,0))),IF(E33=FROTA!$AT$17,IF('DEFINA!!!'!$L$6="D-E-F-I-N-A !!!!!!!",0,IF('DEFINA!!!'!$L$6="Opto por Idade Média",SEM!AW33,IF('DEFINA!!!'!$L$6="Opto pelo Valor aplicado ao  Ano de cada Carro",SEM!AX33,0))),IF(E33=FROTA!$AT$16,IF('DEFINA!!!'!$L$6="D-E-F-I-N-A !!!!!!!",0,IF('DEFINA!!!'!$L$6="Opto por Idade Média",SEM!AW33,IF('DEFINA!!!'!$L$6="Opto pelo Valor aplicado ao  Ano de cada Carro",SEM!AX33,0))),IF('DEFINA!!!'!$L$6="D-E-F-I-N-A !!!!!!!",0,IF('DEFINA!!!'!$L$6="Opto por Idade Média",SEM!AU33,IF('DEFINA!!!'!$L$6="Opto pelo Valor aplicado ao  Ano de cada Carro",SEM!AV33,0)))))))</f>
        <v/>
      </c>
      <c r="AL33" s="6"/>
      <c r="AM33" s="79" t="str">
        <f t="shared" si="12"/>
        <v/>
      </c>
      <c r="AN33" s="12"/>
      <c r="AO33" s="12"/>
      <c r="AP33" s="14"/>
      <c r="AQ33" s="16"/>
      <c r="AR33" s="15"/>
      <c r="AU33" s="198" t="str">
        <f>IF(C33="","",VLOOKUP(FROTA!$AB$2,RECEBÍVEIS!$AA$11:$AB$43,2,0))</f>
        <v/>
      </c>
      <c r="AV33" s="198" t="str">
        <f>IF(C33="","",IF(C33=FROTA!Z33="","",VLOOKUP(FROTA!Z33,RECEBÍVEIS!$AA$11:$AB$43,2,0)))</f>
        <v/>
      </c>
      <c r="AW33" s="198" t="str">
        <f>IF(C33="","",VLOOKUP(FROTA!$AB$2,RECEBÍVEIS!$AA$11:$AC$43,3,0))</f>
        <v/>
      </c>
      <c r="AX33" s="198" t="str">
        <f>IF(C33="","",IF(C33=FROTA!Z33="","",VLOOKUP(FROTA!Z33,RECEBÍVEIS!$AA$11:$AC$43,3,0)))</f>
        <v/>
      </c>
    </row>
    <row r="34" spans="2:50" ht="17.25" customHeight="1" x14ac:dyDescent="0.2">
      <c r="B34" s="6"/>
      <c r="C34" s="49" t="str">
        <f>IF(FROTA!B34="","",FROTA!B34)</f>
        <v/>
      </c>
      <c r="D34" s="220" t="str">
        <f>IF(C34="","",VLOOKUP(SEM!C34,FROTA!$B$5:$C$305,2,0))</f>
        <v/>
      </c>
      <c r="E34" s="24" t="str">
        <f>IF(C34="","",VLOOKUP(C34,FROTA!$B$5:$H$305,7,0))</f>
        <v/>
      </c>
      <c r="F34" s="38" t="str">
        <f t="shared" si="2"/>
        <v/>
      </c>
      <c r="G34" s="71" t="str">
        <f t="shared" si="13"/>
        <v/>
      </c>
      <c r="H34" s="32" t="str">
        <f t="shared" si="3"/>
        <v/>
      </c>
      <c r="I34" s="73" t="str">
        <f t="shared" si="3"/>
        <v/>
      </c>
      <c r="J34" s="73" t="str">
        <f t="shared" si="3"/>
        <v/>
      </c>
      <c r="K34" s="73" t="str">
        <f t="shared" si="14"/>
        <v/>
      </c>
      <c r="L34" s="73" t="str">
        <f t="shared" si="14"/>
        <v/>
      </c>
      <c r="M34" s="73" t="str">
        <f t="shared" si="14"/>
        <v/>
      </c>
      <c r="N34" s="73" t="str">
        <f t="shared" si="14"/>
        <v/>
      </c>
      <c r="O34" s="73" t="str">
        <f t="shared" si="14"/>
        <v/>
      </c>
      <c r="P34" s="73" t="str">
        <f t="shared" si="14"/>
        <v/>
      </c>
      <c r="Q34" s="73" t="str">
        <f t="shared" si="14"/>
        <v/>
      </c>
      <c r="R34" s="73" t="str">
        <f t="shared" si="15"/>
        <v/>
      </c>
      <c r="S34" s="73" t="str">
        <f t="shared" si="15"/>
        <v/>
      </c>
      <c r="T34" s="73" t="str">
        <f t="shared" si="15"/>
        <v/>
      </c>
      <c r="U34" s="73" t="str">
        <f t="shared" si="15"/>
        <v/>
      </c>
      <c r="V34" s="73" t="str">
        <f t="shared" si="15"/>
        <v/>
      </c>
      <c r="W34" s="73" t="str">
        <f t="shared" si="15"/>
        <v/>
      </c>
      <c r="X34" s="73" t="str">
        <f t="shared" si="15"/>
        <v/>
      </c>
      <c r="Y34" s="73" t="str">
        <f t="shared" si="15"/>
        <v/>
      </c>
      <c r="Z34" s="73" t="str">
        <f t="shared" si="15"/>
        <v/>
      </c>
      <c r="AA34" s="73" t="str">
        <f t="shared" si="15"/>
        <v/>
      </c>
      <c r="AB34" s="74" t="str">
        <f t="shared" si="15"/>
        <v/>
      </c>
      <c r="AC34" s="35" t="str">
        <f t="shared" si="4"/>
        <v/>
      </c>
      <c r="AD34" s="40" t="str">
        <f t="shared" si="5"/>
        <v/>
      </c>
      <c r="AE34" s="37" t="str">
        <f t="shared" si="6"/>
        <v/>
      </c>
      <c r="AF34" s="40" t="str">
        <f t="shared" si="7"/>
        <v/>
      </c>
      <c r="AG34" s="37" t="str">
        <f t="shared" si="8"/>
        <v/>
      </c>
      <c r="AH34" s="40" t="str">
        <f t="shared" si="9"/>
        <v/>
      </c>
      <c r="AI34" s="37" t="str">
        <f t="shared" si="10"/>
        <v/>
      </c>
      <c r="AJ34" s="40" t="str">
        <f t="shared" si="11"/>
        <v/>
      </c>
      <c r="AK34" s="204" t="str">
        <f>IF(C34="","",IF(E34=FROTA!$AT$18,IF('DEFINA!!!'!$L$6="D-E-F-I-N-A !!!!!!!",0,IF('DEFINA!!!'!$L$6="Opto por Idade Média",SEM!AW34,IF('DEFINA!!!'!$L$6="Opto pelo Valor aplicado ao  Ano de cada Carro",SEM!AX34,0))),IF(E34=FROTA!$AT$17,IF('DEFINA!!!'!$L$6="D-E-F-I-N-A !!!!!!!",0,IF('DEFINA!!!'!$L$6="Opto por Idade Média",SEM!AW34,IF('DEFINA!!!'!$L$6="Opto pelo Valor aplicado ao  Ano de cada Carro",SEM!AX34,0))),IF(E34=FROTA!$AT$16,IF('DEFINA!!!'!$L$6="D-E-F-I-N-A !!!!!!!",0,IF('DEFINA!!!'!$L$6="Opto por Idade Média",SEM!AW34,IF('DEFINA!!!'!$L$6="Opto pelo Valor aplicado ao  Ano de cada Carro",SEM!AX34,0))),IF('DEFINA!!!'!$L$6="D-E-F-I-N-A !!!!!!!",0,IF('DEFINA!!!'!$L$6="Opto por Idade Média",SEM!AU34,IF('DEFINA!!!'!$L$6="Opto pelo Valor aplicado ao  Ano de cada Carro",SEM!AV34,0)))))))</f>
        <v/>
      </c>
      <c r="AL34" s="6"/>
      <c r="AM34" s="79" t="str">
        <f t="shared" si="12"/>
        <v/>
      </c>
      <c r="AN34" s="12"/>
      <c r="AO34" s="12"/>
      <c r="AP34" s="14"/>
      <c r="AQ34" s="16"/>
      <c r="AR34" s="15"/>
      <c r="AU34" s="198" t="str">
        <f>IF(C34="","",VLOOKUP(FROTA!$AB$2,RECEBÍVEIS!$AA$11:$AB$43,2,0))</f>
        <v/>
      </c>
      <c r="AV34" s="198" t="str">
        <f>IF(C34="","",IF(C34=FROTA!Z34="","",VLOOKUP(FROTA!Z34,RECEBÍVEIS!$AA$11:$AB$43,2,0)))</f>
        <v/>
      </c>
      <c r="AW34" s="198" t="str">
        <f>IF(C34="","",VLOOKUP(FROTA!$AB$2,RECEBÍVEIS!$AA$11:$AC$43,3,0))</f>
        <v/>
      </c>
      <c r="AX34" s="198" t="str">
        <f>IF(C34="","",IF(C34=FROTA!Z34="","",VLOOKUP(FROTA!Z34,RECEBÍVEIS!$AA$11:$AC$43,3,0)))</f>
        <v/>
      </c>
    </row>
    <row r="35" spans="2:50" ht="17.25" customHeight="1" x14ac:dyDescent="0.2">
      <c r="B35" s="6"/>
      <c r="C35" s="49" t="str">
        <f>IF(FROTA!B35="","",FROTA!B35)</f>
        <v/>
      </c>
      <c r="D35" s="220" t="str">
        <f>IF(C35="","",VLOOKUP(SEM!C35,FROTA!$B$5:$C$305,2,0))</f>
        <v/>
      </c>
      <c r="E35" s="24" t="str">
        <f>IF(C35="","",VLOOKUP(C35,FROTA!$B$5:$H$305,7,0))</f>
        <v/>
      </c>
      <c r="F35" s="38" t="str">
        <f t="shared" si="2"/>
        <v/>
      </c>
      <c r="G35" s="71" t="str">
        <f t="shared" si="13"/>
        <v/>
      </c>
      <c r="H35" s="32" t="str">
        <f t="shared" si="3"/>
        <v/>
      </c>
      <c r="I35" s="73" t="str">
        <f t="shared" si="3"/>
        <v/>
      </c>
      <c r="J35" s="73" t="str">
        <f t="shared" si="3"/>
        <v/>
      </c>
      <c r="K35" s="73" t="str">
        <f t="shared" si="14"/>
        <v/>
      </c>
      <c r="L35" s="73" t="str">
        <f t="shared" si="14"/>
        <v/>
      </c>
      <c r="M35" s="73" t="str">
        <f t="shared" si="14"/>
        <v/>
      </c>
      <c r="N35" s="73" t="str">
        <f t="shared" si="14"/>
        <v/>
      </c>
      <c r="O35" s="73" t="str">
        <f t="shared" si="14"/>
        <v/>
      </c>
      <c r="P35" s="73" t="str">
        <f t="shared" si="14"/>
        <v/>
      </c>
      <c r="Q35" s="73" t="str">
        <f t="shared" si="14"/>
        <v/>
      </c>
      <c r="R35" s="73" t="str">
        <f t="shared" si="15"/>
        <v/>
      </c>
      <c r="S35" s="73" t="str">
        <f t="shared" si="15"/>
        <v/>
      </c>
      <c r="T35" s="73" t="str">
        <f t="shared" si="15"/>
        <v/>
      </c>
      <c r="U35" s="73" t="str">
        <f t="shared" si="15"/>
        <v/>
      </c>
      <c r="V35" s="73" t="str">
        <f t="shared" si="15"/>
        <v/>
      </c>
      <c r="W35" s="73" t="str">
        <f t="shared" si="15"/>
        <v/>
      </c>
      <c r="X35" s="73" t="str">
        <f t="shared" si="15"/>
        <v/>
      </c>
      <c r="Y35" s="73" t="str">
        <f t="shared" si="15"/>
        <v/>
      </c>
      <c r="Z35" s="73" t="str">
        <f t="shared" si="15"/>
        <v/>
      </c>
      <c r="AA35" s="73" t="str">
        <f t="shared" si="15"/>
        <v/>
      </c>
      <c r="AB35" s="74" t="str">
        <f t="shared" si="15"/>
        <v/>
      </c>
      <c r="AC35" s="35" t="str">
        <f t="shared" si="4"/>
        <v/>
      </c>
      <c r="AD35" s="40" t="str">
        <f t="shared" si="5"/>
        <v/>
      </c>
      <c r="AE35" s="37" t="str">
        <f t="shared" si="6"/>
        <v/>
      </c>
      <c r="AF35" s="40" t="str">
        <f t="shared" si="7"/>
        <v/>
      </c>
      <c r="AG35" s="37" t="str">
        <f t="shared" si="8"/>
        <v/>
      </c>
      <c r="AH35" s="40" t="str">
        <f t="shared" si="9"/>
        <v/>
      </c>
      <c r="AI35" s="37" t="str">
        <f t="shared" si="10"/>
        <v/>
      </c>
      <c r="AJ35" s="40" t="str">
        <f t="shared" si="11"/>
        <v/>
      </c>
      <c r="AK35" s="204" t="str">
        <f>IF(C35="","",IF(E35=FROTA!$AT$18,IF('DEFINA!!!'!$L$6="D-E-F-I-N-A !!!!!!!",0,IF('DEFINA!!!'!$L$6="Opto por Idade Média",SEM!AW35,IF('DEFINA!!!'!$L$6="Opto pelo Valor aplicado ao  Ano de cada Carro",SEM!AX35,0))),IF(E35=FROTA!$AT$17,IF('DEFINA!!!'!$L$6="D-E-F-I-N-A !!!!!!!",0,IF('DEFINA!!!'!$L$6="Opto por Idade Média",SEM!AW35,IF('DEFINA!!!'!$L$6="Opto pelo Valor aplicado ao  Ano de cada Carro",SEM!AX35,0))),IF(E35=FROTA!$AT$16,IF('DEFINA!!!'!$L$6="D-E-F-I-N-A !!!!!!!",0,IF('DEFINA!!!'!$L$6="Opto por Idade Média",SEM!AW35,IF('DEFINA!!!'!$L$6="Opto pelo Valor aplicado ao  Ano de cada Carro",SEM!AX35,0))),IF('DEFINA!!!'!$L$6="D-E-F-I-N-A !!!!!!!",0,IF('DEFINA!!!'!$L$6="Opto por Idade Média",SEM!AU35,IF('DEFINA!!!'!$L$6="Opto pelo Valor aplicado ao  Ano de cada Carro",SEM!AV35,0)))))))</f>
        <v/>
      </c>
      <c r="AL35" s="6"/>
      <c r="AM35" s="79" t="str">
        <f t="shared" si="12"/>
        <v/>
      </c>
      <c r="AN35" s="12"/>
      <c r="AO35" s="12"/>
      <c r="AP35" s="14"/>
      <c r="AQ35" s="16"/>
      <c r="AR35" s="15"/>
      <c r="AU35" s="198" t="str">
        <f>IF(C35="","",VLOOKUP(FROTA!$AB$2,RECEBÍVEIS!$AA$11:$AB$43,2,0))</f>
        <v/>
      </c>
      <c r="AV35" s="198" t="str">
        <f>IF(C35="","",IF(C35=FROTA!Z35="","",VLOOKUP(FROTA!Z35,RECEBÍVEIS!$AA$11:$AB$43,2,0)))</f>
        <v/>
      </c>
      <c r="AW35" s="198" t="str">
        <f>IF(C35="","",VLOOKUP(FROTA!$AB$2,RECEBÍVEIS!$AA$11:$AC$43,3,0))</f>
        <v/>
      </c>
      <c r="AX35" s="198" t="str">
        <f>IF(C35="","",IF(C35=FROTA!Z35="","",VLOOKUP(FROTA!Z35,RECEBÍVEIS!$AA$11:$AC$43,3,0)))</f>
        <v/>
      </c>
    </row>
    <row r="36" spans="2:50" ht="17.25" customHeight="1" x14ac:dyDescent="0.2">
      <c r="B36" s="6"/>
      <c r="C36" s="49" t="str">
        <f>IF(FROTA!B36="","",FROTA!B36)</f>
        <v/>
      </c>
      <c r="D36" s="220" t="str">
        <f>IF(C36="","",VLOOKUP(SEM!C36,FROTA!$B$5:$C$305,2,0))</f>
        <v/>
      </c>
      <c r="E36" s="24" t="str">
        <f>IF(C36="","",VLOOKUP(C36,FROTA!$B$5:$H$305,7,0))</f>
        <v/>
      </c>
      <c r="F36" s="38" t="str">
        <f t="shared" si="2"/>
        <v/>
      </c>
      <c r="G36" s="71" t="str">
        <f t="shared" si="13"/>
        <v/>
      </c>
      <c r="H36" s="32" t="str">
        <f t="shared" si="3"/>
        <v/>
      </c>
      <c r="I36" s="73" t="str">
        <f t="shared" si="3"/>
        <v/>
      </c>
      <c r="J36" s="73" t="str">
        <f t="shared" si="3"/>
        <v/>
      </c>
      <c r="K36" s="73" t="str">
        <f t="shared" si="14"/>
        <v/>
      </c>
      <c r="L36" s="73" t="str">
        <f t="shared" si="14"/>
        <v/>
      </c>
      <c r="M36" s="73" t="str">
        <f t="shared" si="14"/>
        <v/>
      </c>
      <c r="N36" s="73" t="str">
        <f t="shared" si="14"/>
        <v/>
      </c>
      <c r="O36" s="73" t="str">
        <f t="shared" si="14"/>
        <v/>
      </c>
      <c r="P36" s="73" t="str">
        <f t="shared" si="14"/>
        <v/>
      </c>
      <c r="Q36" s="73" t="str">
        <f t="shared" si="14"/>
        <v/>
      </c>
      <c r="R36" s="73" t="str">
        <f t="shared" si="15"/>
        <v/>
      </c>
      <c r="S36" s="73" t="str">
        <f t="shared" si="15"/>
        <v/>
      </c>
      <c r="T36" s="73" t="str">
        <f t="shared" si="15"/>
        <v/>
      </c>
      <c r="U36" s="73" t="str">
        <f t="shared" si="15"/>
        <v/>
      </c>
      <c r="V36" s="73" t="str">
        <f t="shared" si="15"/>
        <v/>
      </c>
      <c r="W36" s="73" t="str">
        <f t="shared" si="15"/>
        <v/>
      </c>
      <c r="X36" s="73" t="str">
        <f t="shared" si="15"/>
        <v/>
      </c>
      <c r="Y36" s="73" t="str">
        <f t="shared" si="15"/>
        <v/>
      </c>
      <c r="Z36" s="73" t="str">
        <f t="shared" si="15"/>
        <v/>
      </c>
      <c r="AA36" s="73" t="str">
        <f t="shared" si="15"/>
        <v/>
      </c>
      <c r="AB36" s="74" t="str">
        <f t="shared" si="15"/>
        <v/>
      </c>
      <c r="AC36" s="35" t="str">
        <f t="shared" si="4"/>
        <v/>
      </c>
      <c r="AD36" s="40" t="str">
        <f t="shared" si="5"/>
        <v/>
      </c>
      <c r="AE36" s="37" t="str">
        <f t="shared" si="6"/>
        <v/>
      </c>
      <c r="AF36" s="40" t="str">
        <f t="shared" si="7"/>
        <v/>
      </c>
      <c r="AG36" s="37" t="str">
        <f t="shared" si="8"/>
        <v/>
      </c>
      <c r="AH36" s="40" t="str">
        <f t="shared" si="9"/>
        <v/>
      </c>
      <c r="AI36" s="37" t="str">
        <f t="shared" si="10"/>
        <v/>
      </c>
      <c r="AJ36" s="40" t="str">
        <f t="shared" si="11"/>
        <v/>
      </c>
      <c r="AK36" s="204" t="str">
        <f>IF(C36="","",IF(E36=FROTA!$AT$18,IF('DEFINA!!!'!$L$6="D-E-F-I-N-A !!!!!!!",0,IF('DEFINA!!!'!$L$6="Opto por Idade Média",SEM!AW36,IF('DEFINA!!!'!$L$6="Opto pelo Valor aplicado ao  Ano de cada Carro",SEM!AX36,0))),IF(E36=FROTA!$AT$17,IF('DEFINA!!!'!$L$6="D-E-F-I-N-A !!!!!!!",0,IF('DEFINA!!!'!$L$6="Opto por Idade Média",SEM!AW36,IF('DEFINA!!!'!$L$6="Opto pelo Valor aplicado ao  Ano de cada Carro",SEM!AX36,0))),IF(E36=FROTA!$AT$16,IF('DEFINA!!!'!$L$6="D-E-F-I-N-A !!!!!!!",0,IF('DEFINA!!!'!$L$6="Opto por Idade Média",SEM!AW36,IF('DEFINA!!!'!$L$6="Opto pelo Valor aplicado ao  Ano de cada Carro",SEM!AX36,0))),IF('DEFINA!!!'!$L$6="D-E-F-I-N-A !!!!!!!",0,IF('DEFINA!!!'!$L$6="Opto por Idade Média",SEM!AU36,IF('DEFINA!!!'!$L$6="Opto pelo Valor aplicado ao  Ano de cada Carro",SEM!AV36,0)))))))</f>
        <v/>
      </c>
      <c r="AL36" s="6"/>
      <c r="AM36" s="79" t="str">
        <f t="shared" si="12"/>
        <v/>
      </c>
      <c r="AN36" s="12"/>
      <c r="AO36" s="12"/>
      <c r="AP36" s="14"/>
      <c r="AQ36" s="16"/>
      <c r="AR36" s="15"/>
      <c r="AU36" s="198" t="str">
        <f>IF(C36="","",VLOOKUP(FROTA!$AB$2,RECEBÍVEIS!$AA$11:$AB$43,2,0))</f>
        <v/>
      </c>
      <c r="AV36" s="198" t="str">
        <f>IF(C36="","",IF(C36=FROTA!Z36="","",VLOOKUP(FROTA!Z36,RECEBÍVEIS!$AA$11:$AB$43,2,0)))</f>
        <v/>
      </c>
      <c r="AW36" s="198" t="str">
        <f>IF(C36="","",VLOOKUP(FROTA!$AB$2,RECEBÍVEIS!$AA$11:$AC$43,3,0))</f>
        <v/>
      </c>
      <c r="AX36" s="198" t="str">
        <f>IF(C36="","",IF(C36=FROTA!Z36="","",VLOOKUP(FROTA!Z36,RECEBÍVEIS!$AA$11:$AC$43,3,0)))</f>
        <v/>
      </c>
    </row>
    <row r="37" spans="2:50" ht="17.25" customHeight="1" x14ac:dyDescent="0.2">
      <c r="B37" s="6"/>
      <c r="C37" s="49" t="str">
        <f>IF(FROTA!B37="","",FROTA!B37)</f>
        <v/>
      </c>
      <c r="D37" s="220" t="str">
        <f>IF(C37="","",VLOOKUP(SEM!C37,FROTA!$B$5:$C$305,2,0))</f>
        <v/>
      </c>
      <c r="E37" s="24" t="str">
        <f>IF(C37="","",VLOOKUP(C37,FROTA!$B$5:$H$305,7,0))</f>
        <v/>
      </c>
      <c r="F37" s="38" t="str">
        <f t="shared" si="2"/>
        <v/>
      </c>
      <c r="G37" s="71" t="str">
        <f t="shared" si="13"/>
        <v/>
      </c>
      <c r="H37" s="32" t="str">
        <f t="shared" si="3"/>
        <v/>
      </c>
      <c r="I37" s="73" t="str">
        <f t="shared" si="3"/>
        <v/>
      </c>
      <c r="J37" s="73" t="str">
        <f t="shared" si="3"/>
        <v/>
      </c>
      <c r="K37" s="73" t="str">
        <f t="shared" si="14"/>
        <v/>
      </c>
      <c r="L37" s="73" t="str">
        <f t="shared" si="14"/>
        <v/>
      </c>
      <c r="M37" s="73" t="str">
        <f t="shared" si="14"/>
        <v/>
      </c>
      <c r="N37" s="73" t="str">
        <f t="shared" si="14"/>
        <v/>
      </c>
      <c r="O37" s="73" t="str">
        <f t="shared" si="14"/>
        <v/>
      </c>
      <c r="P37" s="73" t="str">
        <f t="shared" si="14"/>
        <v/>
      </c>
      <c r="Q37" s="73" t="str">
        <f t="shared" si="14"/>
        <v/>
      </c>
      <c r="R37" s="73" t="str">
        <f t="shared" si="15"/>
        <v/>
      </c>
      <c r="S37" s="73" t="str">
        <f t="shared" si="15"/>
        <v/>
      </c>
      <c r="T37" s="73" t="str">
        <f t="shared" si="15"/>
        <v/>
      </c>
      <c r="U37" s="73" t="str">
        <f t="shared" si="15"/>
        <v/>
      </c>
      <c r="V37" s="73" t="str">
        <f t="shared" si="15"/>
        <v/>
      </c>
      <c r="W37" s="73" t="str">
        <f t="shared" si="15"/>
        <v/>
      </c>
      <c r="X37" s="73" t="str">
        <f t="shared" si="15"/>
        <v/>
      </c>
      <c r="Y37" s="73" t="str">
        <f t="shared" si="15"/>
        <v/>
      </c>
      <c r="Z37" s="73" t="str">
        <f t="shared" si="15"/>
        <v/>
      </c>
      <c r="AA37" s="73" t="str">
        <f t="shared" si="15"/>
        <v/>
      </c>
      <c r="AB37" s="74" t="str">
        <f t="shared" si="15"/>
        <v/>
      </c>
      <c r="AC37" s="35" t="str">
        <f t="shared" si="4"/>
        <v/>
      </c>
      <c r="AD37" s="40" t="str">
        <f t="shared" si="5"/>
        <v/>
      </c>
      <c r="AE37" s="37" t="str">
        <f t="shared" si="6"/>
        <v/>
      </c>
      <c r="AF37" s="40" t="str">
        <f t="shared" si="7"/>
        <v/>
      </c>
      <c r="AG37" s="37" t="str">
        <f t="shared" si="8"/>
        <v/>
      </c>
      <c r="AH37" s="40" t="str">
        <f t="shared" si="9"/>
        <v/>
      </c>
      <c r="AI37" s="37" t="str">
        <f t="shared" si="10"/>
        <v/>
      </c>
      <c r="AJ37" s="40" t="str">
        <f t="shared" si="11"/>
        <v/>
      </c>
      <c r="AK37" s="204" t="str">
        <f>IF(C37="","",IF(E37=FROTA!$AT$18,IF('DEFINA!!!'!$L$6="D-E-F-I-N-A !!!!!!!",0,IF('DEFINA!!!'!$L$6="Opto por Idade Média",SEM!AW37,IF('DEFINA!!!'!$L$6="Opto pelo Valor aplicado ao  Ano de cada Carro",SEM!AX37,0))),IF(E37=FROTA!$AT$17,IF('DEFINA!!!'!$L$6="D-E-F-I-N-A !!!!!!!",0,IF('DEFINA!!!'!$L$6="Opto por Idade Média",SEM!AW37,IF('DEFINA!!!'!$L$6="Opto pelo Valor aplicado ao  Ano de cada Carro",SEM!AX37,0))),IF(E37=FROTA!$AT$16,IF('DEFINA!!!'!$L$6="D-E-F-I-N-A !!!!!!!",0,IF('DEFINA!!!'!$L$6="Opto por Idade Média",SEM!AW37,IF('DEFINA!!!'!$L$6="Opto pelo Valor aplicado ao  Ano de cada Carro",SEM!AX37,0))),IF('DEFINA!!!'!$L$6="D-E-F-I-N-A !!!!!!!",0,IF('DEFINA!!!'!$L$6="Opto por Idade Média",SEM!AU37,IF('DEFINA!!!'!$L$6="Opto pelo Valor aplicado ao  Ano de cada Carro",SEM!AV37,0)))))))</f>
        <v/>
      </c>
      <c r="AL37" s="6"/>
      <c r="AM37" s="79" t="str">
        <f t="shared" si="12"/>
        <v/>
      </c>
      <c r="AN37" s="12"/>
      <c r="AO37" s="12"/>
      <c r="AP37" s="14"/>
      <c r="AQ37" s="16"/>
      <c r="AR37" s="15"/>
      <c r="AU37" s="198" t="str">
        <f>IF(C37="","",VLOOKUP(FROTA!$AB$2,RECEBÍVEIS!$AA$11:$AB$43,2,0))</f>
        <v/>
      </c>
      <c r="AV37" s="198" t="str">
        <f>IF(C37="","",IF(C37=FROTA!Z37="","",VLOOKUP(FROTA!Z37,RECEBÍVEIS!$AA$11:$AB$43,2,0)))</f>
        <v/>
      </c>
      <c r="AW37" s="198" t="str">
        <f>IF(C37="","",VLOOKUP(FROTA!$AB$2,RECEBÍVEIS!$AA$11:$AC$43,3,0))</f>
        <v/>
      </c>
      <c r="AX37" s="198" t="str">
        <f>IF(C37="","",IF(C37=FROTA!Z37="","",VLOOKUP(FROTA!Z37,RECEBÍVEIS!$AA$11:$AC$43,3,0)))</f>
        <v/>
      </c>
    </row>
    <row r="38" spans="2:50" ht="17.25" customHeight="1" x14ac:dyDescent="0.2">
      <c r="B38" s="6"/>
      <c r="C38" s="49" t="str">
        <f>IF(FROTA!B38="","",FROTA!B38)</f>
        <v/>
      </c>
      <c r="D38" s="220" t="str">
        <f>IF(C38="","",VLOOKUP(SEM!C38,FROTA!$B$5:$C$305,2,0))</f>
        <v/>
      </c>
      <c r="E38" s="24" t="str">
        <f>IF(C38="","",VLOOKUP(C38,FROTA!$B$5:$H$305,7,0))</f>
        <v/>
      </c>
      <c r="F38" s="38" t="str">
        <f t="shared" si="2"/>
        <v/>
      </c>
      <c r="G38" s="71" t="str">
        <f t="shared" si="13"/>
        <v/>
      </c>
      <c r="H38" s="32" t="str">
        <f t="shared" si="3"/>
        <v/>
      </c>
      <c r="I38" s="73" t="str">
        <f t="shared" si="3"/>
        <v/>
      </c>
      <c r="J38" s="73" t="str">
        <f t="shared" si="3"/>
        <v/>
      </c>
      <c r="K38" s="73" t="str">
        <f t="shared" si="14"/>
        <v/>
      </c>
      <c r="L38" s="73" t="str">
        <f t="shared" si="14"/>
        <v/>
      </c>
      <c r="M38" s="73" t="str">
        <f t="shared" si="14"/>
        <v/>
      </c>
      <c r="N38" s="73" t="str">
        <f t="shared" si="14"/>
        <v/>
      </c>
      <c r="O38" s="73" t="str">
        <f t="shared" si="14"/>
        <v/>
      </c>
      <c r="P38" s="73" t="str">
        <f t="shared" si="14"/>
        <v/>
      </c>
      <c r="Q38" s="73" t="str">
        <f t="shared" si="14"/>
        <v/>
      </c>
      <c r="R38" s="73" t="str">
        <f t="shared" si="15"/>
        <v/>
      </c>
      <c r="S38" s="73" t="str">
        <f t="shared" si="15"/>
        <v/>
      </c>
      <c r="T38" s="73" t="str">
        <f t="shared" si="15"/>
        <v/>
      </c>
      <c r="U38" s="73" t="str">
        <f t="shared" si="15"/>
        <v/>
      </c>
      <c r="V38" s="73" t="str">
        <f t="shared" si="15"/>
        <v/>
      </c>
      <c r="W38" s="73" t="str">
        <f t="shared" si="15"/>
        <v/>
      </c>
      <c r="X38" s="73" t="str">
        <f t="shared" si="15"/>
        <v/>
      </c>
      <c r="Y38" s="73" t="str">
        <f t="shared" si="15"/>
        <v/>
      </c>
      <c r="Z38" s="73" t="str">
        <f t="shared" si="15"/>
        <v/>
      </c>
      <c r="AA38" s="73" t="str">
        <f t="shared" si="15"/>
        <v/>
      </c>
      <c r="AB38" s="74" t="str">
        <f t="shared" si="15"/>
        <v/>
      </c>
      <c r="AC38" s="35" t="str">
        <f t="shared" si="4"/>
        <v/>
      </c>
      <c r="AD38" s="40" t="str">
        <f t="shared" si="5"/>
        <v/>
      </c>
      <c r="AE38" s="37" t="str">
        <f t="shared" si="6"/>
        <v/>
      </c>
      <c r="AF38" s="40" t="str">
        <f t="shared" si="7"/>
        <v/>
      </c>
      <c r="AG38" s="37" t="str">
        <f t="shared" si="8"/>
        <v/>
      </c>
      <c r="AH38" s="40" t="str">
        <f t="shared" si="9"/>
        <v/>
      </c>
      <c r="AI38" s="37" t="str">
        <f t="shared" si="10"/>
        <v/>
      </c>
      <c r="AJ38" s="40" t="str">
        <f t="shared" si="11"/>
        <v/>
      </c>
      <c r="AK38" s="204" t="str">
        <f>IF(C38="","",IF(E38=FROTA!$AT$18,IF('DEFINA!!!'!$L$6="D-E-F-I-N-A !!!!!!!",0,IF('DEFINA!!!'!$L$6="Opto por Idade Média",SEM!AW38,IF('DEFINA!!!'!$L$6="Opto pelo Valor aplicado ao  Ano de cada Carro",SEM!AX38,0))),IF(E38=FROTA!$AT$17,IF('DEFINA!!!'!$L$6="D-E-F-I-N-A !!!!!!!",0,IF('DEFINA!!!'!$L$6="Opto por Idade Média",SEM!AW38,IF('DEFINA!!!'!$L$6="Opto pelo Valor aplicado ao  Ano de cada Carro",SEM!AX38,0))),IF(E38=FROTA!$AT$16,IF('DEFINA!!!'!$L$6="D-E-F-I-N-A !!!!!!!",0,IF('DEFINA!!!'!$L$6="Opto por Idade Média",SEM!AW38,IF('DEFINA!!!'!$L$6="Opto pelo Valor aplicado ao  Ano de cada Carro",SEM!AX38,0))),IF('DEFINA!!!'!$L$6="D-E-F-I-N-A !!!!!!!",0,IF('DEFINA!!!'!$L$6="Opto por Idade Média",SEM!AU38,IF('DEFINA!!!'!$L$6="Opto pelo Valor aplicado ao  Ano de cada Carro",SEM!AV38,0)))))))</f>
        <v/>
      </c>
      <c r="AL38" s="6"/>
      <c r="AM38" s="79" t="str">
        <f t="shared" si="12"/>
        <v/>
      </c>
      <c r="AN38" s="12"/>
      <c r="AO38" s="12"/>
      <c r="AP38" s="14"/>
      <c r="AQ38" s="16"/>
      <c r="AR38" s="15"/>
      <c r="AU38" s="198" t="str">
        <f>IF(C38="","",VLOOKUP(FROTA!$AB$2,RECEBÍVEIS!$AA$11:$AB$43,2,0))</f>
        <v/>
      </c>
      <c r="AV38" s="198" t="str">
        <f>IF(C38="","",IF(C38=FROTA!Z38="","",VLOOKUP(FROTA!Z38,RECEBÍVEIS!$AA$11:$AB$43,2,0)))</f>
        <v/>
      </c>
      <c r="AW38" s="198" t="str">
        <f>IF(C38="","",VLOOKUP(FROTA!$AB$2,RECEBÍVEIS!$AA$11:$AC$43,3,0))</f>
        <v/>
      </c>
      <c r="AX38" s="198" t="str">
        <f>IF(C38="","",IF(C38=FROTA!Z38="","",VLOOKUP(FROTA!Z38,RECEBÍVEIS!$AA$11:$AC$43,3,0)))</f>
        <v/>
      </c>
    </row>
    <row r="39" spans="2:50" ht="17.25" customHeight="1" x14ac:dyDescent="0.2">
      <c r="B39" s="6"/>
      <c r="C39" s="49" t="str">
        <f>IF(FROTA!B39="","",FROTA!B39)</f>
        <v/>
      </c>
      <c r="D39" s="220" t="str">
        <f>IF(C39="","",VLOOKUP(SEM!C39,FROTA!$B$5:$C$305,2,0))</f>
        <v/>
      </c>
      <c r="E39" s="24" t="str">
        <f>IF(C39="","",VLOOKUP(C39,FROTA!$B$5:$H$305,7,0))</f>
        <v/>
      </c>
      <c r="F39" s="38" t="str">
        <f t="shared" si="2"/>
        <v/>
      </c>
      <c r="G39" s="71" t="str">
        <f t="shared" si="13"/>
        <v/>
      </c>
      <c r="H39" s="32" t="str">
        <f t="shared" si="3"/>
        <v/>
      </c>
      <c r="I39" s="73" t="str">
        <f t="shared" si="3"/>
        <v/>
      </c>
      <c r="J39" s="73" t="str">
        <f t="shared" si="3"/>
        <v/>
      </c>
      <c r="K39" s="73" t="str">
        <f t="shared" si="14"/>
        <v/>
      </c>
      <c r="L39" s="73" t="str">
        <f t="shared" si="14"/>
        <v/>
      </c>
      <c r="M39" s="73" t="str">
        <f t="shared" si="14"/>
        <v/>
      </c>
      <c r="N39" s="73" t="str">
        <f t="shared" si="14"/>
        <v/>
      </c>
      <c r="O39" s="73" t="str">
        <f t="shared" si="14"/>
        <v/>
      </c>
      <c r="P39" s="73" t="str">
        <f t="shared" si="14"/>
        <v/>
      </c>
      <c r="Q39" s="73" t="str">
        <f t="shared" si="14"/>
        <v/>
      </c>
      <c r="R39" s="73" t="str">
        <f t="shared" si="15"/>
        <v/>
      </c>
      <c r="S39" s="73" t="str">
        <f t="shared" si="15"/>
        <v/>
      </c>
      <c r="T39" s="73" t="str">
        <f t="shared" si="15"/>
        <v/>
      </c>
      <c r="U39" s="73" t="str">
        <f t="shared" si="15"/>
        <v/>
      </c>
      <c r="V39" s="73" t="str">
        <f t="shared" si="15"/>
        <v/>
      </c>
      <c r="W39" s="73" t="str">
        <f t="shared" si="15"/>
        <v/>
      </c>
      <c r="X39" s="73" t="str">
        <f t="shared" si="15"/>
        <v/>
      </c>
      <c r="Y39" s="73" t="str">
        <f t="shared" si="15"/>
        <v/>
      </c>
      <c r="Z39" s="73" t="str">
        <f t="shared" si="15"/>
        <v/>
      </c>
      <c r="AA39" s="73" t="str">
        <f t="shared" si="15"/>
        <v/>
      </c>
      <c r="AB39" s="74" t="str">
        <f t="shared" si="15"/>
        <v/>
      </c>
      <c r="AC39" s="35" t="str">
        <f t="shared" si="4"/>
        <v/>
      </c>
      <c r="AD39" s="40" t="str">
        <f t="shared" si="5"/>
        <v/>
      </c>
      <c r="AE39" s="37" t="str">
        <f t="shared" si="6"/>
        <v/>
      </c>
      <c r="AF39" s="40" t="str">
        <f t="shared" si="7"/>
        <v/>
      </c>
      <c r="AG39" s="37" t="str">
        <f t="shared" si="8"/>
        <v/>
      </c>
      <c r="AH39" s="40" t="str">
        <f t="shared" si="9"/>
        <v/>
      </c>
      <c r="AI39" s="37" t="str">
        <f t="shared" si="10"/>
        <v/>
      </c>
      <c r="AJ39" s="40" t="str">
        <f t="shared" si="11"/>
        <v/>
      </c>
      <c r="AK39" s="204" t="str">
        <f>IF(C39="","",IF(E39=FROTA!$AT$18,IF('DEFINA!!!'!$L$6="D-E-F-I-N-A !!!!!!!",0,IF('DEFINA!!!'!$L$6="Opto por Idade Média",SEM!AW39,IF('DEFINA!!!'!$L$6="Opto pelo Valor aplicado ao  Ano de cada Carro",SEM!AX39,0))),IF(E39=FROTA!$AT$17,IF('DEFINA!!!'!$L$6="D-E-F-I-N-A !!!!!!!",0,IF('DEFINA!!!'!$L$6="Opto por Idade Média",SEM!AW39,IF('DEFINA!!!'!$L$6="Opto pelo Valor aplicado ao  Ano de cada Carro",SEM!AX39,0))),IF(E39=FROTA!$AT$16,IF('DEFINA!!!'!$L$6="D-E-F-I-N-A !!!!!!!",0,IF('DEFINA!!!'!$L$6="Opto por Idade Média",SEM!AW39,IF('DEFINA!!!'!$L$6="Opto pelo Valor aplicado ao  Ano de cada Carro",SEM!AX39,0))),IF('DEFINA!!!'!$L$6="D-E-F-I-N-A !!!!!!!",0,IF('DEFINA!!!'!$L$6="Opto por Idade Média",SEM!AU39,IF('DEFINA!!!'!$L$6="Opto pelo Valor aplicado ao  Ano de cada Carro",SEM!AV39,0)))))))</f>
        <v/>
      </c>
      <c r="AL39" s="6"/>
      <c r="AM39" s="79" t="str">
        <f t="shared" si="12"/>
        <v/>
      </c>
      <c r="AN39" s="12"/>
      <c r="AO39" s="12"/>
      <c r="AP39" s="14"/>
      <c r="AQ39" s="16"/>
      <c r="AR39" s="15"/>
      <c r="AU39" s="198" t="str">
        <f>IF(C39="","",VLOOKUP(FROTA!$AB$2,RECEBÍVEIS!$AA$11:$AB$43,2,0))</f>
        <v/>
      </c>
      <c r="AV39" s="198" t="str">
        <f>IF(C39="","",IF(C39=FROTA!Z39="","",VLOOKUP(FROTA!Z39,RECEBÍVEIS!$AA$11:$AB$43,2,0)))</f>
        <v/>
      </c>
      <c r="AW39" s="198" t="str">
        <f>IF(C39="","",VLOOKUP(FROTA!$AB$2,RECEBÍVEIS!$AA$11:$AC$43,3,0))</f>
        <v/>
      </c>
      <c r="AX39" s="198" t="str">
        <f>IF(C39="","",IF(C39=FROTA!Z39="","",VLOOKUP(FROTA!Z39,RECEBÍVEIS!$AA$11:$AC$43,3,0)))</f>
        <v/>
      </c>
    </row>
    <row r="40" spans="2:50" ht="17.25" customHeight="1" x14ac:dyDescent="0.2">
      <c r="B40" s="6"/>
      <c r="C40" s="49" t="str">
        <f>IF(FROTA!B40="","",FROTA!B40)</f>
        <v/>
      </c>
      <c r="D40" s="220" t="str">
        <f>IF(C40="","",VLOOKUP(SEM!C40,FROTA!$B$5:$C$305,2,0))</f>
        <v/>
      </c>
      <c r="E40" s="24" t="str">
        <f>IF(C40="","",VLOOKUP(C40,FROTA!$B$5:$H$305,7,0))</f>
        <v/>
      </c>
      <c r="F40" s="38" t="str">
        <f t="shared" si="2"/>
        <v/>
      </c>
      <c r="G40" s="71" t="str">
        <f t="shared" si="13"/>
        <v/>
      </c>
      <c r="H40" s="32" t="str">
        <f t="shared" si="3"/>
        <v/>
      </c>
      <c r="I40" s="73" t="str">
        <f t="shared" si="3"/>
        <v/>
      </c>
      <c r="J40" s="73" t="str">
        <f t="shared" si="3"/>
        <v/>
      </c>
      <c r="K40" s="73" t="str">
        <f t="shared" si="14"/>
        <v/>
      </c>
      <c r="L40" s="73" t="str">
        <f t="shared" si="14"/>
        <v/>
      </c>
      <c r="M40" s="73" t="str">
        <f t="shared" si="14"/>
        <v/>
      </c>
      <c r="N40" s="73" t="str">
        <f t="shared" si="14"/>
        <v/>
      </c>
      <c r="O40" s="73" t="str">
        <f t="shared" si="14"/>
        <v/>
      </c>
      <c r="P40" s="73" t="str">
        <f t="shared" si="14"/>
        <v/>
      </c>
      <c r="Q40" s="73" t="str">
        <f t="shared" si="14"/>
        <v/>
      </c>
      <c r="R40" s="73" t="str">
        <f t="shared" si="15"/>
        <v/>
      </c>
      <c r="S40" s="73" t="str">
        <f t="shared" si="15"/>
        <v/>
      </c>
      <c r="T40" s="73" t="str">
        <f t="shared" si="15"/>
        <v/>
      </c>
      <c r="U40" s="73" t="str">
        <f t="shared" si="15"/>
        <v/>
      </c>
      <c r="V40" s="73" t="str">
        <f t="shared" si="15"/>
        <v/>
      </c>
      <c r="W40" s="73" t="str">
        <f t="shared" si="15"/>
        <v/>
      </c>
      <c r="X40" s="73" t="str">
        <f t="shared" si="15"/>
        <v/>
      </c>
      <c r="Y40" s="73" t="str">
        <f t="shared" si="15"/>
        <v/>
      </c>
      <c r="Z40" s="73" t="str">
        <f t="shared" si="15"/>
        <v/>
      </c>
      <c r="AA40" s="73" t="str">
        <f t="shared" si="15"/>
        <v/>
      </c>
      <c r="AB40" s="74" t="str">
        <f t="shared" si="15"/>
        <v/>
      </c>
      <c r="AC40" s="35" t="str">
        <f t="shared" si="4"/>
        <v/>
      </c>
      <c r="AD40" s="40" t="str">
        <f t="shared" si="5"/>
        <v/>
      </c>
      <c r="AE40" s="37" t="str">
        <f t="shared" si="6"/>
        <v/>
      </c>
      <c r="AF40" s="40" t="str">
        <f t="shared" si="7"/>
        <v/>
      </c>
      <c r="AG40" s="37" t="str">
        <f t="shared" si="8"/>
        <v/>
      </c>
      <c r="AH40" s="40" t="str">
        <f t="shared" si="9"/>
        <v/>
      </c>
      <c r="AI40" s="37" t="str">
        <f t="shared" si="10"/>
        <v/>
      </c>
      <c r="AJ40" s="40" t="str">
        <f t="shared" si="11"/>
        <v/>
      </c>
      <c r="AK40" s="204" t="str">
        <f>IF(C40="","",IF(E40=FROTA!$AT$18,IF('DEFINA!!!'!$L$6="D-E-F-I-N-A !!!!!!!",0,IF('DEFINA!!!'!$L$6="Opto por Idade Média",SEM!AW40,IF('DEFINA!!!'!$L$6="Opto pelo Valor aplicado ao  Ano de cada Carro",SEM!AX40,0))),IF(E40=FROTA!$AT$17,IF('DEFINA!!!'!$L$6="D-E-F-I-N-A !!!!!!!",0,IF('DEFINA!!!'!$L$6="Opto por Idade Média",SEM!AW40,IF('DEFINA!!!'!$L$6="Opto pelo Valor aplicado ao  Ano de cada Carro",SEM!AX40,0))),IF(E40=FROTA!$AT$16,IF('DEFINA!!!'!$L$6="D-E-F-I-N-A !!!!!!!",0,IF('DEFINA!!!'!$L$6="Opto por Idade Média",SEM!AW40,IF('DEFINA!!!'!$L$6="Opto pelo Valor aplicado ao  Ano de cada Carro",SEM!AX40,0))),IF('DEFINA!!!'!$L$6="D-E-F-I-N-A !!!!!!!",0,IF('DEFINA!!!'!$L$6="Opto por Idade Média",SEM!AU40,IF('DEFINA!!!'!$L$6="Opto pelo Valor aplicado ao  Ano de cada Carro",SEM!AV40,0)))))))</f>
        <v/>
      </c>
      <c r="AL40" s="6"/>
      <c r="AM40" s="79" t="str">
        <f t="shared" si="12"/>
        <v/>
      </c>
      <c r="AN40" s="12"/>
      <c r="AO40" s="12"/>
      <c r="AP40" s="14"/>
      <c r="AQ40" s="16"/>
      <c r="AR40" s="15"/>
      <c r="AU40" s="198" t="str">
        <f>IF(C40="","",VLOOKUP(FROTA!$AB$2,RECEBÍVEIS!$AA$11:$AB$43,2,0))</f>
        <v/>
      </c>
      <c r="AV40" s="198" t="str">
        <f>IF(C40="","",IF(C40=FROTA!Z40="","",VLOOKUP(FROTA!Z40,RECEBÍVEIS!$AA$11:$AB$43,2,0)))</f>
        <v/>
      </c>
      <c r="AW40" s="198" t="str">
        <f>IF(C40="","",VLOOKUP(FROTA!$AB$2,RECEBÍVEIS!$AA$11:$AC$43,3,0))</f>
        <v/>
      </c>
      <c r="AX40" s="198" t="str">
        <f>IF(C40="","",IF(C40=FROTA!Z40="","",VLOOKUP(FROTA!Z40,RECEBÍVEIS!$AA$11:$AC$43,3,0)))</f>
        <v/>
      </c>
    </row>
    <row r="41" spans="2:50" ht="17.25" customHeight="1" x14ac:dyDescent="0.2">
      <c r="B41" s="6"/>
      <c r="C41" s="49" t="str">
        <f>IF(FROTA!B41="","",FROTA!B41)</f>
        <v/>
      </c>
      <c r="D41" s="220" t="str">
        <f>IF(C41="","",VLOOKUP(SEM!C41,FROTA!$B$5:$C$305,2,0))</f>
        <v/>
      </c>
      <c r="E41" s="24" t="str">
        <f>IF(C41="","",VLOOKUP(C41,FROTA!$B$5:$H$305,7,0))</f>
        <v/>
      </c>
      <c r="F41" s="38" t="str">
        <f t="shared" si="2"/>
        <v/>
      </c>
      <c r="G41" s="71" t="str">
        <f t="shared" si="13"/>
        <v/>
      </c>
      <c r="H41" s="32" t="str">
        <f t="shared" si="3"/>
        <v/>
      </c>
      <c r="I41" s="73" t="str">
        <f t="shared" si="3"/>
        <v/>
      </c>
      <c r="J41" s="73" t="str">
        <f t="shared" si="3"/>
        <v/>
      </c>
      <c r="K41" s="73" t="str">
        <f t="shared" si="14"/>
        <v/>
      </c>
      <c r="L41" s="73" t="str">
        <f t="shared" si="14"/>
        <v/>
      </c>
      <c r="M41" s="73" t="str">
        <f t="shared" si="14"/>
        <v/>
      </c>
      <c r="N41" s="73" t="str">
        <f t="shared" si="14"/>
        <v/>
      </c>
      <c r="O41" s="73" t="str">
        <f t="shared" si="14"/>
        <v/>
      </c>
      <c r="P41" s="73" t="str">
        <f t="shared" si="14"/>
        <v/>
      </c>
      <c r="Q41" s="73" t="str">
        <f t="shared" si="14"/>
        <v/>
      </c>
      <c r="R41" s="73" t="str">
        <f t="shared" si="15"/>
        <v/>
      </c>
      <c r="S41" s="73" t="str">
        <f t="shared" si="15"/>
        <v/>
      </c>
      <c r="T41" s="73" t="str">
        <f t="shared" si="15"/>
        <v/>
      </c>
      <c r="U41" s="73" t="str">
        <f t="shared" si="15"/>
        <v/>
      </c>
      <c r="V41" s="73" t="str">
        <f t="shared" si="15"/>
        <v/>
      </c>
      <c r="W41" s="73" t="str">
        <f t="shared" si="15"/>
        <v/>
      </c>
      <c r="X41" s="73" t="str">
        <f t="shared" si="15"/>
        <v/>
      </c>
      <c r="Y41" s="73" t="str">
        <f t="shared" si="15"/>
        <v/>
      </c>
      <c r="Z41" s="73" t="str">
        <f t="shared" si="15"/>
        <v/>
      </c>
      <c r="AA41" s="73" t="str">
        <f t="shared" si="15"/>
        <v/>
      </c>
      <c r="AB41" s="74" t="str">
        <f t="shared" si="15"/>
        <v/>
      </c>
      <c r="AC41" s="35" t="str">
        <f t="shared" si="4"/>
        <v/>
      </c>
      <c r="AD41" s="40" t="str">
        <f t="shared" si="5"/>
        <v/>
      </c>
      <c r="AE41" s="37" t="str">
        <f t="shared" si="6"/>
        <v/>
      </c>
      <c r="AF41" s="40" t="str">
        <f t="shared" si="7"/>
        <v/>
      </c>
      <c r="AG41" s="37" t="str">
        <f t="shared" si="8"/>
        <v/>
      </c>
      <c r="AH41" s="40" t="str">
        <f t="shared" si="9"/>
        <v/>
      </c>
      <c r="AI41" s="37" t="str">
        <f t="shared" si="10"/>
        <v/>
      </c>
      <c r="AJ41" s="40" t="str">
        <f t="shared" si="11"/>
        <v/>
      </c>
      <c r="AK41" s="204" t="str">
        <f>IF(C41="","",IF(E41=FROTA!$AT$18,IF('DEFINA!!!'!$L$6="D-E-F-I-N-A !!!!!!!",0,IF('DEFINA!!!'!$L$6="Opto por Idade Média",SEM!AW41,IF('DEFINA!!!'!$L$6="Opto pelo Valor aplicado ao  Ano de cada Carro",SEM!AX41,0))),IF(E41=FROTA!$AT$17,IF('DEFINA!!!'!$L$6="D-E-F-I-N-A !!!!!!!",0,IF('DEFINA!!!'!$L$6="Opto por Idade Média",SEM!AW41,IF('DEFINA!!!'!$L$6="Opto pelo Valor aplicado ao  Ano de cada Carro",SEM!AX41,0))),IF(E41=FROTA!$AT$16,IF('DEFINA!!!'!$L$6="D-E-F-I-N-A !!!!!!!",0,IF('DEFINA!!!'!$L$6="Opto por Idade Média",SEM!AW41,IF('DEFINA!!!'!$L$6="Opto pelo Valor aplicado ao  Ano de cada Carro",SEM!AX41,0))),IF('DEFINA!!!'!$L$6="D-E-F-I-N-A !!!!!!!",0,IF('DEFINA!!!'!$L$6="Opto por Idade Média",SEM!AU41,IF('DEFINA!!!'!$L$6="Opto pelo Valor aplicado ao  Ano de cada Carro",SEM!AV41,0)))))))</f>
        <v/>
      </c>
      <c r="AL41" s="6"/>
      <c r="AM41" s="79" t="str">
        <f t="shared" si="12"/>
        <v/>
      </c>
      <c r="AN41" s="12"/>
      <c r="AO41" s="12"/>
      <c r="AP41" s="14"/>
      <c r="AQ41" s="16"/>
      <c r="AR41" s="15"/>
      <c r="AU41" s="198" t="str">
        <f>IF(C41="","",VLOOKUP(FROTA!$AB$2,RECEBÍVEIS!$AA$11:$AB$43,2,0))</f>
        <v/>
      </c>
      <c r="AV41" s="198" t="str">
        <f>IF(C41="","",IF(C41=FROTA!Z41="","",VLOOKUP(FROTA!Z41,RECEBÍVEIS!$AA$11:$AB$43,2,0)))</f>
        <v/>
      </c>
      <c r="AW41" s="198" t="str">
        <f>IF(C41="","",VLOOKUP(FROTA!$AB$2,RECEBÍVEIS!$AA$11:$AC$43,3,0))</f>
        <v/>
      </c>
      <c r="AX41" s="198" t="str">
        <f>IF(C41="","",IF(C41=FROTA!Z41="","",VLOOKUP(FROTA!Z41,RECEBÍVEIS!$AA$11:$AC$43,3,0)))</f>
        <v/>
      </c>
    </row>
    <row r="42" spans="2:50" ht="17.25" customHeight="1" x14ac:dyDescent="0.2">
      <c r="B42" s="6"/>
      <c r="C42" s="49" t="str">
        <f>IF(FROTA!B42="","",FROTA!B42)</f>
        <v/>
      </c>
      <c r="D42" s="220" t="str">
        <f>IF(C42="","",VLOOKUP(SEM!C42,FROTA!$B$5:$C$305,2,0))</f>
        <v/>
      </c>
      <c r="E42" s="24" t="str">
        <f>IF(C42="","",VLOOKUP(C42,FROTA!$B$5:$H$305,7,0))</f>
        <v/>
      </c>
      <c r="F42" s="38" t="str">
        <f t="shared" si="2"/>
        <v/>
      </c>
      <c r="G42" s="71" t="str">
        <f t="shared" si="13"/>
        <v/>
      </c>
      <c r="H42" s="32" t="str">
        <f t="shared" si="3"/>
        <v/>
      </c>
      <c r="I42" s="73" t="str">
        <f t="shared" si="3"/>
        <v/>
      </c>
      <c r="J42" s="73" t="str">
        <f t="shared" si="3"/>
        <v/>
      </c>
      <c r="K42" s="73" t="str">
        <f t="shared" si="14"/>
        <v/>
      </c>
      <c r="L42" s="73" t="str">
        <f t="shared" si="14"/>
        <v/>
      </c>
      <c r="M42" s="73" t="str">
        <f t="shared" si="14"/>
        <v/>
      </c>
      <c r="N42" s="73" t="str">
        <f t="shared" si="14"/>
        <v/>
      </c>
      <c r="O42" s="73" t="str">
        <f t="shared" si="14"/>
        <v/>
      </c>
      <c r="P42" s="73" t="str">
        <f t="shared" si="14"/>
        <v/>
      </c>
      <c r="Q42" s="73" t="str">
        <f t="shared" si="14"/>
        <v/>
      </c>
      <c r="R42" s="73" t="str">
        <f t="shared" si="15"/>
        <v/>
      </c>
      <c r="S42" s="73" t="str">
        <f t="shared" si="15"/>
        <v/>
      </c>
      <c r="T42" s="73" t="str">
        <f t="shared" si="15"/>
        <v/>
      </c>
      <c r="U42" s="73" t="str">
        <f t="shared" si="15"/>
        <v/>
      </c>
      <c r="V42" s="73" t="str">
        <f t="shared" si="15"/>
        <v/>
      </c>
      <c r="W42" s="73" t="str">
        <f t="shared" si="15"/>
        <v/>
      </c>
      <c r="X42" s="73" t="str">
        <f t="shared" si="15"/>
        <v/>
      </c>
      <c r="Y42" s="73" t="str">
        <f t="shared" si="15"/>
        <v/>
      </c>
      <c r="Z42" s="73" t="str">
        <f t="shared" si="15"/>
        <v/>
      </c>
      <c r="AA42" s="73" t="str">
        <f t="shared" si="15"/>
        <v/>
      </c>
      <c r="AB42" s="74" t="str">
        <f t="shared" si="15"/>
        <v/>
      </c>
      <c r="AC42" s="35" t="str">
        <f t="shared" si="4"/>
        <v/>
      </c>
      <c r="AD42" s="40" t="str">
        <f t="shared" si="5"/>
        <v/>
      </c>
      <c r="AE42" s="37" t="str">
        <f t="shared" si="6"/>
        <v/>
      </c>
      <c r="AF42" s="40" t="str">
        <f t="shared" si="7"/>
        <v/>
      </c>
      <c r="AG42" s="37" t="str">
        <f t="shared" si="8"/>
        <v/>
      </c>
      <c r="AH42" s="40" t="str">
        <f t="shared" si="9"/>
        <v/>
      </c>
      <c r="AI42" s="37" t="str">
        <f t="shared" si="10"/>
        <v/>
      </c>
      <c r="AJ42" s="40" t="str">
        <f t="shared" si="11"/>
        <v/>
      </c>
      <c r="AK42" s="204" t="str">
        <f>IF(C42="","",IF(E42=FROTA!$AT$18,IF('DEFINA!!!'!$L$6="D-E-F-I-N-A !!!!!!!",0,IF('DEFINA!!!'!$L$6="Opto por Idade Média",SEM!AW42,IF('DEFINA!!!'!$L$6="Opto pelo Valor aplicado ao  Ano de cada Carro",SEM!AX42,0))),IF(E42=FROTA!$AT$17,IF('DEFINA!!!'!$L$6="D-E-F-I-N-A !!!!!!!",0,IF('DEFINA!!!'!$L$6="Opto por Idade Média",SEM!AW42,IF('DEFINA!!!'!$L$6="Opto pelo Valor aplicado ao  Ano de cada Carro",SEM!AX42,0))),IF(E42=FROTA!$AT$16,IF('DEFINA!!!'!$L$6="D-E-F-I-N-A !!!!!!!",0,IF('DEFINA!!!'!$L$6="Opto por Idade Média",SEM!AW42,IF('DEFINA!!!'!$L$6="Opto pelo Valor aplicado ao  Ano de cada Carro",SEM!AX42,0))),IF('DEFINA!!!'!$L$6="D-E-F-I-N-A !!!!!!!",0,IF('DEFINA!!!'!$L$6="Opto por Idade Média",SEM!AU42,IF('DEFINA!!!'!$L$6="Opto pelo Valor aplicado ao  Ano de cada Carro",SEM!AV42,0)))))))</f>
        <v/>
      </c>
      <c r="AL42" s="6"/>
      <c r="AM42" s="79" t="str">
        <f t="shared" si="12"/>
        <v/>
      </c>
      <c r="AN42" s="12"/>
      <c r="AO42" s="12"/>
      <c r="AP42" s="14"/>
      <c r="AQ42" s="16"/>
      <c r="AR42" s="15"/>
      <c r="AU42" s="198" t="str">
        <f>IF(C42="","",VLOOKUP(FROTA!$AB$2,RECEBÍVEIS!$AA$11:$AB$43,2,0))</f>
        <v/>
      </c>
      <c r="AV42" s="198" t="str">
        <f>IF(C42="","",IF(C42=FROTA!Z42="","",VLOOKUP(FROTA!Z42,RECEBÍVEIS!$AA$11:$AB$43,2,0)))</f>
        <v/>
      </c>
      <c r="AW42" s="198" t="str">
        <f>IF(C42="","",VLOOKUP(FROTA!$AB$2,RECEBÍVEIS!$AA$11:$AC$43,3,0))</f>
        <v/>
      </c>
      <c r="AX42" s="198" t="str">
        <f>IF(C42="","",IF(C42=FROTA!Z42="","",VLOOKUP(FROTA!Z42,RECEBÍVEIS!$AA$11:$AC$43,3,0)))</f>
        <v/>
      </c>
    </row>
    <row r="43" spans="2:50" ht="17.25" customHeight="1" x14ac:dyDescent="0.2">
      <c r="B43" s="6"/>
      <c r="C43" s="49" t="str">
        <f>IF(FROTA!B43="","",FROTA!B43)</f>
        <v/>
      </c>
      <c r="D43" s="220" t="str">
        <f>IF(C43="","",VLOOKUP(SEM!C43,FROTA!$B$5:$C$305,2,0))</f>
        <v/>
      </c>
      <c r="E43" s="24" t="str">
        <f>IF(C43="","",VLOOKUP(C43,FROTA!$B$5:$H$305,7,0))</f>
        <v/>
      </c>
      <c r="F43" s="38" t="str">
        <f t="shared" si="2"/>
        <v/>
      </c>
      <c r="G43" s="71" t="str">
        <f t="shared" si="13"/>
        <v/>
      </c>
      <c r="H43" s="32" t="str">
        <f t="shared" si="3"/>
        <v/>
      </c>
      <c r="I43" s="73" t="str">
        <f t="shared" si="3"/>
        <v/>
      </c>
      <c r="J43" s="73" t="str">
        <f t="shared" si="3"/>
        <v/>
      </c>
      <c r="K43" s="73" t="str">
        <f t="shared" si="14"/>
        <v/>
      </c>
      <c r="L43" s="73" t="str">
        <f t="shared" si="14"/>
        <v/>
      </c>
      <c r="M43" s="73" t="str">
        <f t="shared" si="14"/>
        <v/>
      </c>
      <c r="N43" s="73" t="str">
        <f t="shared" si="14"/>
        <v/>
      </c>
      <c r="O43" s="73" t="str">
        <f t="shared" si="14"/>
        <v/>
      </c>
      <c r="P43" s="73" t="str">
        <f t="shared" si="14"/>
        <v/>
      </c>
      <c r="Q43" s="73" t="str">
        <f t="shared" si="14"/>
        <v/>
      </c>
      <c r="R43" s="73" t="str">
        <f t="shared" si="15"/>
        <v/>
      </c>
      <c r="S43" s="73" t="str">
        <f t="shared" si="15"/>
        <v/>
      </c>
      <c r="T43" s="73" t="str">
        <f t="shared" si="15"/>
        <v/>
      </c>
      <c r="U43" s="73" t="str">
        <f t="shared" si="15"/>
        <v/>
      </c>
      <c r="V43" s="73" t="str">
        <f t="shared" si="15"/>
        <v/>
      </c>
      <c r="W43" s="73" t="str">
        <f t="shared" si="15"/>
        <v/>
      </c>
      <c r="X43" s="73" t="str">
        <f t="shared" si="15"/>
        <v/>
      </c>
      <c r="Y43" s="73" t="str">
        <f t="shared" si="15"/>
        <v/>
      </c>
      <c r="Z43" s="73" t="str">
        <f t="shared" si="15"/>
        <v/>
      </c>
      <c r="AA43" s="73" t="str">
        <f t="shared" si="15"/>
        <v/>
      </c>
      <c r="AB43" s="74" t="str">
        <f t="shared" si="15"/>
        <v/>
      </c>
      <c r="AC43" s="35" t="str">
        <f t="shared" si="4"/>
        <v/>
      </c>
      <c r="AD43" s="40" t="str">
        <f t="shared" si="5"/>
        <v/>
      </c>
      <c r="AE43" s="37" t="str">
        <f t="shared" si="6"/>
        <v/>
      </c>
      <c r="AF43" s="40" t="str">
        <f t="shared" si="7"/>
        <v/>
      </c>
      <c r="AG43" s="37" t="str">
        <f t="shared" si="8"/>
        <v/>
      </c>
      <c r="AH43" s="40" t="str">
        <f t="shared" si="9"/>
        <v/>
      </c>
      <c r="AI43" s="37" t="str">
        <f t="shared" si="10"/>
        <v/>
      </c>
      <c r="AJ43" s="40" t="str">
        <f t="shared" si="11"/>
        <v/>
      </c>
      <c r="AK43" s="204" t="str">
        <f>IF(C43="","",IF(E43=FROTA!$AT$18,IF('DEFINA!!!'!$L$6="D-E-F-I-N-A !!!!!!!",0,IF('DEFINA!!!'!$L$6="Opto por Idade Média",SEM!AW43,IF('DEFINA!!!'!$L$6="Opto pelo Valor aplicado ao  Ano de cada Carro",SEM!AX43,0))),IF(E43=FROTA!$AT$17,IF('DEFINA!!!'!$L$6="D-E-F-I-N-A !!!!!!!",0,IF('DEFINA!!!'!$L$6="Opto por Idade Média",SEM!AW43,IF('DEFINA!!!'!$L$6="Opto pelo Valor aplicado ao  Ano de cada Carro",SEM!AX43,0))),IF(E43=FROTA!$AT$16,IF('DEFINA!!!'!$L$6="D-E-F-I-N-A !!!!!!!",0,IF('DEFINA!!!'!$L$6="Opto por Idade Média",SEM!AW43,IF('DEFINA!!!'!$L$6="Opto pelo Valor aplicado ao  Ano de cada Carro",SEM!AX43,0))),IF('DEFINA!!!'!$L$6="D-E-F-I-N-A !!!!!!!",0,IF('DEFINA!!!'!$L$6="Opto por Idade Média",SEM!AU43,IF('DEFINA!!!'!$L$6="Opto pelo Valor aplicado ao  Ano de cada Carro",SEM!AV43,0)))))))</f>
        <v/>
      </c>
      <c r="AL43" s="6"/>
      <c r="AM43" s="79" t="str">
        <f t="shared" si="12"/>
        <v/>
      </c>
      <c r="AN43" s="12"/>
      <c r="AO43" s="12"/>
      <c r="AP43" s="14"/>
      <c r="AQ43" s="16"/>
      <c r="AR43" s="15"/>
      <c r="AU43" s="198" t="str">
        <f>IF(C43="","",VLOOKUP(FROTA!$AB$2,RECEBÍVEIS!$AA$11:$AB$43,2,0))</f>
        <v/>
      </c>
      <c r="AV43" s="198" t="str">
        <f>IF(C43="","",IF(C43=FROTA!Z43="","",VLOOKUP(FROTA!Z43,RECEBÍVEIS!$AA$11:$AB$43,2,0)))</f>
        <v/>
      </c>
      <c r="AW43" s="198" t="str">
        <f>IF(C43="","",VLOOKUP(FROTA!$AB$2,RECEBÍVEIS!$AA$11:$AC$43,3,0))</f>
        <v/>
      </c>
      <c r="AX43" s="198" t="str">
        <f>IF(C43="","",IF(C43=FROTA!Z43="","",VLOOKUP(FROTA!Z43,RECEBÍVEIS!$AA$11:$AC$43,3,0)))</f>
        <v/>
      </c>
    </row>
    <row r="44" spans="2:50" ht="17.25" customHeight="1" x14ac:dyDescent="0.2">
      <c r="B44" s="6"/>
      <c r="C44" s="49" t="str">
        <f>IF(FROTA!B44="","",FROTA!B44)</f>
        <v/>
      </c>
      <c r="D44" s="220" t="str">
        <f>IF(C44="","",VLOOKUP(SEM!C44,FROTA!$B$5:$C$305,2,0))</f>
        <v/>
      </c>
      <c r="E44" s="24" t="str">
        <f>IF(C44="","",VLOOKUP(C44,FROTA!$B$5:$H$305,7,0))</f>
        <v/>
      </c>
      <c r="F44" s="38" t="str">
        <f t="shared" si="2"/>
        <v/>
      </c>
      <c r="G44" s="71" t="str">
        <f t="shared" si="13"/>
        <v/>
      </c>
      <c r="H44" s="32" t="str">
        <f t="shared" si="3"/>
        <v/>
      </c>
      <c r="I44" s="73" t="str">
        <f t="shared" si="3"/>
        <v/>
      </c>
      <c r="J44" s="73" t="str">
        <f t="shared" si="3"/>
        <v/>
      </c>
      <c r="K44" s="73" t="str">
        <f t="shared" si="14"/>
        <v/>
      </c>
      <c r="L44" s="73" t="str">
        <f t="shared" si="14"/>
        <v/>
      </c>
      <c r="M44" s="73" t="str">
        <f t="shared" si="14"/>
        <v/>
      </c>
      <c r="N44" s="73" t="str">
        <f t="shared" si="14"/>
        <v/>
      </c>
      <c r="O44" s="73" t="str">
        <f t="shared" si="14"/>
        <v/>
      </c>
      <c r="P44" s="73" t="str">
        <f t="shared" si="14"/>
        <v/>
      </c>
      <c r="Q44" s="73" t="str">
        <f t="shared" si="14"/>
        <v/>
      </c>
      <c r="R44" s="73" t="str">
        <f t="shared" si="15"/>
        <v/>
      </c>
      <c r="S44" s="73" t="str">
        <f t="shared" si="15"/>
        <v/>
      </c>
      <c r="T44" s="73" t="str">
        <f t="shared" si="15"/>
        <v/>
      </c>
      <c r="U44" s="73" t="str">
        <f t="shared" si="15"/>
        <v/>
      </c>
      <c r="V44" s="73" t="str">
        <f t="shared" si="15"/>
        <v/>
      </c>
      <c r="W44" s="73" t="str">
        <f t="shared" si="15"/>
        <v/>
      </c>
      <c r="X44" s="73" t="str">
        <f t="shared" si="15"/>
        <v/>
      </c>
      <c r="Y44" s="73" t="str">
        <f t="shared" si="15"/>
        <v/>
      </c>
      <c r="Z44" s="73" t="str">
        <f t="shared" si="15"/>
        <v/>
      </c>
      <c r="AA44" s="73" t="str">
        <f t="shared" si="15"/>
        <v/>
      </c>
      <c r="AB44" s="74" t="str">
        <f t="shared" si="15"/>
        <v/>
      </c>
      <c r="AC44" s="35" t="str">
        <f t="shared" si="4"/>
        <v/>
      </c>
      <c r="AD44" s="40" t="str">
        <f t="shared" si="5"/>
        <v/>
      </c>
      <c r="AE44" s="37" t="str">
        <f t="shared" si="6"/>
        <v/>
      </c>
      <c r="AF44" s="40" t="str">
        <f t="shared" si="7"/>
        <v/>
      </c>
      <c r="AG44" s="37" t="str">
        <f t="shared" si="8"/>
        <v/>
      </c>
      <c r="AH44" s="40" t="str">
        <f t="shared" si="9"/>
        <v/>
      </c>
      <c r="AI44" s="37" t="str">
        <f t="shared" si="10"/>
        <v/>
      </c>
      <c r="AJ44" s="40" t="str">
        <f t="shared" si="11"/>
        <v/>
      </c>
      <c r="AK44" s="204" t="str">
        <f>IF(C44="","",IF(E44=FROTA!$AT$18,IF('DEFINA!!!'!$L$6="D-E-F-I-N-A !!!!!!!",0,IF('DEFINA!!!'!$L$6="Opto por Idade Média",SEM!AW44,IF('DEFINA!!!'!$L$6="Opto pelo Valor aplicado ao  Ano de cada Carro",SEM!AX44,0))),IF(E44=FROTA!$AT$17,IF('DEFINA!!!'!$L$6="D-E-F-I-N-A !!!!!!!",0,IF('DEFINA!!!'!$L$6="Opto por Idade Média",SEM!AW44,IF('DEFINA!!!'!$L$6="Opto pelo Valor aplicado ao  Ano de cada Carro",SEM!AX44,0))),IF(E44=FROTA!$AT$16,IF('DEFINA!!!'!$L$6="D-E-F-I-N-A !!!!!!!",0,IF('DEFINA!!!'!$L$6="Opto por Idade Média",SEM!AW44,IF('DEFINA!!!'!$L$6="Opto pelo Valor aplicado ao  Ano de cada Carro",SEM!AX44,0))),IF('DEFINA!!!'!$L$6="D-E-F-I-N-A !!!!!!!",0,IF('DEFINA!!!'!$L$6="Opto por Idade Média",SEM!AU44,IF('DEFINA!!!'!$L$6="Opto pelo Valor aplicado ao  Ano de cada Carro",SEM!AV44,0)))))))</f>
        <v/>
      </c>
      <c r="AL44" s="6"/>
      <c r="AM44" s="79" t="str">
        <f t="shared" si="12"/>
        <v/>
      </c>
      <c r="AN44" s="12"/>
      <c r="AO44" s="12"/>
      <c r="AP44" s="14"/>
      <c r="AQ44" s="16"/>
      <c r="AR44" s="15"/>
      <c r="AU44" s="198" t="str">
        <f>IF(C44="","",VLOOKUP(FROTA!$AB$2,RECEBÍVEIS!$AA$11:$AB$43,2,0))</f>
        <v/>
      </c>
      <c r="AV44" s="198" t="str">
        <f>IF(C44="","",IF(C44=FROTA!Z44="","",VLOOKUP(FROTA!Z44,RECEBÍVEIS!$AA$11:$AB$43,2,0)))</f>
        <v/>
      </c>
      <c r="AW44" s="198" t="str">
        <f>IF(C44="","",VLOOKUP(FROTA!$AB$2,RECEBÍVEIS!$AA$11:$AC$43,3,0))</f>
        <v/>
      </c>
      <c r="AX44" s="198" t="str">
        <f>IF(C44="","",IF(C44=FROTA!Z44="","",VLOOKUP(FROTA!Z44,RECEBÍVEIS!$AA$11:$AC$43,3,0)))</f>
        <v/>
      </c>
    </row>
    <row r="45" spans="2:50" ht="17.25" customHeight="1" x14ac:dyDescent="0.2">
      <c r="B45" s="6"/>
      <c r="C45" s="49" t="str">
        <f>IF(FROTA!B45="","",FROTA!B45)</f>
        <v/>
      </c>
      <c r="D45" s="220" t="str">
        <f>IF(C45="","",VLOOKUP(SEM!C45,FROTA!$B$5:$C$305,2,0))</f>
        <v/>
      </c>
      <c r="E45" s="24" t="str">
        <f>IF(C45="","",VLOOKUP(C45,FROTA!$B$5:$H$305,7,0))</f>
        <v/>
      </c>
      <c r="F45" s="38" t="str">
        <f t="shared" si="2"/>
        <v/>
      </c>
      <c r="G45" s="71" t="str">
        <f t="shared" si="13"/>
        <v/>
      </c>
      <c r="H45" s="32" t="str">
        <f t="shared" si="3"/>
        <v/>
      </c>
      <c r="I45" s="73" t="str">
        <f t="shared" si="3"/>
        <v/>
      </c>
      <c r="J45" s="73" t="str">
        <f t="shared" si="3"/>
        <v/>
      </c>
      <c r="K45" s="73" t="str">
        <f t="shared" si="14"/>
        <v/>
      </c>
      <c r="L45" s="73" t="str">
        <f t="shared" si="14"/>
        <v/>
      </c>
      <c r="M45" s="73" t="str">
        <f t="shared" si="14"/>
        <v/>
      </c>
      <c r="N45" s="73" t="str">
        <f t="shared" si="14"/>
        <v/>
      </c>
      <c r="O45" s="73" t="str">
        <f t="shared" si="14"/>
        <v/>
      </c>
      <c r="P45" s="73" t="str">
        <f t="shared" si="14"/>
        <v/>
      </c>
      <c r="Q45" s="73" t="str">
        <f t="shared" si="14"/>
        <v/>
      </c>
      <c r="R45" s="73" t="str">
        <f t="shared" si="15"/>
        <v/>
      </c>
      <c r="S45" s="73" t="str">
        <f t="shared" si="15"/>
        <v/>
      </c>
      <c r="T45" s="73" t="str">
        <f t="shared" ref="R45:AB68" si="16">IF($C45="","",IF(SUM(T$307*$G45)&gt;$F45,$F45,SUM(T$307*$G45)))</f>
        <v/>
      </c>
      <c r="U45" s="73" t="str">
        <f t="shared" si="16"/>
        <v/>
      </c>
      <c r="V45" s="73" t="str">
        <f t="shared" si="16"/>
        <v/>
      </c>
      <c r="W45" s="73" t="str">
        <f t="shared" si="16"/>
        <v/>
      </c>
      <c r="X45" s="73" t="str">
        <f t="shared" si="16"/>
        <v/>
      </c>
      <c r="Y45" s="73" t="str">
        <f t="shared" si="16"/>
        <v/>
      </c>
      <c r="Z45" s="73" t="str">
        <f t="shared" si="16"/>
        <v/>
      </c>
      <c r="AA45" s="73" t="str">
        <f t="shared" si="16"/>
        <v/>
      </c>
      <c r="AB45" s="74" t="str">
        <f t="shared" si="16"/>
        <v/>
      </c>
      <c r="AC45" s="35" t="str">
        <f t="shared" si="4"/>
        <v/>
      </c>
      <c r="AD45" s="40" t="str">
        <f t="shared" si="5"/>
        <v/>
      </c>
      <c r="AE45" s="37" t="str">
        <f t="shared" si="6"/>
        <v/>
      </c>
      <c r="AF45" s="40" t="str">
        <f t="shared" si="7"/>
        <v/>
      </c>
      <c r="AG45" s="37" t="str">
        <f t="shared" si="8"/>
        <v/>
      </c>
      <c r="AH45" s="40" t="str">
        <f t="shared" si="9"/>
        <v/>
      </c>
      <c r="AI45" s="37" t="str">
        <f t="shared" si="10"/>
        <v/>
      </c>
      <c r="AJ45" s="40" t="str">
        <f t="shared" si="11"/>
        <v/>
      </c>
      <c r="AK45" s="204" t="str">
        <f>IF(C45="","",IF(E45=FROTA!$AT$18,IF('DEFINA!!!'!$L$6="D-E-F-I-N-A !!!!!!!",0,IF('DEFINA!!!'!$L$6="Opto por Idade Média",SEM!AW45,IF('DEFINA!!!'!$L$6="Opto pelo Valor aplicado ao  Ano de cada Carro",SEM!AX45,0))),IF(E45=FROTA!$AT$17,IF('DEFINA!!!'!$L$6="D-E-F-I-N-A !!!!!!!",0,IF('DEFINA!!!'!$L$6="Opto por Idade Média",SEM!AW45,IF('DEFINA!!!'!$L$6="Opto pelo Valor aplicado ao  Ano de cada Carro",SEM!AX45,0))),IF(E45=FROTA!$AT$16,IF('DEFINA!!!'!$L$6="D-E-F-I-N-A !!!!!!!",0,IF('DEFINA!!!'!$L$6="Opto por Idade Média",SEM!AW45,IF('DEFINA!!!'!$L$6="Opto pelo Valor aplicado ao  Ano de cada Carro",SEM!AX45,0))),IF('DEFINA!!!'!$L$6="D-E-F-I-N-A !!!!!!!",0,IF('DEFINA!!!'!$L$6="Opto por Idade Média",SEM!AU45,IF('DEFINA!!!'!$L$6="Opto pelo Valor aplicado ao  Ano de cada Carro",SEM!AV45,0)))))))</f>
        <v/>
      </c>
      <c r="AL45" s="6"/>
      <c r="AM45" s="79" t="str">
        <f t="shared" si="12"/>
        <v/>
      </c>
      <c r="AN45" s="12"/>
      <c r="AO45" s="12"/>
      <c r="AP45" s="14"/>
      <c r="AQ45" s="16"/>
      <c r="AR45" s="15"/>
      <c r="AU45" s="198" t="str">
        <f>IF(C45="","",VLOOKUP(FROTA!$AB$2,RECEBÍVEIS!$AA$11:$AB$43,2,0))</f>
        <v/>
      </c>
      <c r="AV45" s="198" t="str">
        <f>IF(C45="","",IF(C45=FROTA!Z45="","",VLOOKUP(FROTA!Z45,RECEBÍVEIS!$AA$11:$AB$43,2,0)))</f>
        <v/>
      </c>
      <c r="AW45" s="198" t="str">
        <f>IF(C45="","",VLOOKUP(FROTA!$AB$2,RECEBÍVEIS!$AA$11:$AC$43,3,0))</f>
        <v/>
      </c>
      <c r="AX45" s="198" t="str">
        <f>IF(C45="","",IF(C45=FROTA!Z45="","",VLOOKUP(FROTA!Z45,RECEBÍVEIS!$AA$11:$AC$43,3,0)))</f>
        <v/>
      </c>
    </row>
    <row r="46" spans="2:50" ht="17.25" customHeight="1" x14ac:dyDescent="0.2">
      <c r="B46" s="6"/>
      <c r="C46" s="49" t="str">
        <f>IF(FROTA!B46="","",FROTA!B46)</f>
        <v/>
      </c>
      <c r="D46" s="220" t="str">
        <f>IF(C46="","",VLOOKUP(SEM!C46,FROTA!$B$5:$C$305,2,0))</f>
        <v/>
      </c>
      <c r="E46" s="24" t="str">
        <f>IF(C46="","",VLOOKUP(C46,FROTA!$B$5:$H$305,7,0))</f>
        <v/>
      </c>
      <c r="F46" s="38" t="str">
        <f t="shared" si="2"/>
        <v/>
      </c>
      <c r="G46" s="71" t="str">
        <f t="shared" si="13"/>
        <v/>
      </c>
      <c r="H46" s="32" t="str">
        <f t="shared" si="3"/>
        <v/>
      </c>
      <c r="I46" s="73" t="str">
        <f t="shared" si="3"/>
        <v/>
      </c>
      <c r="J46" s="73" t="str">
        <f t="shared" si="3"/>
        <v/>
      </c>
      <c r="K46" s="73" t="str">
        <f t="shared" si="14"/>
        <v/>
      </c>
      <c r="L46" s="73" t="str">
        <f t="shared" si="14"/>
        <v/>
      </c>
      <c r="M46" s="73" t="str">
        <f t="shared" si="14"/>
        <v/>
      </c>
      <c r="N46" s="73" t="str">
        <f t="shared" si="14"/>
        <v/>
      </c>
      <c r="O46" s="73" t="str">
        <f t="shared" si="14"/>
        <v/>
      </c>
      <c r="P46" s="73" t="str">
        <f t="shared" si="14"/>
        <v/>
      </c>
      <c r="Q46" s="73" t="str">
        <f t="shared" si="14"/>
        <v/>
      </c>
      <c r="R46" s="73" t="str">
        <f t="shared" si="16"/>
        <v/>
      </c>
      <c r="S46" s="73" t="str">
        <f t="shared" si="16"/>
        <v/>
      </c>
      <c r="T46" s="73" t="str">
        <f t="shared" si="16"/>
        <v/>
      </c>
      <c r="U46" s="73" t="str">
        <f t="shared" si="16"/>
        <v/>
      </c>
      <c r="V46" s="73" t="str">
        <f t="shared" si="16"/>
        <v/>
      </c>
      <c r="W46" s="73" t="str">
        <f t="shared" si="16"/>
        <v/>
      </c>
      <c r="X46" s="73" t="str">
        <f t="shared" si="16"/>
        <v/>
      </c>
      <c r="Y46" s="73" t="str">
        <f t="shared" si="16"/>
        <v/>
      </c>
      <c r="Z46" s="73" t="str">
        <f t="shared" si="16"/>
        <v/>
      </c>
      <c r="AA46" s="73" t="str">
        <f t="shared" si="16"/>
        <v/>
      </c>
      <c r="AB46" s="74" t="str">
        <f t="shared" si="16"/>
        <v/>
      </c>
      <c r="AC46" s="35" t="str">
        <f t="shared" si="4"/>
        <v/>
      </c>
      <c r="AD46" s="40" t="str">
        <f t="shared" si="5"/>
        <v/>
      </c>
      <c r="AE46" s="37" t="str">
        <f t="shared" si="6"/>
        <v/>
      </c>
      <c r="AF46" s="40" t="str">
        <f t="shared" si="7"/>
        <v/>
      </c>
      <c r="AG46" s="37" t="str">
        <f t="shared" si="8"/>
        <v/>
      </c>
      <c r="AH46" s="40" t="str">
        <f t="shared" si="9"/>
        <v/>
      </c>
      <c r="AI46" s="37" t="str">
        <f t="shared" si="10"/>
        <v/>
      </c>
      <c r="AJ46" s="40" t="str">
        <f t="shared" si="11"/>
        <v/>
      </c>
      <c r="AK46" s="204" t="str">
        <f>IF(C46="","",IF(E46=FROTA!$AT$18,IF('DEFINA!!!'!$L$6="D-E-F-I-N-A !!!!!!!",0,IF('DEFINA!!!'!$L$6="Opto por Idade Média",SEM!AW46,IF('DEFINA!!!'!$L$6="Opto pelo Valor aplicado ao  Ano de cada Carro",SEM!AX46,0))),IF(E46=FROTA!$AT$17,IF('DEFINA!!!'!$L$6="D-E-F-I-N-A !!!!!!!",0,IF('DEFINA!!!'!$L$6="Opto por Idade Média",SEM!AW46,IF('DEFINA!!!'!$L$6="Opto pelo Valor aplicado ao  Ano de cada Carro",SEM!AX46,0))),IF(E46=FROTA!$AT$16,IF('DEFINA!!!'!$L$6="D-E-F-I-N-A !!!!!!!",0,IF('DEFINA!!!'!$L$6="Opto por Idade Média",SEM!AW46,IF('DEFINA!!!'!$L$6="Opto pelo Valor aplicado ao  Ano de cada Carro",SEM!AX46,0))),IF('DEFINA!!!'!$L$6="D-E-F-I-N-A !!!!!!!",0,IF('DEFINA!!!'!$L$6="Opto por Idade Média",SEM!AU46,IF('DEFINA!!!'!$L$6="Opto pelo Valor aplicado ao  Ano de cada Carro",SEM!AV46,0)))))))</f>
        <v/>
      </c>
      <c r="AL46" s="6"/>
      <c r="AM46" s="79" t="str">
        <f t="shared" si="12"/>
        <v/>
      </c>
      <c r="AN46" s="12"/>
      <c r="AO46" s="12"/>
      <c r="AP46" s="14"/>
      <c r="AQ46" s="16"/>
      <c r="AR46" s="15"/>
      <c r="AU46" s="198" t="str">
        <f>IF(C46="","",VLOOKUP(FROTA!$AB$2,RECEBÍVEIS!$AA$11:$AB$43,2,0))</f>
        <v/>
      </c>
      <c r="AV46" s="198" t="str">
        <f>IF(C46="","",IF(C46=FROTA!Z46="","",VLOOKUP(FROTA!Z46,RECEBÍVEIS!$AA$11:$AB$43,2,0)))</f>
        <v/>
      </c>
      <c r="AW46" s="198" t="str">
        <f>IF(C46="","",VLOOKUP(FROTA!$AB$2,RECEBÍVEIS!$AA$11:$AC$43,3,0))</f>
        <v/>
      </c>
      <c r="AX46" s="198" t="str">
        <f>IF(C46="","",IF(C46=FROTA!Z46="","",VLOOKUP(FROTA!Z46,RECEBÍVEIS!$AA$11:$AC$43,3,0)))</f>
        <v/>
      </c>
    </row>
    <row r="47" spans="2:50" ht="17.25" customHeight="1" x14ac:dyDescent="0.2">
      <c r="B47" s="6"/>
      <c r="C47" s="49" t="str">
        <f>IF(FROTA!B47="","",FROTA!B47)</f>
        <v/>
      </c>
      <c r="D47" s="220" t="str">
        <f>IF(C47="","",VLOOKUP(SEM!C47,FROTA!$B$5:$C$305,2,0))</f>
        <v/>
      </c>
      <c r="E47" s="24" t="str">
        <f>IF(C47="","",VLOOKUP(C47,FROTA!$B$5:$H$305,7,0))</f>
        <v/>
      </c>
      <c r="F47" s="38" t="str">
        <f t="shared" si="2"/>
        <v/>
      </c>
      <c r="G47" s="71" t="str">
        <f t="shared" si="13"/>
        <v/>
      </c>
      <c r="H47" s="32" t="str">
        <f t="shared" si="3"/>
        <v/>
      </c>
      <c r="I47" s="73" t="str">
        <f t="shared" si="3"/>
        <v/>
      </c>
      <c r="J47" s="73" t="str">
        <f t="shared" si="3"/>
        <v/>
      </c>
      <c r="K47" s="73" t="str">
        <f t="shared" si="14"/>
        <v/>
      </c>
      <c r="L47" s="73" t="str">
        <f t="shared" si="14"/>
        <v/>
      </c>
      <c r="M47" s="73" t="str">
        <f t="shared" si="14"/>
        <v/>
      </c>
      <c r="N47" s="73" t="str">
        <f t="shared" si="14"/>
        <v/>
      </c>
      <c r="O47" s="73" t="str">
        <f t="shared" si="14"/>
        <v/>
      </c>
      <c r="P47" s="73" t="str">
        <f t="shared" si="14"/>
        <v/>
      </c>
      <c r="Q47" s="73" t="str">
        <f t="shared" si="14"/>
        <v/>
      </c>
      <c r="R47" s="73" t="str">
        <f t="shared" si="16"/>
        <v/>
      </c>
      <c r="S47" s="73" t="str">
        <f t="shared" si="16"/>
        <v/>
      </c>
      <c r="T47" s="73" t="str">
        <f t="shared" si="16"/>
        <v/>
      </c>
      <c r="U47" s="73" t="str">
        <f t="shared" si="16"/>
        <v/>
      </c>
      <c r="V47" s="73" t="str">
        <f t="shared" si="16"/>
        <v/>
      </c>
      <c r="W47" s="73" t="str">
        <f t="shared" si="16"/>
        <v/>
      </c>
      <c r="X47" s="73" t="str">
        <f t="shared" si="16"/>
        <v/>
      </c>
      <c r="Y47" s="73" t="str">
        <f t="shared" si="16"/>
        <v/>
      </c>
      <c r="Z47" s="73" t="str">
        <f t="shared" si="16"/>
        <v/>
      </c>
      <c r="AA47" s="73" t="str">
        <f t="shared" si="16"/>
        <v/>
      </c>
      <c r="AB47" s="74" t="str">
        <f t="shared" si="16"/>
        <v/>
      </c>
      <c r="AC47" s="35" t="str">
        <f t="shared" si="4"/>
        <v/>
      </c>
      <c r="AD47" s="40" t="str">
        <f t="shared" si="5"/>
        <v/>
      </c>
      <c r="AE47" s="37" t="str">
        <f t="shared" si="6"/>
        <v/>
      </c>
      <c r="AF47" s="40" t="str">
        <f t="shared" si="7"/>
        <v/>
      </c>
      <c r="AG47" s="37" t="str">
        <f t="shared" si="8"/>
        <v/>
      </c>
      <c r="AH47" s="40" t="str">
        <f t="shared" si="9"/>
        <v/>
      </c>
      <c r="AI47" s="37" t="str">
        <f t="shared" si="10"/>
        <v/>
      </c>
      <c r="AJ47" s="40" t="str">
        <f t="shared" si="11"/>
        <v/>
      </c>
      <c r="AK47" s="204" t="str">
        <f>IF(C47="","",IF(E47=FROTA!$AT$18,IF('DEFINA!!!'!$L$6="D-E-F-I-N-A !!!!!!!",0,IF('DEFINA!!!'!$L$6="Opto por Idade Média",SEM!AW47,IF('DEFINA!!!'!$L$6="Opto pelo Valor aplicado ao  Ano de cada Carro",SEM!AX47,0))),IF(E47=FROTA!$AT$17,IF('DEFINA!!!'!$L$6="D-E-F-I-N-A !!!!!!!",0,IF('DEFINA!!!'!$L$6="Opto por Idade Média",SEM!AW47,IF('DEFINA!!!'!$L$6="Opto pelo Valor aplicado ao  Ano de cada Carro",SEM!AX47,0))),IF(E47=FROTA!$AT$16,IF('DEFINA!!!'!$L$6="D-E-F-I-N-A !!!!!!!",0,IF('DEFINA!!!'!$L$6="Opto por Idade Média",SEM!AW47,IF('DEFINA!!!'!$L$6="Opto pelo Valor aplicado ao  Ano de cada Carro",SEM!AX47,0))),IF('DEFINA!!!'!$L$6="D-E-F-I-N-A !!!!!!!",0,IF('DEFINA!!!'!$L$6="Opto por Idade Média",SEM!AU47,IF('DEFINA!!!'!$L$6="Opto pelo Valor aplicado ao  Ano de cada Carro",SEM!AV47,0)))))))</f>
        <v/>
      </c>
      <c r="AL47" s="6"/>
      <c r="AM47" s="79" t="str">
        <f t="shared" si="12"/>
        <v/>
      </c>
      <c r="AN47" s="12"/>
      <c r="AO47" s="12"/>
      <c r="AP47" s="14"/>
      <c r="AQ47" s="16"/>
      <c r="AR47" s="15"/>
      <c r="AU47" s="198" t="str">
        <f>IF(C47="","",VLOOKUP(FROTA!$AB$2,RECEBÍVEIS!$AA$11:$AB$43,2,0))</f>
        <v/>
      </c>
      <c r="AV47" s="198" t="str">
        <f>IF(C47="","",IF(C47=FROTA!Z47="","",VLOOKUP(FROTA!Z47,RECEBÍVEIS!$AA$11:$AB$43,2,0)))</f>
        <v/>
      </c>
      <c r="AW47" s="198" t="str">
        <f>IF(C47="","",VLOOKUP(FROTA!$AB$2,RECEBÍVEIS!$AA$11:$AC$43,3,0))</f>
        <v/>
      </c>
      <c r="AX47" s="198" t="str">
        <f>IF(C47="","",IF(C47=FROTA!Z47="","",VLOOKUP(FROTA!Z47,RECEBÍVEIS!$AA$11:$AC$43,3,0)))</f>
        <v/>
      </c>
    </row>
    <row r="48" spans="2:50" ht="17.25" customHeight="1" x14ac:dyDescent="0.2">
      <c r="B48" s="6"/>
      <c r="C48" s="49" t="str">
        <f>IF(FROTA!B48="","",FROTA!B48)</f>
        <v/>
      </c>
      <c r="D48" s="220" t="str">
        <f>IF(C48="","",VLOOKUP(SEM!C48,FROTA!$B$5:$C$305,2,0))</f>
        <v/>
      </c>
      <c r="E48" s="24" t="str">
        <f>IF(C48="","",VLOOKUP(C48,FROTA!$B$5:$H$305,7,0))</f>
        <v/>
      </c>
      <c r="F48" s="38" t="str">
        <f t="shared" si="2"/>
        <v/>
      </c>
      <c r="G48" s="71" t="str">
        <f t="shared" si="13"/>
        <v/>
      </c>
      <c r="H48" s="32" t="str">
        <f t="shared" si="3"/>
        <v/>
      </c>
      <c r="I48" s="73" t="str">
        <f t="shared" si="3"/>
        <v/>
      </c>
      <c r="J48" s="73" t="str">
        <f t="shared" si="3"/>
        <v/>
      </c>
      <c r="K48" s="73" t="str">
        <f t="shared" si="14"/>
        <v/>
      </c>
      <c r="L48" s="73" t="str">
        <f t="shared" si="14"/>
        <v/>
      </c>
      <c r="M48" s="73" t="str">
        <f t="shared" si="14"/>
        <v/>
      </c>
      <c r="N48" s="73" t="str">
        <f t="shared" si="14"/>
        <v/>
      </c>
      <c r="O48" s="73" t="str">
        <f t="shared" si="14"/>
        <v/>
      </c>
      <c r="P48" s="73" t="str">
        <f t="shared" si="14"/>
        <v/>
      </c>
      <c r="Q48" s="73" t="str">
        <f t="shared" si="14"/>
        <v/>
      </c>
      <c r="R48" s="73" t="str">
        <f t="shared" si="16"/>
        <v/>
      </c>
      <c r="S48" s="73" t="str">
        <f t="shared" si="16"/>
        <v/>
      </c>
      <c r="T48" s="73" t="str">
        <f t="shared" si="16"/>
        <v/>
      </c>
      <c r="U48" s="73" t="str">
        <f t="shared" si="16"/>
        <v/>
      </c>
      <c r="V48" s="73" t="str">
        <f t="shared" si="16"/>
        <v/>
      </c>
      <c r="W48" s="73" t="str">
        <f t="shared" si="16"/>
        <v/>
      </c>
      <c r="X48" s="73" t="str">
        <f t="shared" si="16"/>
        <v/>
      </c>
      <c r="Y48" s="73" t="str">
        <f t="shared" si="16"/>
        <v/>
      </c>
      <c r="Z48" s="73" t="str">
        <f t="shared" si="16"/>
        <v/>
      </c>
      <c r="AA48" s="73" t="str">
        <f t="shared" si="16"/>
        <v/>
      </c>
      <c r="AB48" s="74" t="str">
        <f t="shared" si="16"/>
        <v/>
      </c>
      <c r="AC48" s="35" t="str">
        <f t="shared" si="4"/>
        <v/>
      </c>
      <c r="AD48" s="40" t="str">
        <f t="shared" si="5"/>
        <v/>
      </c>
      <c r="AE48" s="37" t="str">
        <f t="shared" si="6"/>
        <v/>
      </c>
      <c r="AF48" s="40" t="str">
        <f t="shared" si="7"/>
        <v/>
      </c>
      <c r="AG48" s="37" t="str">
        <f t="shared" si="8"/>
        <v/>
      </c>
      <c r="AH48" s="40" t="str">
        <f t="shared" si="9"/>
        <v/>
      </c>
      <c r="AI48" s="37" t="str">
        <f t="shared" si="10"/>
        <v/>
      </c>
      <c r="AJ48" s="40" t="str">
        <f t="shared" si="11"/>
        <v/>
      </c>
      <c r="AK48" s="204" t="str">
        <f>IF(C48="","",IF(E48=FROTA!$AT$18,IF('DEFINA!!!'!$L$6="D-E-F-I-N-A !!!!!!!",0,IF('DEFINA!!!'!$L$6="Opto por Idade Média",SEM!AW48,IF('DEFINA!!!'!$L$6="Opto pelo Valor aplicado ao  Ano de cada Carro",SEM!AX48,0))),IF(E48=FROTA!$AT$17,IF('DEFINA!!!'!$L$6="D-E-F-I-N-A !!!!!!!",0,IF('DEFINA!!!'!$L$6="Opto por Idade Média",SEM!AW48,IF('DEFINA!!!'!$L$6="Opto pelo Valor aplicado ao  Ano de cada Carro",SEM!AX48,0))),IF(E48=FROTA!$AT$16,IF('DEFINA!!!'!$L$6="D-E-F-I-N-A !!!!!!!",0,IF('DEFINA!!!'!$L$6="Opto por Idade Média",SEM!AW48,IF('DEFINA!!!'!$L$6="Opto pelo Valor aplicado ao  Ano de cada Carro",SEM!AX48,0))),IF('DEFINA!!!'!$L$6="D-E-F-I-N-A !!!!!!!",0,IF('DEFINA!!!'!$L$6="Opto por Idade Média",SEM!AU48,IF('DEFINA!!!'!$L$6="Opto pelo Valor aplicado ao  Ano de cada Carro",SEM!AV48,0)))))))</f>
        <v/>
      </c>
      <c r="AL48" s="6"/>
      <c r="AM48" s="79" t="str">
        <f t="shared" si="12"/>
        <v/>
      </c>
      <c r="AN48" s="12"/>
      <c r="AO48" s="12"/>
      <c r="AP48" s="14"/>
      <c r="AQ48" s="16"/>
      <c r="AR48" s="15"/>
      <c r="AU48" s="198" t="str">
        <f>IF(C48="","",VLOOKUP(FROTA!$AB$2,RECEBÍVEIS!$AA$11:$AB$43,2,0))</f>
        <v/>
      </c>
      <c r="AV48" s="198" t="str">
        <f>IF(C48="","",IF(C48=FROTA!Z48="","",VLOOKUP(FROTA!Z48,RECEBÍVEIS!$AA$11:$AB$43,2,0)))</f>
        <v/>
      </c>
      <c r="AW48" s="198" t="str">
        <f>IF(C48="","",VLOOKUP(FROTA!$AB$2,RECEBÍVEIS!$AA$11:$AC$43,3,0))</f>
        <v/>
      </c>
      <c r="AX48" s="198" t="str">
        <f>IF(C48="","",IF(C48=FROTA!Z48="","",VLOOKUP(FROTA!Z48,RECEBÍVEIS!$AA$11:$AC$43,3,0)))</f>
        <v/>
      </c>
    </row>
    <row r="49" spans="2:50" ht="17.25" customHeight="1" x14ac:dyDescent="0.2">
      <c r="B49" s="6"/>
      <c r="C49" s="49" t="str">
        <f>IF(FROTA!B49="","",FROTA!B49)</f>
        <v/>
      </c>
      <c r="D49" s="220" t="str">
        <f>IF(C49="","",VLOOKUP(SEM!C49,FROTA!$B$5:$C$305,2,0))</f>
        <v/>
      </c>
      <c r="E49" s="24" t="str">
        <f>IF(C49="","",VLOOKUP(C49,FROTA!$B$5:$H$305,7,0))</f>
        <v/>
      </c>
      <c r="F49" s="38" t="str">
        <f t="shared" si="2"/>
        <v/>
      </c>
      <c r="G49" s="71" t="str">
        <f t="shared" si="13"/>
        <v/>
      </c>
      <c r="H49" s="32" t="str">
        <f t="shared" si="3"/>
        <v/>
      </c>
      <c r="I49" s="73" t="str">
        <f t="shared" si="3"/>
        <v/>
      </c>
      <c r="J49" s="73" t="str">
        <f t="shared" si="3"/>
        <v/>
      </c>
      <c r="K49" s="73" t="str">
        <f t="shared" si="14"/>
        <v/>
      </c>
      <c r="L49" s="73" t="str">
        <f t="shared" si="14"/>
        <v/>
      </c>
      <c r="M49" s="73" t="str">
        <f t="shared" si="14"/>
        <v/>
      </c>
      <c r="N49" s="73" t="str">
        <f t="shared" si="14"/>
        <v/>
      </c>
      <c r="O49" s="73" t="str">
        <f t="shared" si="14"/>
        <v/>
      </c>
      <c r="P49" s="73" t="str">
        <f t="shared" si="14"/>
        <v/>
      </c>
      <c r="Q49" s="73" t="str">
        <f t="shared" si="14"/>
        <v/>
      </c>
      <c r="R49" s="73" t="str">
        <f t="shared" si="16"/>
        <v/>
      </c>
      <c r="S49" s="73" t="str">
        <f t="shared" si="16"/>
        <v/>
      </c>
      <c r="T49" s="73" t="str">
        <f t="shared" si="16"/>
        <v/>
      </c>
      <c r="U49" s="73" t="str">
        <f t="shared" si="16"/>
        <v/>
      </c>
      <c r="V49" s="73" t="str">
        <f t="shared" si="16"/>
        <v/>
      </c>
      <c r="W49" s="73" t="str">
        <f t="shared" si="16"/>
        <v/>
      </c>
      <c r="X49" s="73" t="str">
        <f t="shared" si="16"/>
        <v/>
      </c>
      <c r="Y49" s="73" t="str">
        <f t="shared" si="16"/>
        <v/>
      </c>
      <c r="Z49" s="73" t="str">
        <f t="shared" si="16"/>
        <v/>
      </c>
      <c r="AA49" s="73" t="str">
        <f t="shared" si="16"/>
        <v/>
      </c>
      <c r="AB49" s="74" t="str">
        <f t="shared" si="16"/>
        <v/>
      </c>
      <c r="AC49" s="35" t="str">
        <f t="shared" si="4"/>
        <v/>
      </c>
      <c r="AD49" s="40" t="str">
        <f t="shared" si="5"/>
        <v/>
      </c>
      <c r="AE49" s="37" t="str">
        <f t="shared" si="6"/>
        <v/>
      </c>
      <c r="AF49" s="40" t="str">
        <f t="shared" si="7"/>
        <v/>
      </c>
      <c r="AG49" s="37" t="str">
        <f t="shared" si="8"/>
        <v/>
      </c>
      <c r="AH49" s="40" t="str">
        <f t="shared" si="9"/>
        <v/>
      </c>
      <c r="AI49" s="37" t="str">
        <f t="shared" si="10"/>
        <v/>
      </c>
      <c r="AJ49" s="40" t="str">
        <f t="shared" si="11"/>
        <v/>
      </c>
      <c r="AK49" s="204" t="str">
        <f>IF(C49="","",IF(E49=FROTA!$AT$18,IF('DEFINA!!!'!$L$6="D-E-F-I-N-A !!!!!!!",0,IF('DEFINA!!!'!$L$6="Opto por Idade Média",SEM!AW49,IF('DEFINA!!!'!$L$6="Opto pelo Valor aplicado ao  Ano de cada Carro",SEM!AX49,0))),IF(E49=FROTA!$AT$17,IF('DEFINA!!!'!$L$6="D-E-F-I-N-A !!!!!!!",0,IF('DEFINA!!!'!$L$6="Opto por Idade Média",SEM!AW49,IF('DEFINA!!!'!$L$6="Opto pelo Valor aplicado ao  Ano de cada Carro",SEM!AX49,0))),IF(E49=FROTA!$AT$16,IF('DEFINA!!!'!$L$6="D-E-F-I-N-A !!!!!!!",0,IF('DEFINA!!!'!$L$6="Opto por Idade Média",SEM!AW49,IF('DEFINA!!!'!$L$6="Opto pelo Valor aplicado ao  Ano de cada Carro",SEM!AX49,0))),IF('DEFINA!!!'!$L$6="D-E-F-I-N-A !!!!!!!",0,IF('DEFINA!!!'!$L$6="Opto por Idade Média",SEM!AU49,IF('DEFINA!!!'!$L$6="Opto pelo Valor aplicado ao  Ano de cada Carro",SEM!AV49,0)))))))</f>
        <v/>
      </c>
      <c r="AL49" s="6"/>
      <c r="AM49" s="79" t="str">
        <f t="shared" si="12"/>
        <v/>
      </c>
      <c r="AN49" s="12"/>
      <c r="AO49" s="12"/>
      <c r="AP49" s="14"/>
      <c r="AQ49" s="16"/>
      <c r="AR49" s="15"/>
      <c r="AU49" s="198" t="str">
        <f>IF(C49="","",VLOOKUP(FROTA!$AB$2,RECEBÍVEIS!$AA$11:$AB$43,2,0))</f>
        <v/>
      </c>
      <c r="AV49" s="198" t="str">
        <f>IF(C49="","",IF(C49=FROTA!Z49="","",VLOOKUP(FROTA!Z49,RECEBÍVEIS!$AA$11:$AB$43,2,0)))</f>
        <v/>
      </c>
      <c r="AW49" s="198" t="str">
        <f>IF(C49="","",VLOOKUP(FROTA!$AB$2,RECEBÍVEIS!$AA$11:$AC$43,3,0))</f>
        <v/>
      </c>
      <c r="AX49" s="198" t="str">
        <f>IF(C49="","",IF(C49=FROTA!Z49="","",VLOOKUP(FROTA!Z49,RECEBÍVEIS!$AA$11:$AC$43,3,0)))</f>
        <v/>
      </c>
    </row>
    <row r="50" spans="2:50" ht="17.25" customHeight="1" x14ac:dyDescent="0.2">
      <c r="B50" s="6"/>
      <c r="C50" s="49" t="str">
        <f>IF(FROTA!B50="","",FROTA!B50)</f>
        <v/>
      </c>
      <c r="D50" s="220" t="str">
        <f>IF(C50="","",VLOOKUP(SEM!C50,FROTA!$B$5:$C$305,2,0))</f>
        <v/>
      </c>
      <c r="E50" s="24" t="str">
        <f>IF(C50="","",VLOOKUP(C50,FROTA!$B$5:$H$305,7,0))</f>
        <v/>
      </c>
      <c r="F50" s="38" t="str">
        <f t="shared" si="2"/>
        <v/>
      </c>
      <c r="G50" s="71" t="str">
        <f t="shared" si="13"/>
        <v/>
      </c>
      <c r="H50" s="32" t="str">
        <f t="shared" si="3"/>
        <v/>
      </c>
      <c r="I50" s="73" t="str">
        <f t="shared" si="3"/>
        <v/>
      </c>
      <c r="J50" s="73" t="str">
        <f t="shared" si="3"/>
        <v/>
      </c>
      <c r="K50" s="73" t="str">
        <f t="shared" si="14"/>
        <v/>
      </c>
      <c r="L50" s="73" t="str">
        <f t="shared" si="14"/>
        <v/>
      </c>
      <c r="M50" s="73" t="str">
        <f t="shared" si="14"/>
        <v/>
      </c>
      <c r="N50" s="73" t="str">
        <f t="shared" si="14"/>
        <v/>
      </c>
      <c r="O50" s="73" t="str">
        <f t="shared" si="14"/>
        <v/>
      </c>
      <c r="P50" s="73" t="str">
        <f t="shared" si="14"/>
        <v/>
      </c>
      <c r="Q50" s="73" t="str">
        <f t="shared" si="14"/>
        <v/>
      </c>
      <c r="R50" s="73" t="str">
        <f t="shared" si="16"/>
        <v/>
      </c>
      <c r="S50" s="73" t="str">
        <f t="shared" si="16"/>
        <v/>
      </c>
      <c r="T50" s="73" t="str">
        <f t="shared" si="16"/>
        <v/>
      </c>
      <c r="U50" s="73" t="str">
        <f t="shared" si="16"/>
        <v/>
      </c>
      <c r="V50" s="73" t="str">
        <f t="shared" si="16"/>
        <v/>
      </c>
      <c r="W50" s="73" t="str">
        <f t="shared" si="16"/>
        <v/>
      </c>
      <c r="X50" s="73" t="str">
        <f t="shared" si="16"/>
        <v/>
      </c>
      <c r="Y50" s="73" t="str">
        <f t="shared" si="16"/>
        <v/>
      </c>
      <c r="Z50" s="73" t="str">
        <f t="shared" si="16"/>
        <v/>
      </c>
      <c r="AA50" s="73" t="str">
        <f t="shared" si="16"/>
        <v/>
      </c>
      <c r="AB50" s="74" t="str">
        <f t="shared" si="16"/>
        <v/>
      </c>
      <c r="AC50" s="35" t="str">
        <f t="shared" si="4"/>
        <v/>
      </c>
      <c r="AD50" s="40" t="str">
        <f t="shared" si="5"/>
        <v/>
      </c>
      <c r="AE50" s="37" t="str">
        <f t="shared" si="6"/>
        <v/>
      </c>
      <c r="AF50" s="40" t="str">
        <f t="shared" si="7"/>
        <v/>
      </c>
      <c r="AG50" s="37" t="str">
        <f t="shared" si="8"/>
        <v/>
      </c>
      <c r="AH50" s="40" t="str">
        <f t="shared" si="9"/>
        <v/>
      </c>
      <c r="AI50" s="37" t="str">
        <f t="shared" si="10"/>
        <v/>
      </c>
      <c r="AJ50" s="40" t="str">
        <f t="shared" si="11"/>
        <v/>
      </c>
      <c r="AK50" s="204" t="str">
        <f>IF(C50="","",IF(E50=FROTA!$AT$18,IF('DEFINA!!!'!$L$6="D-E-F-I-N-A !!!!!!!",0,IF('DEFINA!!!'!$L$6="Opto por Idade Média",SEM!AW50,IF('DEFINA!!!'!$L$6="Opto pelo Valor aplicado ao  Ano de cada Carro",SEM!AX50,0))),IF(E50=FROTA!$AT$17,IF('DEFINA!!!'!$L$6="D-E-F-I-N-A !!!!!!!",0,IF('DEFINA!!!'!$L$6="Opto por Idade Média",SEM!AW50,IF('DEFINA!!!'!$L$6="Opto pelo Valor aplicado ao  Ano de cada Carro",SEM!AX50,0))),IF(E50=FROTA!$AT$16,IF('DEFINA!!!'!$L$6="D-E-F-I-N-A !!!!!!!",0,IF('DEFINA!!!'!$L$6="Opto por Idade Média",SEM!AW50,IF('DEFINA!!!'!$L$6="Opto pelo Valor aplicado ao  Ano de cada Carro",SEM!AX50,0))),IF('DEFINA!!!'!$L$6="D-E-F-I-N-A !!!!!!!",0,IF('DEFINA!!!'!$L$6="Opto por Idade Média",SEM!AU50,IF('DEFINA!!!'!$L$6="Opto pelo Valor aplicado ao  Ano de cada Carro",SEM!AV50,0)))))))</f>
        <v/>
      </c>
      <c r="AL50" s="6"/>
      <c r="AM50" s="79" t="str">
        <f t="shared" si="12"/>
        <v/>
      </c>
      <c r="AN50" s="12"/>
      <c r="AO50" s="12"/>
      <c r="AP50" s="14"/>
      <c r="AQ50" s="16"/>
      <c r="AR50" s="15"/>
      <c r="AU50" s="198" t="str">
        <f>IF(C50="","",VLOOKUP(FROTA!$AB$2,RECEBÍVEIS!$AA$11:$AB$43,2,0))</f>
        <v/>
      </c>
      <c r="AV50" s="198" t="str">
        <f>IF(C50="","",IF(C50=FROTA!Z50="","",VLOOKUP(FROTA!Z50,RECEBÍVEIS!$AA$11:$AB$43,2,0)))</f>
        <v/>
      </c>
      <c r="AW50" s="198" t="str">
        <f>IF(C50="","",VLOOKUP(FROTA!$AB$2,RECEBÍVEIS!$AA$11:$AC$43,3,0))</f>
        <v/>
      </c>
      <c r="AX50" s="198" t="str">
        <f>IF(C50="","",IF(C50=FROTA!Z50="","",VLOOKUP(FROTA!Z50,RECEBÍVEIS!$AA$11:$AC$43,3,0)))</f>
        <v/>
      </c>
    </row>
    <row r="51" spans="2:50" ht="17.25" customHeight="1" x14ac:dyDescent="0.2">
      <c r="B51" s="6"/>
      <c r="C51" s="49" t="str">
        <f>IF(FROTA!B51="","",FROTA!B51)</f>
        <v/>
      </c>
      <c r="D51" s="220" t="str">
        <f>IF(C51="","",VLOOKUP(SEM!C51,FROTA!$B$5:$C$305,2,0))</f>
        <v/>
      </c>
      <c r="E51" s="24" t="str">
        <f>IF(C51="","",VLOOKUP(C51,FROTA!$B$5:$H$305,7,0))</f>
        <v/>
      </c>
      <c r="F51" s="38" t="str">
        <f t="shared" si="2"/>
        <v/>
      </c>
      <c r="G51" s="71" t="str">
        <f t="shared" si="13"/>
        <v/>
      </c>
      <c r="H51" s="32" t="str">
        <f t="shared" si="3"/>
        <v/>
      </c>
      <c r="I51" s="73" t="str">
        <f t="shared" si="3"/>
        <v/>
      </c>
      <c r="J51" s="73" t="str">
        <f t="shared" si="3"/>
        <v/>
      </c>
      <c r="K51" s="73" t="str">
        <f t="shared" si="14"/>
        <v/>
      </c>
      <c r="L51" s="73" t="str">
        <f t="shared" si="14"/>
        <v/>
      </c>
      <c r="M51" s="73" t="str">
        <f t="shared" si="14"/>
        <v/>
      </c>
      <c r="N51" s="73" t="str">
        <f t="shared" si="14"/>
        <v/>
      </c>
      <c r="O51" s="73" t="str">
        <f t="shared" si="14"/>
        <v/>
      </c>
      <c r="P51" s="73" t="str">
        <f t="shared" si="14"/>
        <v/>
      </c>
      <c r="Q51" s="73" t="str">
        <f t="shared" si="14"/>
        <v/>
      </c>
      <c r="R51" s="73" t="str">
        <f t="shared" si="16"/>
        <v/>
      </c>
      <c r="S51" s="73" t="str">
        <f t="shared" si="16"/>
        <v/>
      </c>
      <c r="T51" s="73" t="str">
        <f t="shared" si="16"/>
        <v/>
      </c>
      <c r="U51" s="73" t="str">
        <f t="shared" si="16"/>
        <v/>
      </c>
      <c r="V51" s="73" t="str">
        <f t="shared" si="16"/>
        <v/>
      </c>
      <c r="W51" s="73" t="str">
        <f t="shared" si="16"/>
        <v/>
      </c>
      <c r="X51" s="73" t="str">
        <f t="shared" si="16"/>
        <v/>
      </c>
      <c r="Y51" s="73" t="str">
        <f t="shared" si="16"/>
        <v/>
      </c>
      <c r="Z51" s="73" t="str">
        <f t="shared" si="16"/>
        <v/>
      </c>
      <c r="AA51" s="73" t="str">
        <f t="shared" si="16"/>
        <v/>
      </c>
      <c r="AB51" s="74" t="str">
        <f t="shared" si="16"/>
        <v/>
      </c>
      <c r="AC51" s="35" t="str">
        <f t="shared" si="4"/>
        <v/>
      </c>
      <c r="AD51" s="40" t="str">
        <f t="shared" si="5"/>
        <v/>
      </c>
      <c r="AE51" s="37" t="str">
        <f t="shared" si="6"/>
        <v/>
      </c>
      <c r="AF51" s="40" t="str">
        <f t="shared" si="7"/>
        <v/>
      </c>
      <c r="AG51" s="37" t="str">
        <f t="shared" si="8"/>
        <v/>
      </c>
      <c r="AH51" s="40" t="str">
        <f t="shared" si="9"/>
        <v/>
      </c>
      <c r="AI51" s="37" t="str">
        <f t="shared" si="10"/>
        <v/>
      </c>
      <c r="AJ51" s="40" t="str">
        <f t="shared" si="11"/>
        <v/>
      </c>
      <c r="AK51" s="204" t="str">
        <f>IF(C51="","",IF(E51=FROTA!$AT$18,IF('DEFINA!!!'!$L$6="D-E-F-I-N-A !!!!!!!",0,IF('DEFINA!!!'!$L$6="Opto por Idade Média",SEM!AW51,IF('DEFINA!!!'!$L$6="Opto pelo Valor aplicado ao  Ano de cada Carro",SEM!AX51,0))),IF(E51=FROTA!$AT$17,IF('DEFINA!!!'!$L$6="D-E-F-I-N-A !!!!!!!",0,IF('DEFINA!!!'!$L$6="Opto por Idade Média",SEM!AW51,IF('DEFINA!!!'!$L$6="Opto pelo Valor aplicado ao  Ano de cada Carro",SEM!AX51,0))),IF(E51=FROTA!$AT$16,IF('DEFINA!!!'!$L$6="D-E-F-I-N-A !!!!!!!",0,IF('DEFINA!!!'!$L$6="Opto por Idade Média",SEM!AW51,IF('DEFINA!!!'!$L$6="Opto pelo Valor aplicado ao  Ano de cada Carro",SEM!AX51,0))),IF('DEFINA!!!'!$L$6="D-E-F-I-N-A !!!!!!!",0,IF('DEFINA!!!'!$L$6="Opto por Idade Média",SEM!AU51,IF('DEFINA!!!'!$L$6="Opto pelo Valor aplicado ao  Ano de cada Carro",SEM!AV51,0)))))))</f>
        <v/>
      </c>
      <c r="AL51" s="6"/>
      <c r="AM51" s="79" t="str">
        <f t="shared" si="12"/>
        <v/>
      </c>
      <c r="AN51" s="12"/>
      <c r="AO51" s="12"/>
      <c r="AP51" s="14"/>
      <c r="AQ51" s="16"/>
      <c r="AR51" s="15"/>
      <c r="AU51" s="198" t="str">
        <f>IF(C51="","",VLOOKUP(FROTA!$AB$2,RECEBÍVEIS!$AA$11:$AB$43,2,0))</f>
        <v/>
      </c>
      <c r="AV51" s="198" t="str">
        <f>IF(C51="","",IF(C51=FROTA!Z51="","",VLOOKUP(FROTA!Z51,RECEBÍVEIS!$AA$11:$AB$43,2,0)))</f>
        <v/>
      </c>
      <c r="AW51" s="198" t="str">
        <f>IF(C51="","",VLOOKUP(FROTA!$AB$2,RECEBÍVEIS!$AA$11:$AC$43,3,0))</f>
        <v/>
      </c>
      <c r="AX51" s="198" t="str">
        <f>IF(C51="","",IF(C51=FROTA!Z51="","",VLOOKUP(FROTA!Z51,RECEBÍVEIS!$AA$11:$AC$43,3,0)))</f>
        <v/>
      </c>
    </row>
    <row r="52" spans="2:50" ht="17.25" customHeight="1" x14ac:dyDescent="0.2">
      <c r="B52" s="6"/>
      <c r="C52" s="49" t="str">
        <f>IF(FROTA!B52="","",FROTA!B52)</f>
        <v/>
      </c>
      <c r="D52" s="220" t="str">
        <f>IF(C52="","",VLOOKUP(SEM!C52,FROTA!$B$5:$C$305,2,0))</f>
        <v/>
      </c>
      <c r="E52" s="24" t="str">
        <f>IF(C52="","",VLOOKUP(C52,FROTA!$B$5:$H$305,7,0))</f>
        <v/>
      </c>
      <c r="F52" s="38" t="str">
        <f t="shared" si="2"/>
        <v/>
      </c>
      <c r="G52" s="71" t="str">
        <f t="shared" si="13"/>
        <v/>
      </c>
      <c r="H52" s="32" t="str">
        <f t="shared" si="3"/>
        <v/>
      </c>
      <c r="I52" s="73" t="str">
        <f t="shared" si="3"/>
        <v/>
      </c>
      <c r="J52" s="73" t="str">
        <f t="shared" si="3"/>
        <v/>
      </c>
      <c r="K52" s="73" t="str">
        <f t="shared" si="14"/>
        <v/>
      </c>
      <c r="L52" s="73" t="str">
        <f t="shared" si="14"/>
        <v/>
      </c>
      <c r="M52" s="73" t="str">
        <f t="shared" si="14"/>
        <v/>
      </c>
      <c r="N52" s="73" t="str">
        <f t="shared" si="14"/>
        <v/>
      </c>
      <c r="O52" s="73" t="str">
        <f t="shared" si="14"/>
        <v/>
      </c>
      <c r="P52" s="73" t="str">
        <f t="shared" si="14"/>
        <v/>
      </c>
      <c r="Q52" s="73" t="str">
        <f t="shared" si="14"/>
        <v/>
      </c>
      <c r="R52" s="73" t="str">
        <f t="shared" si="16"/>
        <v/>
      </c>
      <c r="S52" s="73" t="str">
        <f t="shared" si="16"/>
        <v/>
      </c>
      <c r="T52" s="73" t="str">
        <f t="shared" si="16"/>
        <v/>
      </c>
      <c r="U52" s="73" t="str">
        <f t="shared" si="16"/>
        <v/>
      </c>
      <c r="V52" s="73" t="str">
        <f t="shared" si="16"/>
        <v/>
      </c>
      <c r="W52" s="73" t="str">
        <f t="shared" si="16"/>
        <v/>
      </c>
      <c r="X52" s="73" t="str">
        <f t="shared" si="16"/>
        <v/>
      </c>
      <c r="Y52" s="73" t="str">
        <f t="shared" si="16"/>
        <v/>
      </c>
      <c r="Z52" s="73" t="str">
        <f t="shared" si="16"/>
        <v/>
      </c>
      <c r="AA52" s="73" t="str">
        <f t="shared" si="16"/>
        <v/>
      </c>
      <c r="AB52" s="74" t="str">
        <f t="shared" si="16"/>
        <v/>
      </c>
      <c r="AC52" s="35" t="str">
        <f t="shared" si="4"/>
        <v/>
      </c>
      <c r="AD52" s="40" t="str">
        <f t="shared" si="5"/>
        <v/>
      </c>
      <c r="AE52" s="37" t="str">
        <f t="shared" si="6"/>
        <v/>
      </c>
      <c r="AF52" s="40" t="str">
        <f t="shared" si="7"/>
        <v/>
      </c>
      <c r="AG52" s="37" t="str">
        <f t="shared" si="8"/>
        <v/>
      </c>
      <c r="AH52" s="40" t="str">
        <f t="shared" si="9"/>
        <v/>
      </c>
      <c r="AI52" s="37" t="str">
        <f t="shared" si="10"/>
        <v/>
      </c>
      <c r="AJ52" s="40" t="str">
        <f t="shared" si="11"/>
        <v/>
      </c>
      <c r="AK52" s="204" t="str">
        <f>IF(C52="","",IF(E52=FROTA!$AT$18,IF('DEFINA!!!'!$L$6="D-E-F-I-N-A !!!!!!!",0,IF('DEFINA!!!'!$L$6="Opto por Idade Média",SEM!AW52,IF('DEFINA!!!'!$L$6="Opto pelo Valor aplicado ao  Ano de cada Carro",SEM!AX52,0))),IF(E52=FROTA!$AT$17,IF('DEFINA!!!'!$L$6="D-E-F-I-N-A !!!!!!!",0,IF('DEFINA!!!'!$L$6="Opto por Idade Média",SEM!AW52,IF('DEFINA!!!'!$L$6="Opto pelo Valor aplicado ao  Ano de cada Carro",SEM!AX52,0))),IF(E52=FROTA!$AT$16,IF('DEFINA!!!'!$L$6="D-E-F-I-N-A !!!!!!!",0,IF('DEFINA!!!'!$L$6="Opto por Idade Média",SEM!AW52,IF('DEFINA!!!'!$L$6="Opto pelo Valor aplicado ao  Ano de cada Carro",SEM!AX52,0))),IF('DEFINA!!!'!$L$6="D-E-F-I-N-A !!!!!!!",0,IF('DEFINA!!!'!$L$6="Opto por Idade Média",SEM!AU52,IF('DEFINA!!!'!$L$6="Opto pelo Valor aplicado ao  Ano de cada Carro",SEM!AV52,0)))))))</f>
        <v/>
      </c>
      <c r="AL52" s="6"/>
      <c r="AM52" s="79" t="str">
        <f t="shared" si="12"/>
        <v/>
      </c>
      <c r="AN52" s="12"/>
      <c r="AO52" s="12"/>
      <c r="AP52" s="14"/>
      <c r="AQ52" s="16"/>
      <c r="AR52" s="15"/>
      <c r="AU52" s="198" t="str">
        <f>IF(C52="","",VLOOKUP(FROTA!$AB$2,RECEBÍVEIS!$AA$11:$AB$43,2,0))</f>
        <v/>
      </c>
      <c r="AV52" s="198" t="str">
        <f>IF(C52="","",IF(C52=FROTA!Z52="","",VLOOKUP(FROTA!Z52,RECEBÍVEIS!$AA$11:$AB$43,2,0)))</f>
        <v/>
      </c>
      <c r="AW52" s="198" t="str">
        <f>IF(C52="","",VLOOKUP(FROTA!$AB$2,RECEBÍVEIS!$AA$11:$AC$43,3,0))</f>
        <v/>
      </c>
      <c r="AX52" s="198" t="str">
        <f>IF(C52="","",IF(C52=FROTA!Z52="","",VLOOKUP(FROTA!Z52,RECEBÍVEIS!$AA$11:$AC$43,3,0)))</f>
        <v/>
      </c>
    </row>
    <row r="53" spans="2:50" ht="17.25" customHeight="1" x14ac:dyDescent="0.2">
      <c r="B53" s="6"/>
      <c r="C53" s="49" t="str">
        <f>IF(FROTA!B53="","",FROTA!B53)</f>
        <v/>
      </c>
      <c r="D53" s="220" t="str">
        <f>IF(C53="","",VLOOKUP(SEM!C53,FROTA!$B$5:$C$305,2,0))</f>
        <v/>
      </c>
      <c r="E53" s="24" t="str">
        <f>IF(C53="","",VLOOKUP(C53,FROTA!$B$5:$H$305,7,0))</f>
        <v/>
      </c>
      <c r="F53" s="38" t="str">
        <f t="shared" si="2"/>
        <v/>
      </c>
      <c r="G53" s="71" t="str">
        <f t="shared" si="13"/>
        <v/>
      </c>
      <c r="H53" s="32" t="str">
        <f t="shared" si="3"/>
        <v/>
      </c>
      <c r="I53" s="73" t="str">
        <f t="shared" si="3"/>
        <v/>
      </c>
      <c r="J53" s="73" t="str">
        <f t="shared" si="3"/>
        <v/>
      </c>
      <c r="K53" s="73" t="str">
        <f t="shared" si="14"/>
        <v/>
      </c>
      <c r="L53" s="73" t="str">
        <f t="shared" si="14"/>
        <v/>
      </c>
      <c r="M53" s="73" t="str">
        <f t="shared" si="14"/>
        <v/>
      </c>
      <c r="N53" s="73" t="str">
        <f t="shared" si="14"/>
        <v/>
      </c>
      <c r="O53" s="73" t="str">
        <f t="shared" si="14"/>
        <v/>
      </c>
      <c r="P53" s="73" t="str">
        <f t="shared" si="14"/>
        <v/>
      </c>
      <c r="Q53" s="73" t="str">
        <f t="shared" si="14"/>
        <v/>
      </c>
      <c r="R53" s="73" t="str">
        <f t="shared" si="16"/>
        <v/>
      </c>
      <c r="S53" s="73" t="str">
        <f t="shared" si="16"/>
        <v/>
      </c>
      <c r="T53" s="73" t="str">
        <f t="shared" si="16"/>
        <v/>
      </c>
      <c r="U53" s="73" t="str">
        <f t="shared" si="16"/>
        <v/>
      </c>
      <c r="V53" s="73" t="str">
        <f t="shared" si="16"/>
        <v/>
      </c>
      <c r="W53" s="73" t="str">
        <f t="shared" si="16"/>
        <v/>
      </c>
      <c r="X53" s="73" t="str">
        <f t="shared" si="16"/>
        <v/>
      </c>
      <c r="Y53" s="73" t="str">
        <f t="shared" si="16"/>
        <v/>
      </c>
      <c r="Z53" s="73" t="str">
        <f t="shared" si="16"/>
        <v/>
      </c>
      <c r="AA53" s="73" t="str">
        <f t="shared" si="16"/>
        <v/>
      </c>
      <c r="AB53" s="74" t="str">
        <f t="shared" si="16"/>
        <v/>
      </c>
      <c r="AC53" s="35" t="str">
        <f t="shared" si="4"/>
        <v/>
      </c>
      <c r="AD53" s="40" t="str">
        <f t="shared" si="5"/>
        <v/>
      </c>
      <c r="AE53" s="37" t="str">
        <f t="shared" si="6"/>
        <v/>
      </c>
      <c r="AF53" s="40" t="str">
        <f t="shared" si="7"/>
        <v/>
      </c>
      <c r="AG53" s="37" t="str">
        <f t="shared" si="8"/>
        <v/>
      </c>
      <c r="AH53" s="40" t="str">
        <f t="shared" si="9"/>
        <v/>
      </c>
      <c r="AI53" s="37" t="str">
        <f t="shared" si="10"/>
        <v/>
      </c>
      <c r="AJ53" s="40" t="str">
        <f t="shared" si="11"/>
        <v/>
      </c>
      <c r="AK53" s="204" t="str">
        <f>IF(C53="","",IF(E53=FROTA!$AT$18,IF('DEFINA!!!'!$L$6="D-E-F-I-N-A !!!!!!!",0,IF('DEFINA!!!'!$L$6="Opto por Idade Média",SEM!AW53,IF('DEFINA!!!'!$L$6="Opto pelo Valor aplicado ao  Ano de cada Carro",SEM!AX53,0))),IF(E53=FROTA!$AT$17,IF('DEFINA!!!'!$L$6="D-E-F-I-N-A !!!!!!!",0,IF('DEFINA!!!'!$L$6="Opto por Idade Média",SEM!AW53,IF('DEFINA!!!'!$L$6="Opto pelo Valor aplicado ao  Ano de cada Carro",SEM!AX53,0))),IF(E53=FROTA!$AT$16,IF('DEFINA!!!'!$L$6="D-E-F-I-N-A !!!!!!!",0,IF('DEFINA!!!'!$L$6="Opto por Idade Média",SEM!AW53,IF('DEFINA!!!'!$L$6="Opto pelo Valor aplicado ao  Ano de cada Carro",SEM!AX53,0))),IF('DEFINA!!!'!$L$6="D-E-F-I-N-A !!!!!!!",0,IF('DEFINA!!!'!$L$6="Opto por Idade Média",SEM!AU53,IF('DEFINA!!!'!$L$6="Opto pelo Valor aplicado ao  Ano de cada Carro",SEM!AV53,0)))))))</f>
        <v/>
      </c>
      <c r="AL53" s="6"/>
      <c r="AM53" s="79" t="str">
        <f t="shared" si="12"/>
        <v/>
      </c>
      <c r="AN53" s="12"/>
      <c r="AO53" s="12"/>
      <c r="AP53" s="14"/>
      <c r="AQ53" s="16"/>
      <c r="AR53" s="15"/>
      <c r="AU53" s="198" t="str">
        <f>IF(C53="","",VLOOKUP(FROTA!$AB$2,RECEBÍVEIS!$AA$11:$AB$43,2,0))</f>
        <v/>
      </c>
      <c r="AV53" s="198" t="str">
        <f>IF(C53="","",IF(C53=FROTA!Z53="","",VLOOKUP(FROTA!Z53,RECEBÍVEIS!$AA$11:$AB$43,2,0)))</f>
        <v/>
      </c>
      <c r="AW53" s="198" t="str">
        <f>IF(C53="","",VLOOKUP(FROTA!$AB$2,RECEBÍVEIS!$AA$11:$AC$43,3,0))</f>
        <v/>
      </c>
      <c r="AX53" s="198" t="str">
        <f>IF(C53="","",IF(C53=FROTA!Z53="","",VLOOKUP(FROTA!Z53,RECEBÍVEIS!$AA$11:$AC$43,3,0)))</f>
        <v/>
      </c>
    </row>
    <row r="54" spans="2:50" ht="17.25" customHeight="1" x14ac:dyDescent="0.2">
      <c r="B54" s="6"/>
      <c r="C54" s="49" t="str">
        <f>IF(FROTA!B54="","",FROTA!B54)</f>
        <v/>
      </c>
      <c r="D54" s="220" t="str">
        <f>IF(C54="","",VLOOKUP(SEM!C54,FROTA!$B$5:$C$305,2,0))</f>
        <v/>
      </c>
      <c r="E54" s="24" t="str">
        <f>IF(C54="","",VLOOKUP(C54,FROTA!$B$5:$H$305,7,0))</f>
        <v/>
      </c>
      <c r="F54" s="38" t="str">
        <f t="shared" si="2"/>
        <v/>
      </c>
      <c r="G54" s="71" t="str">
        <f t="shared" si="13"/>
        <v/>
      </c>
      <c r="H54" s="32" t="str">
        <f t="shared" si="3"/>
        <v/>
      </c>
      <c r="I54" s="73" t="str">
        <f t="shared" si="3"/>
        <v/>
      </c>
      <c r="J54" s="73" t="str">
        <f t="shared" si="3"/>
        <v/>
      </c>
      <c r="K54" s="73" t="str">
        <f t="shared" si="14"/>
        <v/>
      </c>
      <c r="L54" s="73" t="str">
        <f t="shared" si="14"/>
        <v/>
      </c>
      <c r="M54" s="73" t="str">
        <f t="shared" si="14"/>
        <v/>
      </c>
      <c r="N54" s="73" t="str">
        <f t="shared" si="14"/>
        <v/>
      </c>
      <c r="O54" s="73" t="str">
        <f t="shared" si="14"/>
        <v/>
      </c>
      <c r="P54" s="73" t="str">
        <f t="shared" si="14"/>
        <v/>
      </c>
      <c r="Q54" s="73" t="str">
        <f t="shared" si="14"/>
        <v/>
      </c>
      <c r="R54" s="73" t="str">
        <f t="shared" si="16"/>
        <v/>
      </c>
      <c r="S54" s="73" t="str">
        <f t="shared" si="16"/>
        <v/>
      </c>
      <c r="T54" s="73" t="str">
        <f t="shared" si="16"/>
        <v/>
      </c>
      <c r="U54" s="73" t="str">
        <f t="shared" si="16"/>
        <v/>
      </c>
      <c r="V54" s="73" t="str">
        <f t="shared" si="16"/>
        <v/>
      </c>
      <c r="W54" s="73" t="str">
        <f t="shared" si="16"/>
        <v/>
      </c>
      <c r="X54" s="73" t="str">
        <f t="shared" si="16"/>
        <v/>
      </c>
      <c r="Y54" s="73" t="str">
        <f t="shared" si="16"/>
        <v/>
      </c>
      <c r="Z54" s="73" t="str">
        <f t="shared" si="16"/>
        <v/>
      </c>
      <c r="AA54" s="73" t="str">
        <f t="shared" si="16"/>
        <v/>
      </c>
      <c r="AB54" s="74" t="str">
        <f t="shared" si="16"/>
        <v/>
      </c>
      <c r="AC54" s="35" t="str">
        <f t="shared" si="4"/>
        <v/>
      </c>
      <c r="AD54" s="40" t="str">
        <f t="shared" si="5"/>
        <v/>
      </c>
      <c r="AE54" s="37" t="str">
        <f t="shared" si="6"/>
        <v/>
      </c>
      <c r="AF54" s="40" t="str">
        <f t="shared" si="7"/>
        <v/>
      </c>
      <c r="AG54" s="37" t="str">
        <f t="shared" si="8"/>
        <v/>
      </c>
      <c r="AH54" s="40" t="str">
        <f t="shared" si="9"/>
        <v/>
      </c>
      <c r="AI54" s="37" t="str">
        <f t="shared" si="10"/>
        <v/>
      </c>
      <c r="AJ54" s="40" t="str">
        <f t="shared" si="11"/>
        <v/>
      </c>
      <c r="AK54" s="204" t="str">
        <f>IF(C54="","",IF(E54=FROTA!$AT$18,IF('DEFINA!!!'!$L$6="D-E-F-I-N-A !!!!!!!",0,IF('DEFINA!!!'!$L$6="Opto por Idade Média",SEM!AW54,IF('DEFINA!!!'!$L$6="Opto pelo Valor aplicado ao  Ano de cada Carro",SEM!AX54,0))),IF(E54=FROTA!$AT$17,IF('DEFINA!!!'!$L$6="D-E-F-I-N-A !!!!!!!",0,IF('DEFINA!!!'!$L$6="Opto por Idade Média",SEM!AW54,IF('DEFINA!!!'!$L$6="Opto pelo Valor aplicado ao  Ano de cada Carro",SEM!AX54,0))),IF(E54=FROTA!$AT$16,IF('DEFINA!!!'!$L$6="D-E-F-I-N-A !!!!!!!",0,IF('DEFINA!!!'!$L$6="Opto por Idade Média",SEM!AW54,IF('DEFINA!!!'!$L$6="Opto pelo Valor aplicado ao  Ano de cada Carro",SEM!AX54,0))),IF('DEFINA!!!'!$L$6="D-E-F-I-N-A !!!!!!!",0,IF('DEFINA!!!'!$L$6="Opto por Idade Média",SEM!AU54,IF('DEFINA!!!'!$L$6="Opto pelo Valor aplicado ao  Ano de cada Carro",SEM!AV54,0)))))))</f>
        <v/>
      </c>
      <c r="AL54" s="6"/>
      <c r="AM54" s="79" t="str">
        <f t="shared" si="12"/>
        <v/>
      </c>
      <c r="AN54" s="12"/>
      <c r="AO54" s="12"/>
      <c r="AP54" s="14"/>
      <c r="AQ54" s="16"/>
      <c r="AR54" s="15"/>
      <c r="AU54" s="198" t="str">
        <f>IF(C54="","",VLOOKUP(FROTA!$AB$2,RECEBÍVEIS!$AA$11:$AB$43,2,0))</f>
        <v/>
      </c>
      <c r="AV54" s="198" t="str">
        <f>IF(C54="","",IF(C54=FROTA!Z54="","",VLOOKUP(FROTA!Z54,RECEBÍVEIS!$AA$11:$AB$43,2,0)))</f>
        <v/>
      </c>
      <c r="AW54" s="198" t="str">
        <f>IF(C54="","",VLOOKUP(FROTA!$AB$2,RECEBÍVEIS!$AA$11:$AC$43,3,0))</f>
        <v/>
      </c>
      <c r="AX54" s="198" t="str">
        <f>IF(C54="","",IF(C54=FROTA!Z54="","",VLOOKUP(FROTA!Z54,RECEBÍVEIS!$AA$11:$AC$43,3,0)))</f>
        <v/>
      </c>
    </row>
    <row r="55" spans="2:50" ht="17.25" customHeight="1" x14ac:dyDescent="0.2">
      <c r="B55" s="6"/>
      <c r="C55" s="49" t="str">
        <f>IF(FROTA!B55="","",FROTA!B55)</f>
        <v/>
      </c>
      <c r="D55" s="220" t="str">
        <f>IF(C55="","",VLOOKUP(SEM!C55,FROTA!$B$5:$C$305,2,0))</f>
        <v/>
      </c>
      <c r="E55" s="24" t="str">
        <f>IF(C55="","",VLOOKUP(C55,FROTA!$B$5:$H$305,7,0))</f>
        <v/>
      </c>
      <c r="F55" s="38" t="str">
        <f t="shared" si="2"/>
        <v/>
      </c>
      <c r="G55" s="71" t="str">
        <f t="shared" si="13"/>
        <v/>
      </c>
      <c r="H55" s="32" t="str">
        <f t="shared" si="3"/>
        <v/>
      </c>
      <c r="I55" s="73" t="str">
        <f t="shared" si="3"/>
        <v/>
      </c>
      <c r="J55" s="73" t="str">
        <f t="shared" si="3"/>
        <v/>
      </c>
      <c r="K55" s="73" t="str">
        <f t="shared" si="14"/>
        <v/>
      </c>
      <c r="L55" s="73" t="str">
        <f t="shared" si="14"/>
        <v/>
      </c>
      <c r="M55" s="73" t="str">
        <f t="shared" si="14"/>
        <v/>
      </c>
      <c r="N55" s="73" t="str">
        <f t="shared" si="14"/>
        <v/>
      </c>
      <c r="O55" s="73" t="str">
        <f t="shared" si="14"/>
        <v/>
      </c>
      <c r="P55" s="73" t="str">
        <f t="shared" si="14"/>
        <v/>
      </c>
      <c r="Q55" s="73" t="str">
        <f t="shared" si="14"/>
        <v/>
      </c>
      <c r="R55" s="73" t="str">
        <f t="shared" si="16"/>
        <v/>
      </c>
      <c r="S55" s="73" t="str">
        <f t="shared" si="16"/>
        <v/>
      </c>
      <c r="T55" s="73" t="str">
        <f t="shared" si="16"/>
        <v/>
      </c>
      <c r="U55" s="73" t="str">
        <f t="shared" si="16"/>
        <v/>
      </c>
      <c r="V55" s="73" t="str">
        <f t="shared" si="16"/>
        <v/>
      </c>
      <c r="W55" s="73" t="str">
        <f t="shared" si="16"/>
        <v/>
      </c>
      <c r="X55" s="73" t="str">
        <f t="shared" si="16"/>
        <v/>
      </c>
      <c r="Y55" s="73" t="str">
        <f t="shared" si="16"/>
        <v/>
      </c>
      <c r="Z55" s="73" t="str">
        <f t="shared" si="16"/>
        <v/>
      </c>
      <c r="AA55" s="73" t="str">
        <f t="shared" si="16"/>
        <v/>
      </c>
      <c r="AB55" s="74" t="str">
        <f t="shared" si="16"/>
        <v/>
      </c>
      <c r="AC55" s="35" t="str">
        <f t="shared" si="4"/>
        <v/>
      </c>
      <c r="AD55" s="40" t="str">
        <f t="shared" si="5"/>
        <v/>
      </c>
      <c r="AE55" s="37" t="str">
        <f t="shared" si="6"/>
        <v/>
      </c>
      <c r="AF55" s="40" t="str">
        <f t="shared" si="7"/>
        <v/>
      </c>
      <c r="AG55" s="37" t="str">
        <f t="shared" si="8"/>
        <v/>
      </c>
      <c r="AH55" s="40" t="str">
        <f t="shared" si="9"/>
        <v/>
      </c>
      <c r="AI55" s="37" t="str">
        <f t="shared" si="10"/>
        <v/>
      </c>
      <c r="AJ55" s="40" t="str">
        <f t="shared" si="11"/>
        <v/>
      </c>
      <c r="AK55" s="204" t="str">
        <f>IF(C55="","",IF(E55=FROTA!$AT$18,IF('DEFINA!!!'!$L$6="D-E-F-I-N-A !!!!!!!",0,IF('DEFINA!!!'!$L$6="Opto por Idade Média",SEM!AW55,IF('DEFINA!!!'!$L$6="Opto pelo Valor aplicado ao  Ano de cada Carro",SEM!AX55,0))),IF(E55=FROTA!$AT$17,IF('DEFINA!!!'!$L$6="D-E-F-I-N-A !!!!!!!",0,IF('DEFINA!!!'!$L$6="Opto por Idade Média",SEM!AW55,IF('DEFINA!!!'!$L$6="Opto pelo Valor aplicado ao  Ano de cada Carro",SEM!AX55,0))),IF(E55=FROTA!$AT$16,IF('DEFINA!!!'!$L$6="D-E-F-I-N-A !!!!!!!",0,IF('DEFINA!!!'!$L$6="Opto por Idade Média",SEM!AW55,IF('DEFINA!!!'!$L$6="Opto pelo Valor aplicado ao  Ano de cada Carro",SEM!AX55,0))),IF('DEFINA!!!'!$L$6="D-E-F-I-N-A !!!!!!!",0,IF('DEFINA!!!'!$L$6="Opto por Idade Média",SEM!AU55,IF('DEFINA!!!'!$L$6="Opto pelo Valor aplicado ao  Ano de cada Carro",SEM!AV55,0)))))))</f>
        <v/>
      </c>
      <c r="AL55" s="6"/>
      <c r="AM55" s="79" t="str">
        <f t="shared" si="12"/>
        <v/>
      </c>
      <c r="AN55" s="12"/>
      <c r="AO55" s="12"/>
      <c r="AP55" s="14"/>
      <c r="AQ55" s="16"/>
      <c r="AR55" s="15"/>
      <c r="AU55" s="198" t="str">
        <f>IF(C55="","",VLOOKUP(FROTA!$AB$2,RECEBÍVEIS!$AA$11:$AB$43,2,0))</f>
        <v/>
      </c>
      <c r="AV55" s="198" t="str">
        <f>IF(C55="","",IF(C55=FROTA!Z55="","",VLOOKUP(FROTA!Z55,RECEBÍVEIS!$AA$11:$AB$43,2,0)))</f>
        <v/>
      </c>
      <c r="AW55" s="198" t="str">
        <f>IF(C55="","",VLOOKUP(FROTA!$AB$2,RECEBÍVEIS!$AA$11:$AC$43,3,0))</f>
        <v/>
      </c>
      <c r="AX55" s="198" t="str">
        <f>IF(C55="","",IF(C55=FROTA!Z55="","",VLOOKUP(FROTA!Z55,RECEBÍVEIS!$AA$11:$AC$43,3,0)))</f>
        <v/>
      </c>
    </row>
    <row r="56" spans="2:50" ht="17.25" customHeight="1" x14ac:dyDescent="0.2">
      <c r="B56" s="6"/>
      <c r="C56" s="49" t="str">
        <f>IF(FROTA!B56="","",FROTA!B56)</f>
        <v/>
      </c>
      <c r="D56" s="220" t="str">
        <f>IF(C56="","",VLOOKUP(SEM!C56,FROTA!$B$5:$C$305,2,0))</f>
        <v/>
      </c>
      <c r="E56" s="24" t="str">
        <f>IF(C56="","",VLOOKUP(C56,FROTA!$B$5:$H$305,7,0))</f>
        <v/>
      </c>
      <c r="F56" s="38" t="str">
        <f t="shared" si="2"/>
        <v/>
      </c>
      <c r="G56" s="71" t="str">
        <f t="shared" si="13"/>
        <v/>
      </c>
      <c r="H56" s="32" t="str">
        <f t="shared" si="3"/>
        <v/>
      </c>
      <c r="I56" s="73" t="str">
        <f t="shared" si="3"/>
        <v/>
      </c>
      <c r="J56" s="73" t="str">
        <f t="shared" si="3"/>
        <v/>
      </c>
      <c r="K56" s="73" t="str">
        <f t="shared" si="14"/>
        <v/>
      </c>
      <c r="L56" s="73" t="str">
        <f t="shared" si="14"/>
        <v/>
      </c>
      <c r="M56" s="73" t="str">
        <f t="shared" si="14"/>
        <v/>
      </c>
      <c r="N56" s="73" t="str">
        <f t="shared" si="14"/>
        <v/>
      </c>
      <c r="O56" s="73" t="str">
        <f t="shared" si="14"/>
        <v/>
      </c>
      <c r="P56" s="73" t="str">
        <f t="shared" si="14"/>
        <v/>
      </c>
      <c r="Q56" s="73" t="str">
        <f t="shared" si="14"/>
        <v/>
      </c>
      <c r="R56" s="73" t="str">
        <f t="shared" si="16"/>
        <v/>
      </c>
      <c r="S56" s="73" t="str">
        <f t="shared" si="16"/>
        <v/>
      </c>
      <c r="T56" s="73" t="str">
        <f t="shared" si="16"/>
        <v/>
      </c>
      <c r="U56" s="73" t="str">
        <f t="shared" si="16"/>
        <v/>
      </c>
      <c r="V56" s="73" t="str">
        <f t="shared" si="16"/>
        <v/>
      </c>
      <c r="W56" s="73" t="str">
        <f t="shared" si="16"/>
        <v/>
      </c>
      <c r="X56" s="73" t="str">
        <f t="shared" si="16"/>
        <v/>
      </c>
      <c r="Y56" s="73" t="str">
        <f t="shared" si="16"/>
        <v/>
      </c>
      <c r="Z56" s="73" t="str">
        <f t="shared" si="16"/>
        <v/>
      </c>
      <c r="AA56" s="73" t="str">
        <f t="shared" si="16"/>
        <v/>
      </c>
      <c r="AB56" s="74" t="str">
        <f t="shared" si="16"/>
        <v/>
      </c>
      <c r="AC56" s="35" t="str">
        <f t="shared" si="4"/>
        <v/>
      </c>
      <c r="AD56" s="40" t="str">
        <f t="shared" si="5"/>
        <v/>
      </c>
      <c r="AE56" s="37" t="str">
        <f t="shared" si="6"/>
        <v/>
      </c>
      <c r="AF56" s="40" t="str">
        <f t="shared" si="7"/>
        <v/>
      </c>
      <c r="AG56" s="37" t="str">
        <f t="shared" si="8"/>
        <v/>
      </c>
      <c r="AH56" s="40" t="str">
        <f t="shared" si="9"/>
        <v/>
      </c>
      <c r="AI56" s="37" t="str">
        <f t="shared" si="10"/>
        <v/>
      </c>
      <c r="AJ56" s="40" t="str">
        <f t="shared" si="11"/>
        <v/>
      </c>
      <c r="AK56" s="204" t="str">
        <f>IF(C56="","",IF(E56=FROTA!$AT$18,IF('DEFINA!!!'!$L$6="D-E-F-I-N-A !!!!!!!",0,IF('DEFINA!!!'!$L$6="Opto por Idade Média",SEM!AW56,IF('DEFINA!!!'!$L$6="Opto pelo Valor aplicado ao  Ano de cada Carro",SEM!AX56,0))),IF(E56=FROTA!$AT$17,IF('DEFINA!!!'!$L$6="D-E-F-I-N-A !!!!!!!",0,IF('DEFINA!!!'!$L$6="Opto por Idade Média",SEM!AW56,IF('DEFINA!!!'!$L$6="Opto pelo Valor aplicado ao  Ano de cada Carro",SEM!AX56,0))),IF(E56=FROTA!$AT$16,IF('DEFINA!!!'!$L$6="D-E-F-I-N-A !!!!!!!",0,IF('DEFINA!!!'!$L$6="Opto por Idade Média",SEM!AW56,IF('DEFINA!!!'!$L$6="Opto pelo Valor aplicado ao  Ano de cada Carro",SEM!AX56,0))),IF('DEFINA!!!'!$L$6="D-E-F-I-N-A !!!!!!!",0,IF('DEFINA!!!'!$L$6="Opto por Idade Média",SEM!AU56,IF('DEFINA!!!'!$L$6="Opto pelo Valor aplicado ao  Ano de cada Carro",SEM!AV56,0)))))))</f>
        <v/>
      </c>
      <c r="AL56" s="6"/>
      <c r="AM56" s="79" t="str">
        <f t="shared" si="12"/>
        <v/>
      </c>
      <c r="AN56" s="12"/>
      <c r="AO56" s="12"/>
      <c r="AP56" s="14"/>
      <c r="AQ56" s="16"/>
      <c r="AR56" s="15"/>
      <c r="AU56" s="198" t="str">
        <f>IF(C56="","",VLOOKUP(FROTA!$AB$2,RECEBÍVEIS!$AA$11:$AB$43,2,0))</f>
        <v/>
      </c>
      <c r="AV56" s="198" t="str">
        <f>IF(C56="","",IF(C56=FROTA!Z56="","",VLOOKUP(FROTA!Z56,RECEBÍVEIS!$AA$11:$AB$43,2,0)))</f>
        <v/>
      </c>
      <c r="AW56" s="198" t="str">
        <f>IF(C56="","",VLOOKUP(FROTA!$AB$2,RECEBÍVEIS!$AA$11:$AC$43,3,0))</f>
        <v/>
      </c>
      <c r="AX56" s="198" t="str">
        <f>IF(C56="","",IF(C56=FROTA!Z56="","",VLOOKUP(FROTA!Z56,RECEBÍVEIS!$AA$11:$AC$43,3,0)))</f>
        <v/>
      </c>
    </row>
    <row r="57" spans="2:50" ht="17.25" customHeight="1" x14ac:dyDescent="0.2">
      <c r="B57" s="6"/>
      <c r="C57" s="49" t="str">
        <f>IF(FROTA!B57="","",FROTA!B57)</f>
        <v/>
      </c>
      <c r="D57" s="220" t="str">
        <f>IF(C57="","",VLOOKUP(SEM!C57,FROTA!$B$5:$C$305,2,0))</f>
        <v/>
      </c>
      <c r="E57" s="24" t="str">
        <f>IF(C57="","",VLOOKUP(C57,FROTA!$B$5:$H$305,7,0))</f>
        <v/>
      </c>
      <c r="F57" s="38" t="str">
        <f t="shared" si="2"/>
        <v/>
      </c>
      <c r="G57" s="71" t="str">
        <f t="shared" si="13"/>
        <v/>
      </c>
      <c r="H57" s="32" t="str">
        <f t="shared" si="3"/>
        <v/>
      </c>
      <c r="I57" s="73" t="str">
        <f t="shared" si="3"/>
        <v/>
      </c>
      <c r="J57" s="73" t="str">
        <f t="shared" si="3"/>
        <v/>
      </c>
      <c r="K57" s="73" t="str">
        <f t="shared" si="14"/>
        <v/>
      </c>
      <c r="L57" s="73" t="str">
        <f t="shared" si="14"/>
        <v/>
      </c>
      <c r="M57" s="73" t="str">
        <f t="shared" si="14"/>
        <v/>
      </c>
      <c r="N57" s="73" t="str">
        <f t="shared" si="14"/>
        <v/>
      </c>
      <c r="O57" s="73" t="str">
        <f t="shared" si="14"/>
        <v/>
      </c>
      <c r="P57" s="73" t="str">
        <f t="shared" si="14"/>
        <v/>
      </c>
      <c r="Q57" s="73" t="str">
        <f t="shared" si="14"/>
        <v/>
      </c>
      <c r="R57" s="73" t="str">
        <f t="shared" si="16"/>
        <v/>
      </c>
      <c r="S57" s="73" t="str">
        <f t="shared" si="16"/>
        <v/>
      </c>
      <c r="T57" s="73" t="str">
        <f t="shared" si="16"/>
        <v/>
      </c>
      <c r="U57" s="73" t="str">
        <f t="shared" si="16"/>
        <v/>
      </c>
      <c r="V57" s="73" t="str">
        <f t="shared" si="16"/>
        <v/>
      </c>
      <c r="W57" s="73" t="str">
        <f t="shared" si="16"/>
        <v/>
      </c>
      <c r="X57" s="73" t="str">
        <f t="shared" si="16"/>
        <v/>
      </c>
      <c r="Y57" s="73" t="str">
        <f t="shared" si="16"/>
        <v/>
      </c>
      <c r="Z57" s="73" t="str">
        <f t="shared" si="16"/>
        <v/>
      </c>
      <c r="AA57" s="73" t="str">
        <f t="shared" si="16"/>
        <v/>
      </c>
      <c r="AB57" s="74" t="str">
        <f t="shared" si="16"/>
        <v/>
      </c>
      <c r="AC57" s="35" t="str">
        <f t="shared" si="4"/>
        <v/>
      </c>
      <c r="AD57" s="40" t="str">
        <f t="shared" si="5"/>
        <v/>
      </c>
      <c r="AE57" s="37" t="str">
        <f t="shared" si="6"/>
        <v/>
      </c>
      <c r="AF57" s="40" t="str">
        <f t="shared" si="7"/>
        <v/>
      </c>
      <c r="AG57" s="37" t="str">
        <f t="shared" si="8"/>
        <v/>
      </c>
      <c r="AH57" s="40" t="str">
        <f t="shared" si="9"/>
        <v/>
      </c>
      <c r="AI57" s="37" t="str">
        <f t="shared" si="10"/>
        <v/>
      </c>
      <c r="AJ57" s="40" t="str">
        <f t="shared" si="11"/>
        <v/>
      </c>
      <c r="AK57" s="204" t="str">
        <f>IF(C57="","",IF(E57=FROTA!$AT$18,IF('DEFINA!!!'!$L$6="D-E-F-I-N-A !!!!!!!",0,IF('DEFINA!!!'!$L$6="Opto por Idade Média",SEM!AW57,IF('DEFINA!!!'!$L$6="Opto pelo Valor aplicado ao  Ano de cada Carro",SEM!AX57,0))),IF(E57=FROTA!$AT$17,IF('DEFINA!!!'!$L$6="D-E-F-I-N-A !!!!!!!",0,IF('DEFINA!!!'!$L$6="Opto por Idade Média",SEM!AW57,IF('DEFINA!!!'!$L$6="Opto pelo Valor aplicado ao  Ano de cada Carro",SEM!AX57,0))),IF(E57=FROTA!$AT$16,IF('DEFINA!!!'!$L$6="D-E-F-I-N-A !!!!!!!",0,IF('DEFINA!!!'!$L$6="Opto por Idade Média",SEM!AW57,IF('DEFINA!!!'!$L$6="Opto pelo Valor aplicado ao  Ano de cada Carro",SEM!AX57,0))),IF('DEFINA!!!'!$L$6="D-E-F-I-N-A !!!!!!!",0,IF('DEFINA!!!'!$L$6="Opto por Idade Média",SEM!AU57,IF('DEFINA!!!'!$L$6="Opto pelo Valor aplicado ao  Ano de cada Carro",SEM!AV57,0)))))))</f>
        <v/>
      </c>
      <c r="AL57" s="6"/>
      <c r="AM57" s="79" t="str">
        <f t="shared" si="12"/>
        <v/>
      </c>
      <c r="AN57" s="12"/>
      <c r="AO57" s="12"/>
      <c r="AP57" s="14"/>
      <c r="AQ57" s="16"/>
      <c r="AR57" s="15"/>
      <c r="AU57" s="198" t="str">
        <f>IF(C57="","",VLOOKUP(FROTA!$AB$2,RECEBÍVEIS!$AA$11:$AB$43,2,0))</f>
        <v/>
      </c>
      <c r="AV57" s="198" t="str">
        <f>IF(C57="","",IF(C57=FROTA!Z57="","",VLOOKUP(FROTA!Z57,RECEBÍVEIS!$AA$11:$AB$43,2,0)))</f>
        <v/>
      </c>
      <c r="AW57" s="198" t="str">
        <f>IF(C57="","",VLOOKUP(FROTA!$AB$2,RECEBÍVEIS!$AA$11:$AC$43,3,0))</f>
        <v/>
      </c>
      <c r="AX57" s="198" t="str">
        <f>IF(C57="","",IF(C57=FROTA!Z57="","",VLOOKUP(FROTA!Z57,RECEBÍVEIS!$AA$11:$AC$43,3,0)))</f>
        <v/>
      </c>
    </row>
    <row r="58" spans="2:50" ht="17.25" customHeight="1" x14ac:dyDescent="0.2">
      <c r="B58" s="6"/>
      <c r="C58" s="49" t="str">
        <f>IF(FROTA!B58="","",FROTA!B58)</f>
        <v/>
      </c>
      <c r="D58" s="220" t="str">
        <f>IF(C58="","",VLOOKUP(SEM!C58,FROTA!$B$5:$C$305,2,0))</f>
        <v/>
      </c>
      <c r="E58" s="24" t="str">
        <f>IF(C58="","",VLOOKUP(C58,FROTA!$B$5:$H$305,7,0))</f>
        <v/>
      </c>
      <c r="F58" s="38" t="str">
        <f t="shared" si="2"/>
        <v/>
      </c>
      <c r="G58" s="71" t="str">
        <f t="shared" si="13"/>
        <v/>
      </c>
      <c r="H58" s="32" t="str">
        <f t="shared" si="3"/>
        <v/>
      </c>
      <c r="I58" s="73" t="str">
        <f t="shared" si="3"/>
        <v/>
      </c>
      <c r="J58" s="73" t="str">
        <f t="shared" si="3"/>
        <v/>
      </c>
      <c r="K58" s="73" t="str">
        <f t="shared" si="14"/>
        <v/>
      </c>
      <c r="L58" s="73" t="str">
        <f t="shared" si="14"/>
        <v/>
      </c>
      <c r="M58" s="73" t="str">
        <f t="shared" si="14"/>
        <v/>
      </c>
      <c r="N58" s="73" t="str">
        <f t="shared" ref="N58:Q121" si="17">IF($C58="","",IF(SUM(N$307*$G58)&gt;$F58,$F58,SUM(N$307*$G58)))</f>
        <v/>
      </c>
      <c r="O58" s="73" t="str">
        <f t="shared" si="17"/>
        <v/>
      </c>
      <c r="P58" s="73" t="str">
        <f t="shared" si="17"/>
        <v/>
      </c>
      <c r="Q58" s="73" t="str">
        <f t="shared" si="17"/>
        <v/>
      </c>
      <c r="R58" s="73" t="str">
        <f t="shared" si="16"/>
        <v/>
      </c>
      <c r="S58" s="73" t="str">
        <f t="shared" si="16"/>
        <v/>
      </c>
      <c r="T58" s="73" t="str">
        <f t="shared" si="16"/>
        <v/>
      </c>
      <c r="U58" s="73" t="str">
        <f t="shared" si="16"/>
        <v/>
      </c>
      <c r="V58" s="73" t="str">
        <f t="shared" si="16"/>
        <v/>
      </c>
      <c r="W58" s="73" t="str">
        <f t="shared" si="16"/>
        <v/>
      </c>
      <c r="X58" s="73" t="str">
        <f t="shared" si="16"/>
        <v/>
      </c>
      <c r="Y58" s="73" t="str">
        <f t="shared" si="16"/>
        <v/>
      </c>
      <c r="Z58" s="73" t="str">
        <f t="shared" si="16"/>
        <v/>
      </c>
      <c r="AA58" s="73" t="str">
        <f t="shared" si="16"/>
        <v/>
      </c>
      <c r="AB58" s="74" t="str">
        <f t="shared" si="16"/>
        <v/>
      </c>
      <c r="AC58" s="35" t="str">
        <f t="shared" si="4"/>
        <v/>
      </c>
      <c r="AD58" s="40" t="str">
        <f t="shared" si="5"/>
        <v/>
      </c>
      <c r="AE58" s="37" t="str">
        <f t="shared" si="6"/>
        <v/>
      </c>
      <c r="AF58" s="40" t="str">
        <f t="shared" si="7"/>
        <v/>
      </c>
      <c r="AG58" s="37" t="str">
        <f t="shared" si="8"/>
        <v/>
      </c>
      <c r="AH58" s="40" t="str">
        <f t="shared" si="9"/>
        <v/>
      </c>
      <c r="AI58" s="37" t="str">
        <f t="shared" si="10"/>
        <v/>
      </c>
      <c r="AJ58" s="40" t="str">
        <f t="shared" si="11"/>
        <v/>
      </c>
      <c r="AK58" s="204" t="str">
        <f>IF(C58="","",IF(E58=FROTA!$AT$18,IF('DEFINA!!!'!$L$6="D-E-F-I-N-A !!!!!!!",0,IF('DEFINA!!!'!$L$6="Opto por Idade Média",SEM!AW58,IF('DEFINA!!!'!$L$6="Opto pelo Valor aplicado ao  Ano de cada Carro",SEM!AX58,0))),IF(E58=FROTA!$AT$17,IF('DEFINA!!!'!$L$6="D-E-F-I-N-A !!!!!!!",0,IF('DEFINA!!!'!$L$6="Opto por Idade Média",SEM!AW58,IF('DEFINA!!!'!$L$6="Opto pelo Valor aplicado ao  Ano de cada Carro",SEM!AX58,0))),IF(E58=FROTA!$AT$16,IF('DEFINA!!!'!$L$6="D-E-F-I-N-A !!!!!!!",0,IF('DEFINA!!!'!$L$6="Opto por Idade Média",SEM!AW58,IF('DEFINA!!!'!$L$6="Opto pelo Valor aplicado ao  Ano de cada Carro",SEM!AX58,0))),IF('DEFINA!!!'!$L$6="D-E-F-I-N-A !!!!!!!",0,IF('DEFINA!!!'!$L$6="Opto por Idade Média",SEM!AU58,IF('DEFINA!!!'!$L$6="Opto pelo Valor aplicado ao  Ano de cada Carro",SEM!AV58,0)))))))</f>
        <v/>
      </c>
      <c r="AL58" s="6"/>
      <c r="AM58" s="79" t="str">
        <f t="shared" si="12"/>
        <v/>
      </c>
      <c r="AN58" s="12"/>
      <c r="AO58" s="12"/>
      <c r="AP58" s="14"/>
      <c r="AQ58" s="16"/>
      <c r="AR58" s="15"/>
      <c r="AU58" s="198" t="str">
        <f>IF(C58="","",VLOOKUP(FROTA!$AB$2,RECEBÍVEIS!$AA$11:$AB$43,2,0))</f>
        <v/>
      </c>
      <c r="AV58" s="198" t="str">
        <f>IF(C58="","",IF(C58=FROTA!Z58="","",VLOOKUP(FROTA!Z58,RECEBÍVEIS!$AA$11:$AB$43,2,0)))</f>
        <v/>
      </c>
      <c r="AW58" s="198" t="str">
        <f>IF(C58="","",VLOOKUP(FROTA!$AB$2,RECEBÍVEIS!$AA$11:$AC$43,3,0))</f>
        <v/>
      </c>
      <c r="AX58" s="198" t="str">
        <f>IF(C58="","",IF(C58=FROTA!Z58="","",VLOOKUP(FROTA!Z58,RECEBÍVEIS!$AA$11:$AC$43,3,0)))</f>
        <v/>
      </c>
    </row>
    <row r="59" spans="2:50" ht="17.25" customHeight="1" x14ac:dyDescent="0.2">
      <c r="B59" s="6"/>
      <c r="C59" s="49" t="str">
        <f>IF(FROTA!B59="","",FROTA!B59)</f>
        <v/>
      </c>
      <c r="D59" s="220" t="str">
        <f>IF(C59="","",VLOOKUP(SEM!C59,FROTA!$B$5:$C$305,2,0))</f>
        <v/>
      </c>
      <c r="E59" s="24" t="str">
        <f>IF(C59="","",VLOOKUP(C59,FROTA!$B$5:$H$305,7,0))</f>
        <v/>
      </c>
      <c r="F59" s="38" t="str">
        <f t="shared" si="2"/>
        <v/>
      </c>
      <c r="G59" s="71" t="str">
        <f t="shared" si="13"/>
        <v/>
      </c>
      <c r="H59" s="32" t="str">
        <f t="shared" si="3"/>
        <v/>
      </c>
      <c r="I59" s="73" t="str">
        <f t="shared" si="3"/>
        <v/>
      </c>
      <c r="J59" s="73" t="str">
        <f t="shared" si="3"/>
        <v/>
      </c>
      <c r="K59" s="73" t="str">
        <f t="shared" ref="K59:P122" si="18">IF($C59="","",IF(SUM(K$307*$G59)&gt;$F59,$F59,SUM(K$307*$G59)))</f>
        <v/>
      </c>
      <c r="L59" s="73" t="str">
        <f t="shared" si="18"/>
        <v/>
      </c>
      <c r="M59" s="73" t="str">
        <f t="shared" si="18"/>
        <v/>
      </c>
      <c r="N59" s="73" t="str">
        <f t="shared" si="17"/>
        <v/>
      </c>
      <c r="O59" s="73" t="str">
        <f t="shared" si="17"/>
        <v/>
      </c>
      <c r="P59" s="73" t="str">
        <f t="shared" si="17"/>
        <v/>
      </c>
      <c r="Q59" s="73" t="str">
        <f t="shared" si="17"/>
        <v/>
      </c>
      <c r="R59" s="73" t="str">
        <f t="shared" si="16"/>
        <v/>
      </c>
      <c r="S59" s="73" t="str">
        <f t="shared" si="16"/>
        <v/>
      </c>
      <c r="T59" s="73" t="str">
        <f t="shared" si="16"/>
        <v/>
      </c>
      <c r="U59" s="73" t="str">
        <f t="shared" si="16"/>
        <v/>
      </c>
      <c r="V59" s="73" t="str">
        <f t="shared" si="16"/>
        <v/>
      </c>
      <c r="W59" s="73" t="str">
        <f t="shared" si="16"/>
        <v/>
      </c>
      <c r="X59" s="73" t="str">
        <f t="shared" si="16"/>
        <v/>
      </c>
      <c r="Y59" s="73" t="str">
        <f t="shared" si="16"/>
        <v/>
      </c>
      <c r="Z59" s="73" t="str">
        <f t="shared" si="16"/>
        <v/>
      </c>
      <c r="AA59" s="73" t="str">
        <f t="shared" si="16"/>
        <v/>
      </c>
      <c r="AB59" s="74" t="str">
        <f t="shared" si="16"/>
        <v/>
      </c>
      <c r="AC59" s="35" t="str">
        <f t="shared" si="4"/>
        <v/>
      </c>
      <c r="AD59" s="40" t="str">
        <f t="shared" si="5"/>
        <v/>
      </c>
      <c r="AE59" s="37" t="str">
        <f t="shared" si="6"/>
        <v/>
      </c>
      <c r="AF59" s="40" t="str">
        <f t="shared" si="7"/>
        <v/>
      </c>
      <c r="AG59" s="37" t="str">
        <f t="shared" si="8"/>
        <v/>
      </c>
      <c r="AH59" s="40" t="str">
        <f t="shared" si="9"/>
        <v/>
      </c>
      <c r="AI59" s="37" t="str">
        <f t="shared" si="10"/>
        <v/>
      </c>
      <c r="AJ59" s="40" t="str">
        <f t="shared" si="11"/>
        <v/>
      </c>
      <c r="AK59" s="204" t="str">
        <f>IF(C59="","",IF(E59=FROTA!$AT$18,IF('DEFINA!!!'!$L$6="D-E-F-I-N-A !!!!!!!",0,IF('DEFINA!!!'!$L$6="Opto por Idade Média",SEM!AW59,IF('DEFINA!!!'!$L$6="Opto pelo Valor aplicado ao  Ano de cada Carro",SEM!AX59,0))),IF(E59=FROTA!$AT$17,IF('DEFINA!!!'!$L$6="D-E-F-I-N-A !!!!!!!",0,IF('DEFINA!!!'!$L$6="Opto por Idade Média",SEM!AW59,IF('DEFINA!!!'!$L$6="Opto pelo Valor aplicado ao  Ano de cada Carro",SEM!AX59,0))),IF(E59=FROTA!$AT$16,IF('DEFINA!!!'!$L$6="D-E-F-I-N-A !!!!!!!",0,IF('DEFINA!!!'!$L$6="Opto por Idade Média",SEM!AW59,IF('DEFINA!!!'!$L$6="Opto pelo Valor aplicado ao  Ano de cada Carro",SEM!AX59,0))),IF('DEFINA!!!'!$L$6="D-E-F-I-N-A !!!!!!!",0,IF('DEFINA!!!'!$L$6="Opto por Idade Média",SEM!AU59,IF('DEFINA!!!'!$L$6="Opto pelo Valor aplicado ao  Ano de cada Carro",SEM!AV59,0)))))))</f>
        <v/>
      </c>
      <c r="AL59" s="6"/>
      <c r="AM59" s="79" t="str">
        <f t="shared" si="12"/>
        <v/>
      </c>
      <c r="AN59" s="12"/>
      <c r="AO59" s="12"/>
      <c r="AP59" s="14"/>
      <c r="AQ59" s="16"/>
      <c r="AR59" s="15"/>
      <c r="AU59" s="198" t="str">
        <f>IF(C59="","",VLOOKUP(FROTA!$AB$2,RECEBÍVEIS!$AA$11:$AB$43,2,0))</f>
        <v/>
      </c>
      <c r="AV59" s="198" t="str">
        <f>IF(C59="","",IF(C59=FROTA!Z59="","",VLOOKUP(FROTA!Z59,RECEBÍVEIS!$AA$11:$AB$43,2,0)))</f>
        <v/>
      </c>
      <c r="AW59" s="198" t="str">
        <f>IF(C59="","",VLOOKUP(FROTA!$AB$2,RECEBÍVEIS!$AA$11:$AC$43,3,0))</f>
        <v/>
      </c>
      <c r="AX59" s="198" t="str">
        <f>IF(C59="","",IF(C59=FROTA!Z59="","",VLOOKUP(FROTA!Z59,RECEBÍVEIS!$AA$11:$AC$43,3,0)))</f>
        <v/>
      </c>
    </row>
    <row r="60" spans="2:50" ht="17.25" customHeight="1" x14ac:dyDescent="0.2">
      <c r="B60" s="6"/>
      <c r="C60" s="49" t="str">
        <f>IF(FROTA!B60="","",FROTA!B60)</f>
        <v/>
      </c>
      <c r="D60" s="220" t="str">
        <f>IF(C60="","",VLOOKUP(SEM!C60,FROTA!$B$5:$C$305,2,0))</f>
        <v/>
      </c>
      <c r="E60" s="24" t="str">
        <f>IF(C60="","",VLOOKUP(C60,FROTA!$B$5:$H$305,7,0))</f>
        <v/>
      </c>
      <c r="F60" s="38" t="str">
        <f t="shared" si="2"/>
        <v/>
      </c>
      <c r="G60" s="71" t="str">
        <f t="shared" si="13"/>
        <v/>
      </c>
      <c r="H60" s="32" t="str">
        <f t="shared" si="3"/>
        <v/>
      </c>
      <c r="I60" s="73" t="str">
        <f t="shared" si="3"/>
        <v/>
      </c>
      <c r="J60" s="73" t="str">
        <f t="shared" si="3"/>
        <v/>
      </c>
      <c r="K60" s="73" t="str">
        <f t="shared" si="18"/>
        <v/>
      </c>
      <c r="L60" s="73" t="str">
        <f t="shared" si="18"/>
        <v/>
      </c>
      <c r="M60" s="73" t="str">
        <f t="shared" si="18"/>
        <v/>
      </c>
      <c r="N60" s="73" t="str">
        <f t="shared" si="17"/>
        <v/>
      </c>
      <c r="O60" s="73" t="str">
        <f t="shared" si="17"/>
        <v/>
      </c>
      <c r="P60" s="73" t="str">
        <f t="shared" si="17"/>
        <v/>
      </c>
      <c r="Q60" s="73" t="str">
        <f t="shared" si="17"/>
        <v/>
      </c>
      <c r="R60" s="73" t="str">
        <f t="shared" si="16"/>
        <v/>
      </c>
      <c r="S60" s="73" t="str">
        <f t="shared" si="16"/>
        <v/>
      </c>
      <c r="T60" s="73" t="str">
        <f t="shared" si="16"/>
        <v/>
      </c>
      <c r="U60" s="73" t="str">
        <f t="shared" si="16"/>
        <v/>
      </c>
      <c r="V60" s="73" t="str">
        <f t="shared" si="16"/>
        <v/>
      </c>
      <c r="W60" s="73" t="str">
        <f t="shared" si="16"/>
        <v/>
      </c>
      <c r="X60" s="73" t="str">
        <f t="shared" si="16"/>
        <v/>
      </c>
      <c r="Y60" s="73" t="str">
        <f t="shared" si="16"/>
        <v/>
      </c>
      <c r="Z60" s="73" t="str">
        <f t="shared" si="16"/>
        <v/>
      </c>
      <c r="AA60" s="73" t="str">
        <f t="shared" si="16"/>
        <v/>
      </c>
      <c r="AB60" s="74" t="str">
        <f t="shared" si="16"/>
        <v/>
      </c>
      <c r="AC60" s="35" t="str">
        <f t="shared" si="4"/>
        <v/>
      </c>
      <c r="AD60" s="40" t="str">
        <f t="shared" si="5"/>
        <v/>
      </c>
      <c r="AE60" s="37" t="str">
        <f t="shared" si="6"/>
        <v/>
      </c>
      <c r="AF60" s="40" t="str">
        <f t="shared" si="7"/>
        <v/>
      </c>
      <c r="AG60" s="37" t="str">
        <f t="shared" si="8"/>
        <v/>
      </c>
      <c r="AH60" s="40" t="str">
        <f t="shared" si="9"/>
        <v/>
      </c>
      <c r="AI60" s="37" t="str">
        <f t="shared" si="10"/>
        <v/>
      </c>
      <c r="AJ60" s="40" t="str">
        <f t="shared" si="11"/>
        <v/>
      </c>
      <c r="AK60" s="204" t="str">
        <f>IF(C60="","",IF(E60=FROTA!$AT$18,IF('DEFINA!!!'!$L$6="D-E-F-I-N-A !!!!!!!",0,IF('DEFINA!!!'!$L$6="Opto por Idade Média",SEM!AW60,IF('DEFINA!!!'!$L$6="Opto pelo Valor aplicado ao  Ano de cada Carro",SEM!AX60,0))),IF(E60=FROTA!$AT$17,IF('DEFINA!!!'!$L$6="D-E-F-I-N-A !!!!!!!",0,IF('DEFINA!!!'!$L$6="Opto por Idade Média",SEM!AW60,IF('DEFINA!!!'!$L$6="Opto pelo Valor aplicado ao  Ano de cada Carro",SEM!AX60,0))),IF(E60=FROTA!$AT$16,IF('DEFINA!!!'!$L$6="D-E-F-I-N-A !!!!!!!",0,IF('DEFINA!!!'!$L$6="Opto por Idade Média",SEM!AW60,IF('DEFINA!!!'!$L$6="Opto pelo Valor aplicado ao  Ano de cada Carro",SEM!AX60,0))),IF('DEFINA!!!'!$L$6="D-E-F-I-N-A !!!!!!!",0,IF('DEFINA!!!'!$L$6="Opto por Idade Média",SEM!AU60,IF('DEFINA!!!'!$L$6="Opto pelo Valor aplicado ao  Ano de cada Carro",SEM!AV60,0)))))))</f>
        <v/>
      </c>
      <c r="AL60" s="6"/>
      <c r="AM60" s="79" t="str">
        <f t="shared" si="12"/>
        <v/>
      </c>
      <c r="AN60" s="12"/>
      <c r="AO60" s="12"/>
      <c r="AP60" s="14"/>
      <c r="AQ60" s="16"/>
      <c r="AR60" s="15"/>
      <c r="AU60" s="198" t="str">
        <f>IF(C60="","",VLOOKUP(FROTA!$AB$2,RECEBÍVEIS!$AA$11:$AB$43,2,0))</f>
        <v/>
      </c>
      <c r="AV60" s="198" t="str">
        <f>IF(C60="","",IF(C60=FROTA!Z60="","",VLOOKUP(FROTA!Z60,RECEBÍVEIS!$AA$11:$AB$43,2,0)))</f>
        <v/>
      </c>
      <c r="AW60" s="198" t="str">
        <f>IF(C60="","",VLOOKUP(FROTA!$AB$2,RECEBÍVEIS!$AA$11:$AC$43,3,0))</f>
        <v/>
      </c>
      <c r="AX60" s="198" t="str">
        <f>IF(C60="","",IF(C60=FROTA!Z60="","",VLOOKUP(FROTA!Z60,RECEBÍVEIS!$AA$11:$AC$43,3,0)))</f>
        <v/>
      </c>
    </row>
    <row r="61" spans="2:50" ht="17.25" customHeight="1" x14ac:dyDescent="0.2">
      <c r="B61" s="6"/>
      <c r="C61" s="49" t="str">
        <f>IF(FROTA!B61="","",FROTA!B61)</f>
        <v/>
      </c>
      <c r="D61" s="220" t="str">
        <f>IF(C61="","",VLOOKUP(SEM!C61,FROTA!$B$5:$C$305,2,0))</f>
        <v/>
      </c>
      <c r="E61" s="24" t="str">
        <f>IF(C61="","",VLOOKUP(C61,FROTA!$B$5:$H$305,7,0))</f>
        <v/>
      </c>
      <c r="F61" s="38" t="str">
        <f t="shared" si="2"/>
        <v/>
      </c>
      <c r="G61" s="71" t="str">
        <f t="shared" si="13"/>
        <v/>
      </c>
      <c r="H61" s="32" t="str">
        <f t="shared" si="3"/>
        <v/>
      </c>
      <c r="I61" s="73" t="str">
        <f t="shared" si="3"/>
        <v/>
      </c>
      <c r="J61" s="73" t="str">
        <f t="shared" si="3"/>
        <v/>
      </c>
      <c r="K61" s="73" t="str">
        <f t="shared" si="18"/>
        <v/>
      </c>
      <c r="L61" s="73" t="str">
        <f t="shared" si="18"/>
        <v/>
      </c>
      <c r="M61" s="73" t="str">
        <f t="shared" si="18"/>
        <v/>
      </c>
      <c r="N61" s="73" t="str">
        <f t="shared" si="17"/>
        <v/>
      </c>
      <c r="O61" s="73" t="str">
        <f t="shared" si="17"/>
        <v/>
      </c>
      <c r="P61" s="73" t="str">
        <f t="shared" si="17"/>
        <v/>
      </c>
      <c r="Q61" s="73" t="str">
        <f t="shared" si="17"/>
        <v/>
      </c>
      <c r="R61" s="73" t="str">
        <f t="shared" si="16"/>
        <v/>
      </c>
      <c r="S61" s="73" t="str">
        <f t="shared" si="16"/>
        <v/>
      </c>
      <c r="T61" s="73" t="str">
        <f t="shared" si="16"/>
        <v/>
      </c>
      <c r="U61" s="73" t="str">
        <f t="shared" si="16"/>
        <v/>
      </c>
      <c r="V61" s="73" t="str">
        <f t="shared" si="16"/>
        <v/>
      </c>
      <c r="W61" s="73" t="str">
        <f t="shared" si="16"/>
        <v/>
      </c>
      <c r="X61" s="73" t="str">
        <f t="shared" si="16"/>
        <v/>
      </c>
      <c r="Y61" s="73" t="str">
        <f t="shared" si="16"/>
        <v/>
      </c>
      <c r="Z61" s="73" t="str">
        <f t="shared" si="16"/>
        <v/>
      </c>
      <c r="AA61" s="73" t="str">
        <f t="shared" si="16"/>
        <v/>
      </c>
      <c r="AB61" s="74" t="str">
        <f t="shared" si="16"/>
        <v/>
      </c>
      <c r="AC61" s="35" t="str">
        <f t="shared" si="4"/>
        <v/>
      </c>
      <c r="AD61" s="40" t="str">
        <f t="shared" si="5"/>
        <v/>
      </c>
      <c r="AE61" s="37" t="str">
        <f t="shared" si="6"/>
        <v/>
      </c>
      <c r="AF61" s="40" t="str">
        <f t="shared" si="7"/>
        <v/>
      </c>
      <c r="AG61" s="37" t="str">
        <f t="shared" si="8"/>
        <v/>
      </c>
      <c r="AH61" s="40" t="str">
        <f t="shared" si="9"/>
        <v/>
      </c>
      <c r="AI61" s="37" t="str">
        <f t="shared" si="10"/>
        <v/>
      </c>
      <c r="AJ61" s="40" t="str">
        <f t="shared" si="11"/>
        <v/>
      </c>
      <c r="AK61" s="204" t="str">
        <f>IF(C61="","",IF(E61=FROTA!$AT$18,IF('DEFINA!!!'!$L$6="D-E-F-I-N-A !!!!!!!",0,IF('DEFINA!!!'!$L$6="Opto por Idade Média",SEM!AW61,IF('DEFINA!!!'!$L$6="Opto pelo Valor aplicado ao  Ano de cada Carro",SEM!AX61,0))),IF(E61=FROTA!$AT$17,IF('DEFINA!!!'!$L$6="D-E-F-I-N-A !!!!!!!",0,IF('DEFINA!!!'!$L$6="Opto por Idade Média",SEM!AW61,IF('DEFINA!!!'!$L$6="Opto pelo Valor aplicado ao  Ano de cada Carro",SEM!AX61,0))),IF(E61=FROTA!$AT$16,IF('DEFINA!!!'!$L$6="D-E-F-I-N-A !!!!!!!",0,IF('DEFINA!!!'!$L$6="Opto por Idade Média",SEM!AW61,IF('DEFINA!!!'!$L$6="Opto pelo Valor aplicado ao  Ano de cada Carro",SEM!AX61,0))),IF('DEFINA!!!'!$L$6="D-E-F-I-N-A !!!!!!!",0,IF('DEFINA!!!'!$L$6="Opto por Idade Média",SEM!AU61,IF('DEFINA!!!'!$L$6="Opto pelo Valor aplicado ao  Ano de cada Carro",SEM!AV61,0)))))))</f>
        <v/>
      </c>
      <c r="AL61" s="6"/>
      <c r="AM61" s="79" t="str">
        <f t="shared" si="12"/>
        <v/>
      </c>
      <c r="AN61" s="12"/>
      <c r="AO61" s="12"/>
      <c r="AP61" s="14"/>
      <c r="AQ61" s="16"/>
      <c r="AR61" s="15"/>
      <c r="AU61" s="198" t="str">
        <f>IF(C61="","",VLOOKUP(FROTA!$AB$2,RECEBÍVEIS!$AA$11:$AB$43,2,0))</f>
        <v/>
      </c>
      <c r="AV61" s="198" t="str">
        <f>IF(C61="","",IF(C61=FROTA!Z61="","",VLOOKUP(FROTA!Z61,RECEBÍVEIS!$AA$11:$AB$43,2,0)))</f>
        <v/>
      </c>
      <c r="AW61" s="198" t="str">
        <f>IF(C61="","",VLOOKUP(FROTA!$AB$2,RECEBÍVEIS!$AA$11:$AC$43,3,0))</f>
        <v/>
      </c>
      <c r="AX61" s="198" t="str">
        <f>IF(C61="","",IF(C61=FROTA!Z61="","",VLOOKUP(FROTA!Z61,RECEBÍVEIS!$AA$11:$AC$43,3,0)))</f>
        <v/>
      </c>
    </row>
    <row r="62" spans="2:50" ht="17.25" customHeight="1" x14ac:dyDescent="0.2">
      <c r="B62" s="6"/>
      <c r="C62" s="49" t="str">
        <f>IF(FROTA!B62="","",FROTA!B62)</f>
        <v/>
      </c>
      <c r="D62" s="220" t="str">
        <f>IF(C62="","",VLOOKUP(SEM!C62,FROTA!$B$5:$C$305,2,0))</f>
        <v/>
      </c>
      <c r="E62" s="24" t="str">
        <f>IF(C62="","",VLOOKUP(C62,FROTA!$B$5:$H$305,7,0))</f>
        <v/>
      </c>
      <c r="F62" s="38" t="str">
        <f t="shared" si="2"/>
        <v/>
      </c>
      <c r="G62" s="71" t="str">
        <f t="shared" si="13"/>
        <v/>
      </c>
      <c r="H62" s="32" t="str">
        <f t="shared" si="3"/>
        <v/>
      </c>
      <c r="I62" s="73" t="str">
        <f t="shared" si="3"/>
        <v/>
      </c>
      <c r="J62" s="73" t="str">
        <f t="shared" si="3"/>
        <v/>
      </c>
      <c r="K62" s="73" t="str">
        <f t="shared" si="18"/>
        <v/>
      </c>
      <c r="L62" s="73" t="str">
        <f t="shared" si="18"/>
        <v/>
      </c>
      <c r="M62" s="73" t="str">
        <f t="shared" si="18"/>
        <v/>
      </c>
      <c r="N62" s="73" t="str">
        <f t="shared" si="17"/>
        <v/>
      </c>
      <c r="O62" s="73" t="str">
        <f t="shared" si="17"/>
        <v/>
      </c>
      <c r="P62" s="73" t="str">
        <f t="shared" si="17"/>
        <v/>
      </c>
      <c r="Q62" s="73" t="str">
        <f t="shared" si="17"/>
        <v/>
      </c>
      <c r="R62" s="73" t="str">
        <f t="shared" si="16"/>
        <v/>
      </c>
      <c r="S62" s="73" t="str">
        <f t="shared" si="16"/>
        <v/>
      </c>
      <c r="T62" s="73" t="str">
        <f t="shared" si="16"/>
        <v/>
      </c>
      <c r="U62" s="73" t="str">
        <f t="shared" si="16"/>
        <v/>
      </c>
      <c r="V62" s="73" t="str">
        <f t="shared" si="16"/>
        <v/>
      </c>
      <c r="W62" s="73" t="str">
        <f t="shared" si="16"/>
        <v/>
      </c>
      <c r="X62" s="73" t="str">
        <f t="shared" si="16"/>
        <v/>
      </c>
      <c r="Y62" s="73" t="str">
        <f t="shared" si="16"/>
        <v/>
      </c>
      <c r="Z62" s="73" t="str">
        <f t="shared" si="16"/>
        <v/>
      </c>
      <c r="AA62" s="73" t="str">
        <f t="shared" si="16"/>
        <v/>
      </c>
      <c r="AB62" s="74" t="str">
        <f t="shared" si="16"/>
        <v/>
      </c>
      <c r="AC62" s="35" t="str">
        <f t="shared" si="4"/>
        <v/>
      </c>
      <c r="AD62" s="40" t="str">
        <f t="shared" si="5"/>
        <v/>
      </c>
      <c r="AE62" s="37" t="str">
        <f t="shared" si="6"/>
        <v/>
      </c>
      <c r="AF62" s="40" t="str">
        <f t="shared" si="7"/>
        <v/>
      </c>
      <c r="AG62" s="37" t="str">
        <f t="shared" si="8"/>
        <v/>
      </c>
      <c r="AH62" s="40" t="str">
        <f t="shared" si="9"/>
        <v/>
      </c>
      <c r="AI62" s="37" t="str">
        <f t="shared" si="10"/>
        <v/>
      </c>
      <c r="AJ62" s="40" t="str">
        <f t="shared" si="11"/>
        <v/>
      </c>
      <c r="AK62" s="204" t="str">
        <f>IF(C62="","",IF(E62=FROTA!$AT$18,IF('DEFINA!!!'!$L$6="D-E-F-I-N-A !!!!!!!",0,IF('DEFINA!!!'!$L$6="Opto por Idade Média",SEM!AW62,IF('DEFINA!!!'!$L$6="Opto pelo Valor aplicado ao  Ano de cada Carro",SEM!AX62,0))),IF(E62=FROTA!$AT$17,IF('DEFINA!!!'!$L$6="D-E-F-I-N-A !!!!!!!",0,IF('DEFINA!!!'!$L$6="Opto por Idade Média",SEM!AW62,IF('DEFINA!!!'!$L$6="Opto pelo Valor aplicado ao  Ano de cada Carro",SEM!AX62,0))),IF(E62=FROTA!$AT$16,IF('DEFINA!!!'!$L$6="D-E-F-I-N-A !!!!!!!",0,IF('DEFINA!!!'!$L$6="Opto por Idade Média",SEM!AW62,IF('DEFINA!!!'!$L$6="Opto pelo Valor aplicado ao  Ano de cada Carro",SEM!AX62,0))),IF('DEFINA!!!'!$L$6="D-E-F-I-N-A !!!!!!!",0,IF('DEFINA!!!'!$L$6="Opto por Idade Média",SEM!AU62,IF('DEFINA!!!'!$L$6="Opto pelo Valor aplicado ao  Ano de cada Carro",SEM!AV62,0)))))))</f>
        <v/>
      </c>
      <c r="AL62" s="6"/>
      <c r="AM62" s="79" t="str">
        <f t="shared" si="12"/>
        <v/>
      </c>
      <c r="AN62" s="12"/>
      <c r="AO62" s="12"/>
      <c r="AP62" s="14"/>
      <c r="AQ62" s="16"/>
      <c r="AR62" s="15"/>
      <c r="AU62" s="198" t="str">
        <f>IF(C62="","",VLOOKUP(FROTA!$AB$2,RECEBÍVEIS!$AA$11:$AB$43,2,0))</f>
        <v/>
      </c>
      <c r="AV62" s="198" t="str">
        <f>IF(C62="","",IF(C62=FROTA!Z62="","",VLOOKUP(FROTA!Z62,RECEBÍVEIS!$AA$11:$AB$43,2,0)))</f>
        <v/>
      </c>
      <c r="AW62" s="198" t="str">
        <f>IF(C62="","",VLOOKUP(FROTA!$AB$2,RECEBÍVEIS!$AA$11:$AC$43,3,0))</f>
        <v/>
      </c>
      <c r="AX62" s="198" t="str">
        <f>IF(C62="","",IF(C62=FROTA!Z62="","",VLOOKUP(FROTA!Z62,RECEBÍVEIS!$AA$11:$AC$43,3,0)))</f>
        <v/>
      </c>
    </row>
    <row r="63" spans="2:50" ht="17.25" customHeight="1" x14ac:dyDescent="0.2">
      <c r="B63" s="6"/>
      <c r="C63" s="49" t="str">
        <f>IF(FROTA!B63="","",FROTA!B63)</f>
        <v/>
      </c>
      <c r="D63" s="220" t="str">
        <f>IF(C63="","",VLOOKUP(SEM!C63,FROTA!$B$5:$C$305,2,0))</f>
        <v/>
      </c>
      <c r="E63" s="24" t="str">
        <f>IF(C63="","",VLOOKUP(C63,FROTA!$B$5:$H$305,7,0))</f>
        <v/>
      </c>
      <c r="F63" s="38" t="str">
        <f t="shared" si="2"/>
        <v/>
      </c>
      <c r="G63" s="71" t="str">
        <f t="shared" si="13"/>
        <v/>
      </c>
      <c r="H63" s="32" t="str">
        <f t="shared" si="3"/>
        <v/>
      </c>
      <c r="I63" s="73" t="str">
        <f t="shared" si="3"/>
        <v/>
      </c>
      <c r="J63" s="73" t="str">
        <f t="shared" si="3"/>
        <v/>
      </c>
      <c r="K63" s="73" t="str">
        <f t="shared" si="18"/>
        <v/>
      </c>
      <c r="L63" s="73" t="str">
        <f t="shared" si="18"/>
        <v/>
      </c>
      <c r="M63" s="73" t="str">
        <f t="shared" si="18"/>
        <v/>
      </c>
      <c r="N63" s="73" t="str">
        <f t="shared" si="17"/>
        <v/>
      </c>
      <c r="O63" s="73" t="str">
        <f t="shared" si="17"/>
        <v/>
      </c>
      <c r="P63" s="73" t="str">
        <f t="shared" si="17"/>
        <v/>
      </c>
      <c r="Q63" s="73" t="str">
        <f t="shared" si="17"/>
        <v/>
      </c>
      <c r="R63" s="73" t="str">
        <f t="shared" si="16"/>
        <v/>
      </c>
      <c r="S63" s="73" t="str">
        <f t="shared" si="16"/>
        <v/>
      </c>
      <c r="T63" s="73" t="str">
        <f t="shared" si="16"/>
        <v/>
      </c>
      <c r="U63" s="73" t="str">
        <f t="shared" si="16"/>
        <v/>
      </c>
      <c r="V63" s="73" t="str">
        <f t="shared" si="16"/>
        <v/>
      </c>
      <c r="W63" s="73" t="str">
        <f t="shared" si="16"/>
        <v/>
      </c>
      <c r="X63" s="73" t="str">
        <f t="shared" si="16"/>
        <v/>
      </c>
      <c r="Y63" s="73" t="str">
        <f t="shared" si="16"/>
        <v/>
      </c>
      <c r="Z63" s="73" t="str">
        <f t="shared" si="16"/>
        <v/>
      </c>
      <c r="AA63" s="73" t="str">
        <f t="shared" si="16"/>
        <v/>
      </c>
      <c r="AB63" s="74" t="str">
        <f t="shared" si="16"/>
        <v/>
      </c>
      <c r="AC63" s="35" t="str">
        <f t="shared" si="4"/>
        <v/>
      </c>
      <c r="AD63" s="40" t="str">
        <f t="shared" si="5"/>
        <v/>
      </c>
      <c r="AE63" s="37" t="str">
        <f t="shared" si="6"/>
        <v/>
      </c>
      <c r="AF63" s="40" t="str">
        <f t="shared" si="7"/>
        <v/>
      </c>
      <c r="AG63" s="37" t="str">
        <f t="shared" si="8"/>
        <v/>
      </c>
      <c r="AH63" s="40" t="str">
        <f t="shared" si="9"/>
        <v/>
      </c>
      <c r="AI63" s="37" t="str">
        <f t="shared" si="10"/>
        <v/>
      </c>
      <c r="AJ63" s="40" t="str">
        <f t="shared" si="11"/>
        <v/>
      </c>
      <c r="AK63" s="204" t="str">
        <f>IF(C63="","",IF(E63=FROTA!$AT$18,IF('DEFINA!!!'!$L$6="D-E-F-I-N-A !!!!!!!",0,IF('DEFINA!!!'!$L$6="Opto por Idade Média",SEM!AW63,IF('DEFINA!!!'!$L$6="Opto pelo Valor aplicado ao  Ano de cada Carro",SEM!AX63,0))),IF(E63=FROTA!$AT$17,IF('DEFINA!!!'!$L$6="D-E-F-I-N-A !!!!!!!",0,IF('DEFINA!!!'!$L$6="Opto por Idade Média",SEM!AW63,IF('DEFINA!!!'!$L$6="Opto pelo Valor aplicado ao  Ano de cada Carro",SEM!AX63,0))),IF(E63=FROTA!$AT$16,IF('DEFINA!!!'!$L$6="D-E-F-I-N-A !!!!!!!",0,IF('DEFINA!!!'!$L$6="Opto por Idade Média",SEM!AW63,IF('DEFINA!!!'!$L$6="Opto pelo Valor aplicado ao  Ano de cada Carro",SEM!AX63,0))),IF('DEFINA!!!'!$L$6="D-E-F-I-N-A !!!!!!!",0,IF('DEFINA!!!'!$L$6="Opto por Idade Média",SEM!AU63,IF('DEFINA!!!'!$L$6="Opto pelo Valor aplicado ao  Ano de cada Carro",SEM!AV63,0)))))))</f>
        <v/>
      </c>
      <c r="AL63" s="6"/>
      <c r="AM63" s="79" t="str">
        <f t="shared" si="12"/>
        <v/>
      </c>
      <c r="AN63" s="12"/>
      <c r="AO63" s="12"/>
      <c r="AP63" s="14"/>
      <c r="AQ63" s="16"/>
      <c r="AR63" s="15"/>
      <c r="AU63" s="198" t="str">
        <f>IF(C63="","",VLOOKUP(FROTA!$AB$2,RECEBÍVEIS!$AA$11:$AB$43,2,0))</f>
        <v/>
      </c>
      <c r="AV63" s="198" t="str">
        <f>IF(C63="","",IF(C63=FROTA!Z63="","",VLOOKUP(FROTA!Z63,RECEBÍVEIS!$AA$11:$AB$43,2,0)))</f>
        <v/>
      </c>
      <c r="AW63" s="198" t="str">
        <f>IF(C63="","",VLOOKUP(FROTA!$AB$2,RECEBÍVEIS!$AA$11:$AC$43,3,0))</f>
        <v/>
      </c>
      <c r="AX63" s="198" t="str">
        <f>IF(C63="","",IF(C63=FROTA!Z63="","",VLOOKUP(FROTA!Z63,RECEBÍVEIS!$AA$11:$AC$43,3,0)))</f>
        <v/>
      </c>
    </row>
    <row r="64" spans="2:50" ht="17.25" customHeight="1" x14ac:dyDescent="0.2">
      <c r="B64" s="6"/>
      <c r="C64" s="49" t="str">
        <f>IF(FROTA!B64="","",FROTA!B64)</f>
        <v/>
      </c>
      <c r="D64" s="220" t="str">
        <f>IF(C64="","",VLOOKUP(SEM!C64,FROTA!$B$5:$C$305,2,0))</f>
        <v/>
      </c>
      <c r="E64" s="24" t="str">
        <f>IF(C64="","",VLOOKUP(C64,FROTA!$B$5:$H$305,7,0))</f>
        <v/>
      </c>
      <c r="F64" s="38" t="str">
        <f t="shared" si="2"/>
        <v/>
      </c>
      <c r="G64" s="71" t="str">
        <f t="shared" si="13"/>
        <v/>
      </c>
      <c r="H64" s="32" t="str">
        <f t="shared" si="3"/>
        <v/>
      </c>
      <c r="I64" s="73" t="str">
        <f t="shared" si="3"/>
        <v/>
      </c>
      <c r="J64" s="73" t="str">
        <f t="shared" si="3"/>
        <v/>
      </c>
      <c r="K64" s="73" t="str">
        <f t="shared" si="18"/>
        <v/>
      </c>
      <c r="L64" s="73" t="str">
        <f t="shared" si="18"/>
        <v/>
      </c>
      <c r="M64" s="73" t="str">
        <f t="shared" si="18"/>
        <v/>
      </c>
      <c r="N64" s="73" t="str">
        <f t="shared" si="17"/>
        <v/>
      </c>
      <c r="O64" s="73" t="str">
        <f t="shared" si="17"/>
        <v/>
      </c>
      <c r="P64" s="73" t="str">
        <f t="shared" si="17"/>
        <v/>
      </c>
      <c r="Q64" s="73" t="str">
        <f t="shared" si="17"/>
        <v/>
      </c>
      <c r="R64" s="73" t="str">
        <f t="shared" si="16"/>
        <v/>
      </c>
      <c r="S64" s="73" t="str">
        <f t="shared" si="16"/>
        <v/>
      </c>
      <c r="T64" s="73" t="str">
        <f t="shared" si="16"/>
        <v/>
      </c>
      <c r="U64" s="73" t="str">
        <f t="shared" si="16"/>
        <v/>
      </c>
      <c r="V64" s="73" t="str">
        <f t="shared" si="16"/>
        <v/>
      </c>
      <c r="W64" s="73" t="str">
        <f t="shared" si="16"/>
        <v/>
      </c>
      <c r="X64" s="73" t="str">
        <f t="shared" si="16"/>
        <v/>
      </c>
      <c r="Y64" s="73" t="str">
        <f t="shared" si="16"/>
        <v/>
      </c>
      <c r="Z64" s="73" t="str">
        <f t="shared" si="16"/>
        <v/>
      </c>
      <c r="AA64" s="73" t="str">
        <f t="shared" si="16"/>
        <v/>
      </c>
      <c r="AB64" s="74" t="str">
        <f t="shared" si="16"/>
        <v/>
      </c>
      <c r="AC64" s="35" t="str">
        <f t="shared" si="4"/>
        <v/>
      </c>
      <c r="AD64" s="40" t="str">
        <f t="shared" si="5"/>
        <v/>
      </c>
      <c r="AE64" s="37" t="str">
        <f t="shared" si="6"/>
        <v/>
      </c>
      <c r="AF64" s="40" t="str">
        <f t="shared" si="7"/>
        <v/>
      </c>
      <c r="AG64" s="37" t="str">
        <f t="shared" si="8"/>
        <v/>
      </c>
      <c r="AH64" s="40" t="str">
        <f t="shared" si="9"/>
        <v/>
      </c>
      <c r="AI64" s="37" t="str">
        <f t="shared" si="10"/>
        <v/>
      </c>
      <c r="AJ64" s="40" t="str">
        <f t="shared" si="11"/>
        <v/>
      </c>
      <c r="AK64" s="204" t="str">
        <f>IF(C64="","",IF(E64=FROTA!$AT$18,IF('DEFINA!!!'!$L$6="D-E-F-I-N-A !!!!!!!",0,IF('DEFINA!!!'!$L$6="Opto por Idade Média",SEM!AW64,IF('DEFINA!!!'!$L$6="Opto pelo Valor aplicado ao  Ano de cada Carro",SEM!AX64,0))),IF(E64=FROTA!$AT$17,IF('DEFINA!!!'!$L$6="D-E-F-I-N-A !!!!!!!",0,IF('DEFINA!!!'!$L$6="Opto por Idade Média",SEM!AW64,IF('DEFINA!!!'!$L$6="Opto pelo Valor aplicado ao  Ano de cada Carro",SEM!AX64,0))),IF(E64=FROTA!$AT$16,IF('DEFINA!!!'!$L$6="D-E-F-I-N-A !!!!!!!",0,IF('DEFINA!!!'!$L$6="Opto por Idade Média",SEM!AW64,IF('DEFINA!!!'!$L$6="Opto pelo Valor aplicado ao  Ano de cada Carro",SEM!AX64,0))),IF('DEFINA!!!'!$L$6="D-E-F-I-N-A !!!!!!!",0,IF('DEFINA!!!'!$L$6="Opto por Idade Média",SEM!AU64,IF('DEFINA!!!'!$L$6="Opto pelo Valor aplicado ao  Ano de cada Carro",SEM!AV64,0)))))))</f>
        <v/>
      </c>
      <c r="AL64" s="6"/>
      <c r="AM64" s="79" t="str">
        <f t="shared" si="12"/>
        <v/>
      </c>
      <c r="AN64" s="12"/>
      <c r="AO64" s="12"/>
      <c r="AP64" s="14"/>
      <c r="AQ64" s="16"/>
      <c r="AR64" s="15"/>
      <c r="AU64" s="198" t="str">
        <f>IF(C64="","",VLOOKUP(FROTA!$AB$2,RECEBÍVEIS!$AA$11:$AB$43,2,0))</f>
        <v/>
      </c>
      <c r="AV64" s="198" t="str">
        <f>IF(C64="","",IF(C64=FROTA!Z64="","",VLOOKUP(FROTA!Z64,RECEBÍVEIS!$AA$11:$AB$43,2,0)))</f>
        <v/>
      </c>
      <c r="AW64" s="198" t="str">
        <f>IF(C64="","",VLOOKUP(FROTA!$AB$2,RECEBÍVEIS!$AA$11:$AC$43,3,0))</f>
        <v/>
      </c>
      <c r="AX64" s="198" t="str">
        <f>IF(C64="","",IF(C64=FROTA!Z64="","",VLOOKUP(FROTA!Z64,RECEBÍVEIS!$AA$11:$AC$43,3,0)))</f>
        <v/>
      </c>
    </row>
    <row r="65" spans="2:50" ht="17.25" customHeight="1" x14ac:dyDescent="0.2">
      <c r="B65" s="6"/>
      <c r="C65" s="49" t="str">
        <f>IF(FROTA!B65="","",FROTA!B65)</f>
        <v/>
      </c>
      <c r="D65" s="220" t="str">
        <f>IF(C65="","",VLOOKUP(SEM!C65,FROTA!$B$5:$C$305,2,0))</f>
        <v/>
      </c>
      <c r="E65" s="24" t="str">
        <f>IF(C65="","",VLOOKUP(C65,FROTA!$B$5:$H$305,7,0))</f>
        <v/>
      </c>
      <c r="F65" s="38" t="str">
        <f t="shared" si="2"/>
        <v/>
      </c>
      <c r="G65" s="71" t="str">
        <f t="shared" si="13"/>
        <v/>
      </c>
      <c r="H65" s="32" t="str">
        <f t="shared" si="3"/>
        <v/>
      </c>
      <c r="I65" s="73" t="str">
        <f t="shared" si="3"/>
        <v/>
      </c>
      <c r="J65" s="73" t="str">
        <f t="shared" si="3"/>
        <v/>
      </c>
      <c r="K65" s="73" t="str">
        <f t="shared" si="18"/>
        <v/>
      </c>
      <c r="L65" s="73" t="str">
        <f t="shared" si="18"/>
        <v/>
      </c>
      <c r="M65" s="73" t="str">
        <f t="shared" si="18"/>
        <v/>
      </c>
      <c r="N65" s="73" t="str">
        <f t="shared" si="17"/>
        <v/>
      </c>
      <c r="O65" s="73" t="str">
        <f t="shared" si="17"/>
        <v/>
      </c>
      <c r="P65" s="73" t="str">
        <f t="shared" si="17"/>
        <v/>
      </c>
      <c r="Q65" s="73" t="str">
        <f t="shared" si="17"/>
        <v/>
      </c>
      <c r="R65" s="73" t="str">
        <f t="shared" si="16"/>
        <v/>
      </c>
      <c r="S65" s="73" t="str">
        <f t="shared" si="16"/>
        <v/>
      </c>
      <c r="T65" s="73" t="str">
        <f t="shared" si="16"/>
        <v/>
      </c>
      <c r="U65" s="73" t="str">
        <f t="shared" si="16"/>
        <v/>
      </c>
      <c r="V65" s="73" t="str">
        <f t="shared" si="16"/>
        <v/>
      </c>
      <c r="W65" s="73" t="str">
        <f t="shared" si="16"/>
        <v/>
      </c>
      <c r="X65" s="73" t="str">
        <f t="shared" si="16"/>
        <v/>
      </c>
      <c r="Y65" s="73" t="str">
        <f t="shared" si="16"/>
        <v/>
      </c>
      <c r="Z65" s="73" t="str">
        <f t="shared" si="16"/>
        <v/>
      </c>
      <c r="AA65" s="73" t="str">
        <f t="shared" si="16"/>
        <v/>
      </c>
      <c r="AB65" s="74" t="str">
        <f t="shared" si="16"/>
        <v/>
      </c>
      <c r="AC65" s="35" t="str">
        <f t="shared" si="4"/>
        <v/>
      </c>
      <c r="AD65" s="40" t="str">
        <f t="shared" si="5"/>
        <v/>
      </c>
      <c r="AE65" s="37" t="str">
        <f t="shared" si="6"/>
        <v/>
      </c>
      <c r="AF65" s="40" t="str">
        <f t="shared" si="7"/>
        <v/>
      </c>
      <c r="AG65" s="37" t="str">
        <f t="shared" si="8"/>
        <v/>
      </c>
      <c r="AH65" s="40" t="str">
        <f t="shared" si="9"/>
        <v/>
      </c>
      <c r="AI65" s="37" t="str">
        <f t="shared" si="10"/>
        <v/>
      </c>
      <c r="AJ65" s="40" t="str">
        <f t="shared" si="11"/>
        <v/>
      </c>
      <c r="AK65" s="204" t="str">
        <f>IF(C65="","",IF(E65=FROTA!$AT$18,IF('DEFINA!!!'!$L$6="D-E-F-I-N-A !!!!!!!",0,IF('DEFINA!!!'!$L$6="Opto por Idade Média",SEM!AW65,IF('DEFINA!!!'!$L$6="Opto pelo Valor aplicado ao  Ano de cada Carro",SEM!AX65,0))),IF(E65=FROTA!$AT$17,IF('DEFINA!!!'!$L$6="D-E-F-I-N-A !!!!!!!",0,IF('DEFINA!!!'!$L$6="Opto por Idade Média",SEM!AW65,IF('DEFINA!!!'!$L$6="Opto pelo Valor aplicado ao  Ano de cada Carro",SEM!AX65,0))),IF(E65=FROTA!$AT$16,IF('DEFINA!!!'!$L$6="D-E-F-I-N-A !!!!!!!",0,IF('DEFINA!!!'!$L$6="Opto por Idade Média",SEM!AW65,IF('DEFINA!!!'!$L$6="Opto pelo Valor aplicado ao  Ano de cada Carro",SEM!AX65,0))),IF('DEFINA!!!'!$L$6="D-E-F-I-N-A !!!!!!!",0,IF('DEFINA!!!'!$L$6="Opto por Idade Média",SEM!AU65,IF('DEFINA!!!'!$L$6="Opto pelo Valor aplicado ao  Ano de cada Carro",SEM!AV65,0)))))))</f>
        <v/>
      </c>
      <c r="AL65" s="6"/>
      <c r="AM65" s="79" t="str">
        <f t="shared" si="12"/>
        <v/>
      </c>
      <c r="AN65" s="12"/>
      <c r="AO65" s="12"/>
      <c r="AP65" s="14"/>
      <c r="AQ65" s="16"/>
      <c r="AR65" s="15"/>
      <c r="AU65" s="198" t="str">
        <f>IF(C65="","",VLOOKUP(FROTA!$AB$2,RECEBÍVEIS!$AA$11:$AB$43,2,0))</f>
        <v/>
      </c>
      <c r="AV65" s="198" t="str">
        <f>IF(C65="","",IF(C65=FROTA!Z65="","",VLOOKUP(FROTA!Z65,RECEBÍVEIS!$AA$11:$AB$43,2,0)))</f>
        <v/>
      </c>
      <c r="AW65" s="198" t="str">
        <f>IF(C65="","",VLOOKUP(FROTA!$AB$2,RECEBÍVEIS!$AA$11:$AC$43,3,0))</f>
        <v/>
      </c>
      <c r="AX65" s="198" t="str">
        <f>IF(C65="","",IF(C65=FROTA!Z65="","",VLOOKUP(FROTA!Z65,RECEBÍVEIS!$AA$11:$AC$43,3,0)))</f>
        <v/>
      </c>
    </row>
    <row r="66" spans="2:50" ht="17.25" customHeight="1" x14ac:dyDescent="0.2">
      <c r="B66" s="6"/>
      <c r="C66" s="49" t="str">
        <f>IF(FROTA!B66="","",FROTA!B66)</f>
        <v/>
      </c>
      <c r="D66" s="220" t="str">
        <f>IF(C66="","",VLOOKUP(SEM!C66,FROTA!$B$5:$C$305,2,0))</f>
        <v/>
      </c>
      <c r="E66" s="24" t="str">
        <f>IF(C66="","",VLOOKUP(C66,FROTA!$B$5:$H$305,7,0))</f>
        <v/>
      </c>
      <c r="F66" s="38" t="str">
        <f t="shared" si="2"/>
        <v/>
      </c>
      <c r="G66" s="71" t="str">
        <f t="shared" si="13"/>
        <v/>
      </c>
      <c r="H66" s="32" t="str">
        <f t="shared" si="3"/>
        <v/>
      </c>
      <c r="I66" s="73" t="str">
        <f t="shared" si="3"/>
        <v/>
      </c>
      <c r="J66" s="73" t="str">
        <f t="shared" si="3"/>
        <v/>
      </c>
      <c r="K66" s="73" t="str">
        <f t="shared" si="18"/>
        <v/>
      </c>
      <c r="L66" s="73" t="str">
        <f t="shared" si="18"/>
        <v/>
      </c>
      <c r="M66" s="73" t="str">
        <f t="shared" si="18"/>
        <v/>
      </c>
      <c r="N66" s="73" t="str">
        <f t="shared" si="17"/>
        <v/>
      </c>
      <c r="O66" s="73" t="str">
        <f t="shared" si="17"/>
        <v/>
      </c>
      <c r="P66" s="73" t="str">
        <f t="shared" si="17"/>
        <v/>
      </c>
      <c r="Q66" s="73" t="str">
        <f t="shared" si="17"/>
        <v/>
      </c>
      <c r="R66" s="73" t="str">
        <f t="shared" si="16"/>
        <v/>
      </c>
      <c r="S66" s="73" t="str">
        <f t="shared" si="16"/>
        <v/>
      </c>
      <c r="T66" s="73" t="str">
        <f t="shared" si="16"/>
        <v/>
      </c>
      <c r="U66" s="73" t="str">
        <f t="shared" si="16"/>
        <v/>
      </c>
      <c r="V66" s="73" t="str">
        <f t="shared" si="16"/>
        <v/>
      </c>
      <c r="W66" s="73" t="str">
        <f t="shared" si="16"/>
        <v/>
      </c>
      <c r="X66" s="73" t="str">
        <f t="shared" si="16"/>
        <v/>
      </c>
      <c r="Y66" s="73" t="str">
        <f t="shared" si="16"/>
        <v/>
      </c>
      <c r="Z66" s="73" t="str">
        <f t="shared" si="16"/>
        <v/>
      </c>
      <c r="AA66" s="73" t="str">
        <f t="shared" si="16"/>
        <v/>
      </c>
      <c r="AB66" s="74" t="str">
        <f t="shared" si="16"/>
        <v/>
      </c>
      <c r="AC66" s="35" t="str">
        <f t="shared" si="4"/>
        <v/>
      </c>
      <c r="AD66" s="40" t="str">
        <f t="shared" si="5"/>
        <v/>
      </c>
      <c r="AE66" s="37" t="str">
        <f t="shared" si="6"/>
        <v/>
      </c>
      <c r="AF66" s="40" t="str">
        <f t="shared" si="7"/>
        <v/>
      </c>
      <c r="AG66" s="37" t="str">
        <f t="shared" si="8"/>
        <v/>
      </c>
      <c r="AH66" s="40" t="str">
        <f t="shared" si="9"/>
        <v/>
      </c>
      <c r="AI66" s="37" t="str">
        <f t="shared" si="10"/>
        <v/>
      </c>
      <c r="AJ66" s="40" t="str">
        <f t="shared" si="11"/>
        <v/>
      </c>
      <c r="AK66" s="204" t="str">
        <f>IF(C66="","",IF(E66=FROTA!$AT$18,IF('DEFINA!!!'!$L$6="D-E-F-I-N-A !!!!!!!",0,IF('DEFINA!!!'!$L$6="Opto por Idade Média",SEM!AW66,IF('DEFINA!!!'!$L$6="Opto pelo Valor aplicado ao  Ano de cada Carro",SEM!AX66,0))),IF(E66=FROTA!$AT$17,IF('DEFINA!!!'!$L$6="D-E-F-I-N-A !!!!!!!",0,IF('DEFINA!!!'!$L$6="Opto por Idade Média",SEM!AW66,IF('DEFINA!!!'!$L$6="Opto pelo Valor aplicado ao  Ano de cada Carro",SEM!AX66,0))),IF(E66=FROTA!$AT$16,IF('DEFINA!!!'!$L$6="D-E-F-I-N-A !!!!!!!",0,IF('DEFINA!!!'!$L$6="Opto por Idade Média",SEM!AW66,IF('DEFINA!!!'!$L$6="Opto pelo Valor aplicado ao  Ano de cada Carro",SEM!AX66,0))),IF('DEFINA!!!'!$L$6="D-E-F-I-N-A !!!!!!!",0,IF('DEFINA!!!'!$L$6="Opto por Idade Média",SEM!AU66,IF('DEFINA!!!'!$L$6="Opto pelo Valor aplicado ao  Ano de cada Carro",SEM!AV66,0)))))))</f>
        <v/>
      </c>
      <c r="AL66" s="6"/>
      <c r="AM66" s="79" t="str">
        <f t="shared" si="12"/>
        <v/>
      </c>
      <c r="AN66" s="12"/>
      <c r="AO66" s="12"/>
      <c r="AP66" s="14"/>
      <c r="AQ66" s="16"/>
      <c r="AR66" s="15"/>
      <c r="AU66" s="198" t="str">
        <f>IF(C66="","",VLOOKUP(FROTA!$AB$2,RECEBÍVEIS!$AA$11:$AB$43,2,0))</f>
        <v/>
      </c>
      <c r="AV66" s="198" t="str">
        <f>IF(C66="","",IF(C66=FROTA!Z66="","",VLOOKUP(FROTA!Z66,RECEBÍVEIS!$AA$11:$AB$43,2,0)))</f>
        <v/>
      </c>
      <c r="AW66" s="198" t="str">
        <f>IF(C66="","",VLOOKUP(FROTA!$AB$2,RECEBÍVEIS!$AA$11:$AC$43,3,0))</f>
        <v/>
      </c>
      <c r="AX66" s="198" t="str">
        <f>IF(C66="","",IF(C66=FROTA!Z66="","",VLOOKUP(FROTA!Z66,RECEBÍVEIS!$AA$11:$AC$43,3,0)))</f>
        <v/>
      </c>
    </row>
    <row r="67" spans="2:50" ht="17.25" customHeight="1" x14ac:dyDescent="0.2">
      <c r="B67" s="6"/>
      <c r="C67" s="49" t="str">
        <f>IF(FROTA!B67="","",FROTA!B67)</f>
        <v/>
      </c>
      <c r="D67" s="220" t="str">
        <f>IF(C67="","",VLOOKUP(SEM!C67,FROTA!$B$5:$C$305,2,0))</f>
        <v/>
      </c>
      <c r="E67" s="24" t="str">
        <f>IF(C67="","",VLOOKUP(C67,FROTA!$B$5:$H$305,7,0))</f>
        <v/>
      </c>
      <c r="F67" s="38" t="str">
        <f t="shared" si="2"/>
        <v/>
      </c>
      <c r="G67" s="71" t="str">
        <f t="shared" si="13"/>
        <v/>
      </c>
      <c r="H67" s="32" t="str">
        <f t="shared" si="3"/>
        <v/>
      </c>
      <c r="I67" s="73" t="str">
        <f t="shared" si="3"/>
        <v/>
      </c>
      <c r="J67" s="73" t="str">
        <f t="shared" si="3"/>
        <v/>
      </c>
      <c r="K67" s="73" t="str">
        <f t="shared" si="18"/>
        <v/>
      </c>
      <c r="L67" s="73" t="str">
        <f t="shared" si="18"/>
        <v/>
      </c>
      <c r="M67" s="73" t="str">
        <f t="shared" si="18"/>
        <v/>
      </c>
      <c r="N67" s="73" t="str">
        <f t="shared" si="17"/>
        <v/>
      </c>
      <c r="O67" s="73" t="str">
        <f t="shared" si="17"/>
        <v/>
      </c>
      <c r="P67" s="73" t="str">
        <f t="shared" si="17"/>
        <v/>
      </c>
      <c r="Q67" s="73" t="str">
        <f t="shared" si="17"/>
        <v/>
      </c>
      <c r="R67" s="73" t="str">
        <f t="shared" si="16"/>
        <v/>
      </c>
      <c r="S67" s="73" t="str">
        <f t="shared" si="16"/>
        <v/>
      </c>
      <c r="T67" s="73" t="str">
        <f t="shared" si="16"/>
        <v/>
      </c>
      <c r="U67" s="73" t="str">
        <f t="shared" si="16"/>
        <v/>
      </c>
      <c r="V67" s="73" t="str">
        <f t="shared" si="16"/>
        <v/>
      </c>
      <c r="W67" s="73" t="str">
        <f t="shared" si="16"/>
        <v/>
      </c>
      <c r="X67" s="73" t="str">
        <f t="shared" si="16"/>
        <v/>
      </c>
      <c r="Y67" s="73" t="str">
        <f t="shared" si="16"/>
        <v/>
      </c>
      <c r="Z67" s="73" t="str">
        <f t="shared" si="16"/>
        <v/>
      </c>
      <c r="AA67" s="73" t="str">
        <f t="shared" si="16"/>
        <v/>
      </c>
      <c r="AB67" s="74" t="str">
        <f t="shared" si="16"/>
        <v/>
      </c>
      <c r="AC67" s="35" t="str">
        <f t="shared" si="4"/>
        <v/>
      </c>
      <c r="AD67" s="40" t="str">
        <f t="shared" si="5"/>
        <v/>
      </c>
      <c r="AE67" s="37" t="str">
        <f t="shared" si="6"/>
        <v/>
      </c>
      <c r="AF67" s="40" t="str">
        <f t="shared" si="7"/>
        <v/>
      </c>
      <c r="AG67" s="37" t="str">
        <f t="shared" si="8"/>
        <v/>
      </c>
      <c r="AH67" s="40" t="str">
        <f t="shared" si="9"/>
        <v/>
      </c>
      <c r="AI67" s="37" t="str">
        <f t="shared" si="10"/>
        <v/>
      </c>
      <c r="AJ67" s="40" t="str">
        <f t="shared" si="11"/>
        <v/>
      </c>
      <c r="AK67" s="204" t="str">
        <f>IF(C67="","",IF(E67=FROTA!$AT$18,IF('DEFINA!!!'!$L$6="D-E-F-I-N-A !!!!!!!",0,IF('DEFINA!!!'!$L$6="Opto por Idade Média",SEM!AW67,IF('DEFINA!!!'!$L$6="Opto pelo Valor aplicado ao  Ano de cada Carro",SEM!AX67,0))),IF(E67=FROTA!$AT$17,IF('DEFINA!!!'!$L$6="D-E-F-I-N-A !!!!!!!",0,IF('DEFINA!!!'!$L$6="Opto por Idade Média",SEM!AW67,IF('DEFINA!!!'!$L$6="Opto pelo Valor aplicado ao  Ano de cada Carro",SEM!AX67,0))),IF(E67=FROTA!$AT$16,IF('DEFINA!!!'!$L$6="D-E-F-I-N-A !!!!!!!",0,IF('DEFINA!!!'!$L$6="Opto por Idade Média",SEM!AW67,IF('DEFINA!!!'!$L$6="Opto pelo Valor aplicado ao  Ano de cada Carro",SEM!AX67,0))),IF('DEFINA!!!'!$L$6="D-E-F-I-N-A !!!!!!!",0,IF('DEFINA!!!'!$L$6="Opto por Idade Média",SEM!AU67,IF('DEFINA!!!'!$L$6="Opto pelo Valor aplicado ao  Ano de cada Carro",SEM!AV67,0)))))))</f>
        <v/>
      </c>
      <c r="AL67" s="6"/>
      <c r="AM67" s="79" t="str">
        <f t="shared" si="12"/>
        <v/>
      </c>
      <c r="AN67" s="12"/>
      <c r="AO67" s="12"/>
      <c r="AP67" s="14"/>
      <c r="AQ67" s="16"/>
      <c r="AR67" s="15"/>
      <c r="AU67" s="198" t="str">
        <f>IF(C67="","",VLOOKUP(FROTA!$AB$2,RECEBÍVEIS!$AA$11:$AB$43,2,0))</f>
        <v/>
      </c>
      <c r="AV67" s="198" t="str">
        <f>IF(C67="","",IF(C67=FROTA!Z67="","",VLOOKUP(FROTA!Z67,RECEBÍVEIS!$AA$11:$AB$43,2,0)))</f>
        <v/>
      </c>
      <c r="AW67" s="198" t="str">
        <f>IF(C67="","",VLOOKUP(FROTA!$AB$2,RECEBÍVEIS!$AA$11:$AC$43,3,0))</f>
        <v/>
      </c>
      <c r="AX67" s="198" t="str">
        <f>IF(C67="","",IF(C67=FROTA!Z67="","",VLOOKUP(FROTA!Z67,RECEBÍVEIS!$AA$11:$AC$43,3,0)))</f>
        <v/>
      </c>
    </row>
    <row r="68" spans="2:50" ht="17.25" customHeight="1" x14ac:dyDescent="0.2">
      <c r="B68" s="6"/>
      <c r="C68" s="49" t="str">
        <f>IF(FROTA!B68="","",FROTA!B68)</f>
        <v/>
      </c>
      <c r="D68" s="220" t="str">
        <f>IF(C68="","",VLOOKUP(SEM!C68,FROTA!$B$5:$C$305,2,0))</f>
        <v/>
      </c>
      <c r="E68" s="24" t="str">
        <f>IF(C68="","",VLOOKUP(C68,FROTA!$B$5:$H$305,7,0))</f>
        <v/>
      </c>
      <c r="F68" s="38" t="str">
        <f t="shared" si="2"/>
        <v/>
      </c>
      <c r="G68" s="71" t="str">
        <f t="shared" si="13"/>
        <v/>
      </c>
      <c r="H68" s="32" t="str">
        <f t="shared" si="3"/>
        <v/>
      </c>
      <c r="I68" s="73" t="str">
        <f t="shared" si="3"/>
        <v/>
      </c>
      <c r="J68" s="73" t="str">
        <f t="shared" si="3"/>
        <v/>
      </c>
      <c r="K68" s="73" t="str">
        <f t="shared" si="18"/>
        <v/>
      </c>
      <c r="L68" s="73" t="str">
        <f t="shared" si="18"/>
        <v/>
      </c>
      <c r="M68" s="73" t="str">
        <f t="shared" si="18"/>
        <v/>
      </c>
      <c r="N68" s="73" t="str">
        <f t="shared" si="17"/>
        <v/>
      </c>
      <c r="O68" s="73" t="str">
        <f t="shared" si="17"/>
        <v/>
      </c>
      <c r="P68" s="73" t="str">
        <f t="shared" si="17"/>
        <v/>
      </c>
      <c r="Q68" s="73" t="str">
        <f t="shared" si="17"/>
        <v/>
      </c>
      <c r="R68" s="73" t="str">
        <f t="shared" si="16"/>
        <v/>
      </c>
      <c r="S68" s="73" t="str">
        <f t="shared" si="16"/>
        <v/>
      </c>
      <c r="T68" s="73" t="str">
        <f t="shared" si="16"/>
        <v/>
      </c>
      <c r="U68" s="73" t="str">
        <f t="shared" si="16"/>
        <v/>
      </c>
      <c r="V68" s="73" t="str">
        <f t="shared" ref="R68:AB91" si="19">IF($C68="","",IF(SUM(V$307*$G68)&gt;$F68,$F68,SUM(V$307*$G68)))</f>
        <v/>
      </c>
      <c r="W68" s="73" t="str">
        <f t="shared" si="19"/>
        <v/>
      </c>
      <c r="X68" s="73" t="str">
        <f t="shared" si="19"/>
        <v/>
      </c>
      <c r="Y68" s="73" t="str">
        <f t="shared" si="19"/>
        <v/>
      </c>
      <c r="Z68" s="73" t="str">
        <f t="shared" si="19"/>
        <v/>
      </c>
      <c r="AA68" s="73" t="str">
        <f t="shared" si="19"/>
        <v/>
      </c>
      <c r="AB68" s="74" t="str">
        <f t="shared" si="19"/>
        <v/>
      </c>
      <c r="AC68" s="35" t="str">
        <f t="shared" si="4"/>
        <v/>
      </c>
      <c r="AD68" s="40" t="str">
        <f t="shared" si="5"/>
        <v/>
      </c>
      <c r="AE68" s="37" t="str">
        <f t="shared" si="6"/>
        <v/>
      </c>
      <c r="AF68" s="40" t="str">
        <f t="shared" si="7"/>
        <v/>
      </c>
      <c r="AG68" s="37" t="str">
        <f t="shared" si="8"/>
        <v/>
      </c>
      <c r="AH68" s="40" t="str">
        <f t="shared" si="9"/>
        <v/>
      </c>
      <c r="AI68" s="37" t="str">
        <f t="shared" si="10"/>
        <v/>
      </c>
      <c r="AJ68" s="40" t="str">
        <f t="shared" si="11"/>
        <v/>
      </c>
      <c r="AK68" s="204" t="str">
        <f>IF(C68="","",IF(E68=FROTA!$AT$18,IF('DEFINA!!!'!$L$6="D-E-F-I-N-A !!!!!!!",0,IF('DEFINA!!!'!$L$6="Opto por Idade Média",SEM!AW68,IF('DEFINA!!!'!$L$6="Opto pelo Valor aplicado ao  Ano de cada Carro",SEM!AX68,0))),IF(E68=FROTA!$AT$17,IF('DEFINA!!!'!$L$6="D-E-F-I-N-A !!!!!!!",0,IF('DEFINA!!!'!$L$6="Opto por Idade Média",SEM!AW68,IF('DEFINA!!!'!$L$6="Opto pelo Valor aplicado ao  Ano de cada Carro",SEM!AX68,0))),IF(E68=FROTA!$AT$16,IF('DEFINA!!!'!$L$6="D-E-F-I-N-A !!!!!!!",0,IF('DEFINA!!!'!$L$6="Opto por Idade Média",SEM!AW68,IF('DEFINA!!!'!$L$6="Opto pelo Valor aplicado ao  Ano de cada Carro",SEM!AX68,0))),IF('DEFINA!!!'!$L$6="D-E-F-I-N-A !!!!!!!",0,IF('DEFINA!!!'!$L$6="Opto por Idade Média",SEM!AU68,IF('DEFINA!!!'!$L$6="Opto pelo Valor aplicado ao  Ano de cada Carro",SEM!AV68,0)))))))</f>
        <v/>
      </c>
      <c r="AL68" s="6"/>
      <c r="AM68" s="79" t="str">
        <f t="shared" si="12"/>
        <v/>
      </c>
      <c r="AN68" s="12"/>
      <c r="AO68" s="12"/>
      <c r="AP68" s="14"/>
      <c r="AQ68" s="16"/>
      <c r="AR68" s="15"/>
      <c r="AU68" s="198" t="str">
        <f>IF(C68="","",VLOOKUP(FROTA!$AB$2,RECEBÍVEIS!$AA$11:$AB$43,2,0))</f>
        <v/>
      </c>
      <c r="AV68" s="198" t="str">
        <f>IF(C68="","",IF(C68=FROTA!Z68="","",VLOOKUP(FROTA!Z68,RECEBÍVEIS!$AA$11:$AB$43,2,0)))</f>
        <v/>
      </c>
      <c r="AW68" s="198" t="str">
        <f>IF(C68="","",VLOOKUP(FROTA!$AB$2,RECEBÍVEIS!$AA$11:$AC$43,3,0))</f>
        <v/>
      </c>
      <c r="AX68" s="198" t="str">
        <f>IF(C68="","",IF(C68=FROTA!Z68="","",VLOOKUP(FROTA!Z68,RECEBÍVEIS!$AA$11:$AC$43,3,0)))</f>
        <v/>
      </c>
    </row>
    <row r="69" spans="2:50" ht="17.25" customHeight="1" x14ac:dyDescent="0.2">
      <c r="B69" s="6"/>
      <c r="C69" s="49" t="str">
        <f>IF(FROTA!B69="","",FROTA!B69)</f>
        <v/>
      </c>
      <c r="D69" s="220" t="str">
        <f>IF(C69="","",VLOOKUP(SEM!C69,FROTA!$B$5:$C$305,2,0))</f>
        <v/>
      </c>
      <c r="E69" s="24" t="str">
        <f>IF(C69="","",VLOOKUP(C69,FROTA!$B$5:$H$305,7,0))</f>
        <v/>
      </c>
      <c r="F69" s="38" t="str">
        <f t="shared" si="2"/>
        <v/>
      </c>
      <c r="G69" s="71" t="str">
        <f t="shared" si="13"/>
        <v/>
      </c>
      <c r="H69" s="32" t="str">
        <f t="shared" si="3"/>
        <v/>
      </c>
      <c r="I69" s="73" t="str">
        <f t="shared" si="3"/>
        <v/>
      </c>
      <c r="J69" s="73" t="str">
        <f t="shared" si="3"/>
        <v/>
      </c>
      <c r="K69" s="73" t="str">
        <f t="shared" si="18"/>
        <v/>
      </c>
      <c r="L69" s="73" t="str">
        <f t="shared" si="18"/>
        <v/>
      </c>
      <c r="M69" s="73" t="str">
        <f t="shared" si="18"/>
        <v/>
      </c>
      <c r="N69" s="73" t="str">
        <f t="shared" si="17"/>
        <v/>
      </c>
      <c r="O69" s="73" t="str">
        <f t="shared" si="17"/>
        <v/>
      </c>
      <c r="P69" s="73" t="str">
        <f t="shared" si="17"/>
        <v/>
      </c>
      <c r="Q69" s="73" t="str">
        <f t="shared" si="17"/>
        <v/>
      </c>
      <c r="R69" s="73" t="str">
        <f t="shared" si="19"/>
        <v/>
      </c>
      <c r="S69" s="73" t="str">
        <f t="shared" si="19"/>
        <v/>
      </c>
      <c r="T69" s="73" t="str">
        <f t="shared" si="19"/>
        <v/>
      </c>
      <c r="U69" s="73" t="str">
        <f t="shared" si="19"/>
        <v/>
      </c>
      <c r="V69" s="73" t="str">
        <f t="shared" si="19"/>
        <v/>
      </c>
      <c r="W69" s="73" t="str">
        <f t="shared" si="19"/>
        <v/>
      </c>
      <c r="X69" s="73" t="str">
        <f t="shared" si="19"/>
        <v/>
      </c>
      <c r="Y69" s="73" t="str">
        <f t="shared" si="19"/>
        <v/>
      </c>
      <c r="Z69" s="73" t="str">
        <f t="shared" si="19"/>
        <v/>
      </c>
      <c r="AA69" s="73" t="str">
        <f t="shared" si="19"/>
        <v/>
      </c>
      <c r="AB69" s="74" t="str">
        <f t="shared" si="19"/>
        <v/>
      </c>
      <c r="AC69" s="35" t="str">
        <f t="shared" si="4"/>
        <v/>
      </c>
      <c r="AD69" s="40" t="str">
        <f t="shared" si="5"/>
        <v/>
      </c>
      <c r="AE69" s="37" t="str">
        <f t="shared" si="6"/>
        <v/>
      </c>
      <c r="AF69" s="40" t="str">
        <f t="shared" si="7"/>
        <v/>
      </c>
      <c r="AG69" s="37" t="str">
        <f t="shared" si="8"/>
        <v/>
      </c>
      <c r="AH69" s="40" t="str">
        <f t="shared" si="9"/>
        <v/>
      </c>
      <c r="AI69" s="37" t="str">
        <f t="shared" si="10"/>
        <v/>
      </c>
      <c r="AJ69" s="40" t="str">
        <f t="shared" si="11"/>
        <v/>
      </c>
      <c r="AK69" s="204" t="str">
        <f>IF(C69="","",IF(E69=FROTA!$AT$18,IF('DEFINA!!!'!$L$6="D-E-F-I-N-A !!!!!!!",0,IF('DEFINA!!!'!$L$6="Opto por Idade Média",SEM!AW69,IF('DEFINA!!!'!$L$6="Opto pelo Valor aplicado ao  Ano de cada Carro",SEM!AX69,0))),IF(E69=FROTA!$AT$17,IF('DEFINA!!!'!$L$6="D-E-F-I-N-A !!!!!!!",0,IF('DEFINA!!!'!$L$6="Opto por Idade Média",SEM!AW69,IF('DEFINA!!!'!$L$6="Opto pelo Valor aplicado ao  Ano de cada Carro",SEM!AX69,0))),IF(E69=FROTA!$AT$16,IF('DEFINA!!!'!$L$6="D-E-F-I-N-A !!!!!!!",0,IF('DEFINA!!!'!$L$6="Opto por Idade Média",SEM!AW69,IF('DEFINA!!!'!$L$6="Opto pelo Valor aplicado ao  Ano de cada Carro",SEM!AX69,0))),IF('DEFINA!!!'!$L$6="D-E-F-I-N-A !!!!!!!",0,IF('DEFINA!!!'!$L$6="Opto por Idade Média",SEM!AU69,IF('DEFINA!!!'!$L$6="Opto pelo Valor aplicado ao  Ano de cada Carro",SEM!AV69,0)))))))</f>
        <v/>
      </c>
      <c r="AL69" s="6"/>
      <c r="AM69" s="79" t="str">
        <f t="shared" si="12"/>
        <v/>
      </c>
      <c r="AN69" s="12"/>
      <c r="AO69" s="12"/>
      <c r="AP69" s="14"/>
      <c r="AQ69" s="16"/>
      <c r="AR69" s="15"/>
      <c r="AU69" s="198" t="str">
        <f>IF(C69="","",VLOOKUP(FROTA!$AB$2,RECEBÍVEIS!$AA$11:$AB$43,2,0))</f>
        <v/>
      </c>
      <c r="AV69" s="198" t="str">
        <f>IF(C69="","",IF(C69=FROTA!Z69="","",VLOOKUP(FROTA!Z69,RECEBÍVEIS!$AA$11:$AB$43,2,0)))</f>
        <v/>
      </c>
      <c r="AW69" s="198" t="str">
        <f>IF(C69="","",VLOOKUP(FROTA!$AB$2,RECEBÍVEIS!$AA$11:$AC$43,3,0))</f>
        <v/>
      </c>
      <c r="AX69" s="198" t="str">
        <f>IF(C69="","",IF(C69=FROTA!Z69="","",VLOOKUP(FROTA!Z69,RECEBÍVEIS!$AA$11:$AC$43,3,0)))</f>
        <v/>
      </c>
    </row>
    <row r="70" spans="2:50" ht="17.25" customHeight="1" x14ac:dyDescent="0.2">
      <c r="B70" s="6"/>
      <c r="C70" s="49" t="str">
        <f>IF(FROTA!B70="","",FROTA!B70)</f>
        <v/>
      </c>
      <c r="D70" s="220" t="str">
        <f>IF(C70="","",VLOOKUP(SEM!C70,FROTA!$B$5:$C$305,2,0))</f>
        <v/>
      </c>
      <c r="E70" s="24" t="str">
        <f>IF(C70="","",VLOOKUP(C70,FROTA!$B$5:$H$305,7,0))</f>
        <v/>
      </c>
      <c r="F70" s="38" t="str">
        <f t="shared" si="2"/>
        <v/>
      </c>
      <c r="G70" s="71" t="str">
        <f t="shared" si="13"/>
        <v/>
      </c>
      <c r="H70" s="32" t="str">
        <f t="shared" si="3"/>
        <v/>
      </c>
      <c r="I70" s="73" t="str">
        <f t="shared" si="3"/>
        <v/>
      </c>
      <c r="J70" s="73" t="str">
        <f t="shared" si="3"/>
        <v/>
      </c>
      <c r="K70" s="73" t="str">
        <f t="shared" si="18"/>
        <v/>
      </c>
      <c r="L70" s="73" t="str">
        <f t="shared" si="18"/>
        <v/>
      </c>
      <c r="M70" s="73" t="str">
        <f t="shared" si="18"/>
        <v/>
      </c>
      <c r="N70" s="73" t="str">
        <f t="shared" si="17"/>
        <v/>
      </c>
      <c r="O70" s="73" t="str">
        <f t="shared" si="17"/>
        <v/>
      </c>
      <c r="P70" s="73" t="str">
        <f t="shared" si="17"/>
        <v/>
      </c>
      <c r="Q70" s="73" t="str">
        <f t="shared" si="17"/>
        <v/>
      </c>
      <c r="R70" s="73" t="str">
        <f t="shared" si="19"/>
        <v/>
      </c>
      <c r="S70" s="73" t="str">
        <f t="shared" si="19"/>
        <v/>
      </c>
      <c r="T70" s="73" t="str">
        <f t="shared" si="19"/>
        <v/>
      </c>
      <c r="U70" s="73" t="str">
        <f t="shared" si="19"/>
        <v/>
      </c>
      <c r="V70" s="73" t="str">
        <f t="shared" si="19"/>
        <v/>
      </c>
      <c r="W70" s="73" t="str">
        <f t="shared" si="19"/>
        <v/>
      </c>
      <c r="X70" s="73" t="str">
        <f t="shared" si="19"/>
        <v/>
      </c>
      <c r="Y70" s="73" t="str">
        <f t="shared" si="19"/>
        <v/>
      </c>
      <c r="Z70" s="73" t="str">
        <f t="shared" si="19"/>
        <v/>
      </c>
      <c r="AA70" s="73" t="str">
        <f t="shared" si="19"/>
        <v/>
      </c>
      <c r="AB70" s="74" t="str">
        <f t="shared" si="19"/>
        <v/>
      </c>
      <c r="AC70" s="35" t="str">
        <f t="shared" si="4"/>
        <v/>
      </c>
      <c r="AD70" s="40" t="str">
        <f t="shared" si="5"/>
        <v/>
      </c>
      <c r="AE70" s="37" t="str">
        <f t="shared" si="6"/>
        <v/>
      </c>
      <c r="AF70" s="40" t="str">
        <f t="shared" si="7"/>
        <v/>
      </c>
      <c r="AG70" s="37" t="str">
        <f t="shared" si="8"/>
        <v/>
      </c>
      <c r="AH70" s="40" t="str">
        <f t="shared" si="9"/>
        <v/>
      </c>
      <c r="AI70" s="37" t="str">
        <f t="shared" si="10"/>
        <v/>
      </c>
      <c r="AJ70" s="40" t="str">
        <f t="shared" si="11"/>
        <v/>
      </c>
      <c r="AK70" s="204" t="str">
        <f>IF(C70="","",IF(E70=FROTA!$AT$18,IF('DEFINA!!!'!$L$6="D-E-F-I-N-A !!!!!!!",0,IF('DEFINA!!!'!$L$6="Opto por Idade Média",SEM!AW70,IF('DEFINA!!!'!$L$6="Opto pelo Valor aplicado ao  Ano de cada Carro",SEM!AX70,0))),IF(E70=FROTA!$AT$17,IF('DEFINA!!!'!$L$6="D-E-F-I-N-A !!!!!!!",0,IF('DEFINA!!!'!$L$6="Opto por Idade Média",SEM!AW70,IF('DEFINA!!!'!$L$6="Opto pelo Valor aplicado ao  Ano de cada Carro",SEM!AX70,0))),IF(E70=FROTA!$AT$16,IF('DEFINA!!!'!$L$6="D-E-F-I-N-A !!!!!!!",0,IF('DEFINA!!!'!$L$6="Opto por Idade Média",SEM!AW70,IF('DEFINA!!!'!$L$6="Opto pelo Valor aplicado ao  Ano de cada Carro",SEM!AX70,0))),IF('DEFINA!!!'!$L$6="D-E-F-I-N-A !!!!!!!",0,IF('DEFINA!!!'!$L$6="Opto por Idade Média",SEM!AU70,IF('DEFINA!!!'!$L$6="Opto pelo Valor aplicado ao  Ano de cada Carro",SEM!AV70,0)))))))</f>
        <v/>
      </c>
      <c r="AL70" s="6"/>
      <c r="AM70" s="79" t="str">
        <f t="shared" si="12"/>
        <v/>
      </c>
      <c r="AN70" s="12"/>
      <c r="AO70" s="12"/>
      <c r="AP70" s="14"/>
      <c r="AQ70" s="16"/>
      <c r="AR70" s="15"/>
      <c r="AU70" s="198" t="str">
        <f>IF(C70="","",VLOOKUP(FROTA!$AB$2,RECEBÍVEIS!$AA$11:$AB$43,2,0))</f>
        <v/>
      </c>
      <c r="AV70" s="198" t="str">
        <f>IF(C70="","",IF(C70=FROTA!Z70="","",VLOOKUP(FROTA!Z70,RECEBÍVEIS!$AA$11:$AB$43,2,0)))</f>
        <v/>
      </c>
      <c r="AW70" s="198" t="str">
        <f>IF(C70="","",VLOOKUP(FROTA!$AB$2,RECEBÍVEIS!$AA$11:$AC$43,3,0))</f>
        <v/>
      </c>
      <c r="AX70" s="198" t="str">
        <f>IF(C70="","",IF(C70=FROTA!Z70="","",VLOOKUP(FROTA!Z70,RECEBÍVEIS!$AA$11:$AC$43,3,0)))</f>
        <v/>
      </c>
    </row>
    <row r="71" spans="2:50" ht="17.25" customHeight="1" x14ac:dyDescent="0.2">
      <c r="B71" s="6"/>
      <c r="C71" s="49" t="str">
        <f>IF(FROTA!B71="","",FROTA!B71)</f>
        <v/>
      </c>
      <c r="D71" s="220" t="str">
        <f>IF(C71="","",VLOOKUP(SEM!C71,FROTA!$B$5:$C$305,2,0))</f>
        <v/>
      </c>
      <c r="E71" s="24" t="str">
        <f>IF(C71="","",VLOOKUP(C71,FROTA!$B$5:$H$305,7,0))</f>
        <v/>
      </c>
      <c r="F71" s="38" t="str">
        <f t="shared" ref="F71:F134" si="20">IF(E71="","",VLOOKUP(E71,$AP$5:$AQ$18,2,0))</f>
        <v/>
      </c>
      <c r="G71" s="71" t="str">
        <f t="shared" si="13"/>
        <v/>
      </c>
      <c r="H71" s="32" t="str">
        <f t="shared" ref="H71:J134" si="21">IF($C71="","",IF(SUM(H$307*$G71)&gt;$F71,$F71,SUM(H$307*$G71)))</f>
        <v/>
      </c>
      <c r="I71" s="73" t="str">
        <f t="shared" si="21"/>
        <v/>
      </c>
      <c r="J71" s="73" t="str">
        <f t="shared" si="21"/>
        <v/>
      </c>
      <c r="K71" s="73" t="str">
        <f t="shared" si="18"/>
        <v/>
      </c>
      <c r="L71" s="73" t="str">
        <f t="shared" si="18"/>
        <v/>
      </c>
      <c r="M71" s="73" t="str">
        <f t="shared" si="18"/>
        <v/>
      </c>
      <c r="N71" s="73" t="str">
        <f t="shared" si="17"/>
        <v/>
      </c>
      <c r="O71" s="73" t="str">
        <f t="shared" si="17"/>
        <v/>
      </c>
      <c r="P71" s="73" t="str">
        <f t="shared" si="17"/>
        <v/>
      </c>
      <c r="Q71" s="73" t="str">
        <f t="shared" si="17"/>
        <v/>
      </c>
      <c r="R71" s="73" t="str">
        <f t="shared" si="19"/>
        <v/>
      </c>
      <c r="S71" s="73" t="str">
        <f t="shared" si="19"/>
        <v/>
      </c>
      <c r="T71" s="73" t="str">
        <f t="shared" si="19"/>
        <v/>
      </c>
      <c r="U71" s="73" t="str">
        <f t="shared" si="19"/>
        <v/>
      </c>
      <c r="V71" s="73" t="str">
        <f t="shared" si="19"/>
        <v/>
      </c>
      <c r="W71" s="73" t="str">
        <f t="shared" si="19"/>
        <v/>
      </c>
      <c r="X71" s="73" t="str">
        <f t="shared" si="19"/>
        <v/>
      </c>
      <c r="Y71" s="73" t="str">
        <f t="shared" si="19"/>
        <v/>
      </c>
      <c r="Z71" s="73" t="str">
        <f t="shared" si="19"/>
        <v/>
      </c>
      <c r="AA71" s="73" t="str">
        <f t="shared" si="19"/>
        <v/>
      </c>
      <c r="AB71" s="74" t="str">
        <f t="shared" si="19"/>
        <v/>
      </c>
      <c r="AC71" s="35" t="str">
        <f t="shared" ref="AC71:AC134" si="22">IF(C71="","",SUM(H71:AB71)*AK71)</f>
        <v/>
      </c>
      <c r="AD71" s="40" t="str">
        <f t="shared" ref="AD71:AD134" si="23">IF(C71="","",SUM(H71:AB71))</f>
        <v/>
      </c>
      <c r="AE71" s="37" t="str">
        <f t="shared" ref="AE71:AE134" si="24">IF(C71="","",SUM(H71:R71)*AK71)</f>
        <v/>
      </c>
      <c r="AF71" s="40" t="str">
        <f t="shared" ref="AF71:AF134" si="25">IF(C71="","",SUM(H71:Q71))</f>
        <v/>
      </c>
      <c r="AG71" s="37" t="str">
        <f t="shared" ref="AG71:AG134" si="26">IF(C71="","",SUM(R71:AB71)*AK71)</f>
        <v/>
      </c>
      <c r="AH71" s="40" t="str">
        <f t="shared" ref="AH71:AH134" si="27">IF(C71="","",SUM(R71:AB71))</f>
        <v/>
      </c>
      <c r="AI71" s="37" t="str">
        <f t="shared" ref="AI71:AI134" si="28">IF(C71="","",SUM(J71:M71,T71:W71)*AK71)</f>
        <v/>
      </c>
      <c r="AJ71" s="40" t="str">
        <f t="shared" ref="AJ71:AJ134" si="29">IF(C71="","",SUM(J71:M71,T71:W71))</f>
        <v/>
      </c>
      <c r="AK71" s="204" t="str">
        <f>IF(C71="","",IF(E71=FROTA!$AT$18,IF('DEFINA!!!'!$L$6="D-E-F-I-N-A !!!!!!!",0,IF('DEFINA!!!'!$L$6="Opto por Idade Média",SEM!AW71,IF('DEFINA!!!'!$L$6="Opto pelo Valor aplicado ao  Ano de cada Carro",SEM!AX71,0))),IF(E71=FROTA!$AT$17,IF('DEFINA!!!'!$L$6="D-E-F-I-N-A !!!!!!!",0,IF('DEFINA!!!'!$L$6="Opto por Idade Média",SEM!AW71,IF('DEFINA!!!'!$L$6="Opto pelo Valor aplicado ao  Ano de cada Carro",SEM!AX71,0))),IF(E71=FROTA!$AT$16,IF('DEFINA!!!'!$L$6="D-E-F-I-N-A !!!!!!!",0,IF('DEFINA!!!'!$L$6="Opto por Idade Média",SEM!AW71,IF('DEFINA!!!'!$L$6="Opto pelo Valor aplicado ao  Ano de cada Carro",SEM!AX71,0))),IF('DEFINA!!!'!$L$6="D-E-F-I-N-A !!!!!!!",0,IF('DEFINA!!!'!$L$6="Opto por Idade Média",SEM!AU71,IF('DEFINA!!!'!$L$6="Opto pelo Valor aplicado ao  Ano de cada Carro",SEM!AV71,0)))))))</f>
        <v/>
      </c>
      <c r="AL71" s="6"/>
      <c r="AM71" s="79" t="str">
        <f t="shared" ref="AM71:AM134" si="30">IF(C71="","",SUM(H71:AB71))</f>
        <v/>
      </c>
      <c r="AN71" s="12"/>
      <c r="AO71" s="12"/>
      <c r="AP71" s="14"/>
      <c r="AQ71" s="16"/>
      <c r="AR71" s="15"/>
      <c r="AU71" s="198" t="str">
        <f>IF(C71="","",VLOOKUP(FROTA!$AB$2,RECEBÍVEIS!$AA$11:$AB$43,2,0))</f>
        <v/>
      </c>
      <c r="AV71" s="198" t="str">
        <f>IF(C71="","",IF(C71=FROTA!Z71="","",VLOOKUP(FROTA!Z71,RECEBÍVEIS!$AA$11:$AB$43,2,0)))</f>
        <v/>
      </c>
      <c r="AW71" s="198" t="str">
        <f>IF(C71="","",VLOOKUP(FROTA!$AB$2,RECEBÍVEIS!$AA$11:$AC$43,3,0))</f>
        <v/>
      </c>
      <c r="AX71" s="198" t="str">
        <f>IF(C71="","",IF(C71=FROTA!Z71="","",VLOOKUP(FROTA!Z71,RECEBÍVEIS!$AA$11:$AC$43,3,0)))</f>
        <v/>
      </c>
    </row>
    <row r="72" spans="2:50" ht="17.25" customHeight="1" x14ac:dyDescent="0.2">
      <c r="B72" s="6"/>
      <c r="C72" s="49" t="str">
        <f>IF(FROTA!B72="","",FROTA!B72)</f>
        <v/>
      </c>
      <c r="D72" s="220" t="str">
        <f>IF(C72="","",VLOOKUP(SEM!C72,FROTA!$B$5:$C$305,2,0))</f>
        <v/>
      </c>
      <c r="E72" s="24" t="str">
        <f>IF(C72="","",VLOOKUP(C72,FROTA!$B$5:$H$305,7,0))</f>
        <v/>
      </c>
      <c r="F72" s="38" t="str">
        <f t="shared" si="20"/>
        <v/>
      </c>
      <c r="G72" s="71" t="str">
        <f t="shared" si="13"/>
        <v/>
      </c>
      <c r="H72" s="32" t="str">
        <f t="shared" si="21"/>
        <v/>
      </c>
      <c r="I72" s="73" t="str">
        <f t="shared" si="21"/>
        <v/>
      </c>
      <c r="J72" s="73" t="str">
        <f t="shared" si="21"/>
        <v/>
      </c>
      <c r="K72" s="73" t="str">
        <f t="shared" si="18"/>
        <v/>
      </c>
      <c r="L72" s="73" t="str">
        <f t="shared" si="18"/>
        <v/>
      </c>
      <c r="M72" s="73" t="str">
        <f t="shared" si="18"/>
        <v/>
      </c>
      <c r="N72" s="73" t="str">
        <f t="shared" si="17"/>
        <v/>
      </c>
      <c r="O72" s="73" t="str">
        <f t="shared" si="17"/>
        <v/>
      </c>
      <c r="P72" s="73" t="str">
        <f t="shared" si="17"/>
        <v/>
      </c>
      <c r="Q72" s="73" t="str">
        <f t="shared" si="17"/>
        <v/>
      </c>
      <c r="R72" s="73" t="str">
        <f t="shared" si="19"/>
        <v/>
      </c>
      <c r="S72" s="73" t="str">
        <f t="shared" si="19"/>
        <v/>
      </c>
      <c r="T72" s="73" t="str">
        <f t="shared" si="19"/>
        <v/>
      </c>
      <c r="U72" s="73" t="str">
        <f t="shared" si="19"/>
        <v/>
      </c>
      <c r="V72" s="73" t="str">
        <f t="shared" si="19"/>
        <v/>
      </c>
      <c r="W72" s="73" t="str">
        <f t="shared" si="19"/>
        <v/>
      </c>
      <c r="X72" s="73" t="str">
        <f t="shared" si="19"/>
        <v/>
      </c>
      <c r="Y72" s="73" t="str">
        <f t="shared" si="19"/>
        <v/>
      </c>
      <c r="Z72" s="73" t="str">
        <f t="shared" si="19"/>
        <v/>
      </c>
      <c r="AA72" s="73" t="str">
        <f t="shared" si="19"/>
        <v/>
      </c>
      <c r="AB72" s="74" t="str">
        <f t="shared" si="19"/>
        <v/>
      </c>
      <c r="AC72" s="35" t="str">
        <f t="shared" si="22"/>
        <v/>
      </c>
      <c r="AD72" s="40" t="str">
        <f t="shared" si="23"/>
        <v/>
      </c>
      <c r="AE72" s="37" t="str">
        <f t="shared" si="24"/>
        <v/>
      </c>
      <c r="AF72" s="40" t="str">
        <f t="shared" si="25"/>
        <v/>
      </c>
      <c r="AG72" s="37" t="str">
        <f t="shared" si="26"/>
        <v/>
      </c>
      <c r="AH72" s="40" t="str">
        <f t="shared" si="27"/>
        <v/>
      </c>
      <c r="AI72" s="37" t="str">
        <f t="shared" si="28"/>
        <v/>
      </c>
      <c r="AJ72" s="40" t="str">
        <f t="shared" si="29"/>
        <v/>
      </c>
      <c r="AK72" s="204" t="str">
        <f>IF(C72="","",IF(E72=FROTA!$AT$18,IF('DEFINA!!!'!$L$6="D-E-F-I-N-A !!!!!!!",0,IF('DEFINA!!!'!$L$6="Opto por Idade Média",SEM!AW72,IF('DEFINA!!!'!$L$6="Opto pelo Valor aplicado ao  Ano de cada Carro",SEM!AX72,0))),IF(E72=FROTA!$AT$17,IF('DEFINA!!!'!$L$6="D-E-F-I-N-A !!!!!!!",0,IF('DEFINA!!!'!$L$6="Opto por Idade Média",SEM!AW72,IF('DEFINA!!!'!$L$6="Opto pelo Valor aplicado ao  Ano de cada Carro",SEM!AX72,0))),IF(E72=FROTA!$AT$16,IF('DEFINA!!!'!$L$6="D-E-F-I-N-A !!!!!!!",0,IF('DEFINA!!!'!$L$6="Opto por Idade Média",SEM!AW72,IF('DEFINA!!!'!$L$6="Opto pelo Valor aplicado ao  Ano de cada Carro",SEM!AX72,0))),IF('DEFINA!!!'!$L$6="D-E-F-I-N-A !!!!!!!",0,IF('DEFINA!!!'!$L$6="Opto por Idade Média",SEM!AU72,IF('DEFINA!!!'!$L$6="Opto pelo Valor aplicado ao  Ano de cada Carro",SEM!AV72,0)))))))</f>
        <v/>
      </c>
      <c r="AL72" s="6"/>
      <c r="AM72" s="79" t="str">
        <f t="shared" si="30"/>
        <v/>
      </c>
      <c r="AN72" s="12"/>
      <c r="AO72" s="12"/>
      <c r="AP72" s="14"/>
      <c r="AQ72" s="16"/>
      <c r="AR72" s="15"/>
      <c r="AU72" s="198" t="str">
        <f>IF(C72="","",VLOOKUP(FROTA!$AB$2,RECEBÍVEIS!$AA$11:$AB$43,2,0))</f>
        <v/>
      </c>
      <c r="AV72" s="198" t="str">
        <f>IF(C72="","",IF(C72=FROTA!Z72="","",VLOOKUP(FROTA!Z72,RECEBÍVEIS!$AA$11:$AB$43,2,0)))</f>
        <v/>
      </c>
      <c r="AW72" s="198" t="str">
        <f>IF(C72="","",VLOOKUP(FROTA!$AB$2,RECEBÍVEIS!$AA$11:$AC$43,3,0))</f>
        <v/>
      </c>
      <c r="AX72" s="198" t="str">
        <f>IF(C72="","",IF(C72=FROTA!Z72="","",VLOOKUP(FROTA!Z72,RECEBÍVEIS!$AA$11:$AC$43,3,0)))</f>
        <v/>
      </c>
    </row>
    <row r="73" spans="2:50" ht="17.25" customHeight="1" x14ac:dyDescent="0.2">
      <c r="B73" s="6"/>
      <c r="C73" s="49" t="str">
        <f>IF(FROTA!B73="","",FROTA!B73)</f>
        <v/>
      </c>
      <c r="D73" s="220" t="str">
        <f>IF(C73="","",VLOOKUP(SEM!C73,FROTA!$B$5:$C$305,2,0))</f>
        <v/>
      </c>
      <c r="E73" s="24" t="str">
        <f>IF(C73="","",VLOOKUP(C73,FROTA!$B$5:$H$305,7,0))</f>
        <v/>
      </c>
      <c r="F73" s="38" t="str">
        <f t="shared" si="20"/>
        <v/>
      </c>
      <c r="G73" s="71" t="str">
        <f t="shared" ref="G73:G136" si="31">IF(C73="","",F73/$F$307)</f>
        <v/>
      </c>
      <c r="H73" s="32" t="str">
        <f t="shared" si="21"/>
        <v/>
      </c>
      <c r="I73" s="73" t="str">
        <f t="shared" si="21"/>
        <v/>
      </c>
      <c r="J73" s="73" t="str">
        <f t="shared" si="21"/>
        <v/>
      </c>
      <c r="K73" s="73" t="str">
        <f t="shared" si="18"/>
        <v/>
      </c>
      <c r="L73" s="73" t="str">
        <f t="shared" si="18"/>
        <v/>
      </c>
      <c r="M73" s="73" t="str">
        <f t="shared" si="18"/>
        <v/>
      </c>
      <c r="N73" s="73" t="str">
        <f t="shared" si="17"/>
        <v/>
      </c>
      <c r="O73" s="73" t="str">
        <f t="shared" si="17"/>
        <v/>
      </c>
      <c r="P73" s="73" t="str">
        <f t="shared" si="17"/>
        <v/>
      </c>
      <c r="Q73" s="73" t="str">
        <f t="shared" si="17"/>
        <v/>
      </c>
      <c r="R73" s="73" t="str">
        <f t="shared" si="19"/>
        <v/>
      </c>
      <c r="S73" s="73" t="str">
        <f t="shared" si="19"/>
        <v/>
      </c>
      <c r="T73" s="73" t="str">
        <f t="shared" si="19"/>
        <v/>
      </c>
      <c r="U73" s="73" t="str">
        <f t="shared" si="19"/>
        <v/>
      </c>
      <c r="V73" s="73" t="str">
        <f t="shared" si="19"/>
        <v/>
      </c>
      <c r="W73" s="73" t="str">
        <f t="shared" si="19"/>
        <v/>
      </c>
      <c r="X73" s="73" t="str">
        <f t="shared" si="19"/>
        <v/>
      </c>
      <c r="Y73" s="73" t="str">
        <f t="shared" si="19"/>
        <v/>
      </c>
      <c r="Z73" s="73" t="str">
        <f t="shared" si="19"/>
        <v/>
      </c>
      <c r="AA73" s="73" t="str">
        <f t="shared" si="19"/>
        <v/>
      </c>
      <c r="AB73" s="74" t="str">
        <f t="shared" si="19"/>
        <v/>
      </c>
      <c r="AC73" s="35" t="str">
        <f t="shared" si="22"/>
        <v/>
      </c>
      <c r="AD73" s="40" t="str">
        <f t="shared" si="23"/>
        <v/>
      </c>
      <c r="AE73" s="37" t="str">
        <f t="shared" si="24"/>
        <v/>
      </c>
      <c r="AF73" s="40" t="str">
        <f t="shared" si="25"/>
        <v/>
      </c>
      <c r="AG73" s="37" t="str">
        <f t="shared" si="26"/>
        <v/>
      </c>
      <c r="AH73" s="40" t="str">
        <f t="shared" si="27"/>
        <v/>
      </c>
      <c r="AI73" s="37" t="str">
        <f t="shared" si="28"/>
        <v/>
      </c>
      <c r="AJ73" s="40" t="str">
        <f t="shared" si="29"/>
        <v/>
      </c>
      <c r="AK73" s="204" t="str">
        <f>IF(C73="","",IF(E73=FROTA!$AT$18,IF('DEFINA!!!'!$L$6="D-E-F-I-N-A !!!!!!!",0,IF('DEFINA!!!'!$L$6="Opto por Idade Média",SEM!AW73,IF('DEFINA!!!'!$L$6="Opto pelo Valor aplicado ao  Ano de cada Carro",SEM!AX73,0))),IF(E73=FROTA!$AT$17,IF('DEFINA!!!'!$L$6="D-E-F-I-N-A !!!!!!!",0,IF('DEFINA!!!'!$L$6="Opto por Idade Média",SEM!AW73,IF('DEFINA!!!'!$L$6="Opto pelo Valor aplicado ao  Ano de cada Carro",SEM!AX73,0))),IF(E73=FROTA!$AT$16,IF('DEFINA!!!'!$L$6="D-E-F-I-N-A !!!!!!!",0,IF('DEFINA!!!'!$L$6="Opto por Idade Média",SEM!AW73,IF('DEFINA!!!'!$L$6="Opto pelo Valor aplicado ao  Ano de cada Carro",SEM!AX73,0))),IF('DEFINA!!!'!$L$6="D-E-F-I-N-A !!!!!!!",0,IF('DEFINA!!!'!$L$6="Opto por Idade Média",SEM!AU73,IF('DEFINA!!!'!$L$6="Opto pelo Valor aplicado ao  Ano de cada Carro",SEM!AV73,0)))))))</f>
        <v/>
      </c>
      <c r="AL73" s="6"/>
      <c r="AM73" s="79" t="str">
        <f t="shared" si="30"/>
        <v/>
      </c>
      <c r="AN73" s="12"/>
      <c r="AO73" s="12"/>
      <c r="AP73" s="14"/>
      <c r="AQ73" s="16"/>
      <c r="AR73" s="15"/>
      <c r="AU73" s="198" t="str">
        <f>IF(C73="","",VLOOKUP(FROTA!$AB$2,RECEBÍVEIS!$AA$11:$AB$43,2,0))</f>
        <v/>
      </c>
      <c r="AV73" s="198" t="str">
        <f>IF(C73="","",IF(C73=FROTA!Z73="","",VLOOKUP(FROTA!Z73,RECEBÍVEIS!$AA$11:$AB$43,2,0)))</f>
        <v/>
      </c>
      <c r="AW73" s="198" t="str">
        <f>IF(C73="","",VLOOKUP(FROTA!$AB$2,RECEBÍVEIS!$AA$11:$AC$43,3,0))</f>
        <v/>
      </c>
      <c r="AX73" s="198" t="str">
        <f>IF(C73="","",IF(C73=FROTA!Z73="","",VLOOKUP(FROTA!Z73,RECEBÍVEIS!$AA$11:$AC$43,3,0)))</f>
        <v/>
      </c>
    </row>
    <row r="74" spans="2:50" ht="17.25" customHeight="1" x14ac:dyDescent="0.2">
      <c r="B74" s="6"/>
      <c r="C74" s="49" t="str">
        <f>IF(FROTA!B74="","",FROTA!B74)</f>
        <v/>
      </c>
      <c r="D74" s="220" t="str">
        <f>IF(C74="","",VLOOKUP(SEM!C74,FROTA!$B$5:$C$305,2,0))</f>
        <v/>
      </c>
      <c r="E74" s="24" t="str">
        <f>IF(C74="","",VLOOKUP(C74,FROTA!$B$5:$H$305,7,0))</f>
        <v/>
      </c>
      <c r="F74" s="38" t="str">
        <f t="shared" si="20"/>
        <v/>
      </c>
      <c r="G74" s="71" t="str">
        <f t="shared" si="31"/>
        <v/>
      </c>
      <c r="H74" s="32" t="str">
        <f t="shared" si="21"/>
        <v/>
      </c>
      <c r="I74" s="73" t="str">
        <f t="shared" si="21"/>
        <v/>
      </c>
      <c r="J74" s="73" t="str">
        <f t="shared" si="21"/>
        <v/>
      </c>
      <c r="K74" s="73" t="str">
        <f t="shared" si="18"/>
        <v/>
      </c>
      <c r="L74" s="73" t="str">
        <f t="shared" si="18"/>
        <v/>
      </c>
      <c r="M74" s="73" t="str">
        <f t="shared" si="18"/>
        <v/>
      </c>
      <c r="N74" s="73" t="str">
        <f t="shared" si="17"/>
        <v/>
      </c>
      <c r="O74" s="73" t="str">
        <f t="shared" si="17"/>
        <v/>
      </c>
      <c r="P74" s="73" t="str">
        <f t="shared" si="17"/>
        <v/>
      </c>
      <c r="Q74" s="73" t="str">
        <f t="shared" si="17"/>
        <v/>
      </c>
      <c r="R74" s="73" t="str">
        <f t="shared" si="19"/>
        <v/>
      </c>
      <c r="S74" s="73" t="str">
        <f t="shared" si="19"/>
        <v/>
      </c>
      <c r="T74" s="73" t="str">
        <f t="shared" si="19"/>
        <v/>
      </c>
      <c r="U74" s="73" t="str">
        <f t="shared" si="19"/>
        <v/>
      </c>
      <c r="V74" s="73" t="str">
        <f t="shared" si="19"/>
        <v/>
      </c>
      <c r="W74" s="73" t="str">
        <f t="shared" si="19"/>
        <v/>
      </c>
      <c r="X74" s="73" t="str">
        <f t="shared" si="19"/>
        <v/>
      </c>
      <c r="Y74" s="73" t="str">
        <f t="shared" si="19"/>
        <v/>
      </c>
      <c r="Z74" s="73" t="str">
        <f t="shared" si="19"/>
        <v/>
      </c>
      <c r="AA74" s="73" t="str">
        <f t="shared" si="19"/>
        <v/>
      </c>
      <c r="AB74" s="74" t="str">
        <f t="shared" si="19"/>
        <v/>
      </c>
      <c r="AC74" s="35" t="str">
        <f t="shared" si="22"/>
        <v/>
      </c>
      <c r="AD74" s="40" t="str">
        <f t="shared" si="23"/>
        <v/>
      </c>
      <c r="AE74" s="37" t="str">
        <f t="shared" si="24"/>
        <v/>
      </c>
      <c r="AF74" s="40" t="str">
        <f t="shared" si="25"/>
        <v/>
      </c>
      <c r="AG74" s="37" t="str">
        <f t="shared" si="26"/>
        <v/>
      </c>
      <c r="AH74" s="40" t="str">
        <f t="shared" si="27"/>
        <v/>
      </c>
      <c r="AI74" s="37" t="str">
        <f t="shared" si="28"/>
        <v/>
      </c>
      <c r="AJ74" s="40" t="str">
        <f t="shared" si="29"/>
        <v/>
      </c>
      <c r="AK74" s="204" t="str">
        <f>IF(C74="","",IF(E74=FROTA!$AT$18,IF('DEFINA!!!'!$L$6="D-E-F-I-N-A !!!!!!!",0,IF('DEFINA!!!'!$L$6="Opto por Idade Média",SEM!AW74,IF('DEFINA!!!'!$L$6="Opto pelo Valor aplicado ao  Ano de cada Carro",SEM!AX74,0))),IF(E74=FROTA!$AT$17,IF('DEFINA!!!'!$L$6="D-E-F-I-N-A !!!!!!!",0,IF('DEFINA!!!'!$L$6="Opto por Idade Média",SEM!AW74,IF('DEFINA!!!'!$L$6="Opto pelo Valor aplicado ao  Ano de cada Carro",SEM!AX74,0))),IF(E74=FROTA!$AT$16,IF('DEFINA!!!'!$L$6="D-E-F-I-N-A !!!!!!!",0,IF('DEFINA!!!'!$L$6="Opto por Idade Média",SEM!AW74,IF('DEFINA!!!'!$L$6="Opto pelo Valor aplicado ao  Ano de cada Carro",SEM!AX74,0))),IF('DEFINA!!!'!$L$6="D-E-F-I-N-A !!!!!!!",0,IF('DEFINA!!!'!$L$6="Opto por Idade Média",SEM!AU74,IF('DEFINA!!!'!$L$6="Opto pelo Valor aplicado ao  Ano de cada Carro",SEM!AV74,0)))))))</f>
        <v/>
      </c>
      <c r="AL74" s="6"/>
      <c r="AM74" s="79" t="str">
        <f t="shared" si="30"/>
        <v/>
      </c>
      <c r="AN74" s="12"/>
      <c r="AO74" s="12"/>
      <c r="AP74" s="14"/>
      <c r="AQ74" s="16"/>
      <c r="AR74" s="15"/>
      <c r="AU74" s="198" t="str">
        <f>IF(C74="","",VLOOKUP(FROTA!$AB$2,RECEBÍVEIS!$AA$11:$AB$43,2,0))</f>
        <v/>
      </c>
      <c r="AV74" s="198" t="str">
        <f>IF(C74="","",IF(C74=FROTA!Z74="","",VLOOKUP(FROTA!Z74,RECEBÍVEIS!$AA$11:$AB$43,2,0)))</f>
        <v/>
      </c>
      <c r="AW74" s="198" t="str">
        <f>IF(C74="","",VLOOKUP(FROTA!$AB$2,RECEBÍVEIS!$AA$11:$AC$43,3,0))</f>
        <v/>
      </c>
      <c r="AX74" s="198" t="str">
        <f>IF(C74="","",IF(C74=FROTA!Z74="","",VLOOKUP(FROTA!Z74,RECEBÍVEIS!$AA$11:$AC$43,3,0)))</f>
        <v/>
      </c>
    </row>
    <row r="75" spans="2:50" ht="17.25" customHeight="1" x14ac:dyDescent="0.2">
      <c r="B75" s="6"/>
      <c r="C75" s="49" t="str">
        <f>IF(FROTA!B75="","",FROTA!B75)</f>
        <v/>
      </c>
      <c r="D75" s="220" t="str">
        <f>IF(C75="","",VLOOKUP(SEM!C75,FROTA!$B$5:$C$305,2,0))</f>
        <v/>
      </c>
      <c r="E75" s="24" t="str">
        <f>IF(C75="","",VLOOKUP(C75,FROTA!$B$5:$H$305,7,0))</f>
        <v/>
      </c>
      <c r="F75" s="38" t="str">
        <f t="shared" si="20"/>
        <v/>
      </c>
      <c r="G75" s="71" t="str">
        <f t="shared" si="31"/>
        <v/>
      </c>
      <c r="H75" s="32" t="str">
        <f t="shared" si="21"/>
        <v/>
      </c>
      <c r="I75" s="73" t="str">
        <f t="shared" si="21"/>
        <v/>
      </c>
      <c r="J75" s="73" t="str">
        <f t="shared" si="21"/>
        <v/>
      </c>
      <c r="K75" s="73" t="str">
        <f t="shared" si="18"/>
        <v/>
      </c>
      <c r="L75" s="73" t="str">
        <f t="shared" si="18"/>
        <v/>
      </c>
      <c r="M75" s="73" t="str">
        <f t="shared" si="18"/>
        <v/>
      </c>
      <c r="N75" s="73" t="str">
        <f t="shared" si="17"/>
        <v/>
      </c>
      <c r="O75" s="73" t="str">
        <f t="shared" si="17"/>
        <v/>
      </c>
      <c r="P75" s="73" t="str">
        <f t="shared" si="17"/>
        <v/>
      </c>
      <c r="Q75" s="73" t="str">
        <f t="shared" si="17"/>
        <v/>
      </c>
      <c r="R75" s="73" t="str">
        <f t="shared" si="19"/>
        <v/>
      </c>
      <c r="S75" s="73" t="str">
        <f t="shared" si="19"/>
        <v/>
      </c>
      <c r="T75" s="73" t="str">
        <f t="shared" si="19"/>
        <v/>
      </c>
      <c r="U75" s="73" t="str">
        <f t="shared" si="19"/>
        <v/>
      </c>
      <c r="V75" s="73" t="str">
        <f t="shared" si="19"/>
        <v/>
      </c>
      <c r="W75" s="73" t="str">
        <f t="shared" si="19"/>
        <v/>
      </c>
      <c r="X75" s="73" t="str">
        <f t="shared" si="19"/>
        <v/>
      </c>
      <c r="Y75" s="73" t="str">
        <f t="shared" si="19"/>
        <v/>
      </c>
      <c r="Z75" s="73" t="str">
        <f t="shared" si="19"/>
        <v/>
      </c>
      <c r="AA75" s="73" t="str">
        <f t="shared" si="19"/>
        <v/>
      </c>
      <c r="AB75" s="74" t="str">
        <f t="shared" si="19"/>
        <v/>
      </c>
      <c r="AC75" s="35" t="str">
        <f t="shared" si="22"/>
        <v/>
      </c>
      <c r="AD75" s="40" t="str">
        <f t="shared" si="23"/>
        <v/>
      </c>
      <c r="AE75" s="37" t="str">
        <f t="shared" si="24"/>
        <v/>
      </c>
      <c r="AF75" s="40" t="str">
        <f t="shared" si="25"/>
        <v/>
      </c>
      <c r="AG75" s="37" t="str">
        <f t="shared" si="26"/>
        <v/>
      </c>
      <c r="AH75" s="40" t="str">
        <f t="shared" si="27"/>
        <v/>
      </c>
      <c r="AI75" s="37" t="str">
        <f t="shared" si="28"/>
        <v/>
      </c>
      <c r="AJ75" s="40" t="str">
        <f t="shared" si="29"/>
        <v/>
      </c>
      <c r="AK75" s="204" t="str">
        <f>IF(C75="","",IF(E75=FROTA!$AT$18,IF('DEFINA!!!'!$L$6="D-E-F-I-N-A !!!!!!!",0,IF('DEFINA!!!'!$L$6="Opto por Idade Média",SEM!AW75,IF('DEFINA!!!'!$L$6="Opto pelo Valor aplicado ao  Ano de cada Carro",SEM!AX75,0))),IF(E75=FROTA!$AT$17,IF('DEFINA!!!'!$L$6="D-E-F-I-N-A !!!!!!!",0,IF('DEFINA!!!'!$L$6="Opto por Idade Média",SEM!AW75,IF('DEFINA!!!'!$L$6="Opto pelo Valor aplicado ao  Ano de cada Carro",SEM!AX75,0))),IF(E75=FROTA!$AT$16,IF('DEFINA!!!'!$L$6="D-E-F-I-N-A !!!!!!!",0,IF('DEFINA!!!'!$L$6="Opto por Idade Média",SEM!AW75,IF('DEFINA!!!'!$L$6="Opto pelo Valor aplicado ao  Ano de cada Carro",SEM!AX75,0))),IF('DEFINA!!!'!$L$6="D-E-F-I-N-A !!!!!!!",0,IF('DEFINA!!!'!$L$6="Opto por Idade Média",SEM!AU75,IF('DEFINA!!!'!$L$6="Opto pelo Valor aplicado ao  Ano de cada Carro",SEM!AV75,0)))))))</f>
        <v/>
      </c>
      <c r="AL75" s="6"/>
      <c r="AM75" s="79" t="str">
        <f t="shared" si="30"/>
        <v/>
      </c>
      <c r="AN75" s="12"/>
      <c r="AO75" s="12"/>
      <c r="AP75" s="14"/>
      <c r="AQ75" s="16"/>
      <c r="AR75" s="15"/>
      <c r="AU75" s="198" t="str">
        <f>IF(C75="","",VLOOKUP(FROTA!$AB$2,RECEBÍVEIS!$AA$11:$AB$43,2,0))</f>
        <v/>
      </c>
      <c r="AV75" s="198" t="str">
        <f>IF(C75="","",IF(C75=FROTA!Z75="","",VLOOKUP(FROTA!Z75,RECEBÍVEIS!$AA$11:$AB$43,2,0)))</f>
        <v/>
      </c>
      <c r="AW75" s="198" t="str">
        <f>IF(C75="","",VLOOKUP(FROTA!$AB$2,RECEBÍVEIS!$AA$11:$AC$43,3,0))</f>
        <v/>
      </c>
      <c r="AX75" s="198" t="str">
        <f>IF(C75="","",IF(C75=FROTA!Z75="","",VLOOKUP(FROTA!Z75,RECEBÍVEIS!$AA$11:$AC$43,3,0)))</f>
        <v/>
      </c>
    </row>
    <row r="76" spans="2:50" ht="17.25" customHeight="1" x14ac:dyDescent="0.2">
      <c r="B76" s="6"/>
      <c r="C76" s="49" t="str">
        <f>IF(FROTA!B76="","",FROTA!B76)</f>
        <v/>
      </c>
      <c r="D76" s="220" t="str">
        <f>IF(C76="","",VLOOKUP(SEM!C76,FROTA!$B$5:$C$305,2,0))</f>
        <v/>
      </c>
      <c r="E76" s="24" t="str">
        <f>IF(C76="","",VLOOKUP(C76,FROTA!$B$5:$H$305,7,0))</f>
        <v/>
      </c>
      <c r="F76" s="38" t="str">
        <f t="shared" si="20"/>
        <v/>
      </c>
      <c r="G76" s="71" t="str">
        <f t="shared" si="31"/>
        <v/>
      </c>
      <c r="H76" s="32" t="str">
        <f t="shared" si="21"/>
        <v/>
      </c>
      <c r="I76" s="73" t="str">
        <f t="shared" si="21"/>
        <v/>
      </c>
      <c r="J76" s="73" t="str">
        <f t="shared" si="21"/>
        <v/>
      </c>
      <c r="K76" s="73" t="str">
        <f t="shared" si="18"/>
        <v/>
      </c>
      <c r="L76" s="73" t="str">
        <f t="shared" si="18"/>
        <v/>
      </c>
      <c r="M76" s="73" t="str">
        <f t="shared" si="18"/>
        <v/>
      </c>
      <c r="N76" s="73" t="str">
        <f t="shared" si="17"/>
        <v/>
      </c>
      <c r="O76" s="73" t="str">
        <f t="shared" si="17"/>
        <v/>
      </c>
      <c r="P76" s="73" t="str">
        <f t="shared" si="17"/>
        <v/>
      </c>
      <c r="Q76" s="73" t="str">
        <f t="shared" si="17"/>
        <v/>
      </c>
      <c r="R76" s="73" t="str">
        <f t="shared" si="19"/>
        <v/>
      </c>
      <c r="S76" s="73" t="str">
        <f t="shared" si="19"/>
        <v/>
      </c>
      <c r="T76" s="73" t="str">
        <f t="shared" si="19"/>
        <v/>
      </c>
      <c r="U76" s="73" t="str">
        <f t="shared" si="19"/>
        <v/>
      </c>
      <c r="V76" s="73" t="str">
        <f t="shared" si="19"/>
        <v/>
      </c>
      <c r="W76" s="73" t="str">
        <f t="shared" si="19"/>
        <v/>
      </c>
      <c r="X76" s="73" t="str">
        <f t="shared" si="19"/>
        <v/>
      </c>
      <c r="Y76" s="73" t="str">
        <f t="shared" si="19"/>
        <v/>
      </c>
      <c r="Z76" s="73" t="str">
        <f t="shared" si="19"/>
        <v/>
      </c>
      <c r="AA76" s="73" t="str">
        <f t="shared" si="19"/>
        <v/>
      </c>
      <c r="AB76" s="74" t="str">
        <f t="shared" si="19"/>
        <v/>
      </c>
      <c r="AC76" s="35" t="str">
        <f t="shared" si="22"/>
        <v/>
      </c>
      <c r="AD76" s="40" t="str">
        <f t="shared" si="23"/>
        <v/>
      </c>
      <c r="AE76" s="37" t="str">
        <f t="shared" si="24"/>
        <v/>
      </c>
      <c r="AF76" s="40" t="str">
        <f t="shared" si="25"/>
        <v/>
      </c>
      <c r="AG76" s="37" t="str">
        <f t="shared" si="26"/>
        <v/>
      </c>
      <c r="AH76" s="40" t="str">
        <f t="shared" si="27"/>
        <v/>
      </c>
      <c r="AI76" s="37" t="str">
        <f t="shared" si="28"/>
        <v/>
      </c>
      <c r="AJ76" s="40" t="str">
        <f t="shared" si="29"/>
        <v/>
      </c>
      <c r="AK76" s="204" t="str">
        <f>IF(C76="","",IF(E76=FROTA!$AT$18,IF('DEFINA!!!'!$L$6="D-E-F-I-N-A !!!!!!!",0,IF('DEFINA!!!'!$L$6="Opto por Idade Média",SEM!AW76,IF('DEFINA!!!'!$L$6="Opto pelo Valor aplicado ao  Ano de cada Carro",SEM!AX76,0))),IF(E76=FROTA!$AT$17,IF('DEFINA!!!'!$L$6="D-E-F-I-N-A !!!!!!!",0,IF('DEFINA!!!'!$L$6="Opto por Idade Média",SEM!AW76,IF('DEFINA!!!'!$L$6="Opto pelo Valor aplicado ao  Ano de cada Carro",SEM!AX76,0))),IF(E76=FROTA!$AT$16,IF('DEFINA!!!'!$L$6="D-E-F-I-N-A !!!!!!!",0,IF('DEFINA!!!'!$L$6="Opto por Idade Média",SEM!AW76,IF('DEFINA!!!'!$L$6="Opto pelo Valor aplicado ao  Ano de cada Carro",SEM!AX76,0))),IF('DEFINA!!!'!$L$6="D-E-F-I-N-A !!!!!!!",0,IF('DEFINA!!!'!$L$6="Opto por Idade Média",SEM!AU76,IF('DEFINA!!!'!$L$6="Opto pelo Valor aplicado ao  Ano de cada Carro",SEM!AV76,0)))))))</f>
        <v/>
      </c>
      <c r="AL76" s="6"/>
      <c r="AM76" s="79" t="str">
        <f t="shared" si="30"/>
        <v/>
      </c>
      <c r="AN76" s="12"/>
      <c r="AO76" s="12"/>
      <c r="AP76" s="14"/>
      <c r="AQ76" s="16"/>
      <c r="AR76" s="15"/>
      <c r="AU76" s="198" t="str">
        <f>IF(C76="","",VLOOKUP(FROTA!$AB$2,RECEBÍVEIS!$AA$11:$AB$43,2,0))</f>
        <v/>
      </c>
      <c r="AV76" s="198" t="str">
        <f>IF(C76="","",IF(C76=FROTA!Z76="","",VLOOKUP(FROTA!Z76,RECEBÍVEIS!$AA$11:$AB$43,2,0)))</f>
        <v/>
      </c>
      <c r="AW76" s="198" t="str">
        <f>IF(C76="","",VLOOKUP(FROTA!$AB$2,RECEBÍVEIS!$AA$11:$AC$43,3,0))</f>
        <v/>
      </c>
      <c r="AX76" s="198" t="str">
        <f>IF(C76="","",IF(C76=FROTA!Z76="","",VLOOKUP(FROTA!Z76,RECEBÍVEIS!$AA$11:$AC$43,3,0)))</f>
        <v/>
      </c>
    </row>
    <row r="77" spans="2:50" ht="17.25" customHeight="1" x14ac:dyDescent="0.2">
      <c r="B77" s="6"/>
      <c r="C77" s="49" t="str">
        <f>IF(FROTA!B77="","",FROTA!B77)</f>
        <v/>
      </c>
      <c r="D77" s="220" t="str">
        <f>IF(C77="","",VLOOKUP(SEM!C77,FROTA!$B$5:$C$305,2,0))</f>
        <v/>
      </c>
      <c r="E77" s="24" t="str">
        <f>IF(C77="","",VLOOKUP(C77,FROTA!$B$5:$H$305,7,0))</f>
        <v/>
      </c>
      <c r="F77" s="38" t="str">
        <f t="shared" si="20"/>
        <v/>
      </c>
      <c r="G77" s="71" t="str">
        <f t="shared" si="31"/>
        <v/>
      </c>
      <c r="H77" s="32" t="str">
        <f t="shared" si="21"/>
        <v/>
      </c>
      <c r="I77" s="73" t="str">
        <f t="shared" si="21"/>
        <v/>
      </c>
      <c r="J77" s="73" t="str">
        <f t="shared" si="21"/>
        <v/>
      </c>
      <c r="K77" s="73" t="str">
        <f t="shared" si="18"/>
        <v/>
      </c>
      <c r="L77" s="73" t="str">
        <f t="shared" si="18"/>
        <v/>
      </c>
      <c r="M77" s="73" t="str">
        <f t="shared" si="18"/>
        <v/>
      </c>
      <c r="N77" s="73" t="str">
        <f t="shared" si="17"/>
        <v/>
      </c>
      <c r="O77" s="73" t="str">
        <f t="shared" si="17"/>
        <v/>
      </c>
      <c r="P77" s="73" t="str">
        <f t="shared" si="17"/>
        <v/>
      </c>
      <c r="Q77" s="73" t="str">
        <f t="shared" si="17"/>
        <v/>
      </c>
      <c r="R77" s="73" t="str">
        <f t="shared" si="19"/>
        <v/>
      </c>
      <c r="S77" s="73" t="str">
        <f t="shared" si="19"/>
        <v/>
      </c>
      <c r="T77" s="73" t="str">
        <f t="shared" si="19"/>
        <v/>
      </c>
      <c r="U77" s="73" t="str">
        <f t="shared" si="19"/>
        <v/>
      </c>
      <c r="V77" s="73" t="str">
        <f t="shared" si="19"/>
        <v/>
      </c>
      <c r="W77" s="73" t="str">
        <f t="shared" si="19"/>
        <v/>
      </c>
      <c r="X77" s="73" t="str">
        <f t="shared" si="19"/>
        <v/>
      </c>
      <c r="Y77" s="73" t="str">
        <f t="shared" si="19"/>
        <v/>
      </c>
      <c r="Z77" s="73" t="str">
        <f t="shared" si="19"/>
        <v/>
      </c>
      <c r="AA77" s="73" t="str">
        <f t="shared" si="19"/>
        <v/>
      </c>
      <c r="AB77" s="74" t="str">
        <f t="shared" si="19"/>
        <v/>
      </c>
      <c r="AC77" s="35" t="str">
        <f t="shared" si="22"/>
        <v/>
      </c>
      <c r="AD77" s="40" t="str">
        <f t="shared" si="23"/>
        <v/>
      </c>
      <c r="AE77" s="37" t="str">
        <f t="shared" si="24"/>
        <v/>
      </c>
      <c r="AF77" s="40" t="str">
        <f t="shared" si="25"/>
        <v/>
      </c>
      <c r="AG77" s="37" t="str">
        <f t="shared" si="26"/>
        <v/>
      </c>
      <c r="AH77" s="40" t="str">
        <f t="shared" si="27"/>
        <v/>
      </c>
      <c r="AI77" s="37" t="str">
        <f t="shared" si="28"/>
        <v/>
      </c>
      <c r="AJ77" s="40" t="str">
        <f t="shared" si="29"/>
        <v/>
      </c>
      <c r="AK77" s="204" t="str">
        <f>IF(C77="","",IF(E77=FROTA!$AT$18,IF('DEFINA!!!'!$L$6="D-E-F-I-N-A !!!!!!!",0,IF('DEFINA!!!'!$L$6="Opto por Idade Média",SEM!AW77,IF('DEFINA!!!'!$L$6="Opto pelo Valor aplicado ao  Ano de cada Carro",SEM!AX77,0))),IF(E77=FROTA!$AT$17,IF('DEFINA!!!'!$L$6="D-E-F-I-N-A !!!!!!!",0,IF('DEFINA!!!'!$L$6="Opto por Idade Média",SEM!AW77,IF('DEFINA!!!'!$L$6="Opto pelo Valor aplicado ao  Ano de cada Carro",SEM!AX77,0))),IF(E77=FROTA!$AT$16,IF('DEFINA!!!'!$L$6="D-E-F-I-N-A !!!!!!!",0,IF('DEFINA!!!'!$L$6="Opto por Idade Média",SEM!AW77,IF('DEFINA!!!'!$L$6="Opto pelo Valor aplicado ao  Ano de cada Carro",SEM!AX77,0))),IF('DEFINA!!!'!$L$6="D-E-F-I-N-A !!!!!!!",0,IF('DEFINA!!!'!$L$6="Opto por Idade Média",SEM!AU77,IF('DEFINA!!!'!$L$6="Opto pelo Valor aplicado ao  Ano de cada Carro",SEM!AV77,0)))))))</f>
        <v/>
      </c>
      <c r="AL77" s="6"/>
      <c r="AM77" s="79" t="str">
        <f t="shared" si="30"/>
        <v/>
      </c>
      <c r="AN77" s="12"/>
      <c r="AO77" s="12"/>
      <c r="AP77" s="14"/>
      <c r="AQ77" s="16"/>
      <c r="AR77" s="15"/>
      <c r="AU77" s="198" t="str">
        <f>IF(C77="","",VLOOKUP(FROTA!$AB$2,RECEBÍVEIS!$AA$11:$AB$43,2,0))</f>
        <v/>
      </c>
      <c r="AV77" s="198" t="str">
        <f>IF(C77="","",IF(C77=FROTA!Z77="","",VLOOKUP(FROTA!Z77,RECEBÍVEIS!$AA$11:$AB$43,2,0)))</f>
        <v/>
      </c>
      <c r="AW77" s="198" t="str">
        <f>IF(C77="","",VLOOKUP(FROTA!$AB$2,RECEBÍVEIS!$AA$11:$AC$43,3,0))</f>
        <v/>
      </c>
      <c r="AX77" s="198" t="str">
        <f>IF(C77="","",IF(C77=FROTA!Z77="","",VLOOKUP(FROTA!Z77,RECEBÍVEIS!$AA$11:$AC$43,3,0)))</f>
        <v/>
      </c>
    </row>
    <row r="78" spans="2:50" ht="17.25" customHeight="1" x14ac:dyDescent="0.2">
      <c r="B78" s="6"/>
      <c r="C78" s="49" t="str">
        <f>IF(FROTA!B78="","",FROTA!B78)</f>
        <v/>
      </c>
      <c r="D78" s="220" t="str">
        <f>IF(C78="","",VLOOKUP(SEM!C78,FROTA!$B$5:$C$305,2,0))</f>
        <v/>
      </c>
      <c r="E78" s="24" t="str">
        <f>IF(C78="","",VLOOKUP(C78,FROTA!$B$5:$H$305,7,0))</f>
        <v/>
      </c>
      <c r="F78" s="38" t="str">
        <f t="shared" si="20"/>
        <v/>
      </c>
      <c r="G78" s="71" t="str">
        <f t="shared" si="31"/>
        <v/>
      </c>
      <c r="H78" s="32" t="str">
        <f t="shared" si="21"/>
        <v/>
      </c>
      <c r="I78" s="73" t="str">
        <f t="shared" si="21"/>
        <v/>
      </c>
      <c r="J78" s="73" t="str">
        <f t="shared" si="21"/>
        <v/>
      </c>
      <c r="K78" s="73" t="str">
        <f t="shared" si="18"/>
        <v/>
      </c>
      <c r="L78" s="73" t="str">
        <f t="shared" si="18"/>
        <v/>
      </c>
      <c r="M78" s="73" t="str">
        <f t="shared" si="18"/>
        <v/>
      </c>
      <c r="N78" s="73" t="str">
        <f t="shared" si="17"/>
        <v/>
      </c>
      <c r="O78" s="73" t="str">
        <f t="shared" si="17"/>
        <v/>
      </c>
      <c r="P78" s="73" t="str">
        <f t="shared" si="17"/>
        <v/>
      </c>
      <c r="Q78" s="73" t="str">
        <f t="shared" si="17"/>
        <v/>
      </c>
      <c r="R78" s="73" t="str">
        <f t="shared" si="19"/>
        <v/>
      </c>
      <c r="S78" s="73" t="str">
        <f t="shared" si="19"/>
        <v/>
      </c>
      <c r="T78" s="73" t="str">
        <f t="shared" si="19"/>
        <v/>
      </c>
      <c r="U78" s="73" t="str">
        <f t="shared" si="19"/>
        <v/>
      </c>
      <c r="V78" s="73" t="str">
        <f t="shared" si="19"/>
        <v/>
      </c>
      <c r="W78" s="73" t="str">
        <f t="shared" si="19"/>
        <v/>
      </c>
      <c r="X78" s="73" t="str">
        <f t="shared" si="19"/>
        <v/>
      </c>
      <c r="Y78" s="73" t="str">
        <f t="shared" si="19"/>
        <v/>
      </c>
      <c r="Z78" s="73" t="str">
        <f t="shared" si="19"/>
        <v/>
      </c>
      <c r="AA78" s="73" t="str">
        <f t="shared" si="19"/>
        <v/>
      </c>
      <c r="AB78" s="74" t="str">
        <f t="shared" si="19"/>
        <v/>
      </c>
      <c r="AC78" s="35" t="str">
        <f t="shared" si="22"/>
        <v/>
      </c>
      <c r="AD78" s="40" t="str">
        <f t="shared" si="23"/>
        <v/>
      </c>
      <c r="AE78" s="37" t="str">
        <f t="shared" si="24"/>
        <v/>
      </c>
      <c r="AF78" s="40" t="str">
        <f t="shared" si="25"/>
        <v/>
      </c>
      <c r="AG78" s="37" t="str">
        <f t="shared" si="26"/>
        <v/>
      </c>
      <c r="AH78" s="40" t="str">
        <f t="shared" si="27"/>
        <v/>
      </c>
      <c r="AI78" s="37" t="str">
        <f t="shared" si="28"/>
        <v/>
      </c>
      <c r="AJ78" s="40" t="str">
        <f t="shared" si="29"/>
        <v/>
      </c>
      <c r="AK78" s="204" t="str">
        <f>IF(C78="","",IF(E78=FROTA!$AT$18,IF('DEFINA!!!'!$L$6="D-E-F-I-N-A !!!!!!!",0,IF('DEFINA!!!'!$L$6="Opto por Idade Média",SEM!AW78,IF('DEFINA!!!'!$L$6="Opto pelo Valor aplicado ao  Ano de cada Carro",SEM!AX78,0))),IF(E78=FROTA!$AT$17,IF('DEFINA!!!'!$L$6="D-E-F-I-N-A !!!!!!!",0,IF('DEFINA!!!'!$L$6="Opto por Idade Média",SEM!AW78,IF('DEFINA!!!'!$L$6="Opto pelo Valor aplicado ao  Ano de cada Carro",SEM!AX78,0))),IF(E78=FROTA!$AT$16,IF('DEFINA!!!'!$L$6="D-E-F-I-N-A !!!!!!!",0,IF('DEFINA!!!'!$L$6="Opto por Idade Média",SEM!AW78,IF('DEFINA!!!'!$L$6="Opto pelo Valor aplicado ao  Ano de cada Carro",SEM!AX78,0))),IF('DEFINA!!!'!$L$6="D-E-F-I-N-A !!!!!!!",0,IF('DEFINA!!!'!$L$6="Opto por Idade Média",SEM!AU78,IF('DEFINA!!!'!$L$6="Opto pelo Valor aplicado ao  Ano de cada Carro",SEM!AV78,0)))))))</f>
        <v/>
      </c>
      <c r="AL78" s="6"/>
      <c r="AM78" s="79" t="str">
        <f t="shared" si="30"/>
        <v/>
      </c>
      <c r="AN78" s="12"/>
      <c r="AO78" s="12"/>
      <c r="AP78" s="14"/>
      <c r="AQ78" s="16"/>
      <c r="AR78" s="15"/>
      <c r="AU78" s="198" t="str">
        <f>IF(C78="","",VLOOKUP(FROTA!$AB$2,RECEBÍVEIS!$AA$11:$AB$43,2,0))</f>
        <v/>
      </c>
      <c r="AV78" s="198" t="str">
        <f>IF(C78="","",IF(C78=FROTA!Z78="","",VLOOKUP(FROTA!Z78,RECEBÍVEIS!$AA$11:$AB$43,2,0)))</f>
        <v/>
      </c>
      <c r="AW78" s="198" t="str">
        <f>IF(C78="","",VLOOKUP(FROTA!$AB$2,RECEBÍVEIS!$AA$11:$AC$43,3,0))</f>
        <v/>
      </c>
      <c r="AX78" s="198" t="str">
        <f>IF(C78="","",IF(C78=FROTA!Z78="","",VLOOKUP(FROTA!Z78,RECEBÍVEIS!$AA$11:$AC$43,3,0)))</f>
        <v/>
      </c>
    </row>
    <row r="79" spans="2:50" ht="17.25" customHeight="1" x14ac:dyDescent="0.2">
      <c r="B79" s="6"/>
      <c r="C79" s="49" t="str">
        <f>IF(FROTA!B79="","",FROTA!B79)</f>
        <v/>
      </c>
      <c r="D79" s="220" t="str">
        <f>IF(C79="","",VLOOKUP(SEM!C79,FROTA!$B$5:$C$305,2,0))</f>
        <v/>
      </c>
      <c r="E79" s="24" t="str">
        <f>IF(C79="","",VLOOKUP(C79,FROTA!$B$5:$H$305,7,0))</f>
        <v/>
      </c>
      <c r="F79" s="38" t="str">
        <f t="shared" si="20"/>
        <v/>
      </c>
      <c r="G79" s="71" t="str">
        <f t="shared" si="31"/>
        <v/>
      </c>
      <c r="H79" s="32" t="str">
        <f t="shared" si="21"/>
        <v/>
      </c>
      <c r="I79" s="73" t="str">
        <f t="shared" si="21"/>
        <v/>
      </c>
      <c r="J79" s="73" t="str">
        <f t="shared" si="21"/>
        <v/>
      </c>
      <c r="K79" s="73" t="str">
        <f t="shared" si="18"/>
        <v/>
      </c>
      <c r="L79" s="73" t="str">
        <f t="shared" si="18"/>
        <v/>
      </c>
      <c r="M79" s="73" t="str">
        <f t="shared" si="18"/>
        <v/>
      </c>
      <c r="N79" s="73" t="str">
        <f t="shared" si="17"/>
        <v/>
      </c>
      <c r="O79" s="73" t="str">
        <f t="shared" si="17"/>
        <v/>
      </c>
      <c r="P79" s="73" t="str">
        <f t="shared" si="17"/>
        <v/>
      </c>
      <c r="Q79" s="73" t="str">
        <f t="shared" si="17"/>
        <v/>
      </c>
      <c r="R79" s="73" t="str">
        <f t="shared" si="19"/>
        <v/>
      </c>
      <c r="S79" s="73" t="str">
        <f t="shared" si="19"/>
        <v/>
      </c>
      <c r="T79" s="73" t="str">
        <f t="shared" si="19"/>
        <v/>
      </c>
      <c r="U79" s="73" t="str">
        <f t="shared" si="19"/>
        <v/>
      </c>
      <c r="V79" s="73" t="str">
        <f t="shared" si="19"/>
        <v/>
      </c>
      <c r="W79" s="73" t="str">
        <f t="shared" si="19"/>
        <v/>
      </c>
      <c r="X79" s="73" t="str">
        <f t="shared" si="19"/>
        <v/>
      </c>
      <c r="Y79" s="73" t="str">
        <f t="shared" si="19"/>
        <v/>
      </c>
      <c r="Z79" s="73" t="str">
        <f t="shared" si="19"/>
        <v/>
      </c>
      <c r="AA79" s="73" t="str">
        <f t="shared" si="19"/>
        <v/>
      </c>
      <c r="AB79" s="74" t="str">
        <f t="shared" si="19"/>
        <v/>
      </c>
      <c r="AC79" s="35" t="str">
        <f t="shared" si="22"/>
        <v/>
      </c>
      <c r="AD79" s="40" t="str">
        <f t="shared" si="23"/>
        <v/>
      </c>
      <c r="AE79" s="37" t="str">
        <f t="shared" si="24"/>
        <v/>
      </c>
      <c r="AF79" s="40" t="str">
        <f t="shared" si="25"/>
        <v/>
      </c>
      <c r="AG79" s="37" t="str">
        <f t="shared" si="26"/>
        <v/>
      </c>
      <c r="AH79" s="40" t="str">
        <f t="shared" si="27"/>
        <v/>
      </c>
      <c r="AI79" s="37" t="str">
        <f t="shared" si="28"/>
        <v/>
      </c>
      <c r="AJ79" s="40" t="str">
        <f t="shared" si="29"/>
        <v/>
      </c>
      <c r="AK79" s="204" t="str">
        <f>IF(C79="","",IF(E79=FROTA!$AT$18,IF('DEFINA!!!'!$L$6="D-E-F-I-N-A !!!!!!!",0,IF('DEFINA!!!'!$L$6="Opto por Idade Média",SEM!AW79,IF('DEFINA!!!'!$L$6="Opto pelo Valor aplicado ao  Ano de cada Carro",SEM!AX79,0))),IF(E79=FROTA!$AT$17,IF('DEFINA!!!'!$L$6="D-E-F-I-N-A !!!!!!!",0,IF('DEFINA!!!'!$L$6="Opto por Idade Média",SEM!AW79,IF('DEFINA!!!'!$L$6="Opto pelo Valor aplicado ao  Ano de cada Carro",SEM!AX79,0))),IF(E79=FROTA!$AT$16,IF('DEFINA!!!'!$L$6="D-E-F-I-N-A !!!!!!!",0,IF('DEFINA!!!'!$L$6="Opto por Idade Média",SEM!AW79,IF('DEFINA!!!'!$L$6="Opto pelo Valor aplicado ao  Ano de cada Carro",SEM!AX79,0))),IF('DEFINA!!!'!$L$6="D-E-F-I-N-A !!!!!!!",0,IF('DEFINA!!!'!$L$6="Opto por Idade Média",SEM!AU79,IF('DEFINA!!!'!$L$6="Opto pelo Valor aplicado ao  Ano de cada Carro",SEM!AV79,0)))))))</f>
        <v/>
      </c>
      <c r="AL79" s="6"/>
      <c r="AM79" s="79" t="str">
        <f t="shared" si="30"/>
        <v/>
      </c>
      <c r="AN79" s="12"/>
      <c r="AO79" s="12"/>
      <c r="AP79" s="14"/>
      <c r="AQ79" s="16"/>
      <c r="AR79" s="15"/>
      <c r="AU79" s="198" t="str">
        <f>IF(C79="","",VLOOKUP(FROTA!$AB$2,RECEBÍVEIS!$AA$11:$AB$43,2,0))</f>
        <v/>
      </c>
      <c r="AV79" s="198" t="str">
        <f>IF(C79="","",IF(C79=FROTA!Z79="","",VLOOKUP(FROTA!Z79,RECEBÍVEIS!$AA$11:$AB$43,2,0)))</f>
        <v/>
      </c>
      <c r="AW79" s="198" t="str">
        <f>IF(C79="","",VLOOKUP(FROTA!$AB$2,RECEBÍVEIS!$AA$11:$AC$43,3,0))</f>
        <v/>
      </c>
      <c r="AX79" s="198" t="str">
        <f>IF(C79="","",IF(C79=FROTA!Z79="","",VLOOKUP(FROTA!Z79,RECEBÍVEIS!$AA$11:$AC$43,3,0)))</f>
        <v/>
      </c>
    </row>
    <row r="80" spans="2:50" ht="17.25" customHeight="1" x14ac:dyDescent="0.2">
      <c r="B80" s="6"/>
      <c r="C80" s="49" t="str">
        <f>IF(FROTA!B80="","",FROTA!B80)</f>
        <v/>
      </c>
      <c r="D80" s="220" t="str">
        <f>IF(C80="","",VLOOKUP(SEM!C80,FROTA!$B$5:$C$305,2,0))</f>
        <v/>
      </c>
      <c r="E80" s="24" t="str">
        <f>IF(C80="","",VLOOKUP(C80,FROTA!$B$5:$H$305,7,0))</f>
        <v/>
      </c>
      <c r="F80" s="38" t="str">
        <f t="shared" si="20"/>
        <v/>
      </c>
      <c r="G80" s="71" t="str">
        <f t="shared" si="31"/>
        <v/>
      </c>
      <c r="H80" s="32" t="str">
        <f t="shared" si="21"/>
        <v/>
      </c>
      <c r="I80" s="73" t="str">
        <f t="shared" si="21"/>
        <v/>
      </c>
      <c r="J80" s="73" t="str">
        <f t="shared" si="21"/>
        <v/>
      </c>
      <c r="K80" s="73" t="str">
        <f t="shared" si="18"/>
        <v/>
      </c>
      <c r="L80" s="73" t="str">
        <f t="shared" si="18"/>
        <v/>
      </c>
      <c r="M80" s="73" t="str">
        <f t="shared" si="18"/>
        <v/>
      </c>
      <c r="N80" s="73" t="str">
        <f t="shared" si="17"/>
        <v/>
      </c>
      <c r="O80" s="73" t="str">
        <f t="shared" si="17"/>
        <v/>
      </c>
      <c r="P80" s="73" t="str">
        <f t="shared" si="17"/>
        <v/>
      </c>
      <c r="Q80" s="73" t="str">
        <f t="shared" si="17"/>
        <v/>
      </c>
      <c r="R80" s="73" t="str">
        <f t="shared" si="19"/>
        <v/>
      </c>
      <c r="S80" s="73" t="str">
        <f t="shared" si="19"/>
        <v/>
      </c>
      <c r="T80" s="73" t="str">
        <f t="shared" si="19"/>
        <v/>
      </c>
      <c r="U80" s="73" t="str">
        <f t="shared" si="19"/>
        <v/>
      </c>
      <c r="V80" s="73" t="str">
        <f t="shared" si="19"/>
        <v/>
      </c>
      <c r="W80" s="73" t="str">
        <f t="shared" si="19"/>
        <v/>
      </c>
      <c r="X80" s="73" t="str">
        <f t="shared" si="19"/>
        <v/>
      </c>
      <c r="Y80" s="73" t="str">
        <f t="shared" si="19"/>
        <v/>
      </c>
      <c r="Z80" s="73" t="str">
        <f t="shared" si="19"/>
        <v/>
      </c>
      <c r="AA80" s="73" t="str">
        <f t="shared" si="19"/>
        <v/>
      </c>
      <c r="AB80" s="74" t="str">
        <f t="shared" si="19"/>
        <v/>
      </c>
      <c r="AC80" s="35" t="str">
        <f t="shared" si="22"/>
        <v/>
      </c>
      <c r="AD80" s="40" t="str">
        <f t="shared" si="23"/>
        <v/>
      </c>
      <c r="AE80" s="37" t="str">
        <f t="shared" si="24"/>
        <v/>
      </c>
      <c r="AF80" s="40" t="str">
        <f t="shared" si="25"/>
        <v/>
      </c>
      <c r="AG80" s="37" t="str">
        <f t="shared" si="26"/>
        <v/>
      </c>
      <c r="AH80" s="40" t="str">
        <f t="shared" si="27"/>
        <v/>
      </c>
      <c r="AI80" s="37" t="str">
        <f t="shared" si="28"/>
        <v/>
      </c>
      <c r="AJ80" s="40" t="str">
        <f t="shared" si="29"/>
        <v/>
      </c>
      <c r="AK80" s="204" t="str">
        <f>IF(C80="","",IF(E80=FROTA!$AT$18,IF('DEFINA!!!'!$L$6="D-E-F-I-N-A !!!!!!!",0,IF('DEFINA!!!'!$L$6="Opto por Idade Média",SEM!AW80,IF('DEFINA!!!'!$L$6="Opto pelo Valor aplicado ao  Ano de cada Carro",SEM!AX80,0))),IF(E80=FROTA!$AT$17,IF('DEFINA!!!'!$L$6="D-E-F-I-N-A !!!!!!!",0,IF('DEFINA!!!'!$L$6="Opto por Idade Média",SEM!AW80,IF('DEFINA!!!'!$L$6="Opto pelo Valor aplicado ao  Ano de cada Carro",SEM!AX80,0))),IF(E80=FROTA!$AT$16,IF('DEFINA!!!'!$L$6="D-E-F-I-N-A !!!!!!!",0,IF('DEFINA!!!'!$L$6="Opto por Idade Média",SEM!AW80,IF('DEFINA!!!'!$L$6="Opto pelo Valor aplicado ao  Ano de cada Carro",SEM!AX80,0))),IF('DEFINA!!!'!$L$6="D-E-F-I-N-A !!!!!!!",0,IF('DEFINA!!!'!$L$6="Opto por Idade Média",SEM!AU80,IF('DEFINA!!!'!$L$6="Opto pelo Valor aplicado ao  Ano de cada Carro",SEM!AV80,0)))))))</f>
        <v/>
      </c>
      <c r="AL80" s="6"/>
      <c r="AM80" s="79" t="str">
        <f t="shared" si="30"/>
        <v/>
      </c>
      <c r="AN80" s="12"/>
      <c r="AO80" s="12"/>
      <c r="AP80" s="14"/>
      <c r="AQ80" s="16"/>
      <c r="AR80" s="15"/>
      <c r="AU80" s="198" t="str">
        <f>IF(C80="","",VLOOKUP(FROTA!$AB$2,RECEBÍVEIS!$AA$11:$AB$43,2,0))</f>
        <v/>
      </c>
      <c r="AV80" s="198" t="str">
        <f>IF(C80="","",IF(C80=FROTA!Z80="","",VLOOKUP(FROTA!Z80,RECEBÍVEIS!$AA$11:$AB$43,2,0)))</f>
        <v/>
      </c>
      <c r="AW80" s="198" t="str">
        <f>IF(C80="","",VLOOKUP(FROTA!$AB$2,RECEBÍVEIS!$AA$11:$AC$43,3,0))</f>
        <v/>
      </c>
      <c r="AX80" s="198" t="str">
        <f>IF(C80="","",IF(C80=FROTA!Z80="","",VLOOKUP(FROTA!Z80,RECEBÍVEIS!$AA$11:$AC$43,3,0)))</f>
        <v/>
      </c>
    </row>
    <row r="81" spans="2:50" ht="17.25" customHeight="1" x14ac:dyDescent="0.2">
      <c r="B81" s="6"/>
      <c r="C81" s="49" t="str">
        <f>IF(FROTA!B81="","",FROTA!B81)</f>
        <v/>
      </c>
      <c r="D81" s="220" t="str">
        <f>IF(C81="","",VLOOKUP(SEM!C81,FROTA!$B$5:$C$305,2,0))</f>
        <v/>
      </c>
      <c r="E81" s="24" t="str">
        <f>IF(C81="","",VLOOKUP(C81,FROTA!$B$5:$H$305,7,0))</f>
        <v/>
      </c>
      <c r="F81" s="38" t="str">
        <f t="shared" si="20"/>
        <v/>
      </c>
      <c r="G81" s="71" t="str">
        <f t="shared" si="31"/>
        <v/>
      </c>
      <c r="H81" s="32" t="str">
        <f t="shared" si="21"/>
        <v/>
      </c>
      <c r="I81" s="73" t="str">
        <f t="shared" si="21"/>
        <v/>
      </c>
      <c r="J81" s="73" t="str">
        <f t="shared" si="21"/>
        <v/>
      </c>
      <c r="K81" s="73" t="str">
        <f t="shared" si="18"/>
        <v/>
      </c>
      <c r="L81" s="73" t="str">
        <f t="shared" si="18"/>
        <v/>
      </c>
      <c r="M81" s="73" t="str">
        <f t="shared" si="18"/>
        <v/>
      </c>
      <c r="N81" s="73" t="str">
        <f t="shared" si="17"/>
        <v/>
      </c>
      <c r="O81" s="73" t="str">
        <f t="shared" si="17"/>
        <v/>
      </c>
      <c r="P81" s="73" t="str">
        <f t="shared" si="17"/>
        <v/>
      </c>
      <c r="Q81" s="73" t="str">
        <f t="shared" si="17"/>
        <v/>
      </c>
      <c r="R81" s="73" t="str">
        <f t="shared" si="19"/>
        <v/>
      </c>
      <c r="S81" s="73" t="str">
        <f t="shared" si="19"/>
        <v/>
      </c>
      <c r="T81" s="73" t="str">
        <f t="shared" si="19"/>
        <v/>
      </c>
      <c r="U81" s="73" t="str">
        <f t="shared" si="19"/>
        <v/>
      </c>
      <c r="V81" s="73" t="str">
        <f t="shared" si="19"/>
        <v/>
      </c>
      <c r="W81" s="73" t="str">
        <f t="shared" si="19"/>
        <v/>
      </c>
      <c r="X81" s="73" t="str">
        <f t="shared" si="19"/>
        <v/>
      </c>
      <c r="Y81" s="73" t="str">
        <f t="shared" si="19"/>
        <v/>
      </c>
      <c r="Z81" s="73" t="str">
        <f t="shared" si="19"/>
        <v/>
      </c>
      <c r="AA81" s="73" t="str">
        <f t="shared" si="19"/>
        <v/>
      </c>
      <c r="AB81" s="74" t="str">
        <f t="shared" si="19"/>
        <v/>
      </c>
      <c r="AC81" s="35" t="str">
        <f t="shared" si="22"/>
        <v/>
      </c>
      <c r="AD81" s="40" t="str">
        <f t="shared" si="23"/>
        <v/>
      </c>
      <c r="AE81" s="37" t="str">
        <f t="shared" si="24"/>
        <v/>
      </c>
      <c r="AF81" s="40" t="str">
        <f t="shared" si="25"/>
        <v/>
      </c>
      <c r="AG81" s="37" t="str">
        <f t="shared" si="26"/>
        <v/>
      </c>
      <c r="AH81" s="40" t="str">
        <f t="shared" si="27"/>
        <v/>
      </c>
      <c r="AI81" s="37" t="str">
        <f t="shared" si="28"/>
        <v/>
      </c>
      <c r="AJ81" s="40" t="str">
        <f t="shared" si="29"/>
        <v/>
      </c>
      <c r="AK81" s="204" t="str">
        <f>IF(C81="","",IF(E81=FROTA!$AT$18,IF('DEFINA!!!'!$L$6="D-E-F-I-N-A !!!!!!!",0,IF('DEFINA!!!'!$L$6="Opto por Idade Média",SEM!AW81,IF('DEFINA!!!'!$L$6="Opto pelo Valor aplicado ao  Ano de cada Carro",SEM!AX81,0))),IF(E81=FROTA!$AT$17,IF('DEFINA!!!'!$L$6="D-E-F-I-N-A !!!!!!!",0,IF('DEFINA!!!'!$L$6="Opto por Idade Média",SEM!AW81,IF('DEFINA!!!'!$L$6="Opto pelo Valor aplicado ao  Ano de cada Carro",SEM!AX81,0))),IF(E81=FROTA!$AT$16,IF('DEFINA!!!'!$L$6="D-E-F-I-N-A !!!!!!!",0,IF('DEFINA!!!'!$L$6="Opto por Idade Média",SEM!AW81,IF('DEFINA!!!'!$L$6="Opto pelo Valor aplicado ao  Ano de cada Carro",SEM!AX81,0))),IF('DEFINA!!!'!$L$6="D-E-F-I-N-A !!!!!!!",0,IF('DEFINA!!!'!$L$6="Opto por Idade Média",SEM!AU81,IF('DEFINA!!!'!$L$6="Opto pelo Valor aplicado ao  Ano de cada Carro",SEM!AV81,0)))))))</f>
        <v/>
      </c>
      <c r="AL81" s="6"/>
      <c r="AM81" s="79" t="str">
        <f t="shared" si="30"/>
        <v/>
      </c>
      <c r="AN81" s="12"/>
      <c r="AO81" s="12"/>
      <c r="AP81" s="14"/>
      <c r="AQ81" s="16"/>
      <c r="AR81" s="15"/>
      <c r="AU81" s="198" t="str">
        <f>IF(C81="","",VLOOKUP(FROTA!$AB$2,RECEBÍVEIS!$AA$11:$AB$43,2,0))</f>
        <v/>
      </c>
      <c r="AV81" s="198" t="str">
        <f>IF(C81="","",IF(C81=FROTA!Z81="","",VLOOKUP(FROTA!Z81,RECEBÍVEIS!$AA$11:$AB$43,2,0)))</f>
        <v/>
      </c>
      <c r="AW81" s="198" t="str">
        <f>IF(C81="","",VLOOKUP(FROTA!$AB$2,RECEBÍVEIS!$AA$11:$AC$43,3,0))</f>
        <v/>
      </c>
      <c r="AX81" s="198" t="str">
        <f>IF(C81="","",IF(C81=FROTA!Z81="","",VLOOKUP(FROTA!Z81,RECEBÍVEIS!$AA$11:$AC$43,3,0)))</f>
        <v/>
      </c>
    </row>
    <row r="82" spans="2:50" ht="17.25" customHeight="1" x14ac:dyDescent="0.2">
      <c r="B82" s="6"/>
      <c r="C82" s="49" t="str">
        <f>IF(FROTA!B82="","",FROTA!B82)</f>
        <v/>
      </c>
      <c r="D82" s="220" t="str">
        <f>IF(C82="","",VLOOKUP(SEM!C82,FROTA!$B$5:$C$305,2,0))</f>
        <v/>
      </c>
      <c r="E82" s="24" t="str">
        <f>IF(C82="","",VLOOKUP(C82,FROTA!$B$5:$H$305,7,0))</f>
        <v/>
      </c>
      <c r="F82" s="38" t="str">
        <f t="shared" si="20"/>
        <v/>
      </c>
      <c r="G82" s="71" t="str">
        <f t="shared" si="31"/>
        <v/>
      </c>
      <c r="H82" s="32" t="str">
        <f t="shared" si="21"/>
        <v/>
      </c>
      <c r="I82" s="73" t="str">
        <f t="shared" si="21"/>
        <v/>
      </c>
      <c r="J82" s="73" t="str">
        <f t="shared" si="21"/>
        <v/>
      </c>
      <c r="K82" s="73" t="str">
        <f t="shared" si="18"/>
        <v/>
      </c>
      <c r="L82" s="73" t="str">
        <f t="shared" si="18"/>
        <v/>
      </c>
      <c r="M82" s="73" t="str">
        <f t="shared" si="18"/>
        <v/>
      </c>
      <c r="N82" s="73" t="str">
        <f t="shared" si="17"/>
        <v/>
      </c>
      <c r="O82" s="73" t="str">
        <f t="shared" si="17"/>
        <v/>
      </c>
      <c r="P82" s="73" t="str">
        <f t="shared" si="17"/>
        <v/>
      </c>
      <c r="Q82" s="73" t="str">
        <f t="shared" si="17"/>
        <v/>
      </c>
      <c r="R82" s="73" t="str">
        <f t="shared" si="19"/>
        <v/>
      </c>
      <c r="S82" s="73" t="str">
        <f t="shared" si="19"/>
        <v/>
      </c>
      <c r="T82" s="73" t="str">
        <f t="shared" si="19"/>
        <v/>
      </c>
      <c r="U82" s="73" t="str">
        <f t="shared" si="19"/>
        <v/>
      </c>
      <c r="V82" s="73" t="str">
        <f t="shared" si="19"/>
        <v/>
      </c>
      <c r="W82" s="73" t="str">
        <f t="shared" si="19"/>
        <v/>
      </c>
      <c r="X82" s="73" t="str">
        <f t="shared" si="19"/>
        <v/>
      </c>
      <c r="Y82" s="73" t="str">
        <f t="shared" si="19"/>
        <v/>
      </c>
      <c r="Z82" s="73" t="str">
        <f t="shared" si="19"/>
        <v/>
      </c>
      <c r="AA82" s="73" t="str">
        <f t="shared" si="19"/>
        <v/>
      </c>
      <c r="AB82" s="74" t="str">
        <f t="shared" si="19"/>
        <v/>
      </c>
      <c r="AC82" s="35" t="str">
        <f t="shared" si="22"/>
        <v/>
      </c>
      <c r="AD82" s="40" t="str">
        <f t="shared" si="23"/>
        <v/>
      </c>
      <c r="AE82" s="37" t="str">
        <f t="shared" si="24"/>
        <v/>
      </c>
      <c r="AF82" s="40" t="str">
        <f t="shared" si="25"/>
        <v/>
      </c>
      <c r="AG82" s="37" t="str">
        <f t="shared" si="26"/>
        <v/>
      </c>
      <c r="AH82" s="40" t="str">
        <f t="shared" si="27"/>
        <v/>
      </c>
      <c r="AI82" s="37" t="str">
        <f t="shared" si="28"/>
        <v/>
      </c>
      <c r="AJ82" s="40" t="str">
        <f t="shared" si="29"/>
        <v/>
      </c>
      <c r="AK82" s="204" t="str">
        <f>IF(C82="","",IF(E82=FROTA!$AT$18,IF('DEFINA!!!'!$L$6="D-E-F-I-N-A !!!!!!!",0,IF('DEFINA!!!'!$L$6="Opto por Idade Média",SEM!AW82,IF('DEFINA!!!'!$L$6="Opto pelo Valor aplicado ao  Ano de cada Carro",SEM!AX82,0))),IF(E82=FROTA!$AT$17,IF('DEFINA!!!'!$L$6="D-E-F-I-N-A !!!!!!!",0,IF('DEFINA!!!'!$L$6="Opto por Idade Média",SEM!AW82,IF('DEFINA!!!'!$L$6="Opto pelo Valor aplicado ao  Ano de cada Carro",SEM!AX82,0))),IF(E82=FROTA!$AT$16,IF('DEFINA!!!'!$L$6="D-E-F-I-N-A !!!!!!!",0,IF('DEFINA!!!'!$L$6="Opto por Idade Média",SEM!AW82,IF('DEFINA!!!'!$L$6="Opto pelo Valor aplicado ao  Ano de cada Carro",SEM!AX82,0))),IF('DEFINA!!!'!$L$6="D-E-F-I-N-A !!!!!!!",0,IF('DEFINA!!!'!$L$6="Opto por Idade Média",SEM!AU82,IF('DEFINA!!!'!$L$6="Opto pelo Valor aplicado ao  Ano de cada Carro",SEM!AV82,0)))))))</f>
        <v/>
      </c>
      <c r="AL82" s="6"/>
      <c r="AM82" s="79" t="str">
        <f t="shared" si="30"/>
        <v/>
      </c>
      <c r="AN82" s="12"/>
      <c r="AO82" s="12"/>
      <c r="AP82" s="14"/>
      <c r="AQ82" s="16"/>
      <c r="AR82" s="15"/>
      <c r="AU82" s="198" t="str">
        <f>IF(C82="","",VLOOKUP(FROTA!$AB$2,RECEBÍVEIS!$AA$11:$AB$43,2,0))</f>
        <v/>
      </c>
      <c r="AV82" s="198" t="str">
        <f>IF(C82="","",IF(C82=FROTA!Z82="","",VLOOKUP(FROTA!Z82,RECEBÍVEIS!$AA$11:$AB$43,2,0)))</f>
        <v/>
      </c>
      <c r="AW82" s="198" t="str">
        <f>IF(C82="","",VLOOKUP(FROTA!$AB$2,RECEBÍVEIS!$AA$11:$AC$43,3,0))</f>
        <v/>
      </c>
      <c r="AX82" s="198" t="str">
        <f>IF(C82="","",IF(C82=FROTA!Z82="","",VLOOKUP(FROTA!Z82,RECEBÍVEIS!$AA$11:$AC$43,3,0)))</f>
        <v/>
      </c>
    </row>
    <row r="83" spans="2:50" ht="17.25" customHeight="1" x14ac:dyDescent="0.2">
      <c r="B83" s="6"/>
      <c r="C83" s="49" t="str">
        <f>IF(FROTA!B83="","",FROTA!B83)</f>
        <v/>
      </c>
      <c r="D83" s="220" t="str">
        <f>IF(C83="","",VLOOKUP(SEM!C83,FROTA!$B$5:$C$305,2,0))</f>
        <v/>
      </c>
      <c r="E83" s="24" t="str">
        <f>IF(C83="","",VLOOKUP(C83,FROTA!$B$5:$H$305,7,0))</f>
        <v/>
      </c>
      <c r="F83" s="38" t="str">
        <f t="shared" si="20"/>
        <v/>
      </c>
      <c r="G83" s="71" t="str">
        <f t="shared" si="31"/>
        <v/>
      </c>
      <c r="H83" s="32" t="str">
        <f t="shared" si="21"/>
        <v/>
      </c>
      <c r="I83" s="73" t="str">
        <f t="shared" si="21"/>
        <v/>
      </c>
      <c r="J83" s="73" t="str">
        <f t="shared" si="21"/>
        <v/>
      </c>
      <c r="K83" s="73" t="str">
        <f t="shared" si="18"/>
        <v/>
      </c>
      <c r="L83" s="73" t="str">
        <f t="shared" si="18"/>
        <v/>
      </c>
      <c r="M83" s="73" t="str">
        <f t="shared" si="18"/>
        <v/>
      </c>
      <c r="N83" s="73" t="str">
        <f t="shared" si="17"/>
        <v/>
      </c>
      <c r="O83" s="73" t="str">
        <f t="shared" si="17"/>
        <v/>
      </c>
      <c r="P83" s="73" t="str">
        <f t="shared" si="17"/>
        <v/>
      </c>
      <c r="Q83" s="73" t="str">
        <f t="shared" si="17"/>
        <v/>
      </c>
      <c r="R83" s="73" t="str">
        <f t="shared" si="19"/>
        <v/>
      </c>
      <c r="S83" s="73" t="str">
        <f t="shared" si="19"/>
        <v/>
      </c>
      <c r="T83" s="73" t="str">
        <f t="shared" si="19"/>
        <v/>
      </c>
      <c r="U83" s="73" t="str">
        <f t="shared" si="19"/>
        <v/>
      </c>
      <c r="V83" s="73" t="str">
        <f t="shared" si="19"/>
        <v/>
      </c>
      <c r="W83" s="73" t="str">
        <f t="shared" si="19"/>
        <v/>
      </c>
      <c r="X83" s="73" t="str">
        <f t="shared" si="19"/>
        <v/>
      </c>
      <c r="Y83" s="73" t="str">
        <f t="shared" si="19"/>
        <v/>
      </c>
      <c r="Z83" s="73" t="str">
        <f t="shared" si="19"/>
        <v/>
      </c>
      <c r="AA83" s="73" t="str">
        <f t="shared" si="19"/>
        <v/>
      </c>
      <c r="AB83" s="74" t="str">
        <f t="shared" si="19"/>
        <v/>
      </c>
      <c r="AC83" s="35" t="str">
        <f t="shared" si="22"/>
        <v/>
      </c>
      <c r="AD83" s="40" t="str">
        <f t="shared" si="23"/>
        <v/>
      </c>
      <c r="AE83" s="37" t="str">
        <f t="shared" si="24"/>
        <v/>
      </c>
      <c r="AF83" s="40" t="str">
        <f t="shared" si="25"/>
        <v/>
      </c>
      <c r="AG83" s="37" t="str">
        <f t="shared" si="26"/>
        <v/>
      </c>
      <c r="AH83" s="40" t="str">
        <f t="shared" si="27"/>
        <v/>
      </c>
      <c r="AI83" s="37" t="str">
        <f t="shared" si="28"/>
        <v/>
      </c>
      <c r="AJ83" s="40" t="str">
        <f t="shared" si="29"/>
        <v/>
      </c>
      <c r="AK83" s="204" t="str">
        <f>IF(C83="","",IF(E83=FROTA!$AT$18,IF('DEFINA!!!'!$L$6="D-E-F-I-N-A !!!!!!!",0,IF('DEFINA!!!'!$L$6="Opto por Idade Média",SEM!AW83,IF('DEFINA!!!'!$L$6="Opto pelo Valor aplicado ao  Ano de cada Carro",SEM!AX83,0))),IF(E83=FROTA!$AT$17,IF('DEFINA!!!'!$L$6="D-E-F-I-N-A !!!!!!!",0,IF('DEFINA!!!'!$L$6="Opto por Idade Média",SEM!AW83,IF('DEFINA!!!'!$L$6="Opto pelo Valor aplicado ao  Ano de cada Carro",SEM!AX83,0))),IF(E83=FROTA!$AT$16,IF('DEFINA!!!'!$L$6="D-E-F-I-N-A !!!!!!!",0,IF('DEFINA!!!'!$L$6="Opto por Idade Média",SEM!AW83,IF('DEFINA!!!'!$L$6="Opto pelo Valor aplicado ao  Ano de cada Carro",SEM!AX83,0))),IF('DEFINA!!!'!$L$6="D-E-F-I-N-A !!!!!!!",0,IF('DEFINA!!!'!$L$6="Opto por Idade Média",SEM!AU83,IF('DEFINA!!!'!$L$6="Opto pelo Valor aplicado ao  Ano de cada Carro",SEM!AV83,0)))))))</f>
        <v/>
      </c>
      <c r="AL83" s="6"/>
      <c r="AM83" s="79" t="str">
        <f t="shared" si="30"/>
        <v/>
      </c>
      <c r="AN83" s="12"/>
      <c r="AO83" s="12"/>
      <c r="AP83" s="14"/>
      <c r="AQ83" s="16"/>
      <c r="AR83" s="15"/>
      <c r="AU83" s="198" t="str">
        <f>IF(C83="","",VLOOKUP(FROTA!$AB$2,RECEBÍVEIS!$AA$11:$AB$43,2,0))</f>
        <v/>
      </c>
      <c r="AV83" s="198" t="str">
        <f>IF(C83="","",IF(C83=FROTA!Z83="","",VLOOKUP(FROTA!Z83,RECEBÍVEIS!$AA$11:$AB$43,2,0)))</f>
        <v/>
      </c>
      <c r="AW83" s="198" t="str">
        <f>IF(C83="","",VLOOKUP(FROTA!$AB$2,RECEBÍVEIS!$AA$11:$AC$43,3,0))</f>
        <v/>
      </c>
      <c r="AX83" s="198" t="str">
        <f>IF(C83="","",IF(C83=FROTA!Z83="","",VLOOKUP(FROTA!Z83,RECEBÍVEIS!$AA$11:$AC$43,3,0)))</f>
        <v/>
      </c>
    </row>
    <row r="84" spans="2:50" ht="17.25" customHeight="1" x14ac:dyDescent="0.2">
      <c r="B84" s="6"/>
      <c r="C84" s="49" t="str">
        <f>IF(FROTA!B84="","",FROTA!B84)</f>
        <v/>
      </c>
      <c r="D84" s="220" t="str">
        <f>IF(C84="","",VLOOKUP(SEM!C84,FROTA!$B$5:$C$305,2,0))</f>
        <v/>
      </c>
      <c r="E84" s="24" t="str">
        <f>IF(C84="","",VLOOKUP(C84,FROTA!$B$5:$H$305,7,0))</f>
        <v/>
      </c>
      <c r="F84" s="38" t="str">
        <f t="shared" si="20"/>
        <v/>
      </c>
      <c r="G84" s="71" t="str">
        <f t="shared" si="31"/>
        <v/>
      </c>
      <c r="H84" s="32" t="str">
        <f t="shared" si="21"/>
        <v/>
      </c>
      <c r="I84" s="73" t="str">
        <f t="shared" si="21"/>
        <v/>
      </c>
      <c r="J84" s="73" t="str">
        <f t="shared" si="21"/>
        <v/>
      </c>
      <c r="K84" s="73" t="str">
        <f t="shared" si="18"/>
        <v/>
      </c>
      <c r="L84" s="73" t="str">
        <f t="shared" si="18"/>
        <v/>
      </c>
      <c r="M84" s="73" t="str">
        <f t="shared" si="18"/>
        <v/>
      </c>
      <c r="N84" s="73" t="str">
        <f t="shared" si="17"/>
        <v/>
      </c>
      <c r="O84" s="73" t="str">
        <f t="shared" si="17"/>
        <v/>
      </c>
      <c r="P84" s="73" t="str">
        <f t="shared" si="17"/>
        <v/>
      </c>
      <c r="Q84" s="73" t="str">
        <f t="shared" si="17"/>
        <v/>
      </c>
      <c r="R84" s="73" t="str">
        <f t="shared" si="19"/>
        <v/>
      </c>
      <c r="S84" s="73" t="str">
        <f t="shared" si="19"/>
        <v/>
      </c>
      <c r="T84" s="73" t="str">
        <f t="shared" si="19"/>
        <v/>
      </c>
      <c r="U84" s="73" t="str">
        <f t="shared" si="19"/>
        <v/>
      </c>
      <c r="V84" s="73" t="str">
        <f t="shared" si="19"/>
        <v/>
      </c>
      <c r="W84" s="73" t="str">
        <f t="shared" si="19"/>
        <v/>
      </c>
      <c r="X84" s="73" t="str">
        <f t="shared" si="19"/>
        <v/>
      </c>
      <c r="Y84" s="73" t="str">
        <f t="shared" si="19"/>
        <v/>
      </c>
      <c r="Z84" s="73" t="str">
        <f t="shared" si="19"/>
        <v/>
      </c>
      <c r="AA84" s="73" t="str">
        <f t="shared" si="19"/>
        <v/>
      </c>
      <c r="AB84" s="74" t="str">
        <f t="shared" si="19"/>
        <v/>
      </c>
      <c r="AC84" s="35" t="str">
        <f t="shared" si="22"/>
        <v/>
      </c>
      <c r="AD84" s="40" t="str">
        <f t="shared" si="23"/>
        <v/>
      </c>
      <c r="AE84" s="37" t="str">
        <f t="shared" si="24"/>
        <v/>
      </c>
      <c r="AF84" s="40" t="str">
        <f t="shared" si="25"/>
        <v/>
      </c>
      <c r="AG84" s="37" t="str">
        <f t="shared" si="26"/>
        <v/>
      </c>
      <c r="AH84" s="40" t="str">
        <f t="shared" si="27"/>
        <v/>
      </c>
      <c r="AI84" s="37" t="str">
        <f t="shared" si="28"/>
        <v/>
      </c>
      <c r="AJ84" s="40" t="str">
        <f t="shared" si="29"/>
        <v/>
      </c>
      <c r="AK84" s="204" t="str">
        <f>IF(C84="","",IF(E84=FROTA!$AT$18,IF('DEFINA!!!'!$L$6="D-E-F-I-N-A !!!!!!!",0,IF('DEFINA!!!'!$L$6="Opto por Idade Média",SEM!AW84,IF('DEFINA!!!'!$L$6="Opto pelo Valor aplicado ao  Ano de cada Carro",SEM!AX84,0))),IF(E84=FROTA!$AT$17,IF('DEFINA!!!'!$L$6="D-E-F-I-N-A !!!!!!!",0,IF('DEFINA!!!'!$L$6="Opto por Idade Média",SEM!AW84,IF('DEFINA!!!'!$L$6="Opto pelo Valor aplicado ao  Ano de cada Carro",SEM!AX84,0))),IF(E84=FROTA!$AT$16,IF('DEFINA!!!'!$L$6="D-E-F-I-N-A !!!!!!!",0,IF('DEFINA!!!'!$L$6="Opto por Idade Média",SEM!AW84,IF('DEFINA!!!'!$L$6="Opto pelo Valor aplicado ao  Ano de cada Carro",SEM!AX84,0))),IF('DEFINA!!!'!$L$6="D-E-F-I-N-A !!!!!!!",0,IF('DEFINA!!!'!$L$6="Opto por Idade Média",SEM!AU84,IF('DEFINA!!!'!$L$6="Opto pelo Valor aplicado ao  Ano de cada Carro",SEM!AV84,0)))))))</f>
        <v/>
      </c>
      <c r="AL84" s="6"/>
      <c r="AM84" s="79" t="str">
        <f t="shared" si="30"/>
        <v/>
      </c>
      <c r="AN84" s="12"/>
      <c r="AO84" s="12"/>
      <c r="AP84" s="14"/>
      <c r="AQ84" s="16"/>
      <c r="AR84" s="15"/>
      <c r="AU84" s="198" t="str">
        <f>IF(C84="","",VLOOKUP(FROTA!$AB$2,RECEBÍVEIS!$AA$11:$AB$43,2,0))</f>
        <v/>
      </c>
      <c r="AV84" s="198" t="str">
        <f>IF(C84="","",IF(C84=FROTA!Z84="","",VLOOKUP(FROTA!Z84,RECEBÍVEIS!$AA$11:$AB$43,2,0)))</f>
        <v/>
      </c>
      <c r="AW84" s="198" t="str">
        <f>IF(C84="","",VLOOKUP(FROTA!$AB$2,RECEBÍVEIS!$AA$11:$AC$43,3,0))</f>
        <v/>
      </c>
      <c r="AX84" s="198" t="str">
        <f>IF(C84="","",IF(C84=FROTA!Z84="","",VLOOKUP(FROTA!Z84,RECEBÍVEIS!$AA$11:$AC$43,3,0)))</f>
        <v/>
      </c>
    </row>
    <row r="85" spans="2:50" ht="17.25" customHeight="1" x14ac:dyDescent="0.2">
      <c r="B85" s="6"/>
      <c r="C85" s="49" t="str">
        <f>IF(FROTA!B85="","",FROTA!B85)</f>
        <v/>
      </c>
      <c r="D85" s="220" t="str">
        <f>IF(C85="","",VLOOKUP(SEM!C85,FROTA!$B$5:$C$305,2,0))</f>
        <v/>
      </c>
      <c r="E85" s="24" t="str">
        <f>IF(C85="","",VLOOKUP(C85,FROTA!$B$5:$H$305,7,0))</f>
        <v/>
      </c>
      <c r="F85" s="38" t="str">
        <f t="shared" si="20"/>
        <v/>
      </c>
      <c r="G85" s="71" t="str">
        <f t="shared" si="31"/>
        <v/>
      </c>
      <c r="H85" s="32" t="str">
        <f t="shared" si="21"/>
        <v/>
      </c>
      <c r="I85" s="73" t="str">
        <f t="shared" si="21"/>
        <v/>
      </c>
      <c r="J85" s="73" t="str">
        <f t="shared" si="21"/>
        <v/>
      </c>
      <c r="K85" s="73" t="str">
        <f t="shared" si="18"/>
        <v/>
      </c>
      <c r="L85" s="73" t="str">
        <f t="shared" si="18"/>
        <v/>
      </c>
      <c r="M85" s="73" t="str">
        <f t="shared" si="18"/>
        <v/>
      </c>
      <c r="N85" s="73" t="str">
        <f t="shared" si="17"/>
        <v/>
      </c>
      <c r="O85" s="73" t="str">
        <f t="shared" si="17"/>
        <v/>
      </c>
      <c r="P85" s="73" t="str">
        <f t="shared" si="17"/>
        <v/>
      </c>
      <c r="Q85" s="73" t="str">
        <f t="shared" si="17"/>
        <v/>
      </c>
      <c r="R85" s="73" t="str">
        <f t="shared" si="19"/>
        <v/>
      </c>
      <c r="S85" s="73" t="str">
        <f t="shared" si="19"/>
        <v/>
      </c>
      <c r="T85" s="73" t="str">
        <f t="shared" si="19"/>
        <v/>
      </c>
      <c r="U85" s="73" t="str">
        <f t="shared" si="19"/>
        <v/>
      </c>
      <c r="V85" s="73" t="str">
        <f t="shared" si="19"/>
        <v/>
      </c>
      <c r="W85" s="73" t="str">
        <f t="shared" si="19"/>
        <v/>
      </c>
      <c r="X85" s="73" t="str">
        <f t="shared" si="19"/>
        <v/>
      </c>
      <c r="Y85" s="73" t="str">
        <f t="shared" si="19"/>
        <v/>
      </c>
      <c r="Z85" s="73" t="str">
        <f t="shared" si="19"/>
        <v/>
      </c>
      <c r="AA85" s="73" t="str">
        <f t="shared" si="19"/>
        <v/>
      </c>
      <c r="AB85" s="74" t="str">
        <f t="shared" si="19"/>
        <v/>
      </c>
      <c r="AC85" s="35" t="str">
        <f t="shared" si="22"/>
        <v/>
      </c>
      <c r="AD85" s="40" t="str">
        <f t="shared" si="23"/>
        <v/>
      </c>
      <c r="AE85" s="37" t="str">
        <f t="shared" si="24"/>
        <v/>
      </c>
      <c r="AF85" s="40" t="str">
        <f t="shared" si="25"/>
        <v/>
      </c>
      <c r="AG85" s="37" t="str">
        <f t="shared" si="26"/>
        <v/>
      </c>
      <c r="AH85" s="40" t="str">
        <f t="shared" si="27"/>
        <v/>
      </c>
      <c r="AI85" s="37" t="str">
        <f t="shared" si="28"/>
        <v/>
      </c>
      <c r="AJ85" s="40" t="str">
        <f t="shared" si="29"/>
        <v/>
      </c>
      <c r="AK85" s="204" t="str">
        <f>IF(C85="","",IF(E85=FROTA!$AT$18,IF('DEFINA!!!'!$L$6="D-E-F-I-N-A !!!!!!!",0,IF('DEFINA!!!'!$L$6="Opto por Idade Média",SEM!AW85,IF('DEFINA!!!'!$L$6="Opto pelo Valor aplicado ao  Ano de cada Carro",SEM!AX85,0))),IF(E85=FROTA!$AT$17,IF('DEFINA!!!'!$L$6="D-E-F-I-N-A !!!!!!!",0,IF('DEFINA!!!'!$L$6="Opto por Idade Média",SEM!AW85,IF('DEFINA!!!'!$L$6="Opto pelo Valor aplicado ao  Ano de cada Carro",SEM!AX85,0))),IF(E85=FROTA!$AT$16,IF('DEFINA!!!'!$L$6="D-E-F-I-N-A !!!!!!!",0,IF('DEFINA!!!'!$L$6="Opto por Idade Média",SEM!AW85,IF('DEFINA!!!'!$L$6="Opto pelo Valor aplicado ao  Ano de cada Carro",SEM!AX85,0))),IF('DEFINA!!!'!$L$6="D-E-F-I-N-A !!!!!!!",0,IF('DEFINA!!!'!$L$6="Opto por Idade Média",SEM!AU85,IF('DEFINA!!!'!$L$6="Opto pelo Valor aplicado ao  Ano de cada Carro",SEM!AV85,0)))))))</f>
        <v/>
      </c>
      <c r="AL85" s="6"/>
      <c r="AM85" s="79" t="str">
        <f t="shared" si="30"/>
        <v/>
      </c>
      <c r="AN85" s="12"/>
      <c r="AO85" s="12"/>
      <c r="AP85" s="14"/>
      <c r="AQ85" s="16"/>
      <c r="AR85" s="15"/>
      <c r="AU85" s="198" t="str">
        <f>IF(C85="","",VLOOKUP(FROTA!$AB$2,RECEBÍVEIS!$AA$11:$AB$43,2,0))</f>
        <v/>
      </c>
      <c r="AV85" s="198" t="str">
        <f>IF(C85="","",IF(C85=FROTA!Z85="","",VLOOKUP(FROTA!Z85,RECEBÍVEIS!$AA$11:$AB$43,2,0)))</f>
        <v/>
      </c>
      <c r="AW85" s="198" t="str">
        <f>IF(C85="","",VLOOKUP(FROTA!$AB$2,RECEBÍVEIS!$AA$11:$AC$43,3,0))</f>
        <v/>
      </c>
      <c r="AX85" s="198" t="str">
        <f>IF(C85="","",IF(C85=FROTA!Z85="","",VLOOKUP(FROTA!Z85,RECEBÍVEIS!$AA$11:$AC$43,3,0)))</f>
        <v/>
      </c>
    </row>
    <row r="86" spans="2:50" ht="17.25" customHeight="1" x14ac:dyDescent="0.2">
      <c r="B86" s="6"/>
      <c r="C86" s="49" t="str">
        <f>IF(FROTA!B86="","",FROTA!B86)</f>
        <v/>
      </c>
      <c r="D86" s="220" t="str">
        <f>IF(C86="","",VLOOKUP(SEM!C86,FROTA!$B$5:$C$305,2,0))</f>
        <v/>
      </c>
      <c r="E86" s="24" t="str">
        <f>IF(C86="","",VLOOKUP(C86,FROTA!$B$5:$H$305,7,0))</f>
        <v/>
      </c>
      <c r="F86" s="38" t="str">
        <f t="shared" si="20"/>
        <v/>
      </c>
      <c r="G86" s="71" t="str">
        <f t="shared" si="31"/>
        <v/>
      </c>
      <c r="H86" s="32" t="str">
        <f t="shared" si="21"/>
        <v/>
      </c>
      <c r="I86" s="73" t="str">
        <f t="shared" si="21"/>
        <v/>
      </c>
      <c r="J86" s="73" t="str">
        <f t="shared" si="21"/>
        <v/>
      </c>
      <c r="K86" s="73" t="str">
        <f t="shared" si="18"/>
        <v/>
      </c>
      <c r="L86" s="73" t="str">
        <f t="shared" si="18"/>
        <v/>
      </c>
      <c r="M86" s="73" t="str">
        <f t="shared" si="18"/>
        <v/>
      </c>
      <c r="N86" s="73" t="str">
        <f t="shared" si="17"/>
        <v/>
      </c>
      <c r="O86" s="73" t="str">
        <f t="shared" si="17"/>
        <v/>
      </c>
      <c r="P86" s="73" t="str">
        <f t="shared" si="17"/>
        <v/>
      </c>
      <c r="Q86" s="73" t="str">
        <f t="shared" si="17"/>
        <v/>
      </c>
      <c r="R86" s="73" t="str">
        <f t="shared" si="19"/>
        <v/>
      </c>
      <c r="S86" s="73" t="str">
        <f t="shared" si="19"/>
        <v/>
      </c>
      <c r="T86" s="73" t="str">
        <f t="shared" si="19"/>
        <v/>
      </c>
      <c r="U86" s="73" t="str">
        <f t="shared" si="19"/>
        <v/>
      </c>
      <c r="V86" s="73" t="str">
        <f t="shared" si="19"/>
        <v/>
      </c>
      <c r="W86" s="73" t="str">
        <f t="shared" si="19"/>
        <v/>
      </c>
      <c r="X86" s="73" t="str">
        <f t="shared" si="19"/>
        <v/>
      </c>
      <c r="Y86" s="73" t="str">
        <f t="shared" si="19"/>
        <v/>
      </c>
      <c r="Z86" s="73" t="str">
        <f t="shared" si="19"/>
        <v/>
      </c>
      <c r="AA86" s="73" t="str">
        <f t="shared" si="19"/>
        <v/>
      </c>
      <c r="AB86" s="74" t="str">
        <f t="shared" si="19"/>
        <v/>
      </c>
      <c r="AC86" s="35" t="str">
        <f t="shared" si="22"/>
        <v/>
      </c>
      <c r="AD86" s="40" t="str">
        <f t="shared" si="23"/>
        <v/>
      </c>
      <c r="AE86" s="37" t="str">
        <f t="shared" si="24"/>
        <v/>
      </c>
      <c r="AF86" s="40" t="str">
        <f t="shared" si="25"/>
        <v/>
      </c>
      <c r="AG86" s="37" t="str">
        <f t="shared" si="26"/>
        <v/>
      </c>
      <c r="AH86" s="40" t="str">
        <f t="shared" si="27"/>
        <v/>
      </c>
      <c r="AI86" s="37" t="str">
        <f t="shared" si="28"/>
        <v/>
      </c>
      <c r="AJ86" s="40" t="str">
        <f t="shared" si="29"/>
        <v/>
      </c>
      <c r="AK86" s="204" t="str">
        <f>IF(C86="","",IF(E86=FROTA!$AT$18,IF('DEFINA!!!'!$L$6="D-E-F-I-N-A !!!!!!!",0,IF('DEFINA!!!'!$L$6="Opto por Idade Média",SEM!AW86,IF('DEFINA!!!'!$L$6="Opto pelo Valor aplicado ao  Ano de cada Carro",SEM!AX86,0))),IF(E86=FROTA!$AT$17,IF('DEFINA!!!'!$L$6="D-E-F-I-N-A !!!!!!!",0,IF('DEFINA!!!'!$L$6="Opto por Idade Média",SEM!AW86,IF('DEFINA!!!'!$L$6="Opto pelo Valor aplicado ao  Ano de cada Carro",SEM!AX86,0))),IF(E86=FROTA!$AT$16,IF('DEFINA!!!'!$L$6="D-E-F-I-N-A !!!!!!!",0,IF('DEFINA!!!'!$L$6="Opto por Idade Média",SEM!AW86,IF('DEFINA!!!'!$L$6="Opto pelo Valor aplicado ao  Ano de cada Carro",SEM!AX86,0))),IF('DEFINA!!!'!$L$6="D-E-F-I-N-A !!!!!!!",0,IF('DEFINA!!!'!$L$6="Opto por Idade Média",SEM!AU86,IF('DEFINA!!!'!$L$6="Opto pelo Valor aplicado ao  Ano de cada Carro",SEM!AV86,0)))))))</f>
        <v/>
      </c>
      <c r="AL86" s="6"/>
      <c r="AM86" s="79" t="str">
        <f t="shared" si="30"/>
        <v/>
      </c>
      <c r="AN86" s="12"/>
      <c r="AO86" s="12"/>
      <c r="AP86" s="14"/>
      <c r="AQ86" s="16"/>
      <c r="AR86" s="15"/>
      <c r="AU86" s="198" t="str">
        <f>IF(C86="","",VLOOKUP(FROTA!$AB$2,RECEBÍVEIS!$AA$11:$AB$43,2,0))</f>
        <v/>
      </c>
      <c r="AV86" s="198" t="str">
        <f>IF(C86="","",IF(C86=FROTA!Z86="","",VLOOKUP(FROTA!Z86,RECEBÍVEIS!$AA$11:$AB$43,2,0)))</f>
        <v/>
      </c>
      <c r="AW86" s="198" t="str">
        <f>IF(C86="","",VLOOKUP(FROTA!$AB$2,RECEBÍVEIS!$AA$11:$AC$43,3,0))</f>
        <v/>
      </c>
      <c r="AX86" s="198" t="str">
        <f>IF(C86="","",IF(C86=FROTA!Z86="","",VLOOKUP(FROTA!Z86,RECEBÍVEIS!$AA$11:$AC$43,3,0)))</f>
        <v/>
      </c>
    </row>
    <row r="87" spans="2:50" ht="17.25" customHeight="1" x14ac:dyDescent="0.2">
      <c r="B87" s="6"/>
      <c r="C87" s="49" t="str">
        <f>IF(FROTA!B87="","",FROTA!B87)</f>
        <v/>
      </c>
      <c r="D87" s="220" t="str">
        <f>IF(C87="","",VLOOKUP(SEM!C87,FROTA!$B$5:$C$305,2,0))</f>
        <v/>
      </c>
      <c r="E87" s="24" t="str">
        <f>IF(C87="","",VLOOKUP(C87,FROTA!$B$5:$H$305,7,0))</f>
        <v/>
      </c>
      <c r="F87" s="38" t="str">
        <f t="shared" si="20"/>
        <v/>
      </c>
      <c r="G87" s="71" t="str">
        <f t="shared" si="31"/>
        <v/>
      </c>
      <c r="H87" s="32" t="str">
        <f t="shared" si="21"/>
        <v/>
      </c>
      <c r="I87" s="73" t="str">
        <f t="shared" si="21"/>
        <v/>
      </c>
      <c r="J87" s="73" t="str">
        <f t="shared" si="21"/>
        <v/>
      </c>
      <c r="K87" s="73" t="str">
        <f t="shared" si="18"/>
        <v/>
      </c>
      <c r="L87" s="73" t="str">
        <f t="shared" si="18"/>
        <v/>
      </c>
      <c r="M87" s="73" t="str">
        <f t="shared" si="18"/>
        <v/>
      </c>
      <c r="N87" s="73" t="str">
        <f t="shared" si="17"/>
        <v/>
      </c>
      <c r="O87" s="73" t="str">
        <f t="shared" si="17"/>
        <v/>
      </c>
      <c r="P87" s="73" t="str">
        <f t="shared" si="17"/>
        <v/>
      </c>
      <c r="Q87" s="73" t="str">
        <f t="shared" si="17"/>
        <v/>
      </c>
      <c r="R87" s="73" t="str">
        <f t="shared" si="19"/>
        <v/>
      </c>
      <c r="S87" s="73" t="str">
        <f t="shared" si="19"/>
        <v/>
      </c>
      <c r="T87" s="73" t="str">
        <f t="shared" si="19"/>
        <v/>
      </c>
      <c r="U87" s="73" t="str">
        <f t="shared" si="19"/>
        <v/>
      </c>
      <c r="V87" s="73" t="str">
        <f t="shared" si="19"/>
        <v/>
      </c>
      <c r="W87" s="73" t="str">
        <f t="shared" si="19"/>
        <v/>
      </c>
      <c r="X87" s="73" t="str">
        <f t="shared" si="19"/>
        <v/>
      </c>
      <c r="Y87" s="73" t="str">
        <f t="shared" si="19"/>
        <v/>
      </c>
      <c r="Z87" s="73" t="str">
        <f t="shared" si="19"/>
        <v/>
      </c>
      <c r="AA87" s="73" t="str">
        <f t="shared" si="19"/>
        <v/>
      </c>
      <c r="AB87" s="74" t="str">
        <f t="shared" si="19"/>
        <v/>
      </c>
      <c r="AC87" s="35" t="str">
        <f t="shared" si="22"/>
        <v/>
      </c>
      <c r="AD87" s="40" t="str">
        <f t="shared" si="23"/>
        <v/>
      </c>
      <c r="AE87" s="37" t="str">
        <f t="shared" si="24"/>
        <v/>
      </c>
      <c r="AF87" s="40" t="str">
        <f t="shared" si="25"/>
        <v/>
      </c>
      <c r="AG87" s="37" t="str">
        <f t="shared" si="26"/>
        <v/>
      </c>
      <c r="AH87" s="40" t="str">
        <f t="shared" si="27"/>
        <v/>
      </c>
      <c r="AI87" s="37" t="str">
        <f t="shared" si="28"/>
        <v/>
      </c>
      <c r="AJ87" s="40" t="str">
        <f t="shared" si="29"/>
        <v/>
      </c>
      <c r="AK87" s="204" t="str">
        <f>IF(C87="","",IF(E87=FROTA!$AT$18,IF('DEFINA!!!'!$L$6="D-E-F-I-N-A !!!!!!!",0,IF('DEFINA!!!'!$L$6="Opto por Idade Média",SEM!AW87,IF('DEFINA!!!'!$L$6="Opto pelo Valor aplicado ao  Ano de cada Carro",SEM!AX87,0))),IF(E87=FROTA!$AT$17,IF('DEFINA!!!'!$L$6="D-E-F-I-N-A !!!!!!!",0,IF('DEFINA!!!'!$L$6="Opto por Idade Média",SEM!AW87,IF('DEFINA!!!'!$L$6="Opto pelo Valor aplicado ao  Ano de cada Carro",SEM!AX87,0))),IF(E87=FROTA!$AT$16,IF('DEFINA!!!'!$L$6="D-E-F-I-N-A !!!!!!!",0,IF('DEFINA!!!'!$L$6="Opto por Idade Média",SEM!AW87,IF('DEFINA!!!'!$L$6="Opto pelo Valor aplicado ao  Ano de cada Carro",SEM!AX87,0))),IF('DEFINA!!!'!$L$6="D-E-F-I-N-A !!!!!!!",0,IF('DEFINA!!!'!$L$6="Opto por Idade Média",SEM!AU87,IF('DEFINA!!!'!$L$6="Opto pelo Valor aplicado ao  Ano de cada Carro",SEM!AV87,0)))))))</f>
        <v/>
      </c>
      <c r="AL87" s="6"/>
      <c r="AM87" s="79" t="str">
        <f t="shared" si="30"/>
        <v/>
      </c>
      <c r="AN87" s="12"/>
      <c r="AO87" s="12"/>
      <c r="AP87" s="14"/>
      <c r="AQ87" s="16"/>
      <c r="AR87" s="15"/>
      <c r="AU87" s="198" t="str">
        <f>IF(C87="","",VLOOKUP(FROTA!$AB$2,RECEBÍVEIS!$AA$11:$AB$43,2,0))</f>
        <v/>
      </c>
      <c r="AV87" s="198" t="str">
        <f>IF(C87="","",IF(C87=FROTA!Z87="","",VLOOKUP(FROTA!Z87,RECEBÍVEIS!$AA$11:$AB$43,2,0)))</f>
        <v/>
      </c>
      <c r="AW87" s="198" t="str">
        <f>IF(C87="","",VLOOKUP(FROTA!$AB$2,RECEBÍVEIS!$AA$11:$AC$43,3,0))</f>
        <v/>
      </c>
      <c r="AX87" s="198" t="str">
        <f>IF(C87="","",IF(C87=FROTA!Z87="","",VLOOKUP(FROTA!Z87,RECEBÍVEIS!$AA$11:$AC$43,3,0)))</f>
        <v/>
      </c>
    </row>
    <row r="88" spans="2:50" ht="17.25" customHeight="1" x14ac:dyDescent="0.2">
      <c r="B88" s="6"/>
      <c r="C88" s="49" t="str">
        <f>IF(FROTA!B88="","",FROTA!B88)</f>
        <v/>
      </c>
      <c r="D88" s="220" t="str">
        <f>IF(C88="","",VLOOKUP(SEM!C88,FROTA!$B$5:$C$305,2,0))</f>
        <v/>
      </c>
      <c r="E88" s="24" t="str">
        <f>IF(C88="","",VLOOKUP(C88,FROTA!$B$5:$H$305,7,0))</f>
        <v/>
      </c>
      <c r="F88" s="38" t="str">
        <f t="shared" si="20"/>
        <v/>
      </c>
      <c r="G88" s="71" t="str">
        <f t="shared" si="31"/>
        <v/>
      </c>
      <c r="H88" s="32" t="str">
        <f t="shared" si="21"/>
        <v/>
      </c>
      <c r="I88" s="73" t="str">
        <f t="shared" si="21"/>
        <v/>
      </c>
      <c r="J88" s="73" t="str">
        <f t="shared" si="21"/>
        <v/>
      </c>
      <c r="K88" s="73" t="str">
        <f t="shared" si="18"/>
        <v/>
      </c>
      <c r="L88" s="73" t="str">
        <f t="shared" si="18"/>
        <v/>
      </c>
      <c r="M88" s="73" t="str">
        <f t="shared" si="18"/>
        <v/>
      </c>
      <c r="N88" s="73" t="str">
        <f t="shared" si="17"/>
        <v/>
      </c>
      <c r="O88" s="73" t="str">
        <f t="shared" si="17"/>
        <v/>
      </c>
      <c r="P88" s="73" t="str">
        <f t="shared" si="17"/>
        <v/>
      </c>
      <c r="Q88" s="73" t="str">
        <f t="shared" si="17"/>
        <v/>
      </c>
      <c r="R88" s="73" t="str">
        <f t="shared" si="19"/>
        <v/>
      </c>
      <c r="S88" s="73" t="str">
        <f t="shared" si="19"/>
        <v/>
      </c>
      <c r="T88" s="73" t="str">
        <f t="shared" si="19"/>
        <v/>
      </c>
      <c r="U88" s="73" t="str">
        <f t="shared" si="19"/>
        <v/>
      </c>
      <c r="V88" s="73" t="str">
        <f t="shared" si="19"/>
        <v/>
      </c>
      <c r="W88" s="73" t="str">
        <f t="shared" si="19"/>
        <v/>
      </c>
      <c r="X88" s="73" t="str">
        <f t="shared" si="19"/>
        <v/>
      </c>
      <c r="Y88" s="73" t="str">
        <f t="shared" si="19"/>
        <v/>
      </c>
      <c r="Z88" s="73" t="str">
        <f t="shared" si="19"/>
        <v/>
      </c>
      <c r="AA88" s="73" t="str">
        <f t="shared" si="19"/>
        <v/>
      </c>
      <c r="AB88" s="74" t="str">
        <f t="shared" si="19"/>
        <v/>
      </c>
      <c r="AC88" s="35" t="str">
        <f t="shared" si="22"/>
        <v/>
      </c>
      <c r="AD88" s="40" t="str">
        <f t="shared" si="23"/>
        <v/>
      </c>
      <c r="AE88" s="37" t="str">
        <f t="shared" si="24"/>
        <v/>
      </c>
      <c r="AF88" s="40" t="str">
        <f t="shared" si="25"/>
        <v/>
      </c>
      <c r="AG88" s="37" t="str">
        <f t="shared" si="26"/>
        <v/>
      </c>
      <c r="AH88" s="40" t="str">
        <f t="shared" si="27"/>
        <v/>
      </c>
      <c r="AI88" s="37" t="str">
        <f t="shared" si="28"/>
        <v/>
      </c>
      <c r="AJ88" s="40" t="str">
        <f t="shared" si="29"/>
        <v/>
      </c>
      <c r="AK88" s="204" t="str">
        <f>IF(C88="","",IF(E88=FROTA!$AT$18,IF('DEFINA!!!'!$L$6="D-E-F-I-N-A !!!!!!!",0,IF('DEFINA!!!'!$L$6="Opto por Idade Média",SEM!AW88,IF('DEFINA!!!'!$L$6="Opto pelo Valor aplicado ao  Ano de cada Carro",SEM!AX88,0))),IF(E88=FROTA!$AT$17,IF('DEFINA!!!'!$L$6="D-E-F-I-N-A !!!!!!!",0,IF('DEFINA!!!'!$L$6="Opto por Idade Média",SEM!AW88,IF('DEFINA!!!'!$L$6="Opto pelo Valor aplicado ao  Ano de cada Carro",SEM!AX88,0))),IF(E88=FROTA!$AT$16,IF('DEFINA!!!'!$L$6="D-E-F-I-N-A !!!!!!!",0,IF('DEFINA!!!'!$L$6="Opto por Idade Média",SEM!AW88,IF('DEFINA!!!'!$L$6="Opto pelo Valor aplicado ao  Ano de cada Carro",SEM!AX88,0))),IF('DEFINA!!!'!$L$6="D-E-F-I-N-A !!!!!!!",0,IF('DEFINA!!!'!$L$6="Opto por Idade Média",SEM!AU88,IF('DEFINA!!!'!$L$6="Opto pelo Valor aplicado ao  Ano de cada Carro",SEM!AV88,0)))))))</f>
        <v/>
      </c>
      <c r="AL88" s="6"/>
      <c r="AM88" s="79" t="str">
        <f t="shared" si="30"/>
        <v/>
      </c>
      <c r="AN88" s="12"/>
      <c r="AO88" s="12"/>
      <c r="AP88" s="14"/>
      <c r="AQ88" s="16"/>
      <c r="AR88" s="15"/>
      <c r="AU88" s="198" t="str">
        <f>IF(C88="","",VLOOKUP(FROTA!$AB$2,RECEBÍVEIS!$AA$11:$AB$43,2,0))</f>
        <v/>
      </c>
      <c r="AV88" s="198" t="str">
        <f>IF(C88="","",IF(C88=FROTA!Z88="","",VLOOKUP(FROTA!Z88,RECEBÍVEIS!$AA$11:$AB$43,2,0)))</f>
        <v/>
      </c>
      <c r="AW88" s="198" t="str">
        <f>IF(C88="","",VLOOKUP(FROTA!$AB$2,RECEBÍVEIS!$AA$11:$AC$43,3,0))</f>
        <v/>
      </c>
      <c r="AX88" s="198" t="str">
        <f>IF(C88="","",IF(C88=FROTA!Z88="","",VLOOKUP(FROTA!Z88,RECEBÍVEIS!$AA$11:$AC$43,3,0)))</f>
        <v/>
      </c>
    </row>
    <row r="89" spans="2:50" ht="17.25" customHeight="1" x14ac:dyDescent="0.2">
      <c r="B89" s="6"/>
      <c r="C89" s="49" t="str">
        <f>IF(FROTA!B89="","",FROTA!B89)</f>
        <v/>
      </c>
      <c r="D89" s="220" t="str">
        <f>IF(C89="","",VLOOKUP(SEM!C89,FROTA!$B$5:$C$305,2,0))</f>
        <v/>
      </c>
      <c r="E89" s="24" t="str">
        <f>IF(C89="","",VLOOKUP(C89,FROTA!$B$5:$H$305,7,0))</f>
        <v/>
      </c>
      <c r="F89" s="38" t="str">
        <f t="shared" si="20"/>
        <v/>
      </c>
      <c r="G89" s="71" t="str">
        <f t="shared" si="31"/>
        <v/>
      </c>
      <c r="H89" s="32" t="str">
        <f t="shared" si="21"/>
        <v/>
      </c>
      <c r="I89" s="73" t="str">
        <f t="shared" si="21"/>
        <v/>
      </c>
      <c r="J89" s="73" t="str">
        <f t="shared" si="21"/>
        <v/>
      </c>
      <c r="K89" s="73" t="str">
        <f t="shared" si="18"/>
        <v/>
      </c>
      <c r="L89" s="73" t="str">
        <f t="shared" si="18"/>
        <v/>
      </c>
      <c r="M89" s="73" t="str">
        <f t="shared" si="18"/>
        <v/>
      </c>
      <c r="N89" s="73" t="str">
        <f t="shared" si="17"/>
        <v/>
      </c>
      <c r="O89" s="73" t="str">
        <f t="shared" si="17"/>
        <v/>
      </c>
      <c r="P89" s="73" t="str">
        <f t="shared" si="17"/>
        <v/>
      </c>
      <c r="Q89" s="73" t="str">
        <f t="shared" si="17"/>
        <v/>
      </c>
      <c r="R89" s="73" t="str">
        <f t="shared" si="19"/>
        <v/>
      </c>
      <c r="S89" s="73" t="str">
        <f t="shared" si="19"/>
        <v/>
      </c>
      <c r="T89" s="73" t="str">
        <f t="shared" si="19"/>
        <v/>
      </c>
      <c r="U89" s="73" t="str">
        <f t="shared" si="19"/>
        <v/>
      </c>
      <c r="V89" s="73" t="str">
        <f t="shared" si="19"/>
        <v/>
      </c>
      <c r="W89" s="73" t="str">
        <f t="shared" si="19"/>
        <v/>
      </c>
      <c r="X89" s="73" t="str">
        <f t="shared" si="19"/>
        <v/>
      </c>
      <c r="Y89" s="73" t="str">
        <f t="shared" si="19"/>
        <v/>
      </c>
      <c r="Z89" s="73" t="str">
        <f t="shared" si="19"/>
        <v/>
      </c>
      <c r="AA89" s="73" t="str">
        <f t="shared" si="19"/>
        <v/>
      </c>
      <c r="AB89" s="74" t="str">
        <f t="shared" si="19"/>
        <v/>
      </c>
      <c r="AC89" s="35" t="str">
        <f t="shared" si="22"/>
        <v/>
      </c>
      <c r="AD89" s="40" t="str">
        <f t="shared" si="23"/>
        <v/>
      </c>
      <c r="AE89" s="37" t="str">
        <f t="shared" si="24"/>
        <v/>
      </c>
      <c r="AF89" s="40" t="str">
        <f t="shared" si="25"/>
        <v/>
      </c>
      <c r="AG89" s="37" t="str">
        <f t="shared" si="26"/>
        <v/>
      </c>
      <c r="AH89" s="40" t="str">
        <f t="shared" si="27"/>
        <v/>
      </c>
      <c r="AI89" s="37" t="str">
        <f t="shared" si="28"/>
        <v/>
      </c>
      <c r="AJ89" s="40" t="str">
        <f t="shared" si="29"/>
        <v/>
      </c>
      <c r="AK89" s="204" t="str">
        <f>IF(C89="","",IF(E89=FROTA!$AT$18,IF('DEFINA!!!'!$L$6="D-E-F-I-N-A !!!!!!!",0,IF('DEFINA!!!'!$L$6="Opto por Idade Média",SEM!AW89,IF('DEFINA!!!'!$L$6="Opto pelo Valor aplicado ao  Ano de cada Carro",SEM!AX89,0))),IF(E89=FROTA!$AT$17,IF('DEFINA!!!'!$L$6="D-E-F-I-N-A !!!!!!!",0,IF('DEFINA!!!'!$L$6="Opto por Idade Média",SEM!AW89,IF('DEFINA!!!'!$L$6="Opto pelo Valor aplicado ao  Ano de cada Carro",SEM!AX89,0))),IF(E89=FROTA!$AT$16,IF('DEFINA!!!'!$L$6="D-E-F-I-N-A !!!!!!!",0,IF('DEFINA!!!'!$L$6="Opto por Idade Média",SEM!AW89,IF('DEFINA!!!'!$L$6="Opto pelo Valor aplicado ao  Ano de cada Carro",SEM!AX89,0))),IF('DEFINA!!!'!$L$6="D-E-F-I-N-A !!!!!!!",0,IF('DEFINA!!!'!$L$6="Opto por Idade Média",SEM!AU89,IF('DEFINA!!!'!$L$6="Opto pelo Valor aplicado ao  Ano de cada Carro",SEM!AV89,0)))))))</f>
        <v/>
      </c>
      <c r="AL89" s="6"/>
      <c r="AM89" s="79" t="str">
        <f t="shared" si="30"/>
        <v/>
      </c>
      <c r="AN89" s="12"/>
      <c r="AO89" s="12"/>
      <c r="AP89" s="14"/>
      <c r="AQ89" s="16"/>
      <c r="AR89" s="15"/>
      <c r="AU89" s="198" t="str">
        <f>IF(C89="","",VLOOKUP(FROTA!$AB$2,RECEBÍVEIS!$AA$11:$AB$43,2,0))</f>
        <v/>
      </c>
      <c r="AV89" s="198" t="str">
        <f>IF(C89="","",IF(C89=FROTA!Z89="","",VLOOKUP(FROTA!Z89,RECEBÍVEIS!$AA$11:$AB$43,2,0)))</f>
        <v/>
      </c>
      <c r="AW89" s="198" t="str">
        <f>IF(C89="","",VLOOKUP(FROTA!$AB$2,RECEBÍVEIS!$AA$11:$AC$43,3,0))</f>
        <v/>
      </c>
      <c r="AX89" s="198" t="str">
        <f>IF(C89="","",IF(C89=FROTA!Z89="","",VLOOKUP(FROTA!Z89,RECEBÍVEIS!$AA$11:$AC$43,3,0)))</f>
        <v/>
      </c>
    </row>
    <row r="90" spans="2:50" ht="17.25" customHeight="1" x14ac:dyDescent="0.2">
      <c r="B90" s="6"/>
      <c r="C90" s="49" t="str">
        <f>IF(FROTA!B90="","",FROTA!B90)</f>
        <v/>
      </c>
      <c r="D90" s="220" t="str">
        <f>IF(C90="","",VLOOKUP(SEM!C90,FROTA!$B$5:$C$305,2,0))</f>
        <v/>
      </c>
      <c r="E90" s="24" t="str">
        <f>IF(C90="","",VLOOKUP(C90,FROTA!$B$5:$H$305,7,0))</f>
        <v/>
      </c>
      <c r="F90" s="38" t="str">
        <f t="shared" si="20"/>
        <v/>
      </c>
      <c r="G90" s="71" t="str">
        <f t="shared" si="31"/>
        <v/>
      </c>
      <c r="H90" s="32" t="str">
        <f t="shared" si="21"/>
        <v/>
      </c>
      <c r="I90" s="73" t="str">
        <f t="shared" si="21"/>
        <v/>
      </c>
      <c r="J90" s="73" t="str">
        <f t="shared" si="21"/>
        <v/>
      </c>
      <c r="K90" s="73" t="str">
        <f t="shared" si="18"/>
        <v/>
      </c>
      <c r="L90" s="73" t="str">
        <f t="shared" si="18"/>
        <v/>
      </c>
      <c r="M90" s="73" t="str">
        <f t="shared" si="18"/>
        <v/>
      </c>
      <c r="N90" s="73" t="str">
        <f t="shared" si="17"/>
        <v/>
      </c>
      <c r="O90" s="73" t="str">
        <f t="shared" si="17"/>
        <v/>
      </c>
      <c r="P90" s="73" t="str">
        <f t="shared" si="17"/>
        <v/>
      </c>
      <c r="Q90" s="73" t="str">
        <f t="shared" si="17"/>
        <v/>
      </c>
      <c r="R90" s="73" t="str">
        <f t="shared" si="19"/>
        <v/>
      </c>
      <c r="S90" s="73" t="str">
        <f t="shared" si="19"/>
        <v/>
      </c>
      <c r="T90" s="73" t="str">
        <f t="shared" si="19"/>
        <v/>
      </c>
      <c r="U90" s="73" t="str">
        <f t="shared" si="19"/>
        <v/>
      </c>
      <c r="V90" s="73" t="str">
        <f t="shared" si="19"/>
        <v/>
      </c>
      <c r="W90" s="73" t="str">
        <f t="shared" si="19"/>
        <v/>
      </c>
      <c r="X90" s="73" t="str">
        <f t="shared" si="19"/>
        <v/>
      </c>
      <c r="Y90" s="73" t="str">
        <f t="shared" si="19"/>
        <v/>
      </c>
      <c r="Z90" s="73" t="str">
        <f t="shared" si="19"/>
        <v/>
      </c>
      <c r="AA90" s="73" t="str">
        <f t="shared" si="19"/>
        <v/>
      </c>
      <c r="AB90" s="74" t="str">
        <f t="shared" si="19"/>
        <v/>
      </c>
      <c r="AC90" s="35" t="str">
        <f t="shared" si="22"/>
        <v/>
      </c>
      <c r="AD90" s="40" t="str">
        <f t="shared" si="23"/>
        <v/>
      </c>
      <c r="AE90" s="37" t="str">
        <f t="shared" si="24"/>
        <v/>
      </c>
      <c r="AF90" s="40" t="str">
        <f t="shared" si="25"/>
        <v/>
      </c>
      <c r="AG90" s="37" t="str">
        <f t="shared" si="26"/>
        <v/>
      </c>
      <c r="AH90" s="40" t="str">
        <f t="shared" si="27"/>
        <v/>
      </c>
      <c r="AI90" s="37" t="str">
        <f t="shared" si="28"/>
        <v/>
      </c>
      <c r="AJ90" s="40" t="str">
        <f t="shared" si="29"/>
        <v/>
      </c>
      <c r="AK90" s="204" t="str">
        <f>IF(C90="","",IF(E90=FROTA!$AT$18,IF('DEFINA!!!'!$L$6="D-E-F-I-N-A !!!!!!!",0,IF('DEFINA!!!'!$L$6="Opto por Idade Média",SEM!AW90,IF('DEFINA!!!'!$L$6="Opto pelo Valor aplicado ao  Ano de cada Carro",SEM!AX90,0))),IF(E90=FROTA!$AT$17,IF('DEFINA!!!'!$L$6="D-E-F-I-N-A !!!!!!!",0,IF('DEFINA!!!'!$L$6="Opto por Idade Média",SEM!AW90,IF('DEFINA!!!'!$L$6="Opto pelo Valor aplicado ao  Ano de cada Carro",SEM!AX90,0))),IF(E90=FROTA!$AT$16,IF('DEFINA!!!'!$L$6="D-E-F-I-N-A !!!!!!!",0,IF('DEFINA!!!'!$L$6="Opto por Idade Média",SEM!AW90,IF('DEFINA!!!'!$L$6="Opto pelo Valor aplicado ao  Ano de cada Carro",SEM!AX90,0))),IF('DEFINA!!!'!$L$6="D-E-F-I-N-A !!!!!!!",0,IF('DEFINA!!!'!$L$6="Opto por Idade Média",SEM!AU90,IF('DEFINA!!!'!$L$6="Opto pelo Valor aplicado ao  Ano de cada Carro",SEM!AV90,0)))))))</f>
        <v/>
      </c>
      <c r="AL90" s="6"/>
      <c r="AM90" s="79" t="str">
        <f t="shared" si="30"/>
        <v/>
      </c>
      <c r="AN90" s="12"/>
      <c r="AO90" s="12"/>
      <c r="AP90" s="14"/>
      <c r="AQ90" s="16"/>
      <c r="AR90" s="15"/>
      <c r="AU90" s="198" t="str">
        <f>IF(C90="","",VLOOKUP(FROTA!$AB$2,RECEBÍVEIS!$AA$11:$AB$43,2,0))</f>
        <v/>
      </c>
      <c r="AV90" s="198" t="str">
        <f>IF(C90="","",IF(C90=FROTA!Z90="","",VLOOKUP(FROTA!Z90,RECEBÍVEIS!$AA$11:$AB$43,2,0)))</f>
        <v/>
      </c>
      <c r="AW90" s="198" t="str">
        <f>IF(C90="","",VLOOKUP(FROTA!$AB$2,RECEBÍVEIS!$AA$11:$AC$43,3,0))</f>
        <v/>
      </c>
      <c r="AX90" s="198" t="str">
        <f>IF(C90="","",IF(C90=FROTA!Z90="","",VLOOKUP(FROTA!Z90,RECEBÍVEIS!$AA$11:$AC$43,3,0)))</f>
        <v/>
      </c>
    </row>
    <row r="91" spans="2:50" ht="17.25" customHeight="1" x14ac:dyDescent="0.2">
      <c r="B91" s="6"/>
      <c r="C91" s="49" t="str">
        <f>IF(FROTA!B91="","",FROTA!B91)</f>
        <v/>
      </c>
      <c r="D91" s="220" t="str">
        <f>IF(C91="","",VLOOKUP(SEM!C91,FROTA!$B$5:$C$305,2,0))</f>
        <v/>
      </c>
      <c r="E91" s="24" t="str">
        <f>IF(C91="","",VLOOKUP(C91,FROTA!$B$5:$H$305,7,0))</f>
        <v/>
      </c>
      <c r="F91" s="38" t="str">
        <f t="shared" si="20"/>
        <v/>
      </c>
      <c r="G91" s="71" t="str">
        <f t="shared" si="31"/>
        <v/>
      </c>
      <c r="H91" s="32" t="str">
        <f t="shared" si="21"/>
        <v/>
      </c>
      <c r="I91" s="73" t="str">
        <f t="shared" si="21"/>
        <v/>
      </c>
      <c r="J91" s="73" t="str">
        <f t="shared" si="21"/>
        <v/>
      </c>
      <c r="K91" s="73" t="str">
        <f t="shared" si="18"/>
        <v/>
      </c>
      <c r="L91" s="73" t="str">
        <f t="shared" si="18"/>
        <v/>
      </c>
      <c r="M91" s="73" t="str">
        <f t="shared" si="18"/>
        <v/>
      </c>
      <c r="N91" s="73" t="str">
        <f t="shared" si="17"/>
        <v/>
      </c>
      <c r="O91" s="73" t="str">
        <f t="shared" si="17"/>
        <v/>
      </c>
      <c r="P91" s="73" t="str">
        <f t="shared" si="17"/>
        <v/>
      </c>
      <c r="Q91" s="73" t="str">
        <f t="shared" si="17"/>
        <v/>
      </c>
      <c r="R91" s="73" t="str">
        <f t="shared" si="19"/>
        <v/>
      </c>
      <c r="S91" s="73" t="str">
        <f t="shared" si="19"/>
        <v/>
      </c>
      <c r="T91" s="73" t="str">
        <f t="shared" si="19"/>
        <v/>
      </c>
      <c r="U91" s="73" t="str">
        <f t="shared" si="19"/>
        <v/>
      </c>
      <c r="V91" s="73" t="str">
        <f t="shared" si="19"/>
        <v/>
      </c>
      <c r="W91" s="73" t="str">
        <f t="shared" si="19"/>
        <v/>
      </c>
      <c r="X91" s="73" t="str">
        <f t="shared" ref="R91:AB114" si="32">IF($C91="","",IF(SUM(X$307*$G91)&gt;$F91,$F91,SUM(X$307*$G91)))</f>
        <v/>
      </c>
      <c r="Y91" s="73" t="str">
        <f t="shared" si="32"/>
        <v/>
      </c>
      <c r="Z91" s="73" t="str">
        <f t="shared" si="32"/>
        <v/>
      </c>
      <c r="AA91" s="73" t="str">
        <f t="shared" si="32"/>
        <v/>
      </c>
      <c r="AB91" s="74" t="str">
        <f t="shared" si="32"/>
        <v/>
      </c>
      <c r="AC91" s="35" t="str">
        <f t="shared" si="22"/>
        <v/>
      </c>
      <c r="AD91" s="40" t="str">
        <f t="shared" si="23"/>
        <v/>
      </c>
      <c r="AE91" s="37" t="str">
        <f t="shared" si="24"/>
        <v/>
      </c>
      <c r="AF91" s="40" t="str">
        <f t="shared" si="25"/>
        <v/>
      </c>
      <c r="AG91" s="37" t="str">
        <f t="shared" si="26"/>
        <v/>
      </c>
      <c r="AH91" s="40" t="str">
        <f t="shared" si="27"/>
        <v/>
      </c>
      <c r="AI91" s="37" t="str">
        <f t="shared" si="28"/>
        <v/>
      </c>
      <c r="AJ91" s="40" t="str">
        <f t="shared" si="29"/>
        <v/>
      </c>
      <c r="AK91" s="204" t="str">
        <f>IF(C91="","",IF(E91=FROTA!$AT$18,IF('DEFINA!!!'!$L$6="D-E-F-I-N-A !!!!!!!",0,IF('DEFINA!!!'!$L$6="Opto por Idade Média",SEM!AW91,IF('DEFINA!!!'!$L$6="Opto pelo Valor aplicado ao  Ano de cada Carro",SEM!AX91,0))),IF(E91=FROTA!$AT$17,IF('DEFINA!!!'!$L$6="D-E-F-I-N-A !!!!!!!",0,IF('DEFINA!!!'!$L$6="Opto por Idade Média",SEM!AW91,IF('DEFINA!!!'!$L$6="Opto pelo Valor aplicado ao  Ano de cada Carro",SEM!AX91,0))),IF(E91=FROTA!$AT$16,IF('DEFINA!!!'!$L$6="D-E-F-I-N-A !!!!!!!",0,IF('DEFINA!!!'!$L$6="Opto por Idade Média",SEM!AW91,IF('DEFINA!!!'!$L$6="Opto pelo Valor aplicado ao  Ano de cada Carro",SEM!AX91,0))),IF('DEFINA!!!'!$L$6="D-E-F-I-N-A !!!!!!!",0,IF('DEFINA!!!'!$L$6="Opto por Idade Média",SEM!AU91,IF('DEFINA!!!'!$L$6="Opto pelo Valor aplicado ao  Ano de cada Carro",SEM!AV91,0)))))))</f>
        <v/>
      </c>
      <c r="AL91" s="6"/>
      <c r="AM91" s="79" t="str">
        <f t="shared" si="30"/>
        <v/>
      </c>
      <c r="AN91" s="12"/>
      <c r="AO91" s="12"/>
      <c r="AP91" s="14"/>
      <c r="AQ91" s="16"/>
      <c r="AR91" s="15"/>
      <c r="AU91" s="198" t="str">
        <f>IF(C91="","",VLOOKUP(FROTA!$AB$2,RECEBÍVEIS!$AA$11:$AB$43,2,0))</f>
        <v/>
      </c>
      <c r="AV91" s="198" t="str">
        <f>IF(C91="","",IF(C91=FROTA!Z91="","",VLOOKUP(FROTA!Z91,RECEBÍVEIS!$AA$11:$AB$43,2,0)))</f>
        <v/>
      </c>
      <c r="AW91" s="198" t="str">
        <f>IF(C91="","",VLOOKUP(FROTA!$AB$2,RECEBÍVEIS!$AA$11:$AC$43,3,0))</f>
        <v/>
      </c>
      <c r="AX91" s="198" t="str">
        <f>IF(C91="","",IF(C91=FROTA!Z91="","",VLOOKUP(FROTA!Z91,RECEBÍVEIS!$AA$11:$AC$43,3,0)))</f>
        <v/>
      </c>
    </row>
    <row r="92" spans="2:50" ht="17.25" customHeight="1" x14ac:dyDescent="0.2">
      <c r="B92" s="6"/>
      <c r="C92" s="49" t="str">
        <f>IF(FROTA!B92="","",FROTA!B92)</f>
        <v/>
      </c>
      <c r="D92" s="220" t="str">
        <f>IF(C92="","",VLOOKUP(SEM!C92,FROTA!$B$5:$C$305,2,0))</f>
        <v/>
      </c>
      <c r="E92" s="24" t="str">
        <f>IF(C92="","",VLOOKUP(C92,FROTA!$B$5:$H$305,7,0))</f>
        <v/>
      </c>
      <c r="F92" s="38" t="str">
        <f t="shared" si="20"/>
        <v/>
      </c>
      <c r="G92" s="71" t="str">
        <f t="shared" si="31"/>
        <v/>
      </c>
      <c r="H92" s="32" t="str">
        <f t="shared" si="21"/>
        <v/>
      </c>
      <c r="I92" s="73" t="str">
        <f t="shared" si="21"/>
        <v/>
      </c>
      <c r="J92" s="73" t="str">
        <f t="shared" si="21"/>
        <v/>
      </c>
      <c r="K92" s="73" t="str">
        <f t="shared" si="18"/>
        <v/>
      </c>
      <c r="L92" s="73" t="str">
        <f t="shared" si="18"/>
        <v/>
      </c>
      <c r="M92" s="73" t="str">
        <f t="shared" si="18"/>
        <v/>
      </c>
      <c r="N92" s="73" t="str">
        <f t="shared" si="17"/>
        <v/>
      </c>
      <c r="O92" s="73" t="str">
        <f t="shared" si="17"/>
        <v/>
      </c>
      <c r="P92" s="73" t="str">
        <f t="shared" si="17"/>
        <v/>
      </c>
      <c r="Q92" s="73" t="str">
        <f t="shared" si="17"/>
        <v/>
      </c>
      <c r="R92" s="73" t="str">
        <f t="shared" si="32"/>
        <v/>
      </c>
      <c r="S92" s="73" t="str">
        <f t="shared" si="32"/>
        <v/>
      </c>
      <c r="T92" s="73" t="str">
        <f t="shared" si="32"/>
        <v/>
      </c>
      <c r="U92" s="73" t="str">
        <f t="shared" si="32"/>
        <v/>
      </c>
      <c r="V92" s="73" t="str">
        <f t="shared" si="32"/>
        <v/>
      </c>
      <c r="W92" s="73" t="str">
        <f t="shared" si="32"/>
        <v/>
      </c>
      <c r="X92" s="73" t="str">
        <f t="shared" si="32"/>
        <v/>
      </c>
      <c r="Y92" s="73" t="str">
        <f t="shared" si="32"/>
        <v/>
      </c>
      <c r="Z92" s="73" t="str">
        <f t="shared" si="32"/>
        <v/>
      </c>
      <c r="AA92" s="73" t="str">
        <f t="shared" si="32"/>
        <v/>
      </c>
      <c r="AB92" s="74" t="str">
        <f t="shared" si="32"/>
        <v/>
      </c>
      <c r="AC92" s="35" t="str">
        <f t="shared" si="22"/>
        <v/>
      </c>
      <c r="AD92" s="40" t="str">
        <f t="shared" si="23"/>
        <v/>
      </c>
      <c r="AE92" s="37" t="str">
        <f t="shared" si="24"/>
        <v/>
      </c>
      <c r="AF92" s="40" t="str">
        <f t="shared" si="25"/>
        <v/>
      </c>
      <c r="AG92" s="37" t="str">
        <f t="shared" si="26"/>
        <v/>
      </c>
      <c r="AH92" s="40" t="str">
        <f t="shared" si="27"/>
        <v/>
      </c>
      <c r="AI92" s="37" t="str">
        <f t="shared" si="28"/>
        <v/>
      </c>
      <c r="AJ92" s="40" t="str">
        <f t="shared" si="29"/>
        <v/>
      </c>
      <c r="AK92" s="204" t="str">
        <f>IF(C92="","",IF(E92=FROTA!$AT$18,IF('DEFINA!!!'!$L$6="D-E-F-I-N-A !!!!!!!",0,IF('DEFINA!!!'!$L$6="Opto por Idade Média",SEM!AW92,IF('DEFINA!!!'!$L$6="Opto pelo Valor aplicado ao  Ano de cada Carro",SEM!AX92,0))),IF(E92=FROTA!$AT$17,IF('DEFINA!!!'!$L$6="D-E-F-I-N-A !!!!!!!",0,IF('DEFINA!!!'!$L$6="Opto por Idade Média",SEM!AW92,IF('DEFINA!!!'!$L$6="Opto pelo Valor aplicado ao  Ano de cada Carro",SEM!AX92,0))),IF(E92=FROTA!$AT$16,IF('DEFINA!!!'!$L$6="D-E-F-I-N-A !!!!!!!",0,IF('DEFINA!!!'!$L$6="Opto por Idade Média",SEM!AW92,IF('DEFINA!!!'!$L$6="Opto pelo Valor aplicado ao  Ano de cada Carro",SEM!AX92,0))),IF('DEFINA!!!'!$L$6="D-E-F-I-N-A !!!!!!!",0,IF('DEFINA!!!'!$L$6="Opto por Idade Média",SEM!AU92,IF('DEFINA!!!'!$L$6="Opto pelo Valor aplicado ao  Ano de cada Carro",SEM!AV92,0)))))))</f>
        <v/>
      </c>
      <c r="AL92" s="6"/>
      <c r="AM92" s="79" t="str">
        <f t="shared" si="30"/>
        <v/>
      </c>
      <c r="AN92" s="12"/>
      <c r="AO92" s="12"/>
      <c r="AP92" s="14"/>
      <c r="AQ92" s="16"/>
      <c r="AR92" s="15"/>
      <c r="AU92" s="198" t="str">
        <f>IF(C92="","",VLOOKUP(FROTA!$AB$2,RECEBÍVEIS!$AA$11:$AB$43,2,0))</f>
        <v/>
      </c>
      <c r="AV92" s="198" t="str">
        <f>IF(C92="","",IF(C92=FROTA!Z92="","",VLOOKUP(FROTA!Z92,RECEBÍVEIS!$AA$11:$AB$43,2,0)))</f>
        <v/>
      </c>
      <c r="AW92" s="198" t="str">
        <f>IF(C92="","",VLOOKUP(FROTA!$AB$2,RECEBÍVEIS!$AA$11:$AC$43,3,0))</f>
        <v/>
      </c>
      <c r="AX92" s="198" t="str">
        <f>IF(C92="","",IF(C92=FROTA!Z92="","",VLOOKUP(FROTA!Z92,RECEBÍVEIS!$AA$11:$AC$43,3,0)))</f>
        <v/>
      </c>
    </row>
    <row r="93" spans="2:50" ht="17.25" customHeight="1" x14ac:dyDescent="0.2">
      <c r="B93" s="6"/>
      <c r="C93" s="49" t="str">
        <f>IF(FROTA!B93="","",FROTA!B93)</f>
        <v/>
      </c>
      <c r="D93" s="220" t="str">
        <f>IF(C93="","",VLOOKUP(SEM!C93,FROTA!$B$5:$C$305,2,0))</f>
        <v/>
      </c>
      <c r="E93" s="24" t="str">
        <f>IF(C93="","",VLOOKUP(C93,FROTA!$B$5:$H$305,7,0))</f>
        <v/>
      </c>
      <c r="F93" s="38" t="str">
        <f t="shared" si="20"/>
        <v/>
      </c>
      <c r="G93" s="71" t="str">
        <f t="shared" si="31"/>
        <v/>
      </c>
      <c r="H93" s="32" t="str">
        <f t="shared" si="21"/>
        <v/>
      </c>
      <c r="I93" s="73" t="str">
        <f t="shared" si="21"/>
        <v/>
      </c>
      <c r="J93" s="73" t="str">
        <f t="shared" si="21"/>
        <v/>
      </c>
      <c r="K93" s="73" t="str">
        <f t="shared" si="18"/>
        <v/>
      </c>
      <c r="L93" s="73" t="str">
        <f t="shared" si="18"/>
        <v/>
      </c>
      <c r="M93" s="73" t="str">
        <f t="shared" si="18"/>
        <v/>
      </c>
      <c r="N93" s="73" t="str">
        <f t="shared" si="17"/>
        <v/>
      </c>
      <c r="O93" s="73" t="str">
        <f t="shared" si="17"/>
        <v/>
      </c>
      <c r="P93" s="73" t="str">
        <f t="shared" si="17"/>
        <v/>
      </c>
      <c r="Q93" s="73" t="str">
        <f t="shared" si="17"/>
        <v/>
      </c>
      <c r="R93" s="73" t="str">
        <f t="shared" si="32"/>
        <v/>
      </c>
      <c r="S93" s="73" t="str">
        <f t="shared" si="32"/>
        <v/>
      </c>
      <c r="T93" s="73" t="str">
        <f t="shared" si="32"/>
        <v/>
      </c>
      <c r="U93" s="73" t="str">
        <f t="shared" si="32"/>
        <v/>
      </c>
      <c r="V93" s="73" t="str">
        <f t="shared" si="32"/>
        <v/>
      </c>
      <c r="W93" s="73" t="str">
        <f t="shared" si="32"/>
        <v/>
      </c>
      <c r="X93" s="73" t="str">
        <f t="shared" si="32"/>
        <v/>
      </c>
      <c r="Y93" s="73" t="str">
        <f t="shared" si="32"/>
        <v/>
      </c>
      <c r="Z93" s="73" t="str">
        <f t="shared" si="32"/>
        <v/>
      </c>
      <c r="AA93" s="73" t="str">
        <f t="shared" si="32"/>
        <v/>
      </c>
      <c r="AB93" s="74" t="str">
        <f t="shared" si="32"/>
        <v/>
      </c>
      <c r="AC93" s="35" t="str">
        <f t="shared" si="22"/>
        <v/>
      </c>
      <c r="AD93" s="40" t="str">
        <f t="shared" si="23"/>
        <v/>
      </c>
      <c r="AE93" s="37" t="str">
        <f t="shared" si="24"/>
        <v/>
      </c>
      <c r="AF93" s="40" t="str">
        <f t="shared" si="25"/>
        <v/>
      </c>
      <c r="AG93" s="37" t="str">
        <f t="shared" si="26"/>
        <v/>
      </c>
      <c r="AH93" s="40" t="str">
        <f t="shared" si="27"/>
        <v/>
      </c>
      <c r="AI93" s="37" t="str">
        <f t="shared" si="28"/>
        <v/>
      </c>
      <c r="AJ93" s="40" t="str">
        <f t="shared" si="29"/>
        <v/>
      </c>
      <c r="AK93" s="204" t="str">
        <f>IF(C93="","",IF(E93=FROTA!$AT$18,IF('DEFINA!!!'!$L$6="D-E-F-I-N-A !!!!!!!",0,IF('DEFINA!!!'!$L$6="Opto por Idade Média",SEM!AW93,IF('DEFINA!!!'!$L$6="Opto pelo Valor aplicado ao  Ano de cada Carro",SEM!AX93,0))),IF(E93=FROTA!$AT$17,IF('DEFINA!!!'!$L$6="D-E-F-I-N-A !!!!!!!",0,IF('DEFINA!!!'!$L$6="Opto por Idade Média",SEM!AW93,IF('DEFINA!!!'!$L$6="Opto pelo Valor aplicado ao  Ano de cada Carro",SEM!AX93,0))),IF(E93=FROTA!$AT$16,IF('DEFINA!!!'!$L$6="D-E-F-I-N-A !!!!!!!",0,IF('DEFINA!!!'!$L$6="Opto por Idade Média",SEM!AW93,IF('DEFINA!!!'!$L$6="Opto pelo Valor aplicado ao  Ano de cada Carro",SEM!AX93,0))),IF('DEFINA!!!'!$L$6="D-E-F-I-N-A !!!!!!!",0,IF('DEFINA!!!'!$L$6="Opto por Idade Média",SEM!AU93,IF('DEFINA!!!'!$L$6="Opto pelo Valor aplicado ao  Ano de cada Carro",SEM!AV93,0)))))))</f>
        <v/>
      </c>
      <c r="AL93" s="6"/>
      <c r="AM93" s="79" t="str">
        <f t="shared" si="30"/>
        <v/>
      </c>
      <c r="AN93" s="12"/>
      <c r="AO93" s="12"/>
      <c r="AP93" s="14"/>
      <c r="AQ93" s="16"/>
      <c r="AR93" s="15"/>
      <c r="AU93" s="198" t="str">
        <f>IF(C93="","",VLOOKUP(FROTA!$AB$2,RECEBÍVEIS!$AA$11:$AB$43,2,0))</f>
        <v/>
      </c>
      <c r="AV93" s="198" t="str">
        <f>IF(C93="","",IF(C93=FROTA!Z93="","",VLOOKUP(FROTA!Z93,RECEBÍVEIS!$AA$11:$AB$43,2,0)))</f>
        <v/>
      </c>
      <c r="AW93" s="198" t="str">
        <f>IF(C93="","",VLOOKUP(FROTA!$AB$2,RECEBÍVEIS!$AA$11:$AC$43,3,0))</f>
        <v/>
      </c>
      <c r="AX93" s="198" t="str">
        <f>IF(C93="","",IF(C93=FROTA!Z93="","",VLOOKUP(FROTA!Z93,RECEBÍVEIS!$AA$11:$AC$43,3,0)))</f>
        <v/>
      </c>
    </row>
    <row r="94" spans="2:50" ht="17.25" customHeight="1" x14ac:dyDescent="0.2">
      <c r="B94" s="6"/>
      <c r="C94" s="49" t="str">
        <f>IF(FROTA!B94="","",FROTA!B94)</f>
        <v/>
      </c>
      <c r="D94" s="220" t="str">
        <f>IF(C94="","",VLOOKUP(SEM!C94,FROTA!$B$5:$C$305,2,0))</f>
        <v/>
      </c>
      <c r="E94" s="24" t="str">
        <f>IF(C94="","",VLOOKUP(C94,FROTA!$B$5:$H$305,7,0))</f>
        <v/>
      </c>
      <c r="F94" s="38" t="str">
        <f t="shared" si="20"/>
        <v/>
      </c>
      <c r="G94" s="71" t="str">
        <f t="shared" si="31"/>
        <v/>
      </c>
      <c r="H94" s="32" t="str">
        <f t="shared" si="21"/>
        <v/>
      </c>
      <c r="I94" s="73" t="str">
        <f t="shared" si="21"/>
        <v/>
      </c>
      <c r="J94" s="73" t="str">
        <f t="shared" si="21"/>
        <v/>
      </c>
      <c r="K94" s="73" t="str">
        <f t="shared" si="18"/>
        <v/>
      </c>
      <c r="L94" s="73" t="str">
        <f t="shared" si="18"/>
        <v/>
      </c>
      <c r="M94" s="73" t="str">
        <f t="shared" si="18"/>
        <v/>
      </c>
      <c r="N94" s="73" t="str">
        <f t="shared" si="17"/>
        <v/>
      </c>
      <c r="O94" s="73" t="str">
        <f t="shared" si="17"/>
        <v/>
      </c>
      <c r="P94" s="73" t="str">
        <f t="shared" si="17"/>
        <v/>
      </c>
      <c r="Q94" s="73" t="str">
        <f t="shared" si="17"/>
        <v/>
      </c>
      <c r="R94" s="73" t="str">
        <f t="shared" si="32"/>
        <v/>
      </c>
      <c r="S94" s="73" t="str">
        <f t="shared" si="32"/>
        <v/>
      </c>
      <c r="T94" s="73" t="str">
        <f t="shared" si="32"/>
        <v/>
      </c>
      <c r="U94" s="73" t="str">
        <f t="shared" si="32"/>
        <v/>
      </c>
      <c r="V94" s="73" t="str">
        <f t="shared" si="32"/>
        <v/>
      </c>
      <c r="W94" s="73" t="str">
        <f t="shared" si="32"/>
        <v/>
      </c>
      <c r="X94" s="73" t="str">
        <f t="shared" si="32"/>
        <v/>
      </c>
      <c r="Y94" s="73" t="str">
        <f t="shared" si="32"/>
        <v/>
      </c>
      <c r="Z94" s="73" t="str">
        <f t="shared" si="32"/>
        <v/>
      </c>
      <c r="AA94" s="73" t="str">
        <f t="shared" si="32"/>
        <v/>
      </c>
      <c r="AB94" s="74" t="str">
        <f t="shared" si="32"/>
        <v/>
      </c>
      <c r="AC94" s="35" t="str">
        <f t="shared" si="22"/>
        <v/>
      </c>
      <c r="AD94" s="40" t="str">
        <f t="shared" si="23"/>
        <v/>
      </c>
      <c r="AE94" s="37" t="str">
        <f t="shared" si="24"/>
        <v/>
      </c>
      <c r="AF94" s="40" t="str">
        <f t="shared" si="25"/>
        <v/>
      </c>
      <c r="AG94" s="37" t="str">
        <f t="shared" si="26"/>
        <v/>
      </c>
      <c r="AH94" s="40" t="str">
        <f t="shared" si="27"/>
        <v/>
      </c>
      <c r="AI94" s="37" t="str">
        <f t="shared" si="28"/>
        <v/>
      </c>
      <c r="AJ94" s="40" t="str">
        <f t="shared" si="29"/>
        <v/>
      </c>
      <c r="AK94" s="204" t="str">
        <f>IF(C94="","",IF(E94=FROTA!$AT$18,IF('DEFINA!!!'!$L$6="D-E-F-I-N-A !!!!!!!",0,IF('DEFINA!!!'!$L$6="Opto por Idade Média",SEM!AW94,IF('DEFINA!!!'!$L$6="Opto pelo Valor aplicado ao  Ano de cada Carro",SEM!AX94,0))),IF(E94=FROTA!$AT$17,IF('DEFINA!!!'!$L$6="D-E-F-I-N-A !!!!!!!",0,IF('DEFINA!!!'!$L$6="Opto por Idade Média",SEM!AW94,IF('DEFINA!!!'!$L$6="Opto pelo Valor aplicado ao  Ano de cada Carro",SEM!AX94,0))),IF(E94=FROTA!$AT$16,IF('DEFINA!!!'!$L$6="D-E-F-I-N-A !!!!!!!",0,IF('DEFINA!!!'!$L$6="Opto por Idade Média",SEM!AW94,IF('DEFINA!!!'!$L$6="Opto pelo Valor aplicado ao  Ano de cada Carro",SEM!AX94,0))),IF('DEFINA!!!'!$L$6="D-E-F-I-N-A !!!!!!!",0,IF('DEFINA!!!'!$L$6="Opto por Idade Média",SEM!AU94,IF('DEFINA!!!'!$L$6="Opto pelo Valor aplicado ao  Ano de cada Carro",SEM!AV94,0)))))))</f>
        <v/>
      </c>
      <c r="AL94" s="6"/>
      <c r="AM94" s="79" t="str">
        <f t="shared" si="30"/>
        <v/>
      </c>
      <c r="AN94" s="12"/>
      <c r="AO94" s="12"/>
      <c r="AP94" s="14"/>
      <c r="AQ94" s="16"/>
      <c r="AR94" s="15"/>
      <c r="AU94" s="198" t="str">
        <f>IF(C94="","",VLOOKUP(FROTA!$AB$2,RECEBÍVEIS!$AA$11:$AB$43,2,0))</f>
        <v/>
      </c>
      <c r="AV94" s="198" t="str">
        <f>IF(C94="","",IF(C94=FROTA!Z94="","",VLOOKUP(FROTA!Z94,RECEBÍVEIS!$AA$11:$AB$43,2,0)))</f>
        <v/>
      </c>
      <c r="AW94" s="198" t="str">
        <f>IF(C94="","",VLOOKUP(FROTA!$AB$2,RECEBÍVEIS!$AA$11:$AC$43,3,0))</f>
        <v/>
      </c>
      <c r="AX94" s="198" t="str">
        <f>IF(C94="","",IF(C94=FROTA!Z94="","",VLOOKUP(FROTA!Z94,RECEBÍVEIS!$AA$11:$AC$43,3,0)))</f>
        <v/>
      </c>
    </row>
    <row r="95" spans="2:50" ht="17.25" customHeight="1" x14ac:dyDescent="0.2">
      <c r="B95" s="6"/>
      <c r="C95" s="49" t="str">
        <f>IF(FROTA!B95="","",FROTA!B95)</f>
        <v/>
      </c>
      <c r="D95" s="220" t="str">
        <f>IF(C95="","",VLOOKUP(SEM!C95,FROTA!$B$5:$C$305,2,0))</f>
        <v/>
      </c>
      <c r="E95" s="24" t="str">
        <f>IF(C95="","",VLOOKUP(C95,FROTA!$B$5:$H$305,7,0))</f>
        <v/>
      </c>
      <c r="F95" s="38" t="str">
        <f t="shared" si="20"/>
        <v/>
      </c>
      <c r="G95" s="71" t="str">
        <f t="shared" si="31"/>
        <v/>
      </c>
      <c r="H95" s="32" t="str">
        <f t="shared" si="21"/>
        <v/>
      </c>
      <c r="I95" s="73" t="str">
        <f t="shared" si="21"/>
        <v/>
      </c>
      <c r="J95" s="73" t="str">
        <f t="shared" si="21"/>
        <v/>
      </c>
      <c r="K95" s="73" t="str">
        <f t="shared" si="18"/>
        <v/>
      </c>
      <c r="L95" s="73" t="str">
        <f t="shared" si="18"/>
        <v/>
      </c>
      <c r="M95" s="73" t="str">
        <f t="shared" si="18"/>
        <v/>
      </c>
      <c r="N95" s="73" t="str">
        <f t="shared" si="17"/>
        <v/>
      </c>
      <c r="O95" s="73" t="str">
        <f t="shared" si="17"/>
        <v/>
      </c>
      <c r="P95" s="73" t="str">
        <f t="shared" si="17"/>
        <v/>
      </c>
      <c r="Q95" s="73" t="str">
        <f t="shared" si="17"/>
        <v/>
      </c>
      <c r="R95" s="73" t="str">
        <f t="shared" si="32"/>
        <v/>
      </c>
      <c r="S95" s="73" t="str">
        <f t="shared" si="32"/>
        <v/>
      </c>
      <c r="T95" s="73" t="str">
        <f t="shared" si="32"/>
        <v/>
      </c>
      <c r="U95" s="73" t="str">
        <f t="shared" si="32"/>
        <v/>
      </c>
      <c r="V95" s="73" t="str">
        <f t="shared" si="32"/>
        <v/>
      </c>
      <c r="W95" s="73" t="str">
        <f t="shared" si="32"/>
        <v/>
      </c>
      <c r="X95" s="73" t="str">
        <f t="shared" si="32"/>
        <v/>
      </c>
      <c r="Y95" s="73" t="str">
        <f t="shared" si="32"/>
        <v/>
      </c>
      <c r="Z95" s="73" t="str">
        <f t="shared" si="32"/>
        <v/>
      </c>
      <c r="AA95" s="73" t="str">
        <f t="shared" si="32"/>
        <v/>
      </c>
      <c r="AB95" s="74" t="str">
        <f t="shared" si="32"/>
        <v/>
      </c>
      <c r="AC95" s="35" t="str">
        <f t="shared" si="22"/>
        <v/>
      </c>
      <c r="AD95" s="40" t="str">
        <f t="shared" si="23"/>
        <v/>
      </c>
      <c r="AE95" s="37" t="str">
        <f t="shared" si="24"/>
        <v/>
      </c>
      <c r="AF95" s="40" t="str">
        <f t="shared" si="25"/>
        <v/>
      </c>
      <c r="AG95" s="37" t="str">
        <f t="shared" si="26"/>
        <v/>
      </c>
      <c r="AH95" s="40" t="str">
        <f t="shared" si="27"/>
        <v/>
      </c>
      <c r="AI95" s="37" t="str">
        <f t="shared" si="28"/>
        <v/>
      </c>
      <c r="AJ95" s="40" t="str">
        <f t="shared" si="29"/>
        <v/>
      </c>
      <c r="AK95" s="204" t="str">
        <f>IF(C95="","",IF(E95=FROTA!$AT$18,IF('DEFINA!!!'!$L$6="D-E-F-I-N-A !!!!!!!",0,IF('DEFINA!!!'!$L$6="Opto por Idade Média",SEM!AW95,IF('DEFINA!!!'!$L$6="Opto pelo Valor aplicado ao  Ano de cada Carro",SEM!AX95,0))),IF(E95=FROTA!$AT$17,IF('DEFINA!!!'!$L$6="D-E-F-I-N-A !!!!!!!",0,IF('DEFINA!!!'!$L$6="Opto por Idade Média",SEM!AW95,IF('DEFINA!!!'!$L$6="Opto pelo Valor aplicado ao  Ano de cada Carro",SEM!AX95,0))),IF(E95=FROTA!$AT$16,IF('DEFINA!!!'!$L$6="D-E-F-I-N-A !!!!!!!",0,IF('DEFINA!!!'!$L$6="Opto por Idade Média",SEM!AW95,IF('DEFINA!!!'!$L$6="Opto pelo Valor aplicado ao  Ano de cada Carro",SEM!AX95,0))),IF('DEFINA!!!'!$L$6="D-E-F-I-N-A !!!!!!!",0,IF('DEFINA!!!'!$L$6="Opto por Idade Média",SEM!AU95,IF('DEFINA!!!'!$L$6="Opto pelo Valor aplicado ao  Ano de cada Carro",SEM!AV95,0)))))))</f>
        <v/>
      </c>
      <c r="AL95" s="6"/>
      <c r="AM95" s="79" t="str">
        <f t="shared" si="30"/>
        <v/>
      </c>
      <c r="AN95" s="12"/>
      <c r="AO95" s="12"/>
      <c r="AP95" s="14"/>
      <c r="AQ95" s="16"/>
      <c r="AR95" s="15"/>
      <c r="AU95" s="198" t="str">
        <f>IF(C95="","",VLOOKUP(FROTA!$AB$2,RECEBÍVEIS!$AA$11:$AB$43,2,0))</f>
        <v/>
      </c>
      <c r="AV95" s="198" t="str">
        <f>IF(C95="","",IF(C95=FROTA!Z95="","",VLOOKUP(FROTA!Z95,RECEBÍVEIS!$AA$11:$AB$43,2,0)))</f>
        <v/>
      </c>
      <c r="AW95" s="198" t="str">
        <f>IF(C95="","",VLOOKUP(FROTA!$AB$2,RECEBÍVEIS!$AA$11:$AC$43,3,0))</f>
        <v/>
      </c>
      <c r="AX95" s="198" t="str">
        <f>IF(C95="","",IF(C95=FROTA!Z95="","",VLOOKUP(FROTA!Z95,RECEBÍVEIS!$AA$11:$AC$43,3,0)))</f>
        <v/>
      </c>
    </row>
    <row r="96" spans="2:50" ht="17.25" customHeight="1" x14ac:dyDescent="0.2">
      <c r="B96" s="6"/>
      <c r="C96" s="49" t="str">
        <f>IF(FROTA!B96="","",FROTA!B96)</f>
        <v/>
      </c>
      <c r="D96" s="220" t="str">
        <f>IF(C96="","",VLOOKUP(SEM!C96,FROTA!$B$5:$C$305,2,0))</f>
        <v/>
      </c>
      <c r="E96" s="24" t="str">
        <f>IF(C96="","",VLOOKUP(C96,FROTA!$B$5:$H$305,7,0))</f>
        <v/>
      </c>
      <c r="F96" s="38" t="str">
        <f t="shared" si="20"/>
        <v/>
      </c>
      <c r="G96" s="71" t="str">
        <f t="shared" si="31"/>
        <v/>
      </c>
      <c r="H96" s="32" t="str">
        <f t="shared" si="21"/>
        <v/>
      </c>
      <c r="I96" s="73" t="str">
        <f t="shared" si="21"/>
        <v/>
      </c>
      <c r="J96" s="73" t="str">
        <f t="shared" si="21"/>
        <v/>
      </c>
      <c r="K96" s="73" t="str">
        <f t="shared" si="18"/>
        <v/>
      </c>
      <c r="L96" s="73" t="str">
        <f t="shared" si="18"/>
        <v/>
      </c>
      <c r="M96" s="73" t="str">
        <f t="shared" si="18"/>
        <v/>
      </c>
      <c r="N96" s="73" t="str">
        <f t="shared" si="17"/>
        <v/>
      </c>
      <c r="O96" s="73" t="str">
        <f t="shared" si="17"/>
        <v/>
      </c>
      <c r="P96" s="73" t="str">
        <f t="shared" si="17"/>
        <v/>
      </c>
      <c r="Q96" s="73" t="str">
        <f t="shared" si="17"/>
        <v/>
      </c>
      <c r="R96" s="73" t="str">
        <f t="shared" si="32"/>
        <v/>
      </c>
      <c r="S96" s="73" t="str">
        <f t="shared" si="32"/>
        <v/>
      </c>
      <c r="T96" s="73" t="str">
        <f t="shared" si="32"/>
        <v/>
      </c>
      <c r="U96" s="73" t="str">
        <f t="shared" si="32"/>
        <v/>
      </c>
      <c r="V96" s="73" t="str">
        <f t="shared" si="32"/>
        <v/>
      </c>
      <c r="W96" s="73" t="str">
        <f t="shared" si="32"/>
        <v/>
      </c>
      <c r="X96" s="73" t="str">
        <f t="shared" si="32"/>
        <v/>
      </c>
      <c r="Y96" s="73" t="str">
        <f t="shared" si="32"/>
        <v/>
      </c>
      <c r="Z96" s="73" t="str">
        <f t="shared" si="32"/>
        <v/>
      </c>
      <c r="AA96" s="73" t="str">
        <f t="shared" si="32"/>
        <v/>
      </c>
      <c r="AB96" s="74" t="str">
        <f t="shared" si="32"/>
        <v/>
      </c>
      <c r="AC96" s="35" t="str">
        <f t="shared" si="22"/>
        <v/>
      </c>
      <c r="AD96" s="40" t="str">
        <f t="shared" si="23"/>
        <v/>
      </c>
      <c r="AE96" s="37" t="str">
        <f t="shared" si="24"/>
        <v/>
      </c>
      <c r="AF96" s="40" t="str">
        <f t="shared" si="25"/>
        <v/>
      </c>
      <c r="AG96" s="37" t="str">
        <f t="shared" si="26"/>
        <v/>
      </c>
      <c r="AH96" s="40" t="str">
        <f t="shared" si="27"/>
        <v/>
      </c>
      <c r="AI96" s="37" t="str">
        <f t="shared" si="28"/>
        <v/>
      </c>
      <c r="AJ96" s="40" t="str">
        <f t="shared" si="29"/>
        <v/>
      </c>
      <c r="AK96" s="204" t="str">
        <f>IF(C96="","",IF(E96=FROTA!$AT$18,IF('DEFINA!!!'!$L$6="D-E-F-I-N-A !!!!!!!",0,IF('DEFINA!!!'!$L$6="Opto por Idade Média",SEM!AW96,IF('DEFINA!!!'!$L$6="Opto pelo Valor aplicado ao  Ano de cada Carro",SEM!AX96,0))),IF(E96=FROTA!$AT$17,IF('DEFINA!!!'!$L$6="D-E-F-I-N-A !!!!!!!",0,IF('DEFINA!!!'!$L$6="Opto por Idade Média",SEM!AW96,IF('DEFINA!!!'!$L$6="Opto pelo Valor aplicado ao  Ano de cada Carro",SEM!AX96,0))),IF(E96=FROTA!$AT$16,IF('DEFINA!!!'!$L$6="D-E-F-I-N-A !!!!!!!",0,IF('DEFINA!!!'!$L$6="Opto por Idade Média",SEM!AW96,IF('DEFINA!!!'!$L$6="Opto pelo Valor aplicado ao  Ano de cada Carro",SEM!AX96,0))),IF('DEFINA!!!'!$L$6="D-E-F-I-N-A !!!!!!!",0,IF('DEFINA!!!'!$L$6="Opto por Idade Média",SEM!AU96,IF('DEFINA!!!'!$L$6="Opto pelo Valor aplicado ao  Ano de cada Carro",SEM!AV96,0)))))))</f>
        <v/>
      </c>
      <c r="AL96" s="6"/>
      <c r="AM96" s="79" t="str">
        <f t="shared" si="30"/>
        <v/>
      </c>
      <c r="AN96" s="12"/>
      <c r="AO96" s="12"/>
      <c r="AP96" s="14"/>
      <c r="AQ96" s="16"/>
      <c r="AR96" s="15"/>
      <c r="AU96" s="198" t="str">
        <f>IF(C96="","",VLOOKUP(FROTA!$AB$2,RECEBÍVEIS!$AA$11:$AB$43,2,0))</f>
        <v/>
      </c>
      <c r="AV96" s="198" t="str">
        <f>IF(C96="","",IF(C96=FROTA!Z96="","",VLOOKUP(FROTA!Z96,RECEBÍVEIS!$AA$11:$AB$43,2,0)))</f>
        <v/>
      </c>
      <c r="AW96" s="198" t="str">
        <f>IF(C96="","",VLOOKUP(FROTA!$AB$2,RECEBÍVEIS!$AA$11:$AC$43,3,0))</f>
        <v/>
      </c>
      <c r="AX96" s="198" t="str">
        <f>IF(C96="","",IF(C96=FROTA!Z96="","",VLOOKUP(FROTA!Z96,RECEBÍVEIS!$AA$11:$AC$43,3,0)))</f>
        <v/>
      </c>
    </row>
    <row r="97" spans="2:50" ht="17.25" customHeight="1" x14ac:dyDescent="0.2">
      <c r="B97" s="6"/>
      <c r="C97" s="49" t="str">
        <f>IF(FROTA!B97="","",FROTA!B97)</f>
        <v/>
      </c>
      <c r="D97" s="220" t="str">
        <f>IF(C97="","",VLOOKUP(SEM!C97,FROTA!$B$5:$C$305,2,0))</f>
        <v/>
      </c>
      <c r="E97" s="24" t="str">
        <f>IF(C97="","",VLOOKUP(C97,FROTA!$B$5:$H$305,7,0))</f>
        <v/>
      </c>
      <c r="F97" s="38" t="str">
        <f t="shared" si="20"/>
        <v/>
      </c>
      <c r="G97" s="71" t="str">
        <f t="shared" si="31"/>
        <v/>
      </c>
      <c r="H97" s="32" t="str">
        <f t="shared" si="21"/>
        <v/>
      </c>
      <c r="I97" s="73" t="str">
        <f t="shared" si="21"/>
        <v/>
      </c>
      <c r="J97" s="73" t="str">
        <f t="shared" si="21"/>
        <v/>
      </c>
      <c r="K97" s="73" t="str">
        <f t="shared" si="18"/>
        <v/>
      </c>
      <c r="L97" s="73" t="str">
        <f t="shared" si="18"/>
        <v/>
      </c>
      <c r="M97" s="73" t="str">
        <f t="shared" si="18"/>
        <v/>
      </c>
      <c r="N97" s="73" t="str">
        <f t="shared" si="17"/>
        <v/>
      </c>
      <c r="O97" s="73" t="str">
        <f t="shared" si="17"/>
        <v/>
      </c>
      <c r="P97" s="73" t="str">
        <f t="shared" si="17"/>
        <v/>
      </c>
      <c r="Q97" s="73" t="str">
        <f t="shared" si="17"/>
        <v/>
      </c>
      <c r="R97" s="73" t="str">
        <f t="shared" si="32"/>
        <v/>
      </c>
      <c r="S97" s="73" t="str">
        <f t="shared" si="32"/>
        <v/>
      </c>
      <c r="T97" s="73" t="str">
        <f t="shared" si="32"/>
        <v/>
      </c>
      <c r="U97" s="73" t="str">
        <f t="shared" si="32"/>
        <v/>
      </c>
      <c r="V97" s="73" t="str">
        <f t="shared" si="32"/>
        <v/>
      </c>
      <c r="W97" s="73" t="str">
        <f t="shared" si="32"/>
        <v/>
      </c>
      <c r="X97" s="73" t="str">
        <f t="shared" si="32"/>
        <v/>
      </c>
      <c r="Y97" s="73" t="str">
        <f t="shared" si="32"/>
        <v/>
      </c>
      <c r="Z97" s="73" t="str">
        <f t="shared" si="32"/>
        <v/>
      </c>
      <c r="AA97" s="73" t="str">
        <f t="shared" si="32"/>
        <v/>
      </c>
      <c r="AB97" s="74" t="str">
        <f t="shared" si="32"/>
        <v/>
      </c>
      <c r="AC97" s="35" t="str">
        <f t="shared" si="22"/>
        <v/>
      </c>
      <c r="AD97" s="40" t="str">
        <f t="shared" si="23"/>
        <v/>
      </c>
      <c r="AE97" s="37" t="str">
        <f t="shared" si="24"/>
        <v/>
      </c>
      <c r="AF97" s="40" t="str">
        <f t="shared" si="25"/>
        <v/>
      </c>
      <c r="AG97" s="37" t="str">
        <f t="shared" si="26"/>
        <v/>
      </c>
      <c r="AH97" s="40" t="str">
        <f t="shared" si="27"/>
        <v/>
      </c>
      <c r="AI97" s="37" t="str">
        <f t="shared" si="28"/>
        <v/>
      </c>
      <c r="AJ97" s="40" t="str">
        <f t="shared" si="29"/>
        <v/>
      </c>
      <c r="AK97" s="204" t="str">
        <f>IF(C97="","",IF(E97=FROTA!$AT$18,IF('DEFINA!!!'!$L$6="D-E-F-I-N-A !!!!!!!",0,IF('DEFINA!!!'!$L$6="Opto por Idade Média",SEM!AW97,IF('DEFINA!!!'!$L$6="Opto pelo Valor aplicado ao  Ano de cada Carro",SEM!AX97,0))),IF(E97=FROTA!$AT$17,IF('DEFINA!!!'!$L$6="D-E-F-I-N-A !!!!!!!",0,IF('DEFINA!!!'!$L$6="Opto por Idade Média",SEM!AW97,IF('DEFINA!!!'!$L$6="Opto pelo Valor aplicado ao  Ano de cada Carro",SEM!AX97,0))),IF(E97=FROTA!$AT$16,IF('DEFINA!!!'!$L$6="D-E-F-I-N-A !!!!!!!",0,IF('DEFINA!!!'!$L$6="Opto por Idade Média",SEM!AW97,IF('DEFINA!!!'!$L$6="Opto pelo Valor aplicado ao  Ano de cada Carro",SEM!AX97,0))),IF('DEFINA!!!'!$L$6="D-E-F-I-N-A !!!!!!!",0,IF('DEFINA!!!'!$L$6="Opto por Idade Média",SEM!AU97,IF('DEFINA!!!'!$L$6="Opto pelo Valor aplicado ao  Ano de cada Carro",SEM!AV97,0)))))))</f>
        <v/>
      </c>
      <c r="AL97" s="6"/>
      <c r="AM97" s="79" t="str">
        <f t="shared" si="30"/>
        <v/>
      </c>
      <c r="AN97" s="12"/>
      <c r="AO97" s="12"/>
      <c r="AP97" s="14"/>
      <c r="AQ97" s="16"/>
      <c r="AR97" s="15"/>
      <c r="AU97" s="198" t="str">
        <f>IF(C97="","",VLOOKUP(FROTA!$AB$2,RECEBÍVEIS!$AA$11:$AB$43,2,0))</f>
        <v/>
      </c>
      <c r="AV97" s="198" t="str">
        <f>IF(C97="","",IF(C97=FROTA!Z97="","",VLOOKUP(FROTA!Z97,RECEBÍVEIS!$AA$11:$AB$43,2,0)))</f>
        <v/>
      </c>
      <c r="AW97" s="198" t="str">
        <f>IF(C97="","",VLOOKUP(FROTA!$AB$2,RECEBÍVEIS!$AA$11:$AC$43,3,0))</f>
        <v/>
      </c>
      <c r="AX97" s="198" t="str">
        <f>IF(C97="","",IF(C97=FROTA!Z97="","",VLOOKUP(FROTA!Z97,RECEBÍVEIS!$AA$11:$AC$43,3,0)))</f>
        <v/>
      </c>
    </row>
    <row r="98" spans="2:50" ht="17.25" customHeight="1" x14ac:dyDescent="0.2">
      <c r="B98" s="6"/>
      <c r="C98" s="49" t="str">
        <f>IF(FROTA!B98="","",FROTA!B98)</f>
        <v/>
      </c>
      <c r="D98" s="220" t="str">
        <f>IF(C98="","",VLOOKUP(SEM!C98,FROTA!$B$5:$C$305,2,0))</f>
        <v/>
      </c>
      <c r="E98" s="24" t="str">
        <f>IF(C98="","",VLOOKUP(C98,FROTA!$B$5:$H$305,7,0))</f>
        <v/>
      </c>
      <c r="F98" s="38" t="str">
        <f t="shared" si="20"/>
        <v/>
      </c>
      <c r="G98" s="71" t="str">
        <f t="shared" si="31"/>
        <v/>
      </c>
      <c r="H98" s="32" t="str">
        <f t="shared" si="21"/>
        <v/>
      </c>
      <c r="I98" s="73" t="str">
        <f t="shared" si="21"/>
        <v/>
      </c>
      <c r="J98" s="73" t="str">
        <f t="shared" si="21"/>
        <v/>
      </c>
      <c r="K98" s="73" t="str">
        <f t="shared" si="18"/>
        <v/>
      </c>
      <c r="L98" s="73" t="str">
        <f t="shared" si="18"/>
        <v/>
      </c>
      <c r="M98" s="73" t="str">
        <f t="shared" si="18"/>
        <v/>
      </c>
      <c r="N98" s="73" t="str">
        <f t="shared" si="17"/>
        <v/>
      </c>
      <c r="O98" s="73" t="str">
        <f t="shared" si="17"/>
        <v/>
      </c>
      <c r="P98" s="73" t="str">
        <f t="shared" si="17"/>
        <v/>
      </c>
      <c r="Q98" s="73" t="str">
        <f t="shared" si="17"/>
        <v/>
      </c>
      <c r="R98" s="73" t="str">
        <f t="shared" si="32"/>
        <v/>
      </c>
      <c r="S98" s="73" t="str">
        <f t="shared" si="32"/>
        <v/>
      </c>
      <c r="T98" s="73" t="str">
        <f t="shared" si="32"/>
        <v/>
      </c>
      <c r="U98" s="73" t="str">
        <f t="shared" si="32"/>
        <v/>
      </c>
      <c r="V98" s="73" t="str">
        <f t="shared" si="32"/>
        <v/>
      </c>
      <c r="W98" s="73" t="str">
        <f t="shared" si="32"/>
        <v/>
      </c>
      <c r="X98" s="73" t="str">
        <f t="shared" si="32"/>
        <v/>
      </c>
      <c r="Y98" s="73" t="str">
        <f t="shared" si="32"/>
        <v/>
      </c>
      <c r="Z98" s="73" t="str">
        <f t="shared" si="32"/>
        <v/>
      </c>
      <c r="AA98" s="73" t="str">
        <f t="shared" si="32"/>
        <v/>
      </c>
      <c r="AB98" s="74" t="str">
        <f t="shared" si="32"/>
        <v/>
      </c>
      <c r="AC98" s="35" t="str">
        <f t="shared" si="22"/>
        <v/>
      </c>
      <c r="AD98" s="40" t="str">
        <f t="shared" si="23"/>
        <v/>
      </c>
      <c r="AE98" s="37" t="str">
        <f t="shared" si="24"/>
        <v/>
      </c>
      <c r="AF98" s="40" t="str">
        <f t="shared" si="25"/>
        <v/>
      </c>
      <c r="AG98" s="37" t="str">
        <f t="shared" si="26"/>
        <v/>
      </c>
      <c r="AH98" s="40" t="str">
        <f t="shared" si="27"/>
        <v/>
      </c>
      <c r="AI98" s="37" t="str">
        <f t="shared" si="28"/>
        <v/>
      </c>
      <c r="AJ98" s="40" t="str">
        <f t="shared" si="29"/>
        <v/>
      </c>
      <c r="AK98" s="204" t="str">
        <f>IF(C98="","",IF(E98=FROTA!$AT$18,IF('DEFINA!!!'!$L$6="D-E-F-I-N-A !!!!!!!",0,IF('DEFINA!!!'!$L$6="Opto por Idade Média",SEM!AW98,IF('DEFINA!!!'!$L$6="Opto pelo Valor aplicado ao  Ano de cada Carro",SEM!AX98,0))),IF(E98=FROTA!$AT$17,IF('DEFINA!!!'!$L$6="D-E-F-I-N-A !!!!!!!",0,IF('DEFINA!!!'!$L$6="Opto por Idade Média",SEM!AW98,IF('DEFINA!!!'!$L$6="Opto pelo Valor aplicado ao  Ano de cada Carro",SEM!AX98,0))),IF(E98=FROTA!$AT$16,IF('DEFINA!!!'!$L$6="D-E-F-I-N-A !!!!!!!",0,IF('DEFINA!!!'!$L$6="Opto por Idade Média",SEM!AW98,IF('DEFINA!!!'!$L$6="Opto pelo Valor aplicado ao  Ano de cada Carro",SEM!AX98,0))),IF('DEFINA!!!'!$L$6="D-E-F-I-N-A !!!!!!!",0,IF('DEFINA!!!'!$L$6="Opto por Idade Média",SEM!AU98,IF('DEFINA!!!'!$L$6="Opto pelo Valor aplicado ao  Ano de cada Carro",SEM!AV98,0)))))))</f>
        <v/>
      </c>
      <c r="AL98" s="6"/>
      <c r="AM98" s="79" t="str">
        <f t="shared" si="30"/>
        <v/>
      </c>
      <c r="AN98" s="12"/>
      <c r="AO98" s="12"/>
      <c r="AP98" s="14"/>
      <c r="AQ98" s="16"/>
      <c r="AR98" s="15"/>
      <c r="AU98" s="198" t="str">
        <f>IF(C98="","",VLOOKUP(FROTA!$AB$2,RECEBÍVEIS!$AA$11:$AB$43,2,0))</f>
        <v/>
      </c>
      <c r="AV98" s="198" t="str">
        <f>IF(C98="","",IF(C98=FROTA!Z98="","",VLOOKUP(FROTA!Z98,RECEBÍVEIS!$AA$11:$AB$43,2,0)))</f>
        <v/>
      </c>
      <c r="AW98" s="198" t="str">
        <f>IF(C98="","",VLOOKUP(FROTA!$AB$2,RECEBÍVEIS!$AA$11:$AC$43,3,0))</f>
        <v/>
      </c>
      <c r="AX98" s="198" t="str">
        <f>IF(C98="","",IF(C98=FROTA!Z98="","",VLOOKUP(FROTA!Z98,RECEBÍVEIS!$AA$11:$AC$43,3,0)))</f>
        <v/>
      </c>
    </row>
    <row r="99" spans="2:50" ht="17.25" customHeight="1" x14ac:dyDescent="0.2">
      <c r="B99" s="6"/>
      <c r="C99" s="49" t="str">
        <f>IF(FROTA!B99="","",FROTA!B99)</f>
        <v/>
      </c>
      <c r="D99" s="220" t="str">
        <f>IF(C99="","",VLOOKUP(SEM!C99,FROTA!$B$5:$C$305,2,0))</f>
        <v/>
      </c>
      <c r="E99" s="24" t="str">
        <f>IF(C99="","",VLOOKUP(C99,FROTA!$B$5:$H$305,7,0))</f>
        <v/>
      </c>
      <c r="F99" s="38" t="str">
        <f t="shared" si="20"/>
        <v/>
      </c>
      <c r="G99" s="71" t="str">
        <f t="shared" si="31"/>
        <v/>
      </c>
      <c r="H99" s="32" t="str">
        <f t="shared" si="21"/>
        <v/>
      </c>
      <c r="I99" s="73" t="str">
        <f t="shared" si="21"/>
        <v/>
      </c>
      <c r="J99" s="73" t="str">
        <f t="shared" si="21"/>
        <v/>
      </c>
      <c r="K99" s="73" t="str">
        <f t="shared" si="18"/>
        <v/>
      </c>
      <c r="L99" s="73" t="str">
        <f t="shared" si="18"/>
        <v/>
      </c>
      <c r="M99" s="73" t="str">
        <f t="shared" si="18"/>
        <v/>
      </c>
      <c r="N99" s="73" t="str">
        <f t="shared" si="17"/>
        <v/>
      </c>
      <c r="O99" s="73" t="str">
        <f t="shared" si="17"/>
        <v/>
      </c>
      <c r="P99" s="73" t="str">
        <f t="shared" si="17"/>
        <v/>
      </c>
      <c r="Q99" s="73" t="str">
        <f t="shared" si="17"/>
        <v/>
      </c>
      <c r="R99" s="73" t="str">
        <f t="shared" si="32"/>
        <v/>
      </c>
      <c r="S99" s="73" t="str">
        <f t="shared" si="32"/>
        <v/>
      </c>
      <c r="T99" s="73" t="str">
        <f t="shared" si="32"/>
        <v/>
      </c>
      <c r="U99" s="73" t="str">
        <f t="shared" si="32"/>
        <v/>
      </c>
      <c r="V99" s="73" t="str">
        <f t="shared" si="32"/>
        <v/>
      </c>
      <c r="W99" s="73" t="str">
        <f t="shared" si="32"/>
        <v/>
      </c>
      <c r="X99" s="73" t="str">
        <f t="shared" si="32"/>
        <v/>
      </c>
      <c r="Y99" s="73" t="str">
        <f t="shared" si="32"/>
        <v/>
      </c>
      <c r="Z99" s="73" t="str">
        <f t="shared" si="32"/>
        <v/>
      </c>
      <c r="AA99" s="73" t="str">
        <f t="shared" si="32"/>
        <v/>
      </c>
      <c r="AB99" s="74" t="str">
        <f t="shared" si="32"/>
        <v/>
      </c>
      <c r="AC99" s="35" t="str">
        <f t="shared" si="22"/>
        <v/>
      </c>
      <c r="AD99" s="40" t="str">
        <f t="shared" si="23"/>
        <v/>
      </c>
      <c r="AE99" s="37" t="str">
        <f t="shared" si="24"/>
        <v/>
      </c>
      <c r="AF99" s="40" t="str">
        <f t="shared" si="25"/>
        <v/>
      </c>
      <c r="AG99" s="37" t="str">
        <f t="shared" si="26"/>
        <v/>
      </c>
      <c r="AH99" s="40" t="str">
        <f t="shared" si="27"/>
        <v/>
      </c>
      <c r="AI99" s="37" t="str">
        <f t="shared" si="28"/>
        <v/>
      </c>
      <c r="AJ99" s="40" t="str">
        <f t="shared" si="29"/>
        <v/>
      </c>
      <c r="AK99" s="204" t="str">
        <f>IF(C99="","",IF(E99=FROTA!$AT$18,IF('DEFINA!!!'!$L$6="D-E-F-I-N-A !!!!!!!",0,IF('DEFINA!!!'!$L$6="Opto por Idade Média",SEM!AW99,IF('DEFINA!!!'!$L$6="Opto pelo Valor aplicado ao  Ano de cada Carro",SEM!AX99,0))),IF(E99=FROTA!$AT$17,IF('DEFINA!!!'!$L$6="D-E-F-I-N-A !!!!!!!",0,IF('DEFINA!!!'!$L$6="Opto por Idade Média",SEM!AW99,IF('DEFINA!!!'!$L$6="Opto pelo Valor aplicado ao  Ano de cada Carro",SEM!AX99,0))),IF(E99=FROTA!$AT$16,IF('DEFINA!!!'!$L$6="D-E-F-I-N-A !!!!!!!",0,IF('DEFINA!!!'!$L$6="Opto por Idade Média",SEM!AW99,IF('DEFINA!!!'!$L$6="Opto pelo Valor aplicado ao  Ano de cada Carro",SEM!AX99,0))),IF('DEFINA!!!'!$L$6="D-E-F-I-N-A !!!!!!!",0,IF('DEFINA!!!'!$L$6="Opto por Idade Média",SEM!AU99,IF('DEFINA!!!'!$L$6="Opto pelo Valor aplicado ao  Ano de cada Carro",SEM!AV99,0)))))))</f>
        <v/>
      </c>
      <c r="AL99" s="6"/>
      <c r="AM99" s="79" t="str">
        <f t="shared" si="30"/>
        <v/>
      </c>
      <c r="AN99" s="12"/>
      <c r="AO99" s="12"/>
      <c r="AP99" s="14"/>
      <c r="AQ99" s="16"/>
      <c r="AR99" s="15"/>
      <c r="AU99" s="198" t="str">
        <f>IF(C99="","",VLOOKUP(FROTA!$AB$2,RECEBÍVEIS!$AA$11:$AB$43,2,0))</f>
        <v/>
      </c>
      <c r="AV99" s="198" t="str">
        <f>IF(C99="","",IF(C99=FROTA!Z99="","",VLOOKUP(FROTA!Z99,RECEBÍVEIS!$AA$11:$AB$43,2,0)))</f>
        <v/>
      </c>
      <c r="AW99" s="198" t="str">
        <f>IF(C99="","",VLOOKUP(FROTA!$AB$2,RECEBÍVEIS!$AA$11:$AC$43,3,0))</f>
        <v/>
      </c>
      <c r="AX99" s="198" t="str">
        <f>IF(C99="","",IF(C99=FROTA!Z99="","",VLOOKUP(FROTA!Z99,RECEBÍVEIS!$AA$11:$AC$43,3,0)))</f>
        <v/>
      </c>
    </row>
    <row r="100" spans="2:50" ht="17.25" customHeight="1" x14ac:dyDescent="0.2">
      <c r="B100" s="6"/>
      <c r="C100" s="49" t="str">
        <f>IF(FROTA!B100="","",FROTA!B100)</f>
        <v/>
      </c>
      <c r="D100" s="220" t="str">
        <f>IF(C100="","",VLOOKUP(SEM!C100,FROTA!$B$5:$C$305,2,0))</f>
        <v/>
      </c>
      <c r="E100" s="24" t="str">
        <f>IF(C100="","",VLOOKUP(C100,FROTA!$B$5:$H$305,7,0))</f>
        <v/>
      </c>
      <c r="F100" s="38" t="str">
        <f t="shared" si="20"/>
        <v/>
      </c>
      <c r="G100" s="71" t="str">
        <f t="shared" si="31"/>
        <v/>
      </c>
      <c r="H100" s="32" t="str">
        <f t="shared" si="21"/>
        <v/>
      </c>
      <c r="I100" s="73" t="str">
        <f t="shared" si="21"/>
        <v/>
      </c>
      <c r="J100" s="73" t="str">
        <f t="shared" si="21"/>
        <v/>
      </c>
      <c r="K100" s="73" t="str">
        <f t="shared" si="18"/>
        <v/>
      </c>
      <c r="L100" s="73" t="str">
        <f t="shared" si="18"/>
        <v/>
      </c>
      <c r="M100" s="73" t="str">
        <f t="shared" si="18"/>
        <v/>
      </c>
      <c r="N100" s="73" t="str">
        <f t="shared" si="17"/>
        <v/>
      </c>
      <c r="O100" s="73" t="str">
        <f t="shared" si="17"/>
        <v/>
      </c>
      <c r="P100" s="73" t="str">
        <f t="shared" si="17"/>
        <v/>
      </c>
      <c r="Q100" s="73" t="str">
        <f t="shared" si="17"/>
        <v/>
      </c>
      <c r="R100" s="73" t="str">
        <f t="shared" si="32"/>
        <v/>
      </c>
      <c r="S100" s="73" t="str">
        <f t="shared" si="32"/>
        <v/>
      </c>
      <c r="T100" s="73" t="str">
        <f t="shared" si="32"/>
        <v/>
      </c>
      <c r="U100" s="73" t="str">
        <f t="shared" si="32"/>
        <v/>
      </c>
      <c r="V100" s="73" t="str">
        <f t="shared" si="32"/>
        <v/>
      </c>
      <c r="W100" s="73" t="str">
        <f t="shared" si="32"/>
        <v/>
      </c>
      <c r="X100" s="73" t="str">
        <f t="shared" si="32"/>
        <v/>
      </c>
      <c r="Y100" s="73" t="str">
        <f t="shared" si="32"/>
        <v/>
      </c>
      <c r="Z100" s="73" t="str">
        <f t="shared" si="32"/>
        <v/>
      </c>
      <c r="AA100" s="73" t="str">
        <f t="shared" si="32"/>
        <v/>
      </c>
      <c r="AB100" s="74" t="str">
        <f t="shared" si="32"/>
        <v/>
      </c>
      <c r="AC100" s="35" t="str">
        <f t="shared" si="22"/>
        <v/>
      </c>
      <c r="AD100" s="40" t="str">
        <f t="shared" si="23"/>
        <v/>
      </c>
      <c r="AE100" s="37" t="str">
        <f t="shared" si="24"/>
        <v/>
      </c>
      <c r="AF100" s="40" t="str">
        <f t="shared" si="25"/>
        <v/>
      </c>
      <c r="AG100" s="37" t="str">
        <f t="shared" si="26"/>
        <v/>
      </c>
      <c r="AH100" s="40" t="str">
        <f t="shared" si="27"/>
        <v/>
      </c>
      <c r="AI100" s="37" t="str">
        <f t="shared" si="28"/>
        <v/>
      </c>
      <c r="AJ100" s="40" t="str">
        <f t="shared" si="29"/>
        <v/>
      </c>
      <c r="AK100" s="204" t="str">
        <f>IF(C100="","",IF(E100=FROTA!$AT$18,IF('DEFINA!!!'!$L$6="D-E-F-I-N-A !!!!!!!",0,IF('DEFINA!!!'!$L$6="Opto por Idade Média",SEM!AW100,IF('DEFINA!!!'!$L$6="Opto pelo Valor aplicado ao  Ano de cada Carro",SEM!AX100,0))),IF(E100=FROTA!$AT$17,IF('DEFINA!!!'!$L$6="D-E-F-I-N-A !!!!!!!",0,IF('DEFINA!!!'!$L$6="Opto por Idade Média",SEM!AW100,IF('DEFINA!!!'!$L$6="Opto pelo Valor aplicado ao  Ano de cada Carro",SEM!AX100,0))),IF(E100=FROTA!$AT$16,IF('DEFINA!!!'!$L$6="D-E-F-I-N-A !!!!!!!",0,IF('DEFINA!!!'!$L$6="Opto por Idade Média",SEM!AW100,IF('DEFINA!!!'!$L$6="Opto pelo Valor aplicado ao  Ano de cada Carro",SEM!AX100,0))),IF('DEFINA!!!'!$L$6="D-E-F-I-N-A !!!!!!!",0,IF('DEFINA!!!'!$L$6="Opto por Idade Média",SEM!AU100,IF('DEFINA!!!'!$L$6="Opto pelo Valor aplicado ao  Ano de cada Carro",SEM!AV100,0)))))))</f>
        <v/>
      </c>
      <c r="AL100" s="6"/>
      <c r="AM100" s="79" t="str">
        <f t="shared" si="30"/>
        <v/>
      </c>
      <c r="AN100" s="12"/>
      <c r="AO100" s="12"/>
      <c r="AP100" s="14"/>
      <c r="AQ100" s="16"/>
      <c r="AR100" s="15"/>
      <c r="AU100" s="198" t="str">
        <f>IF(C100="","",VLOOKUP(FROTA!$AB$2,RECEBÍVEIS!$AA$11:$AB$43,2,0))</f>
        <v/>
      </c>
      <c r="AV100" s="198" t="str">
        <f>IF(C100="","",IF(C100=FROTA!Z100="","",VLOOKUP(FROTA!Z100,RECEBÍVEIS!$AA$11:$AB$43,2,0)))</f>
        <v/>
      </c>
      <c r="AW100" s="198" t="str">
        <f>IF(C100="","",VLOOKUP(FROTA!$AB$2,RECEBÍVEIS!$AA$11:$AC$43,3,0))</f>
        <v/>
      </c>
      <c r="AX100" s="198" t="str">
        <f>IF(C100="","",IF(C100=FROTA!Z100="","",VLOOKUP(FROTA!Z100,RECEBÍVEIS!$AA$11:$AC$43,3,0)))</f>
        <v/>
      </c>
    </row>
    <row r="101" spans="2:50" ht="17.25" customHeight="1" x14ac:dyDescent="0.2">
      <c r="B101" s="6"/>
      <c r="C101" s="49" t="str">
        <f>IF(FROTA!B101="","",FROTA!B101)</f>
        <v/>
      </c>
      <c r="D101" s="220" t="str">
        <f>IF(C101="","",VLOOKUP(SEM!C101,FROTA!$B$5:$C$305,2,0))</f>
        <v/>
      </c>
      <c r="E101" s="24" t="str">
        <f>IF(C101="","",VLOOKUP(C101,FROTA!$B$5:$H$305,7,0))</f>
        <v/>
      </c>
      <c r="F101" s="38" t="str">
        <f t="shared" si="20"/>
        <v/>
      </c>
      <c r="G101" s="71" t="str">
        <f t="shared" si="31"/>
        <v/>
      </c>
      <c r="H101" s="32" t="str">
        <f t="shared" si="21"/>
        <v/>
      </c>
      <c r="I101" s="73" t="str">
        <f t="shared" si="21"/>
        <v/>
      </c>
      <c r="J101" s="73" t="str">
        <f t="shared" si="21"/>
        <v/>
      </c>
      <c r="K101" s="73" t="str">
        <f t="shared" si="18"/>
        <v/>
      </c>
      <c r="L101" s="73" t="str">
        <f t="shared" si="18"/>
        <v/>
      </c>
      <c r="M101" s="73" t="str">
        <f t="shared" si="18"/>
        <v/>
      </c>
      <c r="N101" s="73" t="str">
        <f t="shared" si="17"/>
        <v/>
      </c>
      <c r="O101" s="73" t="str">
        <f t="shared" si="17"/>
        <v/>
      </c>
      <c r="P101" s="73" t="str">
        <f t="shared" si="17"/>
        <v/>
      </c>
      <c r="Q101" s="73" t="str">
        <f t="shared" si="17"/>
        <v/>
      </c>
      <c r="R101" s="73" t="str">
        <f t="shared" si="32"/>
        <v/>
      </c>
      <c r="S101" s="73" t="str">
        <f t="shared" si="32"/>
        <v/>
      </c>
      <c r="T101" s="73" t="str">
        <f t="shared" si="32"/>
        <v/>
      </c>
      <c r="U101" s="73" t="str">
        <f t="shared" si="32"/>
        <v/>
      </c>
      <c r="V101" s="73" t="str">
        <f t="shared" si="32"/>
        <v/>
      </c>
      <c r="W101" s="73" t="str">
        <f t="shared" si="32"/>
        <v/>
      </c>
      <c r="X101" s="73" t="str">
        <f t="shared" si="32"/>
        <v/>
      </c>
      <c r="Y101" s="73" t="str">
        <f t="shared" si="32"/>
        <v/>
      </c>
      <c r="Z101" s="73" t="str">
        <f t="shared" si="32"/>
        <v/>
      </c>
      <c r="AA101" s="73" t="str">
        <f t="shared" si="32"/>
        <v/>
      </c>
      <c r="AB101" s="74" t="str">
        <f t="shared" si="32"/>
        <v/>
      </c>
      <c r="AC101" s="35" t="str">
        <f t="shared" si="22"/>
        <v/>
      </c>
      <c r="AD101" s="40" t="str">
        <f t="shared" si="23"/>
        <v/>
      </c>
      <c r="AE101" s="37" t="str">
        <f t="shared" si="24"/>
        <v/>
      </c>
      <c r="AF101" s="40" t="str">
        <f t="shared" si="25"/>
        <v/>
      </c>
      <c r="AG101" s="37" t="str">
        <f t="shared" si="26"/>
        <v/>
      </c>
      <c r="AH101" s="40" t="str">
        <f t="shared" si="27"/>
        <v/>
      </c>
      <c r="AI101" s="37" t="str">
        <f t="shared" si="28"/>
        <v/>
      </c>
      <c r="AJ101" s="40" t="str">
        <f t="shared" si="29"/>
        <v/>
      </c>
      <c r="AK101" s="204" t="str">
        <f>IF(C101="","",IF(E101=FROTA!$AT$18,IF('DEFINA!!!'!$L$6="D-E-F-I-N-A !!!!!!!",0,IF('DEFINA!!!'!$L$6="Opto por Idade Média",SEM!AW101,IF('DEFINA!!!'!$L$6="Opto pelo Valor aplicado ao  Ano de cada Carro",SEM!AX101,0))),IF(E101=FROTA!$AT$17,IF('DEFINA!!!'!$L$6="D-E-F-I-N-A !!!!!!!",0,IF('DEFINA!!!'!$L$6="Opto por Idade Média",SEM!AW101,IF('DEFINA!!!'!$L$6="Opto pelo Valor aplicado ao  Ano de cada Carro",SEM!AX101,0))),IF(E101=FROTA!$AT$16,IF('DEFINA!!!'!$L$6="D-E-F-I-N-A !!!!!!!",0,IF('DEFINA!!!'!$L$6="Opto por Idade Média",SEM!AW101,IF('DEFINA!!!'!$L$6="Opto pelo Valor aplicado ao  Ano de cada Carro",SEM!AX101,0))),IF('DEFINA!!!'!$L$6="D-E-F-I-N-A !!!!!!!",0,IF('DEFINA!!!'!$L$6="Opto por Idade Média",SEM!AU101,IF('DEFINA!!!'!$L$6="Opto pelo Valor aplicado ao  Ano de cada Carro",SEM!AV101,0)))))))</f>
        <v/>
      </c>
      <c r="AL101" s="6"/>
      <c r="AM101" s="79" t="str">
        <f t="shared" si="30"/>
        <v/>
      </c>
      <c r="AN101" s="12"/>
      <c r="AO101" s="12"/>
      <c r="AP101" s="14"/>
      <c r="AQ101" s="16"/>
      <c r="AR101" s="15"/>
      <c r="AU101" s="198" t="str">
        <f>IF(C101="","",VLOOKUP(FROTA!$AB$2,RECEBÍVEIS!$AA$11:$AB$43,2,0))</f>
        <v/>
      </c>
      <c r="AV101" s="198" t="str">
        <f>IF(C101="","",IF(C101=FROTA!Z101="","",VLOOKUP(FROTA!Z101,RECEBÍVEIS!$AA$11:$AB$43,2,0)))</f>
        <v/>
      </c>
      <c r="AW101" s="198" t="str">
        <f>IF(C101="","",VLOOKUP(FROTA!$AB$2,RECEBÍVEIS!$AA$11:$AC$43,3,0))</f>
        <v/>
      </c>
      <c r="AX101" s="198" t="str">
        <f>IF(C101="","",IF(C101=FROTA!Z101="","",VLOOKUP(FROTA!Z101,RECEBÍVEIS!$AA$11:$AC$43,3,0)))</f>
        <v/>
      </c>
    </row>
    <row r="102" spans="2:50" ht="17.25" customHeight="1" x14ac:dyDescent="0.2">
      <c r="B102" s="6"/>
      <c r="C102" s="49" t="str">
        <f>IF(FROTA!B102="","",FROTA!B102)</f>
        <v/>
      </c>
      <c r="D102" s="220" t="str">
        <f>IF(C102="","",VLOOKUP(SEM!C102,FROTA!$B$5:$C$305,2,0))</f>
        <v/>
      </c>
      <c r="E102" s="24" t="str">
        <f>IF(C102="","",VLOOKUP(C102,FROTA!$B$5:$H$305,7,0))</f>
        <v/>
      </c>
      <c r="F102" s="38" t="str">
        <f t="shared" si="20"/>
        <v/>
      </c>
      <c r="G102" s="71" t="str">
        <f t="shared" si="31"/>
        <v/>
      </c>
      <c r="H102" s="32" t="str">
        <f t="shared" si="21"/>
        <v/>
      </c>
      <c r="I102" s="73" t="str">
        <f t="shared" si="21"/>
        <v/>
      </c>
      <c r="J102" s="73" t="str">
        <f t="shared" si="21"/>
        <v/>
      </c>
      <c r="K102" s="73" t="str">
        <f t="shared" si="18"/>
        <v/>
      </c>
      <c r="L102" s="73" t="str">
        <f t="shared" si="18"/>
        <v/>
      </c>
      <c r="M102" s="73" t="str">
        <f t="shared" si="18"/>
        <v/>
      </c>
      <c r="N102" s="73" t="str">
        <f t="shared" si="17"/>
        <v/>
      </c>
      <c r="O102" s="73" t="str">
        <f t="shared" si="17"/>
        <v/>
      </c>
      <c r="P102" s="73" t="str">
        <f t="shared" si="17"/>
        <v/>
      </c>
      <c r="Q102" s="73" t="str">
        <f t="shared" si="17"/>
        <v/>
      </c>
      <c r="R102" s="73" t="str">
        <f t="shared" si="32"/>
        <v/>
      </c>
      <c r="S102" s="73" t="str">
        <f t="shared" si="32"/>
        <v/>
      </c>
      <c r="T102" s="73" t="str">
        <f t="shared" si="32"/>
        <v/>
      </c>
      <c r="U102" s="73" t="str">
        <f t="shared" si="32"/>
        <v/>
      </c>
      <c r="V102" s="73" t="str">
        <f t="shared" si="32"/>
        <v/>
      </c>
      <c r="W102" s="73" t="str">
        <f t="shared" si="32"/>
        <v/>
      </c>
      <c r="X102" s="73" t="str">
        <f t="shared" si="32"/>
        <v/>
      </c>
      <c r="Y102" s="73" t="str">
        <f t="shared" si="32"/>
        <v/>
      </c>
      <c r="Z102" s="73" t="str">
        <f t="shared" si="32"/>
        <v/>
      </c>
      <c r="AA102" s="73" t="str">
        <f t="shared" si="32"/>
        <v/>
      </c>
      <c r="AB102" s="74" t="str">
        <f t="shared" si="32"/>
        <v/>
      </c>
      <c r="AC102" s="35" t="str">
        <f t="shared" si="22"/>
        <v/>
      </c>
      <c r="AD102" s="40" t="str">
        <f t="shared" si="23"/>
        <v/>
      </c>
      <c r="AE102" s="37" t="str">
        <f t="shared" si="24"/>
        <v/>
      </c>
      <c r="AF102" s="40" t="str">
        <f t="shared" si="25"/>
        <v/>
      </c>
      <c r="AG102" s="37" t="str">
        <f t="shared" si="26"/>
        <v/>
      </c>
      <c r="AH102" s="40" t="str">
        <f t="shared" si="27"/>
        <v/>
      </c>
      <c r="AI102" s="37" t="str">
        <f t="shared" si="28"/>
        <v/>
      </c>
      <c r="AJ102" s="40" t="str">
        <f t="shared" si="29"/>
        <v/>
      </c>
      <c r="AK102" s="204" t="str">
        <f>IF(C102="","",IF(E102=FROTA!$AT$18,IF('DEFINA!!!'!$L$6="D-E-F-I-N-A !!!!!!!",0,IF('DEFINA!!!'!$L$6="Opto por Idade Média",SEM!AW102,IF('DEFINA!!!'!$L$6="Opto pelo Valor aplicado ao  Ano de cada Carro",SEM!AX102,0))),IF(E102=FROTA!$AT$17,IF('DEFINA!!!'!$L$6="D-E-F-I-N-A !!!!!!!",0,IF('DEFINA!!!'!$L$6="Opto por Idade Média",SEM!AW102,IF('DEFINA!!!'!$L$6="Opto pelo Valor aplicado ao  Ano de cada Carro",SEM!AX102,0))),IF(E102=FROTA!$AT$16,IF('DEFINA!!!'!$L$6="D-E-F-I-N-A !!!!!!!",0,IF('DEFINA!!!'!$L$6="Opto por Idade Média",SEM!AW102,IF('DEFINA!!!'!$L$6="Opto pelo Valor aplicado ao  Ano de cada Carro",SEM!AX102,0))),IF('DEFINA!!!'!$L$6="D-E-F-I-N-A !!!!!!!",0,IF('DEFINA!!!'!$L$6="Opto por Idade Média",SEM!AU102,IF('DEFINA!!!'!$L$6="Opto pelo Valor aplicado ao  Ano de cada Carro",SEM!AV102,0)))))))</f>
        <v/>
      </c>
      <c r="AL102" s="6"/>
      <c r="AM102" s="79" t="str">
        <f t="shared" si="30"/>
        <v/>
      </c>
      <c r="AN102" s="12"/>
      <c r="AO102" s="12"/>
      <c r="AP102" s="14"/>
      <c r="AQ102" s="16"/>
      <c r="AR102" s="15"/>
      <c r="AU102" s="198" t="str">
        <f>IF(C102="","",VLOOKUP(FROTA!$AB$2,RECEBÍVEIS!$AA$11:$AB$43,2,0))</f>
        <v/>
      </c>
      <c r="AV102" s="198" t="str">
        <f>IF(C102="","",IF(C102=FROTA!Z102="","",VLOOKUP(FROTA!Z102,RECEBÍVEIS!$AA$11:$AB$43,2,0)))</f>
        <v/>
      </c>
      <c r="AW102" s="198" t="str">
        <f>IF(C102="","",VLOOKUP(FROTA!$AB$2,RECEBÍVEIS!$AA$11:$AC$43,3,0))</f>
        <v/>
      </c>
      <c r="AX102" s="198" t="str">
        <f>IF(C102="","",IF(C102=FROTA!Z102="","",VLOOKUP(FROTA!Z102,RECEBÍVEIS!$AA$11:$AC$43,3,0)))</f>
        <v/>
      </c>
    </row>
    <row r="103" spans="2:50" ht="17.25" customHeight="1" x14ac:dyDescent="0.2">
      <c r="B103" s="6"/>
      <c r="C103" s="49" t="str">
        <f>IF(FROTA!B103="","",FROTA!B103)</f>
        <v/>
      </c>
      <c r="D103" s="220" t="str">
        <f>IF(C103="","",VLOOKUP(SEM!C103,FROTA!$B$5:$C$305,2,0))</f>
        <v/>
      </c>
      <c r="E103" s="24" t="str">
        <f>IF(C103="","",VLOOKUP(C103,FROTA!$B$5:$H$305,7,0))</f>
        <v/>
      </c>
      <c r="F103" s="38" t="str">
        <f t="shared" si="20"/>
        <v/>
      </c>
      <c r="G103" s="71" t="str">
        <f t="shared" si="31"/>
        <v/>
      </c>
      <c r="H103" s="32" t="str">
        <f t="shared" si="21"/>
        <v/>
      </c>
      <c r="I103" s="73" t="str">
        <f t="shared" si="21"/>
        <v/>
      </c>
      <c r="J103" s="73" t="str">
        <f t="shared" si="21"/>
        <v/>
      </c>
      <c r="K103" s="73" t="str">
        <f t="shared" si="18"/>
        <v/>
      </c>
      <c r="L103" s="73" t="str">
        <f t="shared" si="18"/>
        <v/>
      </c>
      <c r="M103" s="73" t="str">
        <f t="shared" si="18"/>
        <v/>
      </c>
      <c r="N103" s="73" t="str">
        <f t="shared" si="17"/>
        <v/>
      </c>
      <c r="O103" s="73" t="str">
        <f t="shared" si="17"/>
        <v/>
      </c>
      <c r="P103" s="73" t="str">
        <f t="shared" si="17"/>
        <v/>
      </c>
      <c r="Q103" s="73" t="str">
        <f t="shared" si="17"/>
        <v/>
      </c>
      <c r="R103" s="73" t="str">
        <f t="shared" si="32"/>
        <v/>
      </c>
      <c r="S103" s="73" t="str">
        <f t="shared" si="32"/>
        <v/>
      </c>
      <c r="T103" s="73" t="str">
        <f t="shared" si="32"/>
        <v/>
      </c>
      <c r="U103" s="73" t="str">
        <f t="shared" si="32"/>
        <v/>
      </c>
      <c r="V103" s="73" t="str">
        <f t="shared" si="32"/>
        <v/>
      </c>
      <c r="W103" s="73" t="str">
        <f t="shared" si="32"/>
        <v/>
      </c>
      <c r="X103" s="73" t="str">
        <f t="shared" si="32"/>
        <v/>
      </c>
      <c r="Y103" s="73" t="str">
        <f t="shared" si="32"/>
        <v/>
      </c>
      <c r="Z103" s="73" t="str">
        <f t="shared" si="32"/>
        <v/>
      </c>
      <c r="AA103" s="73" t="str">
        <f t="shared" si="32"/>
        <v/>
      </c>
      <c r="AB103" s="74" t="str">
        <f t="shared" si="32"/>
        <v/>
      </c>
      <c r="AC103" s="35" t="str">
        <f t="shared" si="22"/>
        <v/>
      </c>
      <c r="AD103" s="40" t="str">
        <f t="shared" si="23"/>
        <v/>
      </c>
      <c r="AE103" s="37" t="str">
        <f t="shared" si="24"/>
        <v/>
      </c>
      <c r="AF103" s="40" t="str">
        <f t="shared" si="25"/>
        <v/>
      </c>
      <c r="AG103" s="37" t="str">
        <f t="shared" si="26"/>
        <v/>
      </c>
      <c r="AH103" s="40" t="str">
        <f t="shared" si="27"/>
        <v/>
      </c>
      <c r="AI103" s="37" t="str">
        <f t="shared" si="28"/>
        <v/>
      </c>
      <c r="AJ103" s="40" t="str">
        <f t="shared" si="29"/>
        <v/>
      </c>
      <c r="AK103" s="204" t="str">
        <f>IF(C103="","",IF(E103=FROTA!$AT$18,IF('DEFINA!!!'!$L$6="D-E-F-I-N-A !!!!!!!",0,IF('DEFINA!!!'!$L$6="Opto por Idade Média",SEM!AW103,IF('DEFINA!!!'!$L$6="Opto pelo Valor aplicado ao  Ano de cada Carro",SEM!AX103,0))),IF(E103=FROTA!$AT$17,IF('DEFINA!!!'!$L$6="D-E-F-I-N-A !!!!!!!",0,IF('DEFINA!!!'!$L$6="Opto por Idade Média",SEM!AW103,IF('DEFINA!!!'!$L$6="Opto pelo Valor aplicado ao  Ano de cada Carro",SEM!AX103,0))),IF(E103=FROTA!$AT$16,IF('DEFINA!!!'!$L$6="D-E-F-I-N-A !!!!!!!",0,IF('DEFINA!!!'!$L$6="Opto por Idade Média",SEM!AW103,IF('DEFINA!!!'!$L$6="Opto pelo Valor aplicado ao  Ano de cada Carro",SEM!AX103,0))),IF('DEFINA!!!'!$L$6="D-E-F-I-N-A !!!!!!!",0,IF('DEFINA!!!'!$L$6="Opto por Idade Média",SEM!AU103,IF('DEFINA!!!'!$L$6="Opto pelo Valor aplicado ao  Ano de cada Carro",SEM!AV103,0)))))))</f>
        <v/>
      </c>
      <c r="AL103" s="6"/>
      <c r="AM103" s="79" t="str">
        <f t="shared" si="30"/>
        <v/>
      </c>
      <c r="AN103" s="12"/>
      <c r="AO103" s="12"/>
      <c r="AP103" s="14"/>
      <c r="AQ103" s="16"/>
      <c r="AR103" s="15"/>
      <c r="AU103" s="198" t="str">
        <f>IF(C103="","",VLOOKUP(FROTA!$AB$2,RECEBÍVEIS!$AA$11:$AB$43,2,0))</f>
        <v/>
      </c>
      <c r="AV103" s="198" t="str">
        <f>IF(C103="","",IF(C103=FROTA!Z103="","",VLOOKUP(FROTA!Z103,RECEBÍVEIS!$AA$11:$AB$43,2,0)))</f>
        <v/>
      </c>
      <c r="AW103" s="198" t="str">
        <f>IF(C103="","",VLOOKUP(FROTA!$AB$2,RECEBÍVEIS!$AA$11:$AC$43,3,0))</f>
        <v/>
      </c>
      <c r="AX103" s="198" t="str">
        <f>IF(C103="","",IF(C103=FROTA!Z103="","",VLOOKUP(FROTA!Z103,RECEBÍVEIS!$AA$11:$AC$43,3,0)))</f>
        <v/>
      </c>
    </row>
    <row r="104" spans="2:50" ht="17.25" customHeight="1" x14ac:dyDescent="0.2">
      <c r="B104" s="6"/>
      <c r="C104" s="49" t="str">
        <f>IF(FROTA!B104="","",FROTA!B104)</f>
        <v/>
      </c>
      <c r="D104" s="220" t="str">
        <f>IF(C104="","",VLOOKUP(SEM!C104,FROTA!$B$5:$C$305,2,0))</f>
        <v/>
      </c>
      <c r="E104" s="24" t="str">
        <f>IF(C104="","",VLOOKUP(C104,FROTA!$B$5:$H$305,7,0))</f>
        <v/>
      </c>
      <c r="F104" s="38" t="str">
        <f t="shared" si="20"/>
        <v/>
      </c>
      <c r="G104" s="71" t="str">
        <f t="shared" si="31"/>
        <v/>
      </c>
      <c r="H104" s="32" t="str">
        <f t="shared" si="21"/>
        <v/>
      </c>
      <c r="I104" s="73" t="str">
        <f t="shared" si="21"/>
        <v/>
      </c>
      <c r="J104" s="73" t="str">
        <f t="shared" si="21"/>
        <v/>
      </c>
      <c r="K104" s="73" t="str">
        <f t="shared" si="18"/>
        <v/>
      </c>
      <c r="L104" s="73" t="str">
        <f t="shared" si="18"/>
        <v/>
      </c>
      <c r="M104" s="73" t="str">
        <f t="shared" si="18"/>
        <v/>
      </c>
      <c r="N104" s="73" t="str">
        <f t="shared" si="17"/>
        <v/>
      </c>
      <c r="O104" s="73" t="str">
        <f t="shared" si="17"/>
        <v/>
      </c>
      <c r="P104" s="73" t="str">
        <f t="shared" si="17"/>
        <v/>
      </c>
      <c r="Q104" s="73" t="str">
        <f t="shared" si="17"/>
        <v/>
      </c>
      <c r="R104" s="73" t="str">
        <f t="shared" si="32"/>
        <v/>
      </c>
      <c r="S104" s="73" t="str">
        <f t="shared" si="32"/>
        <v/>
      </c>
      <c r="T104" s="73" t="str">
        <f t="shared" si="32"/>
        <v/>
      </c>
      <c r="U104" s="73" t="str">
        <f t="shared" si="32"/>
        <v/>
      </c>
      <c r="V104" s="73" t="str">
        <f t="shared" si="32"/>
        <v/>
      </c>
      <c r="W104" s="73" t="str">
        <f t="shared" si="32"/>
        <v/>
      </c>
      <c r="X104" s="73" t="str">
        <f t="shared" si="32"/>
        <v/>
      </c>
      <c r="Y104" s="73" t="str">
        <f t="shared" si="32"/>
        <v/>
      </c>
      <c r="Z104" s="73" t="str">
        <f t="shared" si="32"/>
        <v/>
      </c>
      <c r="AA104" s="73" t="str">
        <f t="shared" si="32"/>
        <v/>
      </c>
      <c r="AB104" s="74" t="str">
        <f t="shared" si="32"/>
        <v/>
      </c>
      <c r="AC104" s="35" t="str">
        <f t="shared" si="22"/>
        <v/>
      </c>
      <c r="AD104" s="40" t="str">
        <f t="shared" si="23"/>
        <v/>
      </c>
      <c r="AE104" s="37" t="str">
        <f t="shared" si="24"/>
        <v/>
      </c>
      <c r="AF104" s="40" t="str">
        <f t="shared" si="25"/>
        <v/>
      </c>
      <c r="AG104" s="37" t="str">
        <f t="shared" si="26"/>
        <v/>
      </c>
      <c r="AH104" s="40" t="str">
        <f t="shared" si="27"/>
        <v/>
      </c>
      <c r="AI104" s="37" t="str">
        <f t="shared" si="28"/>
        <v/>
      </c>
      <c r="AJ104" s="40" t="str">
        <f t="shared" si="29"/>
        <v/>
      </c>
      <c r="AK104" s="204" t="str">
        <f>IF(C104="","",IF(E104=FROTA!$AT$18,IF('DEFINA!!!'!$L$6="D-E-F-I-N-A !!!!!!!",0,IF('DEFINA!!!'!$L$6="Opto por Idade Média",SEM!AW104,IF('DEFINA!!!'!$L$6="Opto pelo Valor aplicado ao  Ano de cada Carro",SEM!AX104,0))),IF(E104=FROTA!$AT$17,IF('DEFINA!!!'!$L$6="D-E-F-I-N-A !!!!!!!",0,IF('DEFINA!!!'!$L$6="Opto por Idade Média",SEM!AW104,IF('DEFINA!!!'!$L$6="Opto pelo Valor aplicado ao  Ano de cada Carro",SEM!AX104,0))),IF(E104=FROTA!$AT$16,IF('DEFINA!!!'!$L$6="D-E-F-I-N-A !!!!!!!",0,IF('DEFINA!!!'!$L$6="Opto por Idade Média",SEM!AW104,IF('DEFINA!!!'!$L$6="Opto pelo Valor aplicado ao  Ano de cada Carro",SEM!AX104,0))),IF('DEFINA!!!'!$L$6="D-E-F-I-N-A !!!!!!!",0,IF('DEFINA!!!'!$L$6="Opto por Idade Média",SEM!AU104,IF('DEFINA!!!'!$L$6="Opto pelo Valor aplicado ao  Ano de cada Carro",SEM!AV104,0)))))))</f>
        <v/>
      </c>
      <c r="AL104" s="6"/>
      <c r="AM104" s="79" t="str">
        <f t="shared" si="30"/>
        <v/>
      </c>
      <c r="AN104" s="12"/>
      <c r="AO104" s="12"/>
      <c r="AP104" s="14"/>
      <c r="AQ104" s="16"/>
      <c r="AR104" s="15"/>
      <c r="AU104" s="198" t="str">
        <f>IF(C104="","",VLOOKUP(FROTA!$AB$2,RECEBÍVEIS!$AA$11:$AB$43,2,0))</f>
        <v/>
      </c>
      <c r="AV104" s="198" t="str">
        <f>IF(C104="","",IF(C104=FROTA!Z104="","",VLOOKUP(FROTA!Z104,RECEBÍVEIS!$AA$11:$AB$43,2,0)))</f>
        <v/>
      </c>
      <c r="AW104" s="198" t="str">
        <f>IF(C104="","",VLOOKUP(FROTA!$AB$2,RECEBÍVEIS!$AA$11:$AC$43,3,0))</f>
        <v/>
      </c>
      <c r="AX104" s="198" t="str">
        <f>IF(C104="","",IF(C104=FROTA!Z104="","",VLOOKUP(FROTA!Z104,RECEBÍVEIS!$AA$11:$AC$43,3,0)))</f>
        <v/>
      </c>
    </row>
    <row r="105" spans="2:50" ht="17.25" customHeight="1" x14ac:dyDescent="0.2">
      <c r="B105" s="6"/>
      <c r="C105" s="49" t="str">
        <f>IF(FROTA!B105="","",FROTA!B105)</f>
        <v/>
      </c>
      <c r="D105" s="220" t="str">
        <f>IF(C105="","",VLOOKUP(SEM!C105,FROTA!$B$5:$C$305,2,0))</f>
        <v/>
      </c>
      <c r="E105" s="24" t="str">
        <f>IF(C105="","",VLOOKUP(C105,FROTA!$B$5:$H$305,7,0))</f>
        <v/>
      </c>
      <c r="F105" s="38" t="str">
        <f t="shared" si="20"/>
        <v/>
      </c>
      <c r="G105" s="71" t="str">
        <f t="shared" si="31"/>
        <v/>
      </c>
      <c r="H105" s="32" t="str">
        <f t="shared" si="21"/>
        <v/>
      </c>
      <c r="I105" s="73" t="str">
        <f t="shared" si="21"/>
        <v/>
      </c>
      <c r="J105" s="73" t="str">
        <f t="shared" si="21"/>
        <v/>
      </c>
      <c r="K105" s="73" t="str">
        <f t="shared" si="18"/>
        <v/>
      </c>
      <c r="L105" s="73" t="str">
        <f t="shared" si="18"/>
        <v/>
      </c>
      <c r="M105" s="73" t="str">
        <f t="shared" si="18"/>
        <v/>
      </c>
      <c r="N105" s="73" t="str">
        <f t="shared" si="17"/>
        <v/>
      </c>
      <c r="O105" s="73" t="str">
        <f t="shared" si="17"/>
        <v/>
      </c>
      <c r="P105" s="73" t="str">
        <f t="shared" si="17"/>
        <v/>
      </c>
      <c r="Q105" s="73" t="str">
        <f t="shared" si="17"/>
        <v/>
      </c>
      <c r="R105" s="73" t="str">
        <f t="shared" si="32"/>
        <v/>
      </c>
      <c r="S105" s="73" t="str">
        <f t="shared" si="32"/>
        <v/>
      </c>
      <c r="T105" s="73" t="str">
        <f t="shared" si="32"/>
        <v/>
      </c>
      <c r="U105" s="73" t="str">
        <f t="shared" si="32"/>
        <v/>
      </c>
      <c r="V105" s="73" t="str">
        <f t="shared" si="32"/>
        <v/>
      </c>
      <c r="W105" s="73" t="str">
        <f t="shared" si="32"/>
        <v/>
      </c>
      <c r="X105" s="73" t="str">
        <f t="shared" si="32"/>
        <v/>
      </c>
      <c r="Y105" s="73" t="str">
        <f t="shared" si="32"/>
        <v/>
      </c>
      <c r="Z105" s="73" t="str">
        <f t="shared" si="32"/>
        <v/>
      </c>
      <c r="AA105" s="73" t="str">
        <f t="shared" si="32"/>
        <v/>
      </c>
      <c r="AB105" s="74" t="str">
        <f t="shared" si="32"/>
        <v/>
      </c>
      <c r="AC105" s="35" t="str">
        <f t="shared" si="22"/>
        <v/>
      </c>
      <c r="AD105" s="40" t="str">
        <f t="shared" si="23"/>
        <v/>
      </c>
      <c r="AE105" s="37" t="str">
        <f t="shared" si="24"/>
        <v/>
      </c>
      <c r="AF105" s="40" t="str">
        <f t="shared" si="25"/>
        <v/>
      </c>
      <c r="AG105" s="37" t="str">
        <f t="shared" si="26"/>
        <v/>
      </c>
      <c r="AH105" s="40" t="str">
        <f t="shared" si="27"/>
        <v/>
      </c>
      <c r="AI105" s="37" t="str">
        <f t="shared" si="28"/>
        <v/>
      </c>
      <c r="AJ105" s="40" t="str">
        <f t="shared" si="29"/>
        <v/>
      </c>
      <c r="AK105" s="204" t="str">
        <f>IF(C105="","",IF(E105=FROTA!$AT$18,IF('DEFINA!!!'!$L$6="D-E-F-I-N-A !!!!!!!",0,IF('DEFINA!!!'!$L$6="Opto por Idade Média",SEM!AW105,IF('DEFINA!!!'!$L$6="Opto pelo Valor aplicado ao  Ano de cada Carro",SEM!AX105,0))),IF(E105=FROTA!$AT$17,IF('DEFINA!!!'!$L$6="D-E-F-I-N-A !!!!!!!",0,IF('DEFINA!!!'!$L$6="Opto por Idade Média",SEM!AW105,IF('DEFINA!!!'!$L$6="Opto pelo Valor aplicado ao  Ano de cada Carro",SEM!AX105,0))),IF(E105=FROTA!$AT$16,IF('DEFINA!!!'!$L$6="D-E-F-I-N-A !!!!!!!",0,IF('DEFINA!!!'!$L$6="Opto por Idade Média",SEM!AW105,IF('DEFINA!!!'!$L$6="Opto pelo Valor aplicado ao  Ano de cada Carro",SEM!AX105,0))),IF('DEFINA!!!'!$L$6="D-E-F-I-N-A !!!!!!!",0,IF('DEFINA!!!'!$L$6="Opto por Idade Média",SEM!AU105,IF('DEFINA!!!'!$L$6="Opto pelo Valor aplicado ao  Ano de cada Carro",SEM!AV105,0)))))))</f>
        <v/>
      </c>
      <c r="AL105" s="6"/>
      <c r="AM105" s="79" t="str">
        <f t="shared" si="30"/>
        <v/>
      </c>
      <c r="AN105" s="12"/>
      <c r="AO105" s="12"/>
      <c r="AP105" s="14"/>
      <c r="AQ105" s="16"/>
      <c r="AR105" s="15"/>
      <c r="AU105" s="198" t="str">
        <f>IF(C105="","",VLOOKUP(FROTA!$AB$2,RECEBÍVEIS!$AA$11:$AB$43,2,0))</f>
        <v/>
      </c>
      <c r="AV105" s="198" t="str">
        <f>IF(C105="","",IF(C105=FROTA!Z105="","",VLOOKUP(FROTA!Z105,RECEBÍVEIS!$AA$11:$AB$43,2,0)))</f>
        <v/>
      </c>
      <c r="AW105" s="198" t="str">
        <f>IF(C105="","",VLOOKUP(FROTA!$AB$2,RECEBÍVEIS!$AA$11:$AC$43,3,0))</f>
        <v/>
      </c>
      <c r="AX105" s="198" t="str">
        <f>IF(C105="","",IF(C105=FROTA!Z105="","",VLOOKUP(FROTA!Z105,RECEBÍVEIS!$AA$11:$AC$43,3,0)))</f>
        <v/>
      </c>
    </row>
    <row r="106" spans="2:50" ht="17.25" customHeight="1" x14ac:dyDescent="0.2">
      <c r="B106" s="6"/>
      <c r="C106" s="49" t="str">
        <f>IF(FROTA!B106="","",FROTA!B106)</f>
        <v/>
      </c>
      <c r="D106" s="220" t="str">
        <f>IF(C106="","",VLOOKUP(SEM!C106,FROTA!$B$5:$C$305,2,0))</f>
        <v/>
      </c>
      <c r="E106" s="24" t="str">
        <f>IF(C106="","",VLOOKUP(C106,FROTA!$B$5:$H$305,7,0))</f>
        <v/>
      </c>
      <c r="F106" s="38" t="str">
        <f t="shared" si="20"/>
        <v/>
      </c>
      <c r="G106" s="71" t="str">
        <f t="shared" si="31"/>
        <v/>
      </c>
      <c r="H106" s="32" t="str">
        <f t="shared" si="21"/>
        <v/>
      </c>
      <c r="I106" s="73" t="str">
        <f t="shared" si="21"/>
        <v/>
      </c>
      <c r="J106" s="73" t="str">
        <f t="shared" si="21"/>
        <v/>
      </c>
      <c r="K106" s="73" t="str">
        <f t="shared" si="18"/>
        <v/>
      </c>
      <c r="L106" s="73" t="str">
        <f t="shared" si="18"/>
        <v/>
      </c>
      <c r="M106" s="73" t="str">
        <f t="shared" si="18"/>
        <v/>
      </c>
      <c r="N106" s="73" t="str">
        <f t="shared" si="17"/>
        <v/>
      </c>
      <c r="O106" s="73" t="str">
        <f t="shared" si="17"/>
        <v/>
      </c>
      <c r="P106" s="73" t="str">
        <f t="shared" si="17"/>
        <v/>
      </c>
      <c r="Q106" s="73" t="str">
        <f t="shared" si="17"/>
        <v/>
      </c>
      <c r="R106" s="73" t="str">
        <f t="shared" si="32"/>
        <v/>
      </c>
      <c r="S106" s="73" t="str">
        <f t="shared" si="32"/>
        <v/>
      </c>
      <c r="T106" s="73" t="str">
        <f t="shared" si="32"/>
        <v/>
      </c>
      <c r="U106" s="73" t="str">
        <f t="shared" si="32"/>
        <v/>
      </c>
      <c r="V106" s="73" t="str">
        <f t="shared" si="32"/>
        <v/>
      </c>
      <c r="W106" s="73" t="str">
        <f t="shared" si="32"/>
        <v/>
      </c>
      <c r="X106" s="73" t="str">
        <f t="shared" si="32"/>
        <v/>
      </c>
      <c r="Y106" s="73" t="str">
        <f t="shared" si="32"/>
        <v/>
      </c>
      <c r="Z106" s="73" t="str">
        <f t="shared" si="32"/>
        <v/>
      </c>
      <c r="AA106" s="73" t="str">
        <f t="shared" si="32"/>
        <v/>
      </c>
      <c r="AB106" s="74" t="str">
        <f t="shared" si="32"/>
        <v/>
      </c>
      <c r="AC106" s="35" t="str">
        <f t="shared" si="22"/>
        <v/>
      </c>
      <c r="AD106" s="40" t="str">
        <f t="shared" si="23"/>
        <v/>
      </c>
      <c r="AE106" s="37" t="str">
        <f t="shared" si="24"/>
        <v/>
      </c>
      <c r="AF106" s="40" t="str">
        <f t="shared" si="25"/>
        <v/>
      </c>
      <c r="AG106" s="37" t="str">
        <f t="shared" si="26"/>
        <v/>
      </c>
      <c r="AH106" s="40" t="str">
        <f t="shared" si="27"/>
        <v/>
      </c>
      <c r="AI106" s="37" t="str">
        <f t="shared" si="28"/>
        <v/>
      </c>
      <c r="AJ106" s="40" t="str">
        <f t="shared" si="29"/>
        <v/>
      </c>
      <c r="AK106" s="204" t="str">
        <f>IF(C106="","",IF(E106=FROTA!$AT$18,IF('DEFINA!!!'!$L$6="D-E-F-I-N-A !!!!!!!",0,IF('DEFINA!!!'!$L$6="Opto por Idade Média",SEM!AW106,IF('DEFINA!!!'!$L$6="Opto pelo Valor aplicado ao  Ano de cada Carro",SEM!AX106,0))),IF(E106=FROTA!$AT$17,IF('DEFINA!!!'!$L$6="D-E-F-I-N-A !!!!!!!",0,IF('DEFINA!!!'!$L$6="Opto por Idade Média",SEM!AW106,IF('DEFINA!!!'!$L$6="Opto pelo Valor aplicado ao  Ano de cada Carro",SEM!AX106,0))),IF(E106=FROTA!$AT$16,IF('DEFINA!!!'!$L$6="D-E-F-I-N-A !!!!!!!",0,IF('DEFINA!!!'!$L$6="Opto por Idade Média",SEM!AW106,IF('DEFINA!!!'!$L$6="Opto pelo Valor aplicado ao  Ano de cada Carro",SEM!AX106,0))),IF('DEFINA!!!'!$L$6="D-E-F-I-N-A !!!!!!!",0,IF('DEFINA!!!'!$L$6="Opto por Idade Média",SEM!AU106,IF('DEFINA!!!'!$L$6="Opto pelo Valor aplicado ao  Ano de cada Carro",SEM!AV106,0)))))))</f>
        <v/>
      </c>
      <c r="AL106" s="6"/>
      <c r="AM106" s="79" t="str">
        <f t="shared" si="30"/>
        <v/>
      </c>
      <c r="AN106" s="12"/>
      <c r="AO106" s="12"/>
      <c r="AP106" s="14"/>
      <c r="AQ106" s="16"/>
      <c r="AR106" s="15"/>
      <c r="AU106" s="198" t="str">
        <f>IF(C106="","",VLOOKUP(FROTA!$AB$2,RECEBÍVEIS!$AA$11:$AB$43,2,0))</f>
        <v/>
      </c>
      <c r="AV106" s="198" t="str">
        <f>IF(C106="","",IF(C106=FROTA!Z106="","",VLOOKUP(FROTA!Z106,RECEBÍVEIS!$AA$11:$AB$43,2,0)))</f>
        <v/>
      </c>
      <c r="AW106" s="198" t="str">
        <f>IF(C106="","",VLOOKUP(FROTA!$AB$2,RECEBÍVEIS!$AA$11:$AC$43,3,0))</f>
        <v/>
      </c>
      <c r="AX106" s="198" t="str">
        <f>IF(C106="","",IF(C106=FROTA!Z106="","",VLOOKUP(FROTA!Z106,RECEBÍVEIS!$AA$11:$AC$43,3,0)))</f>
        <v/>
      </c>
    </row>
    <row r="107" spans="2:50" ht="17.25" customHeight="1" x14ac:dyDescent="0.2">
      <c r="B107" s="6"/>
      <c r="C107" s="49" t="str">
        <f>IF(FROTA!B107="","",FROTA!B107)</f>
        <v/>
      </c>
      <c r="D107" s="220" t="str">
        <f>IF(C107="","",VLOOKUP(SEM!C107,FROTA!$B$5:$C$305,2,0))</f>
        <v/>
      </c>
      <c r="E107" s="24" t="str">
        <f>IF(C107="","",VLOOKUP(C107,FROTA!$B$5:$H$305,7,0))</f>
        <v/>
      </c>
      <c r="F107" s="38" t="str">
        <f t="shared" si="20"/>
        <v/>
      </c>
      <c r="G107" s="71" t="str">
        <f t="shared" si="31"/>
        <v/>
      </c>
      <c r="H107" s="32" t="str">
        <f t="shared" si="21"/>
        <v/>
      </c>
      <c r="I107" s="73" t="str">
        <f t="shared" si="21"/>
        <v/>
      </c>
      <c r="J107" s="73" t="str">
        <f t="shared" si="21"/>
        <v/>
      </c>
      <c r="K107" s="73" t="str">
        <f t="shared" si="18"/>
        <v/>
      </c>
      <c r="L107" s="73" t="str">
        <f t="shared" si="18"/>
        <v/>
      </c>
      <c r="M107" s="73" t="str">
        <f t="shared" si="18"/>
        <v/>
      </c>
      <c r="N107" s="73" t="str">
        <f t="shared" si="17"/>
        <v/>
      </c>
      <c r="O107" s="73" t="str">
        <f t="shared" si="17"/>
        <v/>
      </c>
      <c r="P107" s="73" t="str">
        <f t="shared" si="17"/>
        <v/>
      </c>
      <c r="Q107" s="73" t="str">
        <f t="shared" si="17"/>
        <v/>
      </c>
      <c r="R107" s="73" t="str">
        <f t="shared" si="32"/>
        <v/>
      </c>
      <c r="S107" s="73" t="str">
        <f t="shared" si="32"/>
        <v/>
      </c>
      <c r="T107" s="73" t="str">
        <f t="shared" si="32"/>
        <v/>
      </c>
      <c r="U107" s="73" t="str">
        <f t="shared" si="32"/>
        <v/>
      </c>
      <c r="V107" s="73" t="str">
        <f t="shared" si="32"/>
        <v/>
      </c>
      <c r="W107" s="73" t="str">
        <f t="shared" si="32"/>
        <v/>
      </c>
      <c r="X107" s="73" t="str">
        <f t="shared" si="32"/>
        <v/>
      </c>
      <c r="Y107" s="73" t="str">
        <f t="shared" si="32"/>
        <v/>
      </c>
      <c r="Z107" s="73" t="str">
        <f t="shared" si="32"/>
        <v/>
      </c>
      <c r="AA107" s="73" t="str">
        <f t="shared" si="32"/>
        <v/>
      </c>
      <c r="AB107" s="74" t="str">
        <f t="shared" si="32"/>
        <v/>
      </c>
      <c r="AC107" s="35" t="str">
        <f t="shared" si="22"/>
        <v/>
      </c>
      <c r="AD107" s="40" t="str">
        <f t="shared" si="23"/>
        <v/>
      </c>
      <c r="AE107" s="37" t="str">
        <f t="shared" si="24"/>
        <v/>
      </c>
      <c r="AF107" s="40" t="str">
        <f t="shared" si="25"/>
        <v/>
      </c>
      <c r="AG107" s="37" t="str">
        <f t="shared" si="26"/>
        <v/>
      </c>
      <c r="AH107" s="40" t="str">
        <f t="shared" si="27"/>
        <v/>
      </c>
      <c r="AI107" s="37" t="str">
        <f t="shared" si="28"/>
        <v/>
      </c>
      <c r="AJ107" s="40" t="str">
        <f t="shared" si="29"/>
        <v/>
      </c>
      <c r="AK107" s="204" t="str">
        <f>IF(C107="","",IF(E107=FROTA!$AT$18,IF('DEFINA!!!'!$L$6="D-E-F-I-N-A !!!!!!!",0,IF('DEFINA!!!'!$L$6="Opto por Idade Média",SEM!AW107,IF('DEFINA!!!'!$L$6="Opto pelo Valor aplicado ao  Ano de cada Carro",SEM!AX107,0))),IF(E107=FROTA!$AT$17,IF('DEFINA!!!'!$L$6="D-E-F-I-N-A !!!!!!!",0,IF('DEFINA!!!'!$L$6="Opto por Idade Média",SEM!AW107,IF('DEFINA!!!'!$L$6="Opto pelo Valor aplicado ao  Ano de cada Carro",SEM!AX107,0))),IF(E107=FROTA!$AT$16,IF('DEFINA!!!'!$L$6="D-E-F-I-N-A !!!!!!!",0,IF('DEFINA!!!'!$L$6="Opto por Idade Média",SEM!AW107,IF('DEFINA!!!'!$L$6="Opto pelo Valor aplicado ao  Ano de cada Carro",SEM!AX107,0))),IF('DEFINA!!!'!$L$6="D-E-F-I-N-A !!!!!!!",0,IF('DEFINA!!!'!$L$6="Opto por Idade Média",SEM!AU107,IF('DEFINA!!!'!$L$6="Opto pelo Valor aplicado ao  Ano de cada Carro",SEM!AV107,0)))))))</f>
        <v/>
      </c>
      <c r="AL107" s="6"/>
      <c r="AM107" s="79" t="str">
        <f t="shared" si="30"/>
        <v/>
      </c>
      <c r="AN107" s="12"/>
      <c r="AO107" s="12"/>
      <c r="AP107" s="14"/>
      <c r="AQ107" s="16"/>
      <c r="AR107" s="15"/>
      <c r="AU107" s="198" t="str">
        <f>IF(C107="","",VLOOKUP(FROTA!$AB$2,RECEBÍVEIS!$AA$11:$AB$43,2,0))</f>
        <v/>
      </c>
      <c r="AV107" s="198" t="str">
        <f>IF(C107="","",IF(C107=FROTA!Z107="","",VLOOKUP(FROTA!Z107,RECEBÍVEIS!$AA$11:$AB$43,2,0)))</f>
        <v/>
      </c>
      <c r="AW107" s="198" t="str">
        <f>IF(C107="","",VLOOKUP(FROTA!$AB$2,RECEBÍVEIS!$AA$11:$AC$43,3,0))</f>
        <v/>
      </c>
      <c r="AX107" s="198" t="str">
        <f>IF(C107="","",IF(C107=FROTA!Z107="","",VLOOKUP(FROTA!Z107,RECEBÍVEIS!$AA$11:$AC$43,3,0)))</f>
        <v/>
      </c>
    </row>
    <row r="108" spans="2:50" ht="17.25" customHeight="1" x14ac:dyDescent="0.2">
      <c r="B108" s="6"/>
      <c r="C108" s="49" t="str">
        <f>IF(FROTA!B108="","",FROTA!B108)</f>
        <v/>
      </c>
      <c r="D108" s="220" t="str">
        <f>IF(C108="","",VLOOKUP(SEM!C108,FROTA!$B$5:$C$305,2,0))</f>
        <v/>
      </c>
      <c r="E108" s="24" t="str">
        <f>IF(C108="","",VLOOKUP(C108,FROTA!$B$5:$H$305,7,0))</f>
        <v/>
      </c>
      <c r="F108" s="38" t="str">
        <f t="shared" si="20"/>
        <v/>
      </c>
      <c r="G108" s="71" t="str">
        <f t="shared" si="31"/>
        <v/>
      </c>
      <c r="H108" s="32" t="str">
        <f t="shared" si="21"/>
        <v/>
      </c>
      <c r="I108" s="73" t="str">
        <f t="shared" si="21"/>
        <v/>
      </c>
      <c r="J108" s="73" t="str">
        <f t="shared" si="21"/>
        <v/>
      </c>
      <c r="K108" s="73" t="str">
        <f t="shared" si="18"/>
        <v/>
      </c>
      <c r="L108" s="73" t="str">
        <f t="shared" si="18"/>
        <v/>
      </c>
      <c r="M108" s="73" t="str">
        <f t="shared" si="18"/>
        <v/>
      </c>
      <c r="N108" s="73" t="str">
        <f t="shared" si="17"/>
        <v/>
      </c>
      <c r="O108" s="73" t="str">
        <f t="shared" si="17"/>
        <v/>
      </c>
      <c r="P108" s="73" t="str">
        <f t="shared" si="17"/>
        <v/>
      </c>
      <c r="Q108" s="73" t="str">
        <f t="shared" si="17"/>
        <v/>
      </c>
      <c r="R108" s="73" t="str">
        <f t="shared" si="32"/>
        <v/>
      </c>
      <c r="S108" s="73" t="str">
        <f t="shared" si="32"/>
        <v/>
      </c>
      <c r="T108" s="73" t="str">
        <f t="shared" si="32"/>
        <v/>
      </c>
      <c r="U108" s="73" t="str">
        <f t="shared" si="32"/>
        <v/>
      </c>
      <c r="V108" s="73" t="str">
        <f t="shared" si="32"/>
        <v/>
      </c>
      <c r="W108" s="73" t="str">
        <f t="shared" si="32"/>
        <v/>
      </c>
      <c r="X108" s="73" t="str">
        <f t="shared" si="32"/>
        <v/>
      </c>
      <c r="Y108" s="73" t="str">
        <f t="shared" si="32"/>
        <v/>
      </c>
      <c r="Z108" s="73" t="str">
        <f t="shared" si="32"/>
        <v/>
      </c>
      <c r="AA108" s="73" t="str">
        <f t="shared" si="32"/>
        <v/>
      </c>
      <c r="AB108" s="74" t="str">
        <f t="shared" si="32"/>
        <v/>
      </c>
      <c r="AC108" s="35" t="str">
        <f t="shared" si="22"/>
        <v/>
      </c>
      <c r="AD108" s="40" t="str">
        <f t="shared" si="23"/>
        <v/>
      </c>
      <c r="AE108" s="37" t="str">
        <f t="shared" si="24"/>
        <v/>
      </c>
      <c r="AF108" s="40" t="str">
        <f t="shared" si="25"/>
        <v/>
      </c>
      <c r="AG108" s="37" t="str">
        <f t="shared" si="26"/>
        <v/>
      </c>
      <c r="AH108" s="40" t="str">
        <f t="shared" si="27"/>
        <v/>
      </c>
      <c r="AI108" s="37" t="str">
        <f t="shared" si="28"/>
        <v/>
      </c>
      <c r="AJ108" s="40" t="str">
        <f t="shared" si="29"/>
        <v/>
      </c>
      <c r="AK108" s="204" t="str">
        <f>IF(C108="","",IF(E108=FROTA!$AT$18,IF('DEFINA!!!'!$L$6="D-E-F-I-N-A !!!!!!!",0,IF('DEFINA!!!'!$L$6="Opto por Idade Média",SEM!AW108,IF('DEFINA!!!'!$L$6="Opto pelo Valor aplicado ao  Ano de cada Carro",SEM!AX108,0))),IF(E108=FROTA!$AT$17,IF('DEFINA!!!'!$L$6="D-E-F-I-N-A !!!!!!!",0,IF('DEFINA!!!'!$L$6="Opto por Idade Média",SEM!AW108,IF('DEFINA!!!'!$L$6="Opto pelo Valor aplicado ao  Ano de cada Carro",SEM!AX108,0))),IF(E108=FROTA!$AT$16,IF('DEFINA!!!'!$L$6="D-E-F-I-N-A !!!!!!!",0,IF('DEFINA!!!'!$L$6="Opto por Idade Média",SEM!AW108,IF('DEFINA!!!'!$L$6="Opto pelo Valor aplicado ao  Ano de cada Carro",SEM!AX108,0))),IF('DEFINA!!!'!$L$6="D-E-F-I-N-A !!!!!!!",0,IF('DEFINA!!!'!$L$6="Opto por Idade Média",SEM!AU108,IF('DEFINA!!!'!$L$6="Opto pelo Valor aplicado ao  Ano de cada Carro",SEM!AV108,0)))))))</f>
        <v/>
      </c>
      <c r="AL108" s="6"/>
      <c r="AM108" s="79" t="str">
        <f t="shared" si="30"/>
        <v/>
      </c>
      <c r="AN108" s="12"/>
      <c r="AO108" s="12"/>
      <c r="AP108" s="14"/>
      <c r="AQ108" s="16"/>
      <c r="AR108" s="15"/>
      <c r="AU108" s="198" t="str">
        <f>IF(C108="","",VLOOKUP(FROTA!$AB$2,RECEBÍVEIS!$AA$11:$AB$43,2,0))</f>
        <v/>
      </c>
      <c r="AV108" s="198" t="str">
        <f>IF(C108="","",IF(C108=FROTA!Z108="","",VLOOKUP(FROTA!Z108,RECEBÍVEIS!$AA$11:$AB$43,2,0)))</f>
        <v/>
      </c>
      <c r="AW108" s="198" t="str">
        <f>IF(C108="","",VLOOKUP(FROTA!$AB$2,RECEBÍVEIS!$AA$11:$AC$43,3,0))</f>
        <v/>
      </c>
      <c r="AX108" s="198" t="str">
        <f>IF(C108="","",IF(C108=FROTA!Z108="","",VLOOKUP(FROTA!Z108,RECEBÍVEIS!$AA$11:$AC$43,3,0)))</f>
        <v/>
      </c>
    </row>
    <row r="109" spans="2:50" ht="17.25" customHeight="1" x14ac:dyDescent="0.2">
      <c r="B109" s="6"/>
      <c r="C109" s="49" t="str">
        <f>IF(FROTA!B109="","",FROTA!B109)</f>
        <v/>
      </c>
      <c r="D109" s="220" t="str">
        <f>IF(C109="","",VLOOKUP(SEM!C109,FROTA!$B$5:$C$305,2,0))</f>
        <v/>
      </c>
      <c r="E109" s="24" t="str">
        <f>IF(C109="","",VLOOKUP(C109,FROTA!$B$5:$H$305,7,0))</f>
        <v/>
      </c>
      <c r="F109" s="38" t="str">
        <f t="shared" si="20"/>
        <v/>
      </c>
      <c r="G109" s="71" t="str">
        <f t="shared" si="31"/>
        <v/>
      </c>
      <c r="H109" s="32" t="str">
        <f t="shared" si="21"/>
        <v/>
      </c>
      <c r="I109" s="73" t="str">
        <f t="shared" si="21"/>
        <v/>
      </c>
      <c r="J109" s="73" t="str">
        <f t="shared" si="21"/>
        <v/>
      </c>
      <c r="K109" s="73" t="str">
        <f t="shared" si="18"/>
        <v/>
      </c>
      <c r="L109" s="73" t="str">
        <f t="shared" si="18"/>
        <v/>
      </c>
      <c r="M109" s="73" t="str">
        <f t="shared" si="18"/>
        <v/>
      </c>
      <c r="N109" s="73" t="str">
        <f t="shared" si="17"/>
        <v/>
      </c>
      <c r="O109" s="73" t="str">
        <f t="shared" si="17"/>
        <v/>
      </c>
      <c r="P109" s="73" t="str">
        <f t="shared" si="17"/>
        <v/>
      </c>
      <c r="Q109" s="73" t="str">
        <f t="shared" si="17"/>
        <v/>
      </c>
      <c r="R109" s="73" t="str">
        <f t="shared" si="32"/>
        <v/>
      </c>
      <c r="S109" s="73" t="str">
        <f t="shared" si="32"/>
        <v/>
      </c>
      <c r="T109" s="73" t="str">
        <f t="shared" si="32"/>
        <v/>
      </c>
      <c r="U109" s="73" t="str">
        <f t="shared" si="32"/>
        <v/>
      </c>
      <c r="V109" s="73" t="str">
        <f t="shared" si="32"/>
        <v/>
      </c>
      <c r="W109" s="73" t="str">
        <f t="shared" si="32"/>
        <v/>
      </c>
      <c r="X109" s="73" t="str">
        <f t="shared" si="32"/>
        <v/>
      </c>
      <c r="Y109" s="73" t="str">
        <f t="shared" si="32"/>
        <v/>
      </c>
      <c r="Z109" s="73" t="str">
        <f t="shared" si="32"/>
        <v/>
      </c>
      <c r="AA109" s="73" t="str">
        <f t="shared" si="32"/>
        <v/>
      </c>
      <c r="AB109" s="74" t="str">
        <f t="shared" si="32"/>
        <v/>
      </c>
      <c r="AC109" s="35" t="str">
        <f t="shared" si="22"/>
        <v/>
      </c>
      <c r="AD109" s="40" t="str">
        <f t="shared" si="23"/>
        <v/>
      </c>
      <c r="AE109" s="37" t="str">
        <f t="shared" si="24"/>
        <v/>
      </c>
      <c r="AF109" s="40" t="str">
        <f t="shared" si="25"/>
        <v/>
      </c>
      <c r="AG109" s="37" t="str">
        <f t="shared" si="26"/>
        <v/>
      </c>
      <c r="AH109" s="40" t="str">
        <f t="shared" si="27"/>
        <v/>
      </c>
      <c r="AI109" s="37" t="str">
        <f t="shared" si="28"/>
        <v/>
      </c>
      <c r="AJ109" s="40" t="str">
        <f t="shared" si="29"/>
        <v/>
      </c>
      <c r="AK109" s="204" t="str">
        <f>IF(C109="","",IF(E109=FROTA!$AT$18,IF('DEFINA!!!'!$L$6="D-E-F-I-N-A !!!!!!!",0,IF('DEFINA!!!'!$L$6="Opto por Idade Média",SEM!AW109,IF('DEFINA!!!'!$L$6="Opto pelo Valor aplicado ao  Ano de cada Carro",SEM!AX109,0))),IF(E109=FROTA!$AT$17,IF('DEFINA!!!'!$L$6="D-E-F-I-N-A !!!!!!!",0,IF('DEFINA!!!'!$L$6="Opto por Idade Média",SEM!AW109,IF('DEFINA!!!'!$L$6="Opto pelo Valor aplicado ao  Ano de cada Carro",SEM!AX109,0))),IF(E109=FROTA!$AT$16,IF('DEFINA!!!'!$L$6="D-E-F-I-N-A !!!!!!!",0,IF('DEFINA!!!'!$L$6="Opto por Idade Média",SEM!AW109,IF('DEFINA!!!'!$L$6="Opto pelo Valor aplicado ao  Ano de cada Carro",SEM!AX109,0))),IF('DEFINA!!!'!$L$6="D-E-F-I-N-A !!!!!!!",0,IF('DEFINA!!!'!$L$6="Opto por Idade Média",SEM!AU109,IF('DEFINA!!!'!$L$6="Opto pelo Valor aplicado ao  Ano de cada Carro",SEM!AV109,0)))))))</f>
        <v/>
      </c>
      <c r="AL109" s="6"/>
      <c r="AM109" s="79" t="str">
        <f t="shared" si="30"/>
        <v/>
      </c>
      <c r="AN109" s="12"/>
      <c r="AO109" s="12"/>
      <c r="AP109" s="14"/>
      <c r="AQ109" s="16"/>
      <c r="AR109" s="15"/>
      <c r="AU109" s="198" t="str">
        <f>IF(C109="","",VLOOKUP(FROTA!$AB$2,RECEBÍVEIS!$AA$11:$AB$43,2,0))</f>
        <v/>
      </c>
      <c r="AV109" s="198" t="str">
        <f>IF(C109="","",IF(C109=FROTA!Z109="","",VLOOKUP(FROTA!Z109,RECEBÍVEIS!$AA$11:$AB$43,2,0)))</f>
        <v/>
      </c>
      <c r="AW109" s="198" t="str">
        <f>IF(C109="","",VLOOKUP(FROTA!$AB$2,RECEBÍVEIS!$AA$11:$AC$43,3,0))</f>
        <v/>
      </c>
      <c r="AX109" s="198" t="str">
        <f>IF(C109="","",IF(C109=FROTA!Z109="","",VLOOKUP(FROTA!Z109,RECEBÍVEIS!$AA$11:$AC$43,3,0)))</f>
        <v/>
      </c>
    </row>
    <row r="110" spans="2:50" ht="17.25" customHeight="1" x14ac:dyDescent="0.2">
      <c r="B110" s="6"/>
      <c r="C110" s="49" t="str">
        <f>IF(FROTA!B110="","",FROTA!B110)</f>
        <v/>
      </c>
      <c r="D110" s="220" t="str">
        <f>IF(C110="","",VLOOKUP(SEM!C110,FROTA!$B$5:$C$305,2,0))</f>
        <v/>
      </c>
      <c r="E110" s="24" t="str">
        <f>IF(C110="","",VLOOKUP(C110,FROTA!$B$5:$H$305,7,0))</f>
        <v/>
      </c>
      <c r="F110" s="38" t="str">
        <f t="shared" si="20"/>
        <v/>
      </c>
      <c r="G110" s="71" t="str">
        <f t="shared" si="31"/>
        <v/>
      </c>
      <c r="H110" s="32" t="str">
        <f t="shared" si="21"/>
        <v/>
      </c>
      <c r="I110" s="73" t="str">
        <f t="shared" si="21"/>
        <v/>
      </c>
      <c r="J110" s="73" t="str">
        <f t="shared" si="21"/>
        <v/>
      </c>
      <c r="K110" s="73" t="str">
        <f t="shared" si="18"/>
        <v/>
      </c>
      <c r="L110" s="73" t="str">
        <f t="shared" si="18"/>
        <v/>
      </c>
      <c r="M110" s="73" t="str">
        <f t="shared" si="18"/>
        <v/>
      </c>
      <c r="N110" s="73" t="str">
        <f t="shared" si="17"/>
        <v/>
      </c>
      <c r="O110" s="73" t="str">
        <f t="shared" si="17"/>
        <v/>
      </c>
      <c r="P110" s="73" t="str">
        <f t="shared" si="17"/>
        <v/>
      </c>
      <c r="Q110" s="73" t="str">
        <f t="shared" si="17"/>
        <v/>
      </c>
      <c r="R110" s="73" t="str">
        <f t="shared" si="32"/>
        <v/>
      </c>
      <c r="S110" s="73" t="str">
        <f t="shared" si="32"/>
        <v/>
      </c>
      <c r="T110" s="73" t="str">
        <f t="shared" si="32"/>
        <v/>
      </c>
      <c r="U110" s="73" t="str">
        <f t="shared" si="32"/>
        <v/>
      </c>
      <c r="V110" s="73" t="str">
        <f t="shared" si="32"/>
        <v/>
      </c>
      <c r="W110" s="73" t="str">
        <f t="shared" si="32"/>
        <v/>
      </c>
      <c r="X110" s="73" t="str">
        <f t="shared" si="32"/>
        <v/>
      </c>
      <c r="Y110" s="73" t="str">
        <f t="shared" si="32"/>
        <v/>
      </c>
      <c r="Z110" s="73" t="str">
        <f t="shared" si="32"/>
        <v/>
      </c>
      <c r="AA110" s="73" t="str">
        <f t="shared" si="32"/>
        <v/>
      </c>
      <c r="AB110" s="74" t="str">
        <f t="shared" si="32"/>
        <v/>
      </c>
      <c r="AC110" s="35" t="str">
        <f t="shared" si="22"/>
        <v/>
      </c>
      <c r="AD110" s="40" t="str">
        <f t="shared" si="23"/>
        <v/>
      </c>
      <c r="AE110" s="37" t="str">
        <f t="shared" si="24"/>
        <v/>
      </c>
      <c r="AF110" s="40" t="str">
        <f t="shared" si="25"/>
        <v/>
      </c>
      <c r="AG110" s="37" t="str">
        <f t="shared" si="26"/>
        <v/>
      </c>
      <c r="AH110" s="40" t="str">
        <f t="shared" si="27"/>
        <v/>
      </c>
      <c r="AI110" s="37" t="str">
        <f t="shared" si="28"/>
        <v/>
      </c>
      <c r="AJ110" s="40" t="str">
        <f t="shared" si="29"/>
        <v/>
      </c>
      <c r="AK110" s="204" t="str">
        <f>IF(C110="","",IF(E110=FROTA!$AT$18,IF('DEFINA!!!'!$L$6="D-E-F-I-N-A !!!!!!!",0,IF('DEFINA!!!'!$L$6="Opto por Idade Média",SEM!AW110,IF('DEFINA!!!'!$L$6="Opto pelo Valor aplicado ao  Ano de cada Carro",SEM!AX110,0))),IF(E110=FROTA!$AT$17,IF('DEFINA!!!'!$L$6="D-E-F-I-N-A !!!!!!!",0,IF('DEFINA!!!'!$L$6="Opto por Idade Média",SEM!AW110,IF('DEFINA!!!'!$L$6="Opto pelo Valor aplicado ao  Ano de cada Carro",SEM!AX110,0))),IF(E110=FROTA!$AT$16,IF('DEFINA!!!'!$L$6="D-E-F-I-N-A !!!!!!!",0,IF('DEFINA!!!'!$L$6="Opto por Idade Média",SEM!AW110,IF('DEFINA!!!'!$L$6="Opto pelo Valor aplicado ao  Ano de cada Carro",SEM!AX110,0))),IF('DEFINA!!!'!$L$6="D-E-F-I-N-A !!!!!!!",0,IF('DEFINA!!!'!$L$6="Opto por Idade Média",SEM!AU110,IF('DEFINA!!!'!$L$6="Opto pelo Valor aplicado ao  Ano de cada Carro",SEM!AV110,0)))))))</f>
        <v/>
      </c>
      <c r="AL110" s="6"/>
      <c r="AM110" s="79" t="str">
        <f t="shared" si="30"/>
        <v/>
      </c>
      <c r="AN110" s="12"/>
      <c r="AO110" s="12"/>
      <c r="AP110" s="14"/>
      <c r="AQ110" s="16"/>
      <c r="AR110" s="15"/>
      <c r="AU110" s="198" t="str">
        <f>IF(C110="","",VLOOKUP(FROTA!$AB$2,RECEBÍVEIS!$AA$11:$AB$43,2,0))</f>
        <v/>
      </c>
      <c r="AV110" s="198" t="str">
        <f>IF(C110="","",IF(C110=FROTA!Z110="","",VLOOKUP(FROTA!Z110,RECEBÍVEIS!$AA$11:$AB$43,2,0)))</f>
        <v/>
      </c>
      <c r="AW110" s="198" t="str">
        <f>IF(C110="","",VLOOKUP(FROTA!$AB$2,RECEBÍVEIS!$AA$11:$AC$43,3,0))</f>
        <v/>
      </c>
      <c r="AX110" s="198" t="str">
        <f>IF(C110="","",IF(C110=FROTA!Z110="","",VLOOKUP(FROTA!Z110,RECEBÍVEIS!$AA$11:$AC$43,3,0)))</f>
        <v/>
      </c>
    </row>
    <row r="111" spans="2:50" ht="17.25" customHeight="1" x14ac:dyDescent="0.2">
      <c r="B111" s="6"/>
      <c r="C111" s="49" t="str">
        <f>IF(FROTA!B111="","",FROTA!B111)</f>
        <v/>
      </c>
      <c r="D111" s="220" t="str">
        <f>IF(C111="","",VLOOKUP(SEM!C111,FROTA!$B$5:$C$305,2,0))</f>
        <v/>
      </c>
      <c r="E111" s="24" t="str">
        <f>IF(C111="","",VLOOKUP(C111,FROTA!$B$5:$H$305,7,0))</f>
        <v/>
      </c>
      <c r="F111" s="38" t="str">
        <f t="shared" si="20"/>
        <v/>
      </c>
      <c r="G111" s="71" t="str">
        <f t="shared" si="31"/>
        <v/>
      </c>
      <c r="H111" s="32" t="str">
        <f t="shared" si="21"/>
        <v/>
      </c>
      <c r="I111" s="73" t="str">
        <f t="shared" si="21"/>
        <v/>
      </c>
      <c r="J111" s="73" t="str">
        <f t="shared" si="21"/>
        <v/>
      </c>
      <c r="K111" s="73" t="str">
        <f t="shared" si="18"/>
        <v/>
      </c>
      <c r="L111" s="73" t="str">
        <f t="shared" si="18"/>
        <v/>
      </c>
      <c r="M111" s="73" t="str">
        <f t="shared" si="18"/>
        <v/>
      </c>
      <c r="N111" s="73" t="str">
        <f t="shared" si="17"/>
        <v/>
      </c>
      <c r="O111" s="73" t="str">
        <f t="shared" si="17"/>
        <v/>
      </c>
      <c r="P111" s="73" t="str">
        <f t="shared" si="17"/>
        <v/>
      </c>
      <c r="Q111" s="73" t="str">
        <f t="shared" si="17"/>
        <v/>
      </c>
      <c r="R111" s="73" t="str">
        <f t="shared" si="32"/>
        <v/>
      </c>
      <c r="S111" s="73" t="str">
        <f t="shared" si="32"/>
        <v/>
      </c>
      <c r="T111" s="73" t="str">
        <f t="shared" si="32"/>
        <v/>
      </c>
      <c r="U111" s="73" t="str">
        <f t="shared" si="32"/>
        <v/>
      </c>
      <c r="V111" s="73" t="str">
        <f t="shared" si="32"/>
        <v/>
      </c>
      <c r="W111" s="73" t="str">
        <f t="shared" si="32"/>
        <v/>
      </c>
      <c r="X111" s="73" t="str">
        <f t="shared" si="32"/>
        <v/>
      </c>
      <c r="Y111" s="73" t="str">
        <f t="shared" si="32"/>
        <v/>
      </c>
      <c r="Z111" s="73" t="str">
        <f t="shared" si="32"/>
        <v/>
      </c>
      <c r="AA111" s="73" t="str">
        <f t="shared" si="32"/>
        <v/>
      </c>
      <c r="AB111" s="74" t="str">
        <f t="shared" si="32"/>
        <v/>
      </c>
      <c r="AC111" s="35" t="str">
        <f t="shared" si="22"/>
        <v/>
      </c>
      <c r="AD111" s="40" t="str">
        <f t="shared" si="23"/>
        <v/>
      </c>
      <c r="AE111" s="37" t="str">
        <f t="shared" si="24"/>
        <v/>
      </c>
      <c r="AF111" s="40" t="str">
        <f t="shared" si="25"/>
        <v/>
      </c>
      <c r="AG111" s="37" t="str">
        <f t="shared" si="26"/>
        <v/>
      </c>
      <c r="AH111" s="40" t="str">
        <f t="shared" si="27"/>
        <v/>
      </c>
      <c r="AI111" s="37" t="str">
        <f t="shared" si="28"/>
        <v/>
      </c>
      <c r="AJ111" s="40" t="str">
        <f t="shared" si="29"/>
        <v/>
      </c>
      <c r="AK111" s="204" t="str">
        <f>IF(C111="","",IF(E111=FROTA!$AT$18,IF('DEFINA!!!'!$L$6="D-E-F-I-N-A !!!!!!!",0,IF('DEFINA!!!'!$L$6="Opto por Idade Média",SEM!AW111,IF('DEFINA!!!'!$L$6="Opto pelo Valor aplicado ao  Ano de cada Carro",SEM!AX111,0))),IF(E111=FROTA!$AT$17,IF('DEFINA!!!'!$L$6="D-E-F-I-N-A !!!!!!!",0,IF('DEFINA!!!'!$L$6="Opto por Idade Média",SEM!AW111,IF('DEFINA!!!'!$L$6="Opto pelo Valor aplicado ao  Ano de cada Carro",SEM!AX111,0))),IF(E111=FROTA!$AT$16,IF('DEFINA!!!'!$L$6="D-E-F-I-N-A !!!!!!!",0,IF('DEFINA!!!'!$L$6="Opto por Idade Média",SEM!AW111,IF('DEFINA!!!'!$L$6="Opto pelo Valor aplicado ao  Ano de cada Carro",SEM!AX111,0))),IF('DEFINA!!!'!$L$6="D-E-F-I-N-A !!!!!!!",0,IF('DEFINA!!!'!$L$6="Opto por Idade Média",SEM!AU111,IF('DEFINA!!!'!$L$6="Opto pelo Valor aplicado ao  Ano de cada Carro",SEM!AV111,0)))))))</f>
        <v/>
      </c>
      <c r="AL111" s="6"/>
      <c r="AM111" s="79" t="str">
        <f t="shared" si="30"/>
        <v/>
      </c>
      <c r="AN111" s="12"/>
      <c r="AO111" s="12"/>
      <c r="AP111" s="14"/>
      <c r="AQ111" s="16"/>
      <c r="AR111" s="15"/>
      <c r="AU111" s="198" t="str">
        <f>IF(C111="","",VLOOKUP(FROTA!$AB$2,RECEBÍVEIS!$AA$11:$AB$43,2,0))</f>
        <v/>
      </c>
      <c r="AV111" s="198" t="str">
        <f>IF(C111="","",IF(C111=FROTA!Z111="","",VLOOKUP(FROTA!Z111,RECEBÍVEIS!$AA$11:$AB$43,2,0)))</f>
        <v/>
      </c>
      <c r="AW111" s="198" t="str">
        <f>IF(C111="","",VLOOKUP(FROTA!$AB$2,RECEBÍVEIS!$AA$11:$AC$43,3,0))</f>
        <v/>
      </c>
      <c r="AX111" s="198" t="str">
        <f>IF(C111="","",IF(C111=FROTA!Z111="","",VLOOKUP(FROTA!Z111,RECEBÍVEIS!$AA$11:$AC$43,3,0)))</f>
        <v/>
      </c>
    </row>
    <row r="112" spans="2:50" ht="17.25" customHeight="1" x14ac:dyDescent="0.2">
      <c r="B112" s="6"/>
      <c r="C112" s="49" t="str">
        <f>IF(FROTA!B112="","",FROTA!B112)</f>
        <v/>
      </c>
      <c r="D112" s="220" t="str">
        <f>IF(C112="","",VLOOKUP(SEM!C112,FROTA!$B$5:$C$305,2,0))</f>
        <v/>
      </c>
      <c r="E112" s="24" t="str">
        <f>IF(C112="","",VLOOKUP(C112,FROTA!$B$5:$H$305,7,0))</f>
        <v/>
      </c>
      <c r="F112" s="38" t="str">
        <f t="shared" si="20"/>
        <v/>
      </c>
      <c r="G112" s="71" t="str">
        <f t="shared" si="31"/>
        <v/>
      </c>
      <c r="H112" s="32" t="str">
        <f t="shared" si="21"/>
        <v/>
      </c>
      <c r="I112" s="73" t="str">
        <f t="shared" si="21"/>
        <v/>
      </c>
      <c r="J112" s="73" t="str">
        <f t="shared" si="21"/>
        <v/>
      </c>
      <c r="K112" s="73" t="str">
        <f t="shared" si="18"/>
        <v/>
      </c>
      <c r="L112" s="73" t="str">
        <f t="shared" si="18"/>
        <v/>
      </c>
      <c r="M112" s="73" t="str">
        <f t="shared" si="18"/>
        <v/>
      </c>
      <c r="N112" s="73" t="str">
        <f t="shared" si="17"/>
        <v/>
      </c>
      <c r="O112" s="73" t="str">
        <f t="shared" si="17"/>
        <v/>
      </c>
      <c r="P112" s="73" t="str">
        <f t="shared" si="17"/>
        <v/>
      </c>
      <c r="Q112" s="73" t="str">
        <f t="shared" si="17"/>
        <v/>
      </c>
      <c r="R112" s="73" t="str">
        <f t="shared" si="32"/>
        <v/>
      </c>
      <c r="S112" s="73" t="str">
        <f t="shared" si="32"/>
        <v/>
      </c>
      <c r="T112" s="73" t="str">
        <f t="shared" si="32"/>
        <v/>
      </c>
      <c r="U112" s="73" t="str">
        <f t="shared" si="32"/>
        <v/>
      </c>
      <c r="V112" s="73" t="str">
        <f t="shared" si="32"/>
        <v/>
      </c>
      <c r="W112" s="73" t="str">
        <f t="shared" si="32"/>
        <v/>
      </c>
      <c r="X112" s="73" t="str">
        <f t="shared" si="32"/>
        <v/>
      </c>
      <c r="Y112" s="73" t="str">
        <f t="shared" si="32"/>
        <v/>
      </c>
      <c r="Z112" s="73" t="str">
        <f t="shared" si="32"/>
        <v/>
      </c>
      <c r="AA112" s="73" t="str">
        <f t="shared" si="32"/>
        <v/>
      </c>
      <c r="AB112" s="74" t="str">
        <f t="shared" si="32"/>
        <v/>
      </c>
      <c r="AC112" s="35" t="str">
        <f t="shared" si="22"/>
        <v/>
      </c>
      <c r="AD112" s="40" t="str">
        <f t="shared" si="23"/>
        <v/>
      </c>
      <c r="AE112" s="37" t="str">
        <f t="shared" si="24"/>
        <v/>
      </c>
      <c r="AF112" s="40" t="str">
        <f t="shared" si="25"/>
        <v/>
      </c>
      <c r="AG112" s="37" t="str">
        <f t="shared" si="26"/>
        <v/>
      </c>
      <c r="AH112" s="40" t="str">
        <f t="shared" si="27"/>
        <v/>
      </c>
      <c r="AI112" s="37" t="str">
        <f t="shared" si="28"/>
        <v/>
      </c>
      <c r="AJ112" s="40" t="str">
        <f t="shared" si="29"/>
        <v/>
      </c>
      <c r="AK112" s="204" t="str">
        <f>IF(C112="","",IF(E112=FROTA!$AT$18,IF('DEFINA!!!'!$L$6="D-E-F-I-N-A !!!!!!!",0,IF('DEFINA!!!'!$L$6="Opto por Idade Média",SEM!AW112,IF('DEFINA!!!'!$L$6="Opto pelo Valor aplicado ao  Ano de cada Carro",SEM!AX112,0))),IF(E112=FROTA!$AT$17,IF('DEFINA!!!'!$L$6="D-E-F-I-N-A !!!!!!!",0,IF('DEFINA!!!'!$L$6="Opto por Idade Média",SEM!AW112,IF('DEFINA!!!'!$L$6="Opto pelo Valor aplicado ao  Ano de cada Carro",SEM!AX112,0))),IF(E112=FROTA!$AT$16,IF('DEFINA!!!'!$L$6="D-E-F-I-N-A !!!!!!!",0,IF('DEFINA!!!'!$L$6="Opto por Idade Média",SEM!AW112,IF('DEFINA!!!'!$L$6="Opto pelo Valor aplicado ao  Ano de cada Carro",SEM!AX112,0))),IF('DEFINA!!!'!$L$6="D-E-F-I-N-A !!!!!!!",0,IF('DEFINA!!!'!$L$6="Opto por Idade Média",SEM!AU112,IF('DEFINA!!!'!$L$6="Opto pelo Valor aplicado ao  Ano de cada Carro",SEM!AV112,0)))))))</f>
        <v/>
      </c>
      <c r="AL112" s="6"/>
      <c r="AM112" s="79" t="str">
        <f t="shared" si="30"/>
        <v/>
      </c>
      <c r="AN112" s="12"/>
      <c r="AO112" s="12"/>
      <c r="AP112" s="14"/>
      <c r="AQ112" s="16"/>
      <c r="AR112" s="15"/>
      <c r="AU112" s="198" t="str">
        <f>IF(C112="","",VLOOKUP(FROTA!$AB$2,RECEBÍVEIS!$AA$11:$AB$43,2,0))</f>
        <v/>
      </c>
      <c r="AV112" s="198" t="str">
        <f>IF(C112="","",IF(C112=FROTA!Z112="","",VLOOKUP(FROTA!Z112,RECEBÍVEIS!$AA$11:$AB$43,2,0)))</f>
        <v/>
      </c>
      <c r="AW112" s="198" t="str">
        <f>IF(C112="","",VLOOKUP(FROTA!$AB$2,RECEBÍVEIS!$AA$11:$AC$43,3,0))</f>
        <v/>
      </c>
      <c r="AX112" s="198" t="str">
        <f>IF(C112="","",IF(C112=FROTA!Z112="","",VLOOKUP(FROTA!Z112,RECEBÍVEIS!$AA$11:$AC$43,3,0)))</f>
        <v/>
      </c>
    </row>
    <row r="113" spans="2:50" ht="17.25" customHeight="1" x14ac:dyDescent="0.2">
      <c r="B113" s="6"/>
      <c r="C113" s="49" t="str">
        <f>IF(FROTA!B113="","",FROTA!B113)</f>
        <v/>
      </c>
      <c r="D113" s="220" t="str">
        <f>IF(C113="","",VLOOKUP(SEM!C113,FROTA!$B$5:$C$305,2,0))</f>
        <v/>
      </c>
      <c r="E113" s="24" t="str">
        <f>IF(C113="","",VLOOKUP(C113,FROTA!$B$5:$H$305,7,0))</f>
        <v/>
      </c>
      <c r="F113" s="38" t="str">
        <f t="shared" si="20"/>
        <v/>
      </c>
      <c r="G113" s="71" t="str">
        <f t="shared" si="31"/>
        <v/>
      </c>
      <c r="H113" s="32" t="str">
        <f t="shared" si="21"/>
        <v/>
      </c>
      <c r="I113" s="73" t="str">
        <f t="shared" si="21"/>
        <v/>
      </c>
      <c r="J113" s="73" t="str">
        <f t="shared" si="21"/>
        <v/>
      </c>
      <c r="K113" s="73" t="str">
        <f t="shared" si="18"/>
        <v/>
      </c>
      <c r="L113" s="73" t="str">
        <f t="shared" si="18"/>
        <v/>
      </c>
      <c r="M113" s="73" t="str">
        <f t="shared" si="18"/>
        <v/>
      </c>
      <c r="N113" s="73" t="str">
        <f t="shared" si="17"/>
        <v/>
      </c>
      <c r="O113" s="73" t="str">
        <f t="shared" si="17"/>
        <v/>
      </c>
      <c r="P113" s="73" t="str">
        <f t="shared" si="17"/>
        <v/>
      </c>
      <c r="Q113" s="73" t="str">
        <f t="shared" si="17"/>
        <v/>
      </c>
      <c r="R113" s="73" t="str">
        <f t="shared" si="32"/>
        <v/>
      </c>
      <c r="S113" s="73" t="str">
        <f t="shared" si="32"/>
        <v/>
      </c>
      <c r="T113" s="73" t="str">
        <f t="shared" si="32"/>
        <v/>
      </c>
      <c r="U113" s="73" t="str">
        <f t="shared" si="32"/>
        <v/>
      </c>
      <c r="V113" s="73" t="str">
        <f t="shared" si="32"/>
        <v/>
      </c>
      <c r="W113" s="73" t="str">
        <f t="shared" si="32"/>
        <v/>
      </c>
      <c r="X113" s="73" t="str">
        <f t="shared" si="32"/>
        <v/>
      </c>
      <c r="Y113" s="73" t="str">
        <f t="shared" si="32"/>
        <v/>
      </c>
      <c r="Z113" s="73" t="str">
        <f t="shared" si="32"/>
        <v/>
      </c>
      <c r="AA113" s="73" t="str">
        <f t="shared" si="32"/>
        <v/>
      </c>
      <c r="AB113" s="74" t="str">
        <f t="shared" si="32"/>
        <v/>
      </c>
      <c r="AC113" s="35" t="str">
        <f t="shared" si="22"/>
        <v/>
      </c>
      <c r="AD113" s="40" t="str">
        <f t="shared" si="23"/>
        <v/>
      </c>
      <c r="AE113" s="37" t="str">
        <f t="shared" si="24"/>
        <v/>
      </c>
      <c r="AF113" s="40" t="str">
        <f t="shared" si="25"/>
        <v/>
      </c>
      <c r="AG113" s="37" t="str">
        <f t="shared" si="26"/>
        <v/>
      </c>
      <c r="AH113" s="40" t="str">
        <f t="shared" si="27"/>
        <v/>
      </c>
      <c r="AI113" s="37" t="str">
        <f t="shared" si="28"/>
        <v/>
      </c>
      <c r="AJ113" s="40" t="str">
        <f t="shared" si="29"/>
        <v/>
      </c>
      <c r="AK113" s="204" t="str">
        <f>IF(C113="","",IF(E113=FROTA!$AT$18,IF('DEFINA!!!'!$L$6="D-E-F-I-N-A !!!!!!!",0,IF('DEFINA!!!'!$L$6="Opto por Idade Média",SEM!AW113,IF('DEFINA!!!'!$L$6="Opto pelo Valor aplicado ao  Ano de cada Carro",SEM!AX113,0))),IF(E113=FROTA!$AT$17,IF('DEFINA!!!'!$L$6="D-E-F-I-N-A !!!!!!!",0,IF('DEFINA!!!'!$L$6="Opto por Idade Média",SEM!AW113,IF('DEFINA!!!'!$L$6="Opto pelo Valor aplicado ao  Ano de cada Carro",SEM!AX113,0))),IF(E113=FROTA!$AT$16,IF('DEFINA!!!'!$L$6="D-E-F-I-N-A !!!!!!!",0,IF('DEFINA!!!'!$L$6="Opto por Idade Média",SEM!AW113,IF('DEFINA!!!'!$L$6="Opto pelo Valor aplicado ao  Ano de cada Carro",SEM!AX113,0))),IF('DEFINA!!!'!$L$6="D-E-F-I-N-A !!!!!!!",0,IF('DEFINA!!!'!$L$6="Opto por Idade Média",SEM!AU113,IF('DEFINA!!!'!$L$6="Opto pelo Valor aplicado ao  Ano de cada Carro",SEM!AV113,0)))))))</f>
        <v/>
      </c>
      <c r="AL113" s="6"/>
      <c r="AM113" s="79" t="str">
        <f t="shared" si="30"/>
        <v/>
      </c>
      <c r="AN113" s="12"/>
      <c r="AO113" s="12"/>
      <c r="AP113" s="14"/>
      <c r="AQ113" s="16"/>
      <c r="AR113" s="15"/>
      <c r="AU113" s="198" t="str">
        <f>IF(C113="","",VLOOKUP(FROTA!$AB$2,RECEBÍVEIS!$AA$11:$AB$43,2,0))</f>
        <v/>
      </c>
      <c r="AV113" s="198" t="str">
        <f>IF(C113="","",IF(C113=FROTA!Z113="","",VLOOKUP(FROTA!Z113,RECEBÍVEIS!$AA$11:$AB$43,2,0)))</f>
        <v/>
      </c>
      <c r="AW113" s="198" t="str">
        <f>IF(C113="","",VLOOKUP(FROTA!$AB$2,RECEBÍVEIS!$AA$11:$AC$43,3,0))</f>
        <v/>
      </c>
      <c r="AX113" s="198" t="str">
        <f>IF(C113="","",IF(C113=FROTA!Z113="","",VLOOKUP(FROTA!Z113,RECEBÍVEIS!$AA$11:$AC$43,3,0)))</f>
        <v/>
      </c>
    </row>
    <row r="114" spans="2:50" ht="17.25" customHeight="1" x14ac:dyDescent="0.2">
      <c r="B114" s="6"/>
      <c r="C114" s="49" t="str">
        <f>IF(FROTA!B114="","",FROTA!B114)</f>
        <v/>
      </c>
      <c r="D114" s="220" t="str">
        <f>IF(C114="","",VLOOKUP(SEM!C114,FROTA!$B$5:$C$305,2,0))</f>
        <v/>
      </c>
      <c r="E114" s="24" t="str">
        <f>IF(C114="","",VLOOKUP(C114,FROTA!$B$5:$H$305,7,0))</f>
        <v/>
      </c>
      <c r="F114" s="38" t="str">
        <f t="shared" si="20"/>
        <v/>
      </c>
      <c r="G114" s="71" t="str">
        <f t="shared" si="31"/>
        <v/>
      </c>
      <c r="H114" s="32" t="str">
        <f t="shared" si="21"/>
        <v/>
      </c>
      <c r="I114" s="73" t="str">
        <f t="shared" si="21"/>
        <v/>
      </c>
      <c r="J114" s="73" t="str">
        <f t="shared" si="21"/>
        <v/>
      </c>
      <c r="K114" s="73" t="str">
        <f t="shared" si="18"/>
        <v/>
      </c>
      <c r="L114" s="73" t="str">
        <f t="shared" si="18"/>
        <v/>
      </c>
      <c r="M114" s="73" t="str">
        <f t="shared" si="18"/>
        <v/>
      </c>
      <c r="N114" s="73" t="str">
        <f t="shared" si="17"/>
        <v/>
      </c>
      <c r="O114" s="73" t="str">
        <f t="shared" si="17"/>
        <v/>
      </c>
      <c r="P114" s="73" t="str">
        <f t="shared" si="17"/>
        <v/>
      </c>
      <c r="Q114" s="73" t="str">
        <f t="shared" si="17"/>
        <v/>
      </c>
      <c r="R114" s="73" t="str">
        <f t="shared" si="32"/>
        <v/>
      </c>
      <c r="S114" s="73" t="str">
        <f t="shared" si="32"/>
        <v/>
      </c>
      <c r="T114" s="73" t="str">
        <f t="shared" si="32"/>
        <v/>
      </c>
      <c r="U114" s="73" t="str">
        <f t="shared" si="32"/>
        <v/>
      </c>
      <c r="V114" s="73" t="str">
        <f t="shared" si="32"/>
        <v/>
      </c>
      <c r="W114" s="73" t="str">
        <f t="shared" si="32"/>
        <v/>
      </c>
      <c r="X114" s="73" t="str">
        <f t="shared" si="32"/>
        <v/>
      </c>
      <c r="Y114" s="73" t="str">
        <f t="shared" si="32"/>
        <v/>
      </c>
      <c r="Z114" s="73" t="str">
        <f t="shared" ref="R114:AB137" si="33">IF($C114="","",IF(SUM(Z$307*$G114)&gt;$F114,$F114,SUM(Z$307*$G114)))</f>
        <v/>
      </c>
      <c r="AA114" s="73" t="str">
        <f t="shared" si="33"/>
        <v/>
      </c>
      <c r="AB114" s="74" t="str">
        <f t="shared" si="33"/>
        <v/>
      </c>
      <c r="AC114" s="35" t="str">
        <f t="shared" si="22"/>
        <v/>
      </c>
      <c r="AD114" s="40" t="str">
        <f t="shared" si="23"/>
        <v/>
      </c>
      <c r="AE114" s="37" t="str">
        <f t="shared" si="24"/>
        <v/>
      </c>
      <c r="AF114" s="40" t="str">
        <f t="shared" si="25"/>
        <v/>
      </c>
      <c r="AG114" s="37" t="str">
        <f t="shared" si="26"/>
        <v/>
      </c>
      <c r="AH114" s="40" t="str">
        <f t="shared" si="27"/>
        <v/>
      </c>
      <c r="AI114" s="37" t="str">
        <f t="shared" si="28"/>
        <v/>
      </c>
      <c r="AJ114" s="40" t="str">
        <f t="shared" si="29"/>
        <v/>
      </c>
      <c r="AK114" s="204" t="str">
        <f>IF(C114="","",IF(E114=FROTA!$AT$18,IF('DEFINA!!!'!$L$6="D-E-F-I-N-A !!!!!!!",0,IF('DEFINA!!!'!$L$6="Opto por Idade Média",SEM!AW114,IF('DEFINA!!!'!$L$6="Opto pelo Valor aplicado ao  Ano de cada Carro",SEM!AX114,0))),IF(E114=FROTA!$AT$17,IF('DEFINA!!!'!$L$6="D-E-F-I-N-A !!!!!!!",0,IF('DEFINA!!!'!$L$6="Opto por Idade Média",SEM!AW114,IF('DEFINA!!!'!$L$6="Opto pelo Valor aplicado ao  Ano de cada Carro",SEM!AX114,0))),IF(E114=FROTA!$AT$16,IF('DEFINA!!!'!$L$6="D-E-F-I-N-A !!!!!!!",0,IF('DEFINA!!!'!$L$6="Opto por Idade Média",SEM!AW114,IF('DEFINA!!!'!$L$6="Opto pelo Valor aplicado ao  Ano de cada Carro",SEM!AX114,0))),IF('DEFINA!!!'!$L$6="D-E-F-I-N-A !!!!!!!",0,IF('DEFINA!!!'!$L$6="Opto por Idade Média",SEM!AU114,IF('DEFINA!!!'!$L$6="Opto pelo Valor aplicado ao  Ano de cada Carro",SEM!AV114,0)))))))</f>
        <v/>
      </c>
      <c r="AL114" s="6"/>
      <c r="AM114" s="79" t="str">
        <f t="shared" si="30"/>
        <v/>
      </c>
      <c r="AN114" s="12"/>
      <c r="AO114" s="12"/>
      <c r="AP114" s="14"/>
      <c r="AQ114" s="16"/>
      <c r="AR114" s="15"/>
      <c r="AU114" s="198" t="str">
        <f>IF(C114="","",VLOOKUP(FROTA!$AB$2,RECEBÍVEIS!$AA$11:$AB$43,2,0))</f>
        <v/>
      </c>
      <c r="AV114" s="198" t="str">
        <f>IF(C114="","",IF(C114=FROTA!Z114="","",VLOOKUP(FROTA!Z114,RECEBÍVEIS!$AA$11:$AB$43,2,0)))</f>
        <v/>
      </c>
      <c r="AW114" s="198" t="str">
        <f>IF(C114="","",VLOOKUP(FROTA!$AB$2,RECEBÍVEIS!$AA$11:$AC$43,3,0))</f>
        <v/>
      </c>
      <c r="AX114" s="198" t="str">
        <f>IF(C114="","",IF(C114=FROTA!Z114="","",VLOOKUP(FROTA!Z114,RECEBÍVEIS!$AA$11:$AC$43,3,0)))</f>
        <v/>
      </c>
    </row>
    <row r="115" spans="2:50" ht="17.25" customHeight="1" x14ac:dyDescent="0.2">
      <c r="B115" s="6"/>
      <c r="C115" s="49" t="str">
        <f>IF(FROTA!B115="","",FROTA!B115)</f>
        <v/>
      </c>
      <c r="D115" s="220" t="str">
        <f>IF(C115="","",VLOOKUP(SEM!C115,FROTA!$B$5:$C$305,2,0))</f>
        <v/>
      </c>
      <c r="E115" s="24" t="str">
        <f>IF(C115="","",VLOOKUP(C115,FROTA!$B$5:$H$305,7,0))</f>
        <v/>
      </c>
      <c r="F115" s="38" t="str">
        <f t="shared" si="20"/>
        <v/>
      </c>
      <c r="G115" s="71" t="str">
        <f t="shared" si="31"/>
        <v/>
      </c>
      <c r="H115" s="32" t="str">
        <f t="shared" si="21"/>
        <v/>
      </c>
      <c r="I115" s="73" t="str">
        <f t="shared" si="21"/>
        <v/>
      </c>
      <c r="J115" s="73" t="str">
        <f t="shared" si="21"/>
        <v/>
      </c>
      <c r="K115" s="73" t="str">
        <f t="shared" si="18"/>
        <v/>
      </c>
      <c r="L115" s="73" t="str">
        <f t="shared" si="18"/>
        <v/>
      </c>
      <c r="M115" s="73" t="str">
        <f t="shared" si="18"/>
        <v/>
      </c>
      <c r="N115" s="73" t="str">
        <f t="shared" si="17"/>
        <v/>
      </c>
      <c r="O115" s="73" t="str">
        <f t="shared" si="17"/>
        <v/>
      </c>
      <c r="P115" s="73" t="str">
        <f t="shared" si="17"/>
        <v/>
      </c>
      <c r="Q115" s="73" t="str">
        <f t="shared" si="17"/>
        <v/>
      </c>
      <c r="R115" s="73" t="str">
        <f t="shared" si="33"/>
        <v/>
      </c>
      <c r="S115" s="73" t="str">
        <f t="shared" si="33"/>
        <v/>
      </c>
      <c r="T115" s="73" t="str">
        <f t="shared" si="33"/>
        <v/>
      </c>
      <c r="U115" s="73" t="str">
        <f t="shared" si="33"/>
        <v/>
      </c>
      <c r="V115" s="73" t="str">
        <f t="shared" si="33"/>
        <v/>
      </c>
      <c r="W115" s="73" t="str">
        <f t="shared" si="33"/>
        <v/>
      </c>
      <c r="X115" s="73" t="str">
        <f t="shared" si="33"/>
        <v/>
      </c>
      <c r="Y115" s="73" t="str">
        <f t="shared" si="33"/>
        <v/>
      </c>
      <c r="Z115" s="73" t="str">
        <f t="shared" si="33"/>
        <v/>
      </c>
      <c r="AA115" s="73" t="str">
        <f t="shared" si="33"/>
        <v/>
      </c>
      <c r="AB115" s="74" t="str">
        <f t="shared" si="33"/>
        <v/>
      </c>
      <c r="AC115" s="35" t="str">
        <f t="shared" si="22"/>
        <v/>
      </c>
      <c r="AD115" s="40" t="str">
        <f t="shared" si="23"/>
        <v/>
      </c>
      <c r="AE115" s="37" t="str">
        <f t="shared" si="24"/>
        <v/>
      </c>
      <c r="AF115" s="40" t="str">
        <f t="shared" si="25"/>
        <v/>
      </c>
      <c r="AG115" s="37" t="str">
        <f t="shared" si="26"/>
        <v/>
      </c>
      <c r="AH115" s="40" t="str">
        <f t="shared" si="27"/>
        <v/>
      </c>
      <c r="AI115" s="37" t="str">
        <f t="shared" si="28"/>
        <v/>
      </c>
      <c r="AJ115" s="40" t="str">
        <f t="shared" si="29"/>
        <v/>
      </c>
      <c r="AK115" s="204" t="str">
        <f>IF(C115="","",IF(E115=FROTA!$AT$18,IF('DEFINA!!!'!$L$6="D-E-F-I-N-A !!!!!!!",0,IF('DEFINA!!!'!$L$6="Opto por Idade Média",SEM!AW115,IF('DEFINA!!!'!$L$6="Opto pelo Valor aplicado ao  Ano de cada Carro",SEM!AX115,0))),IF(E115=FROTA!$AT$17,IF('DEFINA!!!'!$L$6="D-E-F-I-N-A !!!!!!!",0,IF('DEFINA!!!'!$L$6="Opto por Idade Média",SEM!AW115,IF('DEFINA!!!'!$L$6="Opto pelo Valor aplicado ao  Ano de cada Carro",SEM!AX115,0))),IF(E115=FROTA!$AT$16,IF('DEFINA!!!'!$L$6="D-E-F-I-N-A !!!!!!!",0,IF('DEFINA!!!'!$L$6="Opto por Idade Média",SEM!AW115,IF('DEFINA!!!'!$L$6="Opto pelo Valor aplicado ao  Ano de cada Carro",SEM!AX115,0))),IF('DEFINA!!!'!$L$6="D-E-F-I-N-A !!!!!!!",0,IF('DEFINA!!!'!$L$6="Opto por Idade Média",SEM!AU115,IF('DEFINA!!!'!$L$6="Opto pelo Valor aplicado ao  Ano de cada Carro",SEM!AV115,0)))))))</f>
        <v/>
      </c>
      <c r="AL115" s="6"/>
      <c r="AM115" s="79" t="str">
        <f t="shared" si="30"/>
        <v/>
      </c>
      <c r="AN115" s="12"/>
      <c r="AO115" s="12"/>
      <c r="AP115" s="14"/>
      <c r="AQ115" s="16"/>
      <c r="AR115" s="15"/>
      <c r="AU115" s="198" t="str">
        <f>IF(C115="","",VLOOKUP(FROTA!$AB$2,RECEBÍVEIS!$AA$11:$AB$43,2,0))</f>
        <v/>
      </c>
      <c r="AV115" s="198" t="str">
        <f>IF(C115="","",IF(C115=FROTA!Z115="","",VLOOKUP(FROTA!Z115,RECEBÍVEIS!$AA$11:$AB$43,2,0)))</f>
        <v/>
      </c>
      <c r="AW115" s="198" t="str">
        <f>IF(C115="","",VLOOKUP(FROTA!$AB$2,RECEBÍVEIS!$AA$11:$AC$43,3,0))</f>
        <v/>
      </c>
      <c r="AX115" s="198" t="str">
        <f>IF(C115="","",IF(C115=FROTA!Z115="","",VLOOKUP(FROTA!Z115,RECEBÍVEIS!$AA$11:$AC$43,3,0)))</f>
        <v/>
      </c>
    </row>
    <row r="116" spans="2:50" ht="17.25" customHeight="1" x14ac:dyDescent="0.2">
      <c r="B116" s="6"/>
      <c r="C116" s="49" t="str">
        <f>IF(FROTA!B116="","",FROTA!B116)</f>
        <v/>
      </c>
      <c r="D116" s="220" t="str">
        <f>IF(C116="","",VLOOKUP(SEM!C116,FROTA!$B$5:$C$305,2,0))</f>
        <v/>
      </c>
      <c r="E116" s="24" t="str">
        <f>IF(C116="","",VLOOKUP(C116,FROTA!$B$5:$H$305,7,0))</f>
        <v/>
      </c>
      <c r="F116" s="38" t="str">
        <f t="shared" si="20"/>
        <v/>
      </c>
      <c r="G116" s="71" t="str">
        <f t="shared" si="31"/>
        <v/>
      </c>
      <c r="H116" s="32" t="str">
        <f t="shared" si="21"/>
        <v/>
      </c>
      <c r="I116" s="73" t="str">
        <f t="shared" si="21"/>
        <v/>
      </c>
      <c r="J116" s="73" t="str">
        <f t="shared" si="21"/>
        <v/>
      </c>
      <c r="K116" s="73" t="str">
        <f t="shared" si="18"/>
        <v/>
      </c>
      <c r="L116" s="73" t="str">
        <f t="shared" si="18"/>
        <v/>
      </c>
      <c r="M116" s="73" t="str">
        <f t="shared" si="18"/>
        <v/>
      </c>
      <c r="N116" s="73" t="str">
        <f t="shared" si="17"/>
        <v/>
      </c>
      <c r="O116" s="73" t="str">
        <f t="shared" si="17"/>
        <v/>
      </c>
      <c r="P116" s="73" t="str">
        <f t="shared" si="17"/>
        <v/>
      </c>
      <c r="Q116" s="73" t="str">
        <f t="shared" si="17"/>
        <v/>
      </c>
      <c r="R116" s="73" t="str">
        <f t="shared" si="33"/>
        <v/>
      </c>
      <c r="S116" s="73" t="str">
        <f t="shared" si="33"/>
        <v/>
      </c>
      <c r="T116" s="73" t="str">
        <f t="shared" si="33"/>
        <v/>
      </c>
      <c r="U116" s="73" t="str">
        <f t="shared" si="33"/>
        <v/>
      </c>
      <c r="V116" s="73" t="str">
        <f t="shared" si="33"/>
        <v/>
      </c>
      <c r="W116" s="73" t="str">
        <f t="shared" si="33"/>
        <v/>
      </c>
      <c r="X116" s="73" t="str">
        <f t="shared" si="33"/>
        <v/>
      </c>
      <c r="Y116" s="73" t="str">
        <f t="shared" si="33"/>
        <v/>
      </c>
      <c r="Z116" s="73" t="str">
        <f t="shared" si="33"/>
        <v/>
      </c>
      <c r="AA116" s="73" t="str">
        <f t="shared" si="33"/>
        <v/>
      </c>
      <c r="AB116" s="74" t="str">
        <f t="shared" si="33"/>
        <v/>
      </c>
      <c r="AC116" s="35" t="str">
        <f t="shared" si="22"/>
        <v/>
      </c>
      <c r="AD116" s="40" t="str">
        <f t="shared" si="23"/>
        <v/>
      </c>
      <c r="AE116" s="37" t="str">
        <f t="shared" si="24"/>
        <v/>
      </c>
      <c r="AF116" s="40" t="str">
        <f t="shared" si="25"/>
        <v/>
      </c>
      <c r="AG116" s="37" t="str">
        <f t="shared" si="26"/>
        <v/>
      </c>
      <c r="AH116" s="40" t="str">
        <f t="shared" si="27"/>
        <v/>
      </c>
      <c r="AI116" s="37" t="str">
        <f t="shared" si="28"/>
        <v/>
      </c>
      <c r="AJ116" s="40" t="str">
        <f t="shared" si="29"/>
        <v/>
      </c>
      <c r="AK116" s="204" t="str">
        <f>IF(C116="","",IF(E116=FROTA!$AT$18,IF('DEFINA!!!'!$L$6="D-E-F-I-N-A !!!!!!!",0,IF('DEFINA!!!'!$L$6="Opto por Idade Média",SEM!AW116,IF('DEFINA!!!'!$L$6="Opto pelo Valor aplicado ao  Ano de cada Carro",SEM!AX116,0))),IF(E116=FROTA!$AT$17,IF('DEFINA!!!'!$L$6="D-E-F-I-N-A !!!!!!!",0,IF('DEFINA!!!'!$L$6="Opto por Idade Média",SEM!AW116,IF('DEFINA!!!'!$L$6="Opto pelo Valor aplicado ao  Ano de cada Carro",SEM!AX116,0))),IF(E116=FROTA!$AT$16,IF('DEFINA!!!'!$L$6="D-E-F-I-N-A !!!!!!!",0,IF('DEFINA!!!'!$L$6="Opto por Idade Média",SEM!AW116,IF('DEFINA!!!'!$L$6="Opto pelo Valor aplicado ao  Ano de cada Carro",SEM!AX116,0))),IF('DEFINA!!!'!$L$6="D-E-F-I-N-A !!!!!!!",0,IF('DEFINA!!!'!$L$6="Opto por Idade Média",SEM!AU116,IF('DEFINA!!!'!$L$6="Opto pelo Valor aplicado ao  Ano de cada Carro",SEM!AV116,0)))))))</f>
        <v/>
      </c>
      <c r="AL116" s="6"/>
      <c r="AM116" s="79" t="str">
        <f t="shared" si="30"/>
        <v/>
      </c>
      <c r="AN116" s="12"/>
      <c r="AO116" s="12"/>
      <c r="AP116" s="14"/>
      <c r="AQ116" s="16"/>
      <c r="AR116" s="15"/>
      <c r="AU116" s="198" t="str">
        <f>IF(C116="","",VLOOKUP(FROTA!$AB$2,RECEBÍVEIS!$AA$11:$AB$43,2,0))</f>
        <v/>
      </c>
      <c r="AV116" s="198" t="str">
        <f>IF(C116="","",IF(C116=FROTA!Z116="","",VLOOKUP(FROTA!Z116,RECEBÍVEIS!$AA$11:$AB$43,2,0)))</f>
        <v/>
      </c>
      <c r="AW116" s="198" t="str">
        <f>IF(C116="","",VLOOKUP(FROTA!$AB$2,RECEBÍVEIS!$AA$11:$AC$43,3,0))</f>
        <v/>
      </c>
      <c r="AX116" s="198" t="str">
        <f>IF(C116="","",IF(C116=FROTA!Z116="","",VLOOKUP(FROTA!Z116,RECEBÍVEIS!$AA$11:$AC$43,3,0)))</f>
        <v/>
      </c>
    </row>
    <row r="117" spans="2:50" ht="17.25" customHeight="1" x14ac:dyDescent="0.2">
      <c r="B117" s="6"/>
      <c r="C117" s="49" t="str">
        <f>IF(FROTA!B117="","",FROTA!B117)</f>
        <v/>
      </c>
      <c r="D117" s="220" t="str">
        <f>IF(C117="","",VLOOKUP(SEM!C117,FROTA!$B$5:$C$305,2,0))</f>
        <v/>
      </c>
      <c r="E117" s="24" t="str">
        <f>IF(C117="","",VLOOKUP(C117,FROTA!$B$5:$H$305,7,0))</f>
        <v/>
      </c>
      <c r="F117" s="38" t="str">
        <f t="shared" si="20"/>
        <v/>
      </c>
      <c r="G117" s="71" t="str">
        <f t="shared" si="31"/>
        <v/>
      </c>
      <c r="H117" s="32" t="str">
        <f t="shared" si="21"/>
        <v/>
      </c>
      <c r="I117" s="73" t="str">
        <f t="shared" si="21"/>
        <v/>
      </c>
      <c r="J117" s="73" t="str">
        <f t="shared" si="21"/>
        <v/>
      </c>
      <c r="K117" s="73" t="str">
        <f t="shared" si="18"/>
        <v/>
      </c>
      <c r="L117" s="73" t="str">
        <f t="shared" si="18"/>
        <v/>
      </c>
      <c r="M117" s="73" t="str">
        <f t="shared" si="18"/>
        <v/>
      </c>
      <c r="N117" s="73" t="str">
        <f t="shared" si="17"/>
        <v/>
      </c>
      <c r="O117" s="73" t="str">
        <f t="shared" si="17"/>
        <v/>
      </c>
      <c r="P117" s="73" t="str">
        <f t="shared" si="17"/>
        <v/>
      </c>
      <c r="Q117" s="73" t="str">
        <f t="shared" si="17"/>
        <v/>
      </c>
      <c r="R117" s="73" t="str">
        <f t="shared" si="33"/>
        <v/>
      </c>
      <c r="S117" s="73" t="str">
        <f t="shared" si="33"/>
        <v/>
      </c>
      <c r="T117" s="73" t="str">
        <f t="shared" si="33"/>
        <v/>
      </c>
      <c r="U117" s="73" t="str">
        <f t="shared" si="33"/>
        <v/>
      </c>
      <c r="V117" s="73" t="str">
        <f t="shared" si="33"/>
        <v/>
      </c>
      <c r="W117" s="73" t="str">
        <f t="shared" si="33"/>
        <v/>
      </c>
      <c r="X117" s="73" t="str">
        <f t="shared" si="33"/>
        <v/>
      </c>
      <c r="Y117" s="73" t="str">
        <f t="shared" si="33"/>
        <v/>
      </c>
      <c r="Z117" s="73" t="str">
        <f t="shared" si="33"/>
        <v/>
      </c>
      <c r="AA117" s="73" t="str">
        <f t="shared" si="33"/>
        <v/>
      </c>
      <c r="AB117" s="74" t="str">
        <f t="shared" si="33"/>
        <v/>
      </c>
      <c r="AC117" s="35" t="str">
        <f t="shared" si="22"/>
        <v/>
      </c>
      <c r="AD117" s="40" t="str">
        <f t="shared" si="23"/>
        <v/>
      </c>
      <c r="AE117" s="37" t="str">
        <f t="shared" si="24"/>
        <v/>
      </c>
      <c r="AF117" s="40" t="str">
        <f t="shared" si="25"/>
        <v/>
      </c>
      <c r="AG117" s="37" t="str">
        <f t="shared" si="26"/>
        <v/>
      </c>
      <c r="AH117" s="40" t="str">
        <f t="shared" si="27"/>
        <v/>
      </c>
      <c r="AI117" s="37" t="str">
        <f t="shared" si="28"/>
        <v/>
      </c>
      <c r="AJ117" s="40" t="str">
        <f t="shared" si="29"/>
        <v/>
      </c>
      <c r="AK117" s="204" t="str">
        <f>IF(C117="","",IF(E117=FROTA!$AT$18,IF('DEFINA!!!'!$L$6="D-E-F-I-N-A !!!!!!!",0,IF('DEFINA!!!'!$L$6="Opto por Idade Média",SEM!AW117,IF('DEFINA!!!'!$L$6="Opto pelo Valor aplicado ao  Ano de cada Carro",SEM!AX117,0))),IF(E117=FROTA!$AT$17,IF('DEFINA!!!'!$L$6="D-E-F-I-N-A !!!!!!!",0,IF('DEFINA!!!'!$L$6="Opto por Idade Média",SEM!AW117,IF('DEFINA!!!'!$L$6="Opto pelo Valor aplicado ao  Ano de cada Carro",SEM!AX117,0))),IF(E117=FROTA!$AT$16,IF('DEFINA!!!'!$L$6="D-E-F-I-N-A !!!!!!!",0,IF('DEFINA!!!'!$L$6="Opto por Idade Média",SEM!AW117,IF('DEFINA!!!'!$L$6="Opto pelo Valor aplicado ao  Ano de cada Carro",SEM!AX117,0))),IF('DEFINA!!!'!$L$6="D-E-F-I-N-A !!!!!!!",0,IF('DEFINA!!!'!$L$6="Opto por Idade Média",SEM!AU117,IF('DEFINA!!!'!$L$6="Opto pelo Valor aplicado ao  Ano de cada Carro",SEM!AV117,0)))))))</f>
        <v/>
      </c>
      <c r="AL117" s="6"/>
      <c r="AM117" s="79" t="str">
        <f t="shared" si="30"/>
        <v/>
      </c>
      <c r="AN117" s="12"/>
      <c r="AO117" s="12"/>
      <c r="AP117" s="14"/>
      <c r="AQ117" s="16"/>
      <c r="AR117" s="15"/>
      <c r="AU117" s="198" t="str">
        <f>IF(C117="","",VLOOKUP(FROTA!$AB$2,RECEBÍVEIS!$AA$11:$AB$43,2,0))</f>
        <v/>
      </c>
      <c r="AV117" s="198" t="str">
        <f>IF(C117="","",IF(C117=FROTA!Z117="","",VLOOKUP(FROTA!Z117,RECEBÍVEIS!$AA$11:$AB$43,2,0)))</f>
        <v/>
      </c>
      <c r="AW117" s="198" t="str">
        <f>IF(C117="","",VLOOKUP(FROTA!$AB$2,RECEBÍVEIS!$AA$11:$AC$43,3,0))</f>
        <v/>
      </c>
      <c r="AX117" s="198" t="str">
        <f>IF(C117="","",IF(C117=FROTA!Z117="","",VLOOKUP(FROTA!Z117,RECEBÍVEIS!$AA$11:$AC$43,3,0)))</f>
        <v/>
      </c>
    </row>
    <row r="118" spans="2:50" ht="17.25" customHeight="1" x14ac:dyDescent="0.2">
      <c r="B118" s="6"/>
      <c r="C118" s="49" t="str">
        <f>IF(FROTA!B118="","",FROTA!B118)</f>
        <v/>
      </c>
      <c r="D118" s="220" t="str">
        <f>IF(C118="","",VLOOKUP(SEM!C118,FROTA!$B$5:$C$305,2,0))</f>
        <v/>
      </c>
      <c r="E118" s="24" t="str">
        <f>IF(C118="","",VLOOKUP(C118,FROTA!$B$5:$H$305,7,0))</f>
        <v/>
      </c>
      <c r="F118" s="38" t="str">
        <f t="shared" si="20"/>
        <v/>
      </c>
      <c r="G118" s="71" t="str">
        <f t="shared" si="31"/>
        <v/>
      </c>
      <c r="H118" s="32" t="str">
        <f t="shared" si="21"/>
        <v/>
      </c>
      <c r="I118" s="73" t="str">
        <f t="shared" si="21"/>
        <v/>
      </c>
      <c r="J118" s="73" t="str">
        <f t="shared" si="21"/>
        <v/>
      </c>
      <c r="K118" s="73" t="str">
        <f t="shared" si="18"/>
        <v/>
      </c>
      <c r="L118" s="73" t="str">
        <f t="shared" si="18"/>
        <v/>
      </c>
      <c r="M118" s="73" t="str">
        <f t="shared" si="18"/>
        <v/>
      </c>
      <c r="N118" s="73" t="str">
        <f t="shared" si="17"/>
        <v/>
      </c>
      <c r="O118" s="73" t="str">
        <f t="shared" si="17"/>
        <v/>
      </c>
      <c r="P118" s="73" t="str">
        <f t="shared" si="17"/>
        <v/>
      </c>
      <c r="Q118" s="73" t="str">
        <f t="shared" si="17"/>
        <v/>
      </c>
      <c r="R118" s="73" t="str">
        <f t="shared" si="33"/>
        <v/>
      </c>
      <c r="S118" s="73" t="str">
        <f t="shared" si="33"/>
        <v/>
      </c>
      <c r="T118" s="73" t="str">
        <f t="shared" si="33"/>
        <v/>
      </c>
      <c r="U118" s="73" t="str">
        <f t="shared" si="33"/>
        <v/>
      </c>
      <c r="V118" s="73" t="str">
        <f t="shared" si="33"/>
        <v/>
      </c>
      <c r="W118" s="73" t="str">
        <f t="shared" si="33"/>
        <v/>
      </c>
      <c r="X118" s="73" t="str">
        <f t="shared" si="33"/>
        <v/>
      </c>
      <c r="Y118" s="73" t="str">
        <f t="shared" si="33"/>
        <v/>
      </c>
      <c r="Z118" s="73" t="str">
        <f t="shared" si="33"/>
        <v/>
      </c>
      <c r="AA118" s="73" t="str">
        <f t="shared" si="33"/>
        <v/>
      </c>
      <c r="AB118" s="74" t="str">
        <f t="shared" si="33"/>
        <v/>
      </c>
      <c r="AC118" s="35" t="str">
        <f t="shared" si="22"/>
        <v/>
      </c>
      <c r="AD118" s="40" t="str">
        <f t="shared" si="23"/>
        <v/>
      </c>
      <c r="AE118" s="37" t="str">
        <f t="shared" si="24"/>
        <v/>
      </c>
      <c r="AF118" s="40" t="str">
        <f t="shared" si="25"/>
        <v/>
      </c>
      <c r="AG118" s="37" t="str">
        <f t="shared" si="26"/>
        <v/>
      </c>
      <c r="AH118" s="40" t="str">
        <f t="shared" si="27"/>
        <v/>
      </c>
      <c r="AI118" s="37" t="str">
        <f t="shared" si="28"/>
        <v/>
      </c>
      <c r="AJ118" s="40" t="str">
        <f t="shared" si="29"/>
        <v/>
      </c>
      <c r="AK118" s="204" t="str">
        <f>IF(C118="","",IF(E118=FROTA!$AT$18,IF('DEFINA!!!'!$L$6="D-E-F-I-N-A !!!!!!!",0,IF('DEFINA!!!'!$L$6="Opto por Idade Média",SEM!AW118,IF('DEFINA!!!'!$L$6="Opto pelo Valor aplicado ao  Ano de cada Carro",SEM!AX118,0))),IF(E118=FROTA!$AT$17,IF('DEFINA!!!'!$L$6="D-E-F-I-N-A !!!!!!!",0,IF('DEFINA!!!'!$L$6="Opto por Idade Média",SEM!AW118,IF('DEFINA!!!'!$L$6="Opto pelo Valor aplicado ao  Ano de cada Carro",SEM!AX118,0))),IF(E118=FROTA!$AT$16,IF('DEFINA!!!'!$L$6="D-E-F-I-N-A !!!!!!!",0,IF('DEFINA!!!'!$L$6="Opto por Idade Média",SEM!AW118,IF('DEFINA!!!'!$L$6="Opto pelo Valor aplicado ao  Ano de cada Carro",SEM!AX118,0))),IF('DEFINA!!!'!$L$6="D-E-F-I-N-A !!!!!!!",0,IF('DEFINA!!!'!$L$6="Opto por Idade Média",SEM!AU118,IF('DEFINA!!!'!$L$6="Opto pelo Valor aplicado ao  Ano de cada Carro",SEM!AV118,0)))))))</f>
        <v/>
      </c>
      <c r="AL118" s="6"/>
      <c r="AM118" s="79" t="str">
        <f t="shared" si="30"/>
        <v/>
      </c>
      <c r="AN118" s="12"/>
      <c r="AO118" s="12"/>
      <c r="AP118" s="14"/>
      <c r="AQ118" s="16"/>
      <c r="AR118" s="15"/>
      <c r="AU118" s="198" t="str">
        <f>IF(C118="","",VLOOKUP(FROTA!$AB$2,RECEBÍVEIS!$AA$11:$AB$43,2,0))</f>
        <v/>
      </c>
      <c r="AV118" s="198" t="str">
        <f>IF(C118="","",IF(C118=FROTA!Z118="","",VLOOKUP(FROTA!Z118,RECEBÍVEIS!$AA$11:$AB$43,2,0)))</f>
        <v/>
      </c>
      <c r="AW118" s="198" t="str">
        <f>IF(C118="","",VLOOKUP(FROTA!$AB$2,RECEBÍVEIS!$AA$11:$AC$43,3,0))</f>
        <v/>
      </c>
      <c r="AX118" s="198" t="str">
        <f>IF(C118="","",IF(C118=FROTA!Z118="","",VLOOKUP(FROTA!Z118,RECEBÍVEIS!$AA$11:$AC$43,3,0)))</f>
        <v/>
      </c>
    </row>
    <row r="119" spans="2:50" ht="17.25" customHeight="1" x14ac:dyDescent="0.2">
      <c r="B119" s="6"/>
      <c r="C119" s="49" t="str">
        <f>IF(FROTA!B119="","",FROTA!B119)</f>
        <v/>
      </c>
      <c r="D119" s="220" t="str">
        <f>IF(C119="","",VLOOKUP(SEM!C119,FROTA!$B$5:$C$305,2,0))</f>
        <v/>
      </c>
      <c r="E119" s="24" t="str">
        <f>IF(C119="","",VLOOKUP(C119,FROTA!$B$5:$H$305,7,0))</f>
        <v/>
      </c>
      <c r="F119" s="38" t="str">
        <f t="shared" si="20"/>
        <v/>
      </c>
      <c r="G119" s="71" t="str">
        <f t="shared" si="31"/>
        <v/>
      </c>
      <c r="H119" s="32" t="str">
        <f t="shared" si="21"/>
        <v/>
      </c>
      <c r="I119" s="73" t="str">
        <f t="shared" si="21"/>
        <v/>
      </c>
      <c r="J119" s="73" t="str">
        <f t="shared" si="21"/>
        <v/>
      </c>
      <c r="K119" s="73" t="str">
        <f t="shared" si="18"/>
        <v/>
      </c>
      <c r="L119" s="73" t="str">
        <f t="shared" si="18"/>
        <v/>
      </c>
      <c r="M119" s="73" t="str">
        <f t="shared" si="18"/>
        <v/>
      </c>
      <c r="N119" s="73" t="str">
        <f t="shared" si="17"/>
        <v/>
      </c>
      <c r="O119" s="73" t="str">
        <f t="shared" si="17"/>
        <v/>
      </c>
      <c r="P119" s="73" t="str">
        <f t="shared" si="17"/>
        <v/>
      </c>
      <c r="Q119" s="73" t="str">
        <f t="shared" si="17"/>
        <v/>
      </c>
      <c r="R119" s="73" t="str">
        <f t="shared" si="33"/>
        <v/>
      </c>
      <c r="S119" s="73" t="str">
        <f t="shared" si="33"/>
        <v/>
      </c>
      <c r="T119" s="73" t="str">
        <f t="shared" si="33"/>
        <v/>
      </c>
      <c r="U119" s="73" t="str">
        <f t="shared" si="33"/>
        <v/>
      </c>
      <c r="V119" s="73" t="str">
        <f t="shared" si="33"/>
        <v/>
      </c>
      <c r="W119" s="73" t="str">
        <f t="shared" si="33"/>
        <v/>
      </c>
      <c r="X119" s="73" t="str">
        <f t="shared" si="33"/>
        <v/>
      </c>
      <c r="Y119" s="73" t="str">
        <f t="shared" si="33"/>
        <v/>
      </c>
      <c r="Z119" s="73" t="str">
        <f t="shared" si="33"/>
        <v/>
      </c>
      <c r="AA119" s="73" t="str">
        <f t="shared" si="33"/>
        <v/>
      </c>
      <c r="AB119" s="74" t="str">
        <f t="shared" si="33"/>
        <v/>
      </c>
      <c r="AC119" s="35" t="str">
        <f t="shared" si="22"/>
        <v/>
      </c>
      <c r="AD119" s="40" t="str">
        <f t="shared" si="23"/>
        <v/>
      </c>
      <c r="AE119" s="37" t="str">
        <f t="shared" si="24"/>
        <v/>
      </c>
      <c r="AF119" s="40" t="str">
        <f t="shared" si="25"/>
        <v/>
      </c>
      <c r="AG119" s="37" t="str">
        <f t="shared" si="26"/>
        <v/>
      </c>
      <c r="AH119" s="40" t="str">
        <f t="shared" si="27"/>
        <v/>
      </c>
      <c r="AI119" s="37" t="str">
        <f t="shared" si="28"/>
        <v/>
      </c>
      <c r="AJ119" s="40" t="str">
        <f t="shared" si="29"/>
        <v/>
      </c>
      <c r="AK119" s="204" t="str">
        <f>IF(C119="","",IF(E119=FROTA!$AT$18,IF('DEFINA!!!'!$L$6="D-E-F-I-N-A !!!!!!!",0,IF('DEFINA!!!'!$L$6="Opto por Idade Média",SEM!AW119,IF('DEFINA!!!'!$L$6="Opto pelo Valor aplicado ao  Ano de cada Carro",SEM!AX119,0))),IF(E119=FROTA!$AT$17,IF('DEFINA!!!'!$L$6="D-E-F-I-N-A !!!!!!!",0,IF('DEFINA!!!'!$L$6="Opto por Idade Média",SEM!AW119,IF('DEFINA!!!'!$L$6="Opto pelo Valor aplicado ao  Ano de cada Carro",SEM!AX119,0))),IF(E119=FROTA!$AT$16,IF('DEFINA!!!'!$L$6="D-E-F-I-N-A !!!!!!!",0,IF('DEFINA!!!'!$L$6="Opto por Idade Média",SEM!AW119,IF('DEFINA!!!'!$L$6="Opto pelo Valor aplicado ao  Ano de cada Carro",SEM!AX119,0))),IF('DEFINA!!!'!$L$6="D-E-F-I-N-A !!!!!!!",0,IF('DEFINA!!!'!$L$6="Opto por Idade Média",SEM!AU119,IF('DEFINA!!!'!$L$6="Opto pelo Valor aplicado ao  Ano de cada Carro",SEM!AV119,0)))))))</f>
        <v/>
      </c>
      <c r="AL119" s="6"/>
      <c r="AM119" s="79" t="str">
        <f t="shared" si="30"/>
        <v/>
      </c>
      <c r="AN119" s="12"/>
      <c r="AO119" s="12"/>
      <c r="AP119" s="14"/>
      <c r="AQ119" s="16"/>
      <c r="AR119" s="15"/>
      <c r="AU119" s="198" t="str">
        <f>IF(C119="","",VLOOKUP(FROTA!$AB$2,RECEBÍVEIS!$AA$11:$AB$43,2,0))</f>
        <v/>
      </c>
      <c r="AV119" s="198" t="str">
        <f>IF(C119="","",IF(C119=FROTA!Z119="","",VLOOKUP(FROTA!Z119,RECEBÍVEIS!$AA$11:$AB$43,2,0)))</f>
        <v/>
      </c>
      <c r="AW119" s="198" t="str">
        <f>IF(C119="","",VLOOKUP(FROTA!$AB$2,RECEBÍVEIS!$AA$11:$AC$43,3,0))</f>
        <v/>
      </c>
      <c r="AX119" s="198" t="str">
        <f>IF(C119="","",IF(C119=FROTA!Z119="","",VLOOKUP(FROTA!Z119,RECEBÍVEIS!$AA$11:$AC$43,3,0)))</f>
        <v/>
      </c>
    </row>
    <row r="120" spans="2:50" ht="17.25" customHeight="1" x14ac:dyDescent="0.2">
      <c r="B120" s="6"/>
      <c r="C120" s="49" t="str">
        <f>IF(FROTA!B120="","",FROTA!B120)</f>
        <v/>
      </c>
      <c r="D120" s="220" t="str">
        <f>IF(C120="","",VLOOKUP(SEM!C120,FROTA!$B$5:$C$305,2,0))</f>
        <v/>
      </c>
      <c r="E120" s="24" t="str">
        <f>IF(C120="","",VLOOKUP(C120,FROTA!$B$5:$H$305,7,0))</f>
        <v/>
      </c>
      <c r="F120" s="38" t="str">
        <f t="shared" si="20"/>
        <v/>
      </c>
      <c r="G120" s="71" t="str">
        <f t="shared" si="31"/>
        <v/>
      </c>
      <c r="H120" s="32" t="str">
        <f t="shared" si="21"/>
        <v/>
      </c>
      <c r="I120" s="73" t="str">
        <f t="shared" si="21"/>
        <v/>
      </c>
      <c r="J120" s="73" t="str">
        <f t="shared" si="21"/>
        <v/>
      </c>
      <c r="K120" s="73" t="str">
        <f t="shared" si="18"/>
        <v/>
      </c>
      <c r="L120" s="73" t="str">
        <f t="shared" si="18"/>
        <v/>
      </c>
      <c r="M120" s="73" t="str">
        <f t="shared" si="18"/>
        <v/>
      </c>
      <c r="N120" s="73" t="str">
        <f t="shared" si="17"/>
        <v/>
      </c>
      <c r="O120" s="73" t="str">
        <f t="shared" si="17"/>
        <v/>
      </c>
      <c r="P120" s="73" t="str">
        <f t="shared" si="17"/>
        <v/>
      </c>
      <c r="Q120" s="73" t="str">
        <f t="shared" si="17"/>
        <v/>
      </c>
      <c r="R120" s="73" t="str">
        <f t="shared" si="33"/>
        <v/>
      </c>
      <c r="S120" s="73" t="str">
        <f t="shared" si="33"/>
        <v/>
      </c>
      <c r="T120" s="73" t="str">
        <f t="shared" si="33"/>
        <v/>
      </c>
      <c r="U120" s="73" t="str">
        <f t="shared" si="33"/>
        <v/>
      </c>
      <c r="V120" s="73" t="str">
        <f t="shared" si="33"/>
        <v/>
      </c>
      <c r="W120" s="73" t="str">
        <f t="shared" si="33"/>
        <v/>
      </c>
      <c r="X120" s="73" t="str">
        <f t="shared" si="33"/>
        <v/>
      </c>
      <c r="Y120" s="73" t="str">
        <f t="shared" si="33"/>
        <v/>
      </c>
      <c r="Z120" s="73" t="str">
        <f t="shared" si="33"/>
        <v/>
      </c>
      <c r="AA120" s="73" t="str">
        <f t="shared" si="33"/>
        <v/>
      </c>
      <c r="AB120" s="74" t="str">
        <f t="shared" si="33"/>
        <v/>
      </c>
      <c r="AC120" s="35" t="str">
        <f t="shared" si="22"/>
        <v/>
      </c>
      <c r="AD120" s="40" t="str">
        <f t="shared" si="23"/>
        <v/>
      </c>
      <c r="AE120" s="37" t="str">
        <f t="shared" si="24"/>
        <v/>
      </c>
      <c r="AF120" s="40" t="str">
        <f t="shared" si="25"/>
        <v/>
      </c>
      <c r="AG120" s="37" t="str">
        <f t="shared" si="26"/>
        <v/>
      </c>
      <c r="AH120" s="40" t="str">
        <f t="shared" si="27"/>
        <v/>
      </c>
      <c r="AI120" s="37" t="str">
        <f t="shared" si="28"/>
        <v/>
      </c>
      <c r="AJ120" s="40" t="str">
        <f t="shared" si="29"/>
        <v/>
      </c>
      <c r="AK120" s="204" t="str">
        <f>IF(C120="","",IF(E120=FROTA!$AT$18,IF('DEFINA!!!'!$L$6="D-E-F-I-N-A !!!!!!!",0,IF('DEFINA!!!'!$L$6="Opto por Idade Média",SEM!AW120,IF('DEFINA!!!'!$L$6="Opto pelo Valor aplicado ao  Ano de cada Carro",SEM!AX120,0))),IF(E120=FROTA!$AT$17,IF('DEFINA!!!'!$L$6="D-E-F-I-N-A !!!!!!!",0,IF('DEFINA!!!'!$L$6="Opto por Idade Média",SEM!AW120,IF('DEFINA!!!'!$L$6="Opto pelo Valor aplicado ao  Ano de cada Carro",SEM!AX120,0))),IF(E120=FROTA!$AT$16,IF('DEFINA!!!'!$L$6="D-E-F-I-N-A !!!!!!!",0,IF('DEFINA!!!'!$L$6="Opto por Idade Média",SEM!AW120,IF('DEFINA!!!'!$L$6="Opto pelo Valor aplicado ao  Ano de cada Carro",SEM!AX120,0))),IF('DEFINA!!!'!$L$6="D-E-F-I-N-A !!!!!!!",0,IF('DEFINA!!!'!$L$6="Opto por Idade Média",SEM!AU120,IF('DEFINA!!!'!$L$6="Opto pelo Valor aplicado ao  Ano de cada Carro",SEM!AV120,0)))))))</f>
        <v/>
      </c>
      <c r="AL120" s="6"/>
      <c r="AM120" s="79" t="str">
        <f t="shared" si="30"/>
        <v/>
      </c>
      <c r="AN120" s="12"/>
      <c r="AO120" s="12"/>
      <c r="AP120" s="14"/>
      <c r="AQ120" s="16"/>
      <c r="AR120" s="15"/>
      <c r="AU120" s="198" t="str">
        <f>IF(C120="","",VLOOKUP(FROTA!$AB$2,RECEBÍVEIS!$AA$11:$AB$43,2,0))</f>
        <v/>
      </c>
      <c r="AV120" s="198" t="str">
        <f>IF(C120="","",IF(C120=FROTA!Z120="","",VLOOKUP(FROTA!Z120,RECEBÍVEIS!$AA$11:$AB$43,2,0)))</f>
        <v/>
      </c>
      <c r="AW120" s="198" t="str">
        <f>IF(C120="","",VLOOKUP(FROTA!$AB$2,RECEBÍVEIS!$AA$11:$AC$43,3,0))</f>
        <v/>
      </c>
      <c r="AX120" s="198" t="str">
        <f>IF(C120="","",IF(C120=FROTA!Z120="","",VLOOKUP(FROTA!Z120,RECEBÍVEIS!$AA$11:$AC$43,3,0)))</f>
        <v/>
      </c>
    </row>
    <row r="121" spans="2:50" ht="17.25" customHeight="1" x14ac:dyDescent="0.2">
      <c r="B121" s="6"/>
      <c r="C121" s="49" t="str">
        <f>IF(FROTA!B121="","",FROTA!B121)</f>
        <v/>
      </c>
      <c r="D121" s="220" t="str">
        <f>IF(C121="","",VLOOKUP(SEM!C121,FROTA!$B$5:$C$305,2,0))</f>
        <v/>
      </c>
      <c r="E121" s="24" t="str">
        <f>IF(C121="","",VLOOKUP(C121,FROTA!$B$5:$H$305,7,0))</f>
        <v/>
      </c>
      <c r="F121" s="38" t="str">
        <f t="shared" si="20"/>
        <v/>
      </c>
      <c r="G121" s="71" t="str">
        <f t="shared" si="31"/>
        <v/>
      </c>
      <c r="H121" s="32" t="str">
        <f t="shared" si="21"/>
        <v/>
      </c>
      <c r="I121" s="73" t="str">
        <f t="shared" si="21"/>
        <v/>
      </c>
      <c r="J121" s="73" t="str">
        <f t="shared" si="21"/>
        <v/>
      </c>
      <c r="K121" s="73" t="str">
        <f t="shared" si="18"/>
        <v/>
      </c>
      <c r="L121" s="73" t="str">
        <f t="shared" si="18"/>
        <v/>
      </c>
      <c r="M121" s="73" t="str">
        <f t="shared" si="18"/>
        <v/>
      </c>
      <c r="N121" s="73" t="str">
        <f t="shared" si="17"/>
        <v/>
      </c>
      <c r="O121" s="73" t="str">
        <f t="shared" si="17"/>
        <v/>
      </c>
      <c r="P121" s="73" t="str">
        <f t="shared" si="17"/>
        <v/>
      </c>
      <c r="Q121" s="73" t="str">
        <f t="shared" ref="Q121:Q183" si="34">IF($C121="","",IF(SUM(Q$307*$G121)&gt;$F121,$F121,SUM(Q$307*$G121)))</f>
        <v/>
      </c>
      <c r="R121" s="73" t="str">
        <f t="shared" si="33"/>
        <v/>
      </c>
      <c r="S121" s="73" t="str">
        <f t="shared" si="33"/>
        <v/>
      </c>
      <c r="T121" s="73" t="str">
        <f t="shared" si="33"/>
        <v/>
      </c>
      <c r="U121" s="73" t="str">
        <f t="shared" si="33"/>
        <v/>
      </c>
      <c r="V121" s="73" t="str">
        <f t="shared" si="33"/>
        <v/>
      </c>
      <c r="W121" s="73" t="str">
        <f t="shared" si="33"/>
        <v/>
      </c>
      <c r="X121" s="73" t="str">
        <f t="shared" si="33"/>
        <v/>
      </c>
      <c r="Y121" s="73" t="str">
        <f t="shared" si="33"/>
        <v/>
      </c>
      <c r="Z121" s="73" t="str">
        <f t="shared" si="33"/>
        <v/>
      </c>
      <c r="AA121" s="73" t="str">
        <f t="shared" si="33"/>
        <v/>
      </c>
      <c r="AB121" s="74" t="str">
        <f t="shared" si="33"/>
        <v/>
      </c>
      <c r="AC121" s="35" t="str">
        <f t="shared" si="22"/>
        <v/>
      </c>
      <c r="AD121" s="40" t="str">
        <f t="shared" si="23"/>
        <v/>
      </c>
      <c r="AE121" s="37" t="str">
        <f t="shared" si="24"/>
        <v/>
      </c>
      <c r="AF121" s="40" t="str">
        <f t="shared" si="25"/>
        <v/>
      </c>
      <c r="AG121" s="37" t="str">
        <f t="shared" si="26"/>
        <v/>
      </c>
      <c r="AH121" s="40" t="str">
        <f t="shared" si="27"/>
        <v/>
      </c>
      <c r="AI121" s="37" t="str">
        <f t="shared" si="28"/>
        <v/>
      </c>
      <c r="AJ121" s="40" t="str">
        <f t="shared" si="29"/>
        <v/>
      </c>
      <c r="AK121" s="204" t="str">
        <f>IF(C121="","",IF(E121=FROTA!$AT$18,IF('DEFINA!!!'!$L$6="D-E-F-I-N-A !!!!!!!",0,IF('DEFINA!!!'!$L$6="Opto por Idade Média",SEM!AW121,IF('DEFINA!!!'!$L$6="Opto pelo Valor aplicado ao  Ano de cada Carro",SEM!AX121,0))),IF(E121=FROTA!$AT$17,IF('DEFINA!!!'!$L$6="D-E-F-I-N-A !!!!!!!",0,IF('DEFINA!!!'!$L$6="Opto por Idade Média",SEM!AW121,IF('DEFINA!!!'!$L$6="Opto pelo Valor aplicado ao  Ano de cada Carro",SEM!AX121,0))),IF(E121=FROTA!$AT$16,IF('DEFINA!!!'!$L$6="D-E-F-I-N-A !!!!!!!",0,IF('DEFINA!!!'!$L$6="Opto por Idade Média",SEM!AW121,IF('DEFINA!!!'!$L$6="Opto pelo Valor aplicado ao  Ano de cada Carro",SEM!AX121,0))),IF('DEFINA!!!'!$L$6="D-E-F-I-N-A !!!!!!!",0,IF('DEFINA!!!'!$L$6="Opto por Idade Média",SEM!AU121,IF('DEFINA!!!'!$L$6="Opto pelo Valor aplicado ao  Ano de cada Carro",SEM!AV121,0)))))))</f>
        <v/>
      </c>
      <c r="AL121" s="6"/>
      <c r="AM121" s="79" t="str">
        <f t="shared" si="30"/>
        <v/>
      </c>
      <c r="AN121" s="12"/>
      <c r="AO121" s="12"/>
      <c r="AP121" s="14"/>
      <c r="AQ121" s="16"/>
      <c r="AR121" s="15"/>
      <c r="AU121" s="198" t="str">
        <f>IF(C121="","",VLOOKUP(FROTA!$AB$2,RECEBÍVEIS!$AA$11:$AB$43,2,0))</f>
        <v/>
      </c>
      <c r="AV121" s="198" t="str">
        <f>IF(C121="","",IF(C121=FROTA!Z121="","",VLOOKUP(FROTA!Z121,RECEBÍVEIS!$AA$11:$AB$43,2,0)))</f>
        <v/>
      </c>
      <c r="AW121" s="198" t="str">
        <f>IF(C121="","",VLOOKUP(FROTA!$AB$2,RECEBÍVEIS!$AA$11:$AC$43,3,0))</f>
        <v/>
      </c>
      <c r="AX121" s="198" t="str">
        <f>IF(C121="","",IF(C121=FROTA!Z121="","",VLOOKUP(FROTA!Z121,RECEBÍVEIS!$AA$11:$AC$43,3,0)))</f>
        <v/>
      </c>
    </row>
    <row r="122" spans="2:50" ht="17.25" customHeight="1" x14ac:dyDescent="0.2">
      <c r="B122" s="6"/>
      <c r="C122" s="49" t="str">
        <f>IF(FROTA!B122="","",FROTA!B122)</f>
        <v/>
      </c>
      <c r="D122" s="220" t="str">
        <f>IF(C122="","",VLOOKUP(SEM!C122,FROTA!$B$5:$C$305,2,0))</f>
        <v/>
      </c>
      <c r="E122" s="24" t="str">
        <f>IF(C122="","",VLOOKUP(C122,FROTA!$B$5:$H$305,7,0))</f>
        <v/>
      </c>
      <c r="F122" s="38" t="str">
        <f t="shared" si="20"/>
        <v/>
      </c>
      <c r="G122" s="71" t="str">
        <f t="shared" si="31"/>
        <v/>
      </c>
      <c r="H122" s="32" t="str">
        <f t="shared" si="21"/>
        <v/>
      </c>
      <c r="I122" s="73" t="str">
        <f t="shared" si="21"/>
        <v/>
      </c>
      <c r="J122" s="73" t="str">
        <f t="shared" si="21"/>
        <v/>
      </c>
      <c r="K122" s="73" t="str">
        <f t="shared" si="18"/>
        <v/>
      </c>
      <c r="L122" s="73" t="str">
        <f t="shared" si="18"/>
        <v/>
      </c>
      <c r="M122" s="73" t="str">
        <f t="shared" si="18"/>
        <v/>
      </c>
      <c r="N122" s="73" t="str">
        <f t="shared" si="18"/>
        <v/>
      </c>
      <c r="O122" s="73" t="str">
        <f t="shared" si="18"/>
        <v/>
      </c>
      <c r="P122" s="73" t="str">
        <f t="shared" si="18"/>
        <v/>
      </c>
      <c r="Q122" s="73" t="str">
        <f t="shared" si="34"/>
        <v/>
      </c>
      <c r="R122" s="73" t="str">
        <f t="shared" si="33"/>
        <v/>
      </c>
      <c r="S122" s="73" t="str">
        <f t="shared" si="33"/>
        <v/>
      </c>
      <c r="T122" s="73" t="str">
        <f t="shared" si="33"/>
        <v/>
      </c>
      <c r="U122" s="73" t="str">
        <f t="shared" si="33"/>
        <v/>
      </c>
      <c r="V122" s="73" t="str">
        <f t="shared" si="33"/>
        <v/>
      </c>
      <c r="W122" s="73" t="str">
        <f t="shared" si="33"/>
        <v/>
      </c>
      <c r="X122" s="73" t="str">
        <f t="shared" si="33"/>
        <v/>
      </c>
      <c r="Y122" s="73" t="str">
        <f t="shared" si="33"/>
        <v/>
      </c>
      <c r="Z122" s="73" t="str">
        <f t="shared" si="33"/>
        <v/>
      </c>
      <c r="AA122" s="73" t="str">
        <f t="shared" si="33"/>
        <v/>
      </c>
      <c r="AB122" s="74" t="str">
        <f t="shared" si="33"/>
        <v/>
      </c>
      <c r="AC122" s="35" t="str">
        <f t="shared" si="22"/>
        <v/>
      </c>
      <c r="AD122" s="40" t="str">
        <f t="shared" si="23"/>
        <v/>
      </c>
      <c r="AE122" s="37" t="str">
        <f t="shared" si="24"/>
        <v/>
      </c>
      <c r="AF122" s="40" t="str">
        <f t="shared" si="25"/>
        <v/>
      </c>
      <c r="AG122" s="37" t="str">
        <f t="shared" si="26"/>
        <v/>
      </c>
      <c r="AH122" s="40" t="str">
        <f t="shared" si="27"/>
        <v/>
      </c>
      <c r="AI122" s="37" t="str">
        <f t="shared" si="28"/>
        <v/>
      </c>
      <c r="AJ122" s="40" t="str">
        <f t="shared" si="29"/>
        <v/>
      </c>
      <c r="AK122" s="204" t="str">
        <f>IF(C122="","",IF(E122=FROTA!$AT$18,IF('DEFINA!!!'!$L$6="D-E-F-I-N-A !!!!!!!",0,IF('DEFINA!!!'!$L$6="Opto por Idade Média",SEM!AW122,IF('DEFINA!!!'!$L$6="Opto pelo Valor aplicado ao  Ano de cada Carro",SEM!AX122,0))),IF(E122=FROTA!$AT$17,IF('DEFINA!!!'!$L$6="D-E-F-I-N-A !!!!!!!",0,IF('DEFINA!!!'!$L$6="Opto por Idade Média",SEM!AW122,IF('DEFINA!!!'!$L$6="Opto pelo Valor aplicado ao  Ano de cada Carro",SEM!AX122,0))),IF(E122=FROTA!$AT$16,IF('DEFINA!!!'!$L$6="D-E-F-I-N-A !!!!!!!",0,IF('DEFINA!!!'!$L$6="Opto por Idade Média",SEM!AW122,IF('DEFINA!!!'!$L$6="Opto pelo Valor aplicado ao  Ano de cada Carro",SEM!AX122,0))),IF('DEFINA!!!'!$L$6="D-E-F-I-N-A !!!!!!!",0,IF('DEFINA!!!'!$L$6="Opto por Idade Média",SEM!AU122,IF('DEFINA!!!'!$L$6="Opto pelo Valor aplicado ao  Ano de cada Carro",SEM!AV122,0)))))))</f>
        <v/>
      </c>
      <c r="AL122" s="6"/>
      <c r="AM122" s="79" t="str">
        <f t="shared" si="30"/>
        <v/>
      </c>
      <c r="AN122" s="12"/>
      <c r="AO122" s="12"/>
      <c r="AP122" s="14"/>
      <c r="AQ122" s="16"/>
      <c r="AR122" s="15"/>
      <c r="AU122" s="198" t="str">
        <f>IF(C122="","",VLOOKUP(FROTA!$AB$2,RECEBÍVEIS!$AA$11:$AB$43,2,0))</f>
        <v/>
      </c>
      <c r="AV122" s="198" t="str">
        <f>IF(C122="","",IF(C122=FROTA!Z122="","",VLOOKUP(FROTA!Z122,RECEBÍVEIS!$AA$11:$AB$43,2,0)))</f>
        <v/>
      </c>
      <c r="AW122" s="198" t="str">
        <f>IF(C122="","",VLOOKUP(FROTA!$AB$2,RECEBÍVEIS!$AA$11:$AC$43,3,0))</f>
        <v/>
      </c>
      <c r="AX122" s="198" t="str">
        <f>IF(C122="","",IF(C122=FROTA!Z122="","",VLOOKUP(FROTA!Z122,RECEBÍVEIS!$AA$11:$AC$43,3,0)))</f>
        <v/>
      </c>
    </row>
    <row r="123" spans="2:50" ht="17.25" customHeight="1" x14ac:dyDescent="0.2">
      <c r="B123" s="6"/>
      <c r="C123" s="49" t="str">
        <f>IF(FROTA!B123="","",FROTA!B123)</f>
        <v/>
      </c>
      <c r="D123" s="220" t="str">
        <f>IF(C123="","",VLOOKUP(SEM!C123,FROTA!$B$5:$C$305,2,0))</f>
        <v/>
      </c>
      <c r="E123" s="24" t="str">
        <f>IF(C123="","",VLOOKUP(C123,FROTA!$B$5:$H$305,7,0))</f>
        <v/>
      </c>
      <c r="F123" s="38" t="str">
        <f t="shared" si="20"/>
        <v/>
      </c>
      <c r="G123" s="71" t="str">
        <f t="shared" si="31"/>
        <v/>
      </c>
      <c r="H123" s="32" t="str">
        <f t="shared" si="21"/>
        <v/>
      </c>
      <c r="I123" s="73" t="str">
        <f t="shared" si="21"/>
        <v/>
      </c>
      <c r="J123" s="73" t="str">
        <f t="shared" si="21"/>
        <v/>
      </c>
      <c r="K123" s="73" t="str">
        <f t="shared" ref="K123:P165" si="35">IF($C123="","",IF(SUM(K$307*$G123)&gt;$F123,$F123,SUM(K$307*$G123)))</f>
        <v/>
      </c>
      <c r="L123" s="73" t="str">
        <f t="shared" si="35"/>
        <v/>
      </c>
      <c r="M123" s="73" t="str">
        <f t="shared" si="35"/>
        <v/>
      </c>
      <c r="N123" s="73" t="str">
        <f t="shared" si="35"/>
        <v/>
      </c>
      <c r="O123" s="73" t="str">
        <f t="shared" si="35"/>
        <v/>
      </c>
      <c r="P123" s="73" t="str">
        <f t="shared" si="35"/>
        <v/>
      </c>
      <c r="Q123" s="73" t="str">
        <f t="shared" si="34"/>
        <v/>
      </c>
      <c r="R123" s="73" t="str">
        <f t="shared" si="33"/>
        <v/>
      </c>
      <c r="S123" s="73" t="str">
        <f t="shared" si="33"/>
        <v/>
      </c>
      <c r="T123" s="73" t="str">
        <f t="shared" si="33"/>
        <v/>
      </c>
      <c r="U123" s="73" t="str">
        <f t="shared" si="33"/>
        <v/>
      </c>
      <c r="V123" s="73" t="str">
        <f t="shared" si="33"/>
        <v/>
      </c>
      <c r="W123" s="73" t="str">
        <f t="shared" si="33"/>
        <v/>
      </c>
      <c r="X123" s="73" t="str">
        <f t="shared" si="33"/>
        <v/>
      </c>
      <c r="Y123" s="73" t="str">
        <f t="shared" si="33"/>
        <v/>
      </c>
      <c r="Z123" s="73" t="str">
        <f t="shared" si="33"/>
        <v/>
      </c>
      <c r="AA123" s="73" t="str">
        <f t="shared" si="33"/>
        <v/>
      </c>
      <c r="AB123" s="74" t="str">
        <f t="shared" si="33"/>
        <v/>
      </c>
      <c r="AC123" s="35" t="str">
        <f t="shared" si="22"/>
        <v/>
      </c>
      <c r="AD123" s="40" t="str">
        <f t="shared" si="23"/>
        <v/>
      </c>
      <c r="AE123" s="37" t="str">
        <f t="shared" si="24"/>
        <v/>
      </c>
      <c r="AF123" s="40" t="str">
        <f t="shared" si="25"/>
        <v/>
      </c>
      <c r="AG123" s="37" t="str">
        <f t="shared" si="26"/>
        <v/>
      </c>
      <c r="AH123" s="40" t="str">
        <f t="shared" si="27"/>
        <v/>
      </c>
      <c r="AI123" s="37" t="str">
        <f t="shared" si="28"/>
        <v/>
      </c>
      <c r="AJ123" s="40" t="str">
        <f t="shared" si="29"/>
        <v/>
      </c>
      <c r="AK123" s="204" t="str">
        <f>IF(C123="","",IF(E123=FROTA!$AT$18,IF('DEFINA!!!'!$L$6="D-E-F-I-N-A !!!!!!!",0,IF('DEFINA!!!'!$L$6="Opto por Idade Média",SEM!AW123,IF('DEFINA!!!'!$L$6="Opto pelo Valor aplicado ao  Ano de cada Carro",SEM!AX123,0))),IF(E123=FROTA!$AT$17,IF('DEFINA!!!'!$L$6="D-E-F-I-N-A !!!!!!!",0,IF('DEFINA!!!'!$L$6="Opto por Idade Média",SEM!AW123,IF('DEFINA!!!'!$L$6="Opto pelo Valor aplicado ao  Ano de cada Carro",SEM!AX123,0))),IF(E123=FROTA!$AT$16,IF('DEFINA!!!'!$L$6="D-E-F-I-N-A !!!!!!!",0,IF('DEFINA!!!'!$L$6="Opto por Idade Média",SEM!AW123,IF('DEFINA!!!'!$L$6="Opto pelo Valor aplicado ao  Ano de cada Carro",SEM!AX123,0))),IF('DEFINA!!!'!$L$6="D-E-F-I-N-A !!!!!!!",0,IF('DEFINA!!!'!$L$6="Opto por Idade Média",SEM!AU123,IF('DEFINA!!!'!$L$6="Opto pelo Valor aplicado ao  Ano de cada Carro",SEM!AV123,0)))))))</f>
        <v/>
      </c>
      <c r="AL123" s="6"/>
      <c r="AM123" s="79" t="str">
        <f t="shared" si="30"/>
        <v/>
      </c>
      <c r="AN123" s="12"/>
      <c r="AO123" s="12"/>
      <c r="AP123" s="14"/>
      <c r="AQ123" s="16"/>
      <c r="AR123" s="15"/>
      <c r="AU123" s="198" t="str">
        <f>IF(C123="","",VLOOKUP(FROTA!$AB$2,RECEBÍVEIS!$AA$11:$AB$43,2,0))</f>
        <v/>
      </c>
      <c r="AV123" s="198" t="str">
        <f>IF(C123="","",IF(C123=FROTA!Z123="","",VLOOKUP(FROTA!Z123,RECEBÍVEIS!$AA$11:$AB$43,2,0)))</f>
        <v/>
      </c>
      <c r="AW123" s="198" t="str">
        <f>IF(C123="","",VLOOKUP(FROTA!$AB$2,RECEBÍVEIS!$AA$11:$AC$43,3,0))</f>
        <v/>
      </c>
      <c r="AX123" s="198" t="str">
        <f>IF(C123="","",IF(C123=FROTA!Z123="","",VLOOKUP(FROTA!Z123,RECEBÍVEIS!$AA$11:$AC$43,3,0)))</f>
        <v/>
      </c>
    </row>
    <row r="124" spans="2:50" ht="17.25" customHeight="1" x14ac:dyDescent="0.2">
      <c r="B124" s="6"/>
      <c r="C124" s="49" t="str">
        <f>IF(FROTA!B124="","",FROTA!B124)</f>
        <v/>
      </c>
      <c r="D124" s="220" t="str">
        <f>IF(C124="","",VLOOKUP(SEM!C124,FROTA!$B$5:$C$305,2,0))</f>
        <v/>
      </c>
      <c r="E124" s="24" t="str">
        <f>IF(C124="","",VLOOKUP(C124,FROTA!$B$5:$H$305,7,0))</f>
        <v/>
      </c>
      <c r="F124" s="38" t="str">
        <f t="shared" si="20"/>
        <v/>
      </c>
      <c r="G124" s="71" t="str">
        <f t="shared" si="31"/>
        <v/>
      </c>
      <c r="H124" s="32" t="str">
        <f t="shared" si="21"/>
        <v/>
      </c>
      <c r="I124" s="73" t="str">
        <f t="shared" si="21"/>
        <v/>
      </c>
      <c r="J124" s="73" t="str">
        <f t="shared" si="21"/>
        <v/>
      </c>
      <c r="K124" s="73" t="str">
        <f t="shared" si="35"/>
        <v/>
      </c>
      <c r="L124" s="73" t="str">
        <f t="shared" si="35"/>
        <v/>
      </c>
      <c r="M124" s="73" t="str">
        <f t="shared" si="35"/>
        <v/>
      </c>
      <c r="N124" s="73" t="str">
        <f t="shared" si="35"/>
        <v/>
      </c>
      <c r="O124" s="73" t="str">
        <f t="shared" si="35"/>
        <v/>
      </c>
      <c r="P124" s="73" t="str">
        <f t="shared" si="35"/>
        <v/>
      </c>
      <c r="Q124" s="73" t="str">
        <f t="shared" si="34"/>
        <v/>
      </c>
      <c r="R124" s="73" t="str">
        <f t="shared" si="33"/>
        <v/>
      </c>
      <c r="S124" s="73" t="str">
        <f t="shared" si="33"/>
        <v/>
      </c>
      <c r="T124" s="73" t="str">
        <f t="shared" si="33"/>
        <v/>
      </c>
      <c r="U124" s="73" t="str">
        <f t="shared" si="33"/>
        <v/>
      </c>
      <c r="V124" s="73" t="str">
        <f t="shared" si="33"/>
        <v/>
      </c>
      <c r="W124" s="73" t="str">
        <f t="shared" si="33"/>
        <v/>
      </c>
      <c r="X124" s="73" t="str">
        <f t="shared" si="33"/>
        <v/>
      </c>
      <c r="Y124" s="73" t="str">
        <f t="shared" si="33"/>
        <v/>
      </c>
      <c r="Z124" s="73" t="str">
        <f t="shared" si="33"/>
        <v/>
      </c>
      <c r="AA124" s="73" t="str">
        <f t="shared" si="33"/>
        <v/>
      </c>
      <c r="AB124" s="74" t="str">
        <f t="shared" si="33"/>
        <v/>
      </c>
      <c r="AC124" s="35" t="str">
        <f t="shared" si="22"/>
        <v/>
      </c>
      <c r="AD124" s="40" t="str">
        <f t="shared" si="23"/>
        <v/>
      </c>
      <c r="AE124" s="37" t="str">
        <f t="shared" si="24"/>
        <v/>
      </c>
      <c r="AF124" s="40" t="str">
        <f t="shared" si="25"/>
        <v/>
      </c>
      <c r="AG124" s="37" t="str">
        <f t="shared" si="26"/>
        <v/>
      </c>
      <c r="AH124" s="40" t="str">
        <f t="shared" si="27"/>
        <v/>
      </c>
      <c r="AI124" s="37" t="str">
        <f t="shared" si="28"/>
        <v/>
      </c>
      <c r="AJ124" s="40" t="str">
        <f t="shared" si="29"/>
        <v/>
      </c>
      <c r="AK124" s="204" t="str">
        <f>IF(C124="","",IF(E124=FROTA!$AT$18,IF('DEFINA!!!'!$L$6="D-E-F-I-N-A !!!!!!!",0,IF('DEFINA!!!'!$L$6="Opto por Idade Média",SEM!AW124,IF('DEFINA!!!'!$L$6="Opto pelo Valor aplicado ao  Ano de cada Carro",SEM!AX124,0))),IF(E124=FROTA!$AT$17,IF('DEFINA!!!'!$L$6="D-E-F-I-N-A !!!!!!!",0,IF('DEFINA!!!'!$L$6="Opto por Idade Média",SEM!AW124,IF('DEFINA!!!'!$L$6="Opto pelo Valor aplicado ao  Ano de cada Carro",SEM!AX124,0))),IF(E124=FROTA!$AT$16,IF('DEFINA!!!'!$L$6="D-E-F-I-N-A !!!!!!!",0,IF('DEFINA!!!'!$L$6="Opto por Idade Média",SEM!AW124,IF('DEFINA!!!'!$L$6="Opto pelo Valor aplicado ao  Ano de cada Carro",SEM!AX124,0))),IF('DEFINA!!!'!$L$6="D-E-F-I-N-A !!!!!!!",0,IF('DEFINA!!!'!$L$6="Opto por Idade Média",SEM!AU124,IF('DEFINA!!!'!$L$6="Opto pelo Valor aplicado ao  Ano de cada Carro",SEM!AV124,0)))))))</f>
        <v/>
      </c>
      <c r="AL124" s="6"/>
      <c r="AM124" s="79" t="str">
        <f t="shared" si="30"/>
        <v/>
      </c>
      <c r="AN124" s="12"/>
      <c r="AO124" s="12"/>
      <c r="AP124" s="14"/>
      <c r="AQ124" s="16"/>
      <c r="AR124" s="15"/>
      <c r="AU124" s="198" t="str">
        <f>IF(C124="","",VLOOKUP(FROTA!$AB$2,RECEBÍVEIS!$AA$11:$AB$43,2,0))</f>
        <v/>
      </c>
      <c r="AV124" s="198" t="str">
        <f>IF(C124="","",IF(C124=FROTA!Z124="","",VLOOKUP(FROTA!Z124,RECEBÍVEIS!$AA$11:$AB$43,2,0)))</f>
        <v/>
      </c>
      <c r="AW124" s="198" t="str">
        <f>IF(C124="","",VLOOKUP(FROTA!$AB$2,RECEBÍVEIS!$AA$11:$AC$43,3,0))</f>
        <v/>
      </c>
      <c r="AX124" s="198" t="str">
        <f>IF(C124="","",IF(C124=FROTA!Z124="","",VLOOKUP(FROTA!Z124,RECEBÍVEIS!$AA$11:$AC$43,3,0)))</f>
        <v/>
      </c>
    </row>
    <row r="125" spans="2:50" ht="17.25" customHeight="1" x14ac:dyDescent="0.2">
      <c r="B125" s="6"/>
      <c r="C125" s="49" t="str">
        <f>IF(FROTA!B125="","",FROTA!B125)</f>
        <v/>
      </c>
      <c r="D125" s="220" t="str">
        <f>IF(C125="","",VLOOKUP(SEM!C125,FROTA!$B$5:$C$305,2,0))</f>
        <v/>
      </c>
      <c r="E125" s="24" t="str">
        <f>IF(C125="","",VLOOKUP(C125,FROTA!$B$5:$H$305,7,0))</f>
        <v/>
      </c>
      <c r="F125" s="38" t="str">
        <f t="shared" si="20"/>
        <v/>
      </c>
      <c r="G125" s="71" t="str">
        <f t="shared" si="31"/>
        <v/>
      </c>
      <c r="H125" s="32" t="str">
        <f t="shared" si="21"/>
        <v/>
      </c>
      <c r="I125" s="73" t="str">
        <f t="shared" si="21"/>
        <v/>
      </c>
      <c r="J125" s="73" t="str">
        <f t="shared" si="21"/>
        <v/>
      </c>
      <c r="K125" s="73" t="str">
        <f t="shared" si="35"/>
        <v/>
      </c>
      <c r="L125" s="73" t="str">
        <f t="shared" si="35"/>
        <v/>
      </c>
      <c r="M125" s="73" t="str">
        <f t="shared" si="35"/>
        <v/>
      </c>
      <c r="N125" s="73" t="str">
        <f t="shared" si="35"/>
        <v/>
      </c>
      <c r="O125" s="73" t="str">
        <f t="shared" si="35"/>
        <v/>
      </c>
      <c r="P125" s="73" t="str">
        <f t="shared" si="35"/>
        <v/>
      </c>
      <c r="Q125" s="73" t="str">
        <f t="shared" si="34"/>
        <v/>
      </c>
      <c r="R125" s="73" t="str">
        <f t="shared" si="33"/>
        <v/>
      </c>
      <c r="S125" s="73" t="str">
        <f t="shared" si="33"/>
        <v/>
      </c>
      <c r="T125" s="73" t="str">
        <f t="shared" si="33"/>
        <v/>
      </c>
      <c r="U125" s="73" t="str">
        <f t="shared" si="33"/>
        <v/>
      </c>
      <c r="V125" s="73" t="str">
        <f t="shared" si="33"/>
        <v/>
      </c>
      <c r="W125" s="73" t="str">
        <f t="shared" si="33"/>
        <v/>
      </c>
      <c r="X125" s="73" t="str">
        <f t="shared" si="33"/>
        <v/>
      </c>
      <c r="Y125" s="73" t="str">
        <f t="shared" si="33"/>
        <v/>
      </c>
      <c r="Z125" s="73" t="str">
        <f t="shared" si="33"/>
        <v/>
      </c>
      <c r="AA125" s="73" t="str">
        <f t="shared" si="33"/>
        <v/>
      </c>
      <c r="AB125" s="74" t="str">
        <f t="shared" si="33"/>
        <v/>
      </c>
      <c r="AC125" s="35" t="str">
        <f t="shared" si="22"/>
        <v/>
      </c>
      <c r="AD125" s="40" t="str">
        <f t="shared" si="23"/>
        <v/>
      </c>
      <c r="AE125" s="37" t="str">
        <f t="shared" si="24"/>
        <v/>
      </c>
      <c r="AF125" s="40" t="str">
        <f t="shared" si="25"/>
        <v/>
      </c>
      <c r="AG125" s="37" t="str">
        <f t="shared" si="26"/>
        <v/>
      </c>
      <c r="AH125" s="40" t="str">
        <f t="shared" si="27"/>
        <v/>
      </c>
      <c r="AI125" s="37" t="str">
        <f t="shared" si="28"/>
        <v/>
      </c>
      <c r="AJ125" s="40" t="str">
        <f t="shared" si="29"/>
        <v/>
      </c>
      <c r="AK125" s="204" t="str">
        <f>IF(C125="","",IF(E125=FROTA!$AT$18,IF('DEFINA!!!'!$L$6="D-E-F-I-N-A !!!!!!!",0,IF('DEFINA!!!'!$L$6="Opto por Idade Média",SEM!AW125,IF('DEFINA!!!'!$L$6="Opto pelo Valor aplicado ao  Ano de cada Carro",SEM!AX125,0))),IF(E125=FROTA!$AT$17,IF('DEFINA!!!'!$L$6="D-E-F-I-N-A !!!!!!!",0,IF('DEFINA!!!'!$L$6="Opto por Idade Média",SEM!AW125,IF('DEFINA!!!'!$L$6="Opto pelo Valor aplicado ao  Ano de cada Carro",SEM!AX125,0))),IF(E125=FROTA!$AT$16,IF('DEFINA!!!'!$L$6="D-E-F-I-N-A !!!!!!!",0,IF('DEFINA!!!'!$L$6="Opto por Idade Média",SEM!AW125,IF('DEFINA!!!'!$L$6="Opto pelo Valor aplicado ao  Ano de cada Carro",SEM!AX125,0))),IF('DEFINA!!!'!$L$6="D-E-F-I-N-A !!!!!!!",0,IF('DEFINA!!!'!$L$6="Opto por Idade Média",SEM!AU125,IF('DEFINA!!!'!$L$6="Opto pelo Valor aplicado ao  Ano de cada Carro",SEM!AV125,0)))))))</f>
        <v/>
      </c>
      <c r="AL125" s="6"/>
      <c r="AM125" s="79" t="str">
        <f t="shared" si="30"/>
        <v/>
      </c>
      <c r="AN125" s="12"/>
      <c r="AO125" s="12"/>
      <c r="AP125" s="14"/>
      <c r="AQ125" s="16"/>
      <c r="AR125" s="15"/>
      <c r="AU125" s="198" t="str">
        <f>IF(C125="","",VLOOKUP(FROTA!$AB$2,RECEBÍVEIS!$AA$11:$AB$43,2,0))</f>
        <v/>
      </c>
      <c r="AV125" s="198" t="str">
        <f>IF(C125="","",IF(C125=FROTA!Z125="","",VLOOKUP(FROTA!Z125,RECEBÍVEIS!$AA$11:$AB$43,2,0)))</f>
        <v/>
      </c>
      <c r="AW125" s="198" t="str">
        <f>IF(C125="","",VLOOKUP(FROTA!$AB$2,RECEBÍVEIS!$AA$11:$AC$43,3,0))</f>
        <v/>
      </c>
      <c r="AX125" s="198" t="str">
        <f>IF(C125="","",IF(C125=FROTA!Z125="","",VLOOKUP(FROTA!Z125,RECEBÍVEIS!$AA$11:$AC$43,3,0)))</f>
        <v/>
      </c>
    </row>
    <row r="126" spans="2:50" ht="17.25" customHeight="1" x14ac:dyDescent="0.2">
      <c r="B126" s="6"/>
      <c r="C126" s="49" t="str">
        <f>IF(FROTA!B126="","",FROTA!B126)</f>
        <v/>
      </c>
      <c r="D126" s="220" t="str">
        <f>IF(C126="","",VLOOKUP(SEM!C126,FROTA!$B$5:$C$305,2,0))</f>
        <v/>
      </c>
      <c r="E126" s="24" t="str">
        <f>IF(C126="","",VLOOKUP(C126,FROTA!$B$5:$H$305,7,0))</f>
        <v/>
      </c>
      <c r="F126" s="38" t="str">
        <f t="shared" si="20"/>
        <v/>
      </c>
      <c r="G126" s="71" t="str">
        <f t="shared" si="31"/>
        <v/>
      </c>
      <c r="H126" s="32" t="str">
        <f t="shared" si="21"/>
        <v/>
      </c>
      <c r="I126" s="73" t="str">
        <f t="shared" si="21"/>
        <v/>
      </c>
      <c r="J126" s="73" t="str">
        <f t="shared" si="21"/>
        <v/>
      </c>
      <c r="K126" s="73" t="str">
        <f t="shared" si="35"/>
        <v/>
      </c>
      <c r="L126" s="73" t="str">
        <f t="shared" si="35"/>
        <v/>
      </c>
      <c r="M126" s="73" t="str">
        <f t="shared" si="35"/>
        <v/>
      </c>
      <c r="N126" s="73" t="str">
        <f t="shared" si="35"/>
        <v/>
      </c>
      <c r="O126" s="73" t="str">
        <f t="shared" si="35"/>
        <v/>
      </c>
      <c r="P126" s="73" t="str">
        <f t="shared" si="35"/>
        <v/>
      </c>
      <c r="Q126" s="73" t="str">
        <f t="shared" si="34"/>
        <v/>
      </c>
      <c r="R126" s="73" t="str">
        <f t="shared" si="33"/>
        <v/>
      </c>
      <c r="S126" s="73" t="str">
        <f t="shared" si="33"/>
        <v/>
      </c>
      <c r="T126" s="73" t="str">
        <f t="shared" si="33"/>
        <v/>
      </c>
      <c r="U126" s="73" t="str">
        <f t="shared" si="33"/>
        <v/>
      </c>
      <c r="V126" s="73" t="str">
        <f t="shared" si="33"/>
        <v/>
      </c>
      <c r="W126" s="73" t="str">
        <f t="shared" si="33"/>
        <v/>
      </c>
      <c r="X126" s="73" t="str">
        <f t="shared" si="33"/>
        <v/>
      </c>
      <c r="Y126" s="73" t="str">
        <f t="shared" si="33"/>
        <v/>
      </c>
      <c r="Z126" s="73" t="str">
        <f t="shared" si="33"/>
        <v/>
      </c>
      <c r="AA126" s="73" t="str">
        <f t="shared" si="33"/>
        <v/>
      </c>
      <c r="AB126" s="74" t="str">
        <f t="shared" si="33"/>
        <v/>
      </c>
      <c r="AC126" s="35" t="str">
        <f t="shared" si="22"/>
        <v/>
      </c>
      <c r="AD126" s="40" t="str">
        <f t="shared" si="23"/>
        <v/>
      </c>
      <c r="AE126" s="37" t="str">
        <f t="shared" si="24"/>
        <v/>
      </c>
      <c r="AF126" s="40" t="str">
        <f t="shared" si="25"/>
        <v/>
      </c>
      <c r="AG126" s="37" t="str">
        <f t="shared" si="26"/>
        <v/>
      </c>
      <c r="AH126" s="40" t="str">
        <f t="shared" si="27"/>
        <v/>
      </c>
      <c r="AI126" s="37" t="str">
        <f t="shared" si="28"/>
        <v/>
      </c>
      <c r="AJ126" s="40" t="str">
        <f t="shared" si="29"/>
        <v/>
      </c>
      <c r="AK126" s="204" t="str">
        <f>IF(C126="","",IF(E126=FROTA!$AT$18,IF('DEFINA!!!'!$L$6="D-E-F-I-N-A !!!!!!!",0,IF('DEFINA!!!'!$L$6="Opto por Idade Média",SEM!AW126,IF('DEFINA!!!'!$L$6="Opto pelo Valor aplicado ao  Ano de cada Carro",SEM!AX126,0))),IF(E126=FROTA!$AT$17,IF('DEFINA!!!'!$L$6="D-E-F-I-N-A !!!!!!!",0,IF('DEFINA!!!'!$L$6="Opto por Idade Média",SEM!AW126,IF('DEFINA!!!'!$L$6="Opto pelo Valor aplicado ao  Ano de cada Carro",SEM!AX126,0))),IF(E126=FROTA!$AT$16,IF('DEFINA!!!'!$L$6="D-E-F-I-N-A !!!!!!!",0,IF('DEFINA!!!'!$L$6="Opto por Idade Média",SEM!AW126,IF('DEFINA!!!'!$L$6="Opto pelo Valor aplicado ao  Ano de cada Carro",SEM!AX126,0))),IF('DEFINA!!!'!$L$6="D-E-F-I-N-A !!!!!!!",0,IF('DEFINA!!!'!$L$6="Opto por Idade Média",SEM!AU126,IF('DEFINA!!!'!$L$6="Opto pelo Valor aplicado ao  Ano de cada Carro",SEM!AV126,0)))))))</f>
        <v/>
      </c>
      <c r="AL126" s="6"/>
      <c r="AM126" s="79" t="str">
        <f t="shared" si="30"/>
        <v/>
      </c>
      <c r="AN126" s="12"/>
      <c r="AO126" s="12"/>
      <c r="AP126" s="14"/>
      <c r="AQ126" s="16"/>
      <c r="AR126" s="15"/>
      <c r="AU126" s="198" t="str">
        <f>IF(C126="","",VLOOKUP(FROTA!$AB$2,RECEBÍVEIS!$AA$11:$AB$43,2,0))</f>
        <v/>
      </c>
      <c r="AV126" s="198" t="str">
        <f>IF(C126="","",IF(C126=FROTA!Z126="","",VLOOKUP(FROTA!Z126,RECEBÍVEIS!$AA$11:$AB$43,2,0)))</f>
        <v/>
      </c>
      <c r="AW126" s="198" t="str">
        <f>IF(C126="","",VLOOKUP(FROTA!$AB$2,RECEBÍVEIS!$AA$11:$AC$43,3,0))</f>
        <v/>
      </c>
      <c r="AX126" s="198" t="str">
        <f>IF(C126="","",IF(C126=FROTA!Z126="","",VLOOKUP(FROTA!Z126,RECEBÍVEIS!$AA$11:$AC$43,3,0)))</f>
        <v/>
      </c>
    </row>
    <row r="127" spans="2:50" ht="17.25" customHeight="1" x14ac:dyDescent="0.2">
      <c r="B127" s="6"/>
      <c r="C127" s="49" t="str">
        <f>IF(FROTA!B127="","",FROTA!B127)</f>
        <v/>
      </c>
      <c r="D127" s="220" t="str">
        <f>IF(C127="","",VLOOKUP(SEM!C127,FROTA!$B$5:$C$305,2,0))</f>
        <v/>
      </c>
      <c r="E127" s="24" t="str">
        <f>IF(C127="","",VLOOKUP(C127,FROTA!$B$5:$H$305,7,0))</f>
        <v/>
      </c>
      <c r="F127" s="38" t="str">
        <f t="shared" si="20"/>
        <v/>
      </c>
      <c r="G127" s="71" t="str">
        <f t="shared" si="31"/>
        <v/>
      </c>
      <c r="H127" s="32" t="str">
        <f t="shared" si="21"/>
        <v/>
      </c>
      <c r="I127" s="73" t="str">
        <f t="shared" si="21"/>
        <v/>
      </c>
      <c r="J127" s="73" t="str">
        <f t="shared" si="21"/>
        <v/>
      </c>
      <c r="K127" s="73" t="str">
        <f t="shared" si="35"/>
        <v/>
      </c>
      <c r="L127" s="73" t="str">
        <f t="shared" si="35"/>
        <v/>
      </c>
      <c r="M127" s="73" t="str">
        <f t="shared" si="35"/>
        <v/>
      </c>
      <c r="N127" s="73" t="str">
        <f t="shared" si="35"/>
        <v/>
      </c>
      <c r="O127" s="73" t="str">
        <f t="shared" si="35"/>
        <v/>
      </c>
      <c r="P127" s="73" t="str">
        <f t="shared" si="35"/>
        <v/>
      </c>
      <c r="Q127" s="73" t="str">
        <f t="shared" si="34"/>
        <v/>
      </c>
      <c r="R127" s="73" t="str">
        <f t="shared" si="33"/>
        <v/>
      </c>
      <c r="S127" s="73" t="str">
        <f t="shared" si="33"/>
        <v/>
      </c>
      <c r="T127" s="73" t="str">
        <f t="shared" si="33"/>
        <v/>
      </c>
      <c r="U127" s="73" t="str">
        <f t="shared" si="33"/>
        <v/>
      </c>
      <c r="V127" s="73" t="str">
        <f t="shared" si="33"/>
        <v/>
      </c>
      <c r="W127" s="73" t="str">
        <f t="shared" si="33"/>
        <v/>
      </c>
      <c r="X127" s="73" t="str">
        <f t="shared" si="33"/>
        <v/>
      </c>
      <c r="Y127" s="73" t="str">
        <f t="shared" si="33"/>
        <v/>
      </c>
      <c r="Z127" s="73" t="str">
        <f t="shared" si="33"/>
        <v/>
      </c>
      <c r="AA127" s="73" t="str">
        <f t="shared" si="33"/>
        <v/>
      </c>
      <c r="AB127" s="74" t="str">
        <f t="shared" si="33"/>
        <v/>
      </c>
      <c r="AC127" s="35" t="str">
        <f t="shared" si="22"/>
        <v/>
      </c>
      <c r="AD127" s="40" t="str">
        <f t="shared" si="23"/>
        <v/>
      </c>
      <c r="AE127" s="37" t="str">
        <f t="shared" si="24"/>
        <v/>
      </c>
      <c r="AF127" s="40" t="str">
        <f t="shared" si="25"/>
        <v/>
      </c>
      <c r="AG127" s="37" t="str">
        <f t="shared" si="26"/>
        <v/>
      </c>
      <c r="AH127" s="40" t="str">
        <f t="shared" si="27"/>
        <v/>
      </c>
      <c r="AI127" s="37" t="str">
        <f t="shared" si="28"/>
        <v/>
      </c>
      <c r="AJ127" s="40" t="str">
        <f t="shared" si="29"/>
        <v/>
      </c>
      <c r="AK127" s="204" t="str">
        <f>IF(C127="","",IF(E127=FROTA!$AT$18,IF('DEFINA!!!'!$L$6="D-E-F-I-N-A !!!!!!!",0,IF('DEFINA!!!'!$L$6="Opto por Idade Média",SEM!AW127,IF('DEFINA!!!'!$L$6="Opto pelo Valor aplicado ao  Ano de cada Carro",SEM!AX127,0))),IF(E127=FROTA!$AT$17,IF('DEFINA!!!'!$L$6="D-E-F-I-N-A !!!!!!!",0,IF('DEFINA!!!'!$L$6="Opto por Idade Média",SEM!AW127,IF('DEFINA!!!'!$L$6="Opto pelo Valor aplicado ao  Ano de cada Carro",SEM!AX127,0))),IF(E127=FROTA!$AT$16,IF('DEFINA!!!'!$L$6="D-E-F-I-N-A !!!!!!!",0,IF('DEFINA!!!'!$L$6="Opto por Idade Média",SEM!AW127,IF('DEFINA!!!'!$L$6="Opto pelo Valor aplicado ao  Ano de cada Carro",SEM!AX127,0))),IF('DEFINA!!!'!$L$6="D-E-F-I-N-A !!!!!!!",0,IF('DEFINA!!!'!$L$6="Opto por Idade Média",SEM!AU127,IF('DEFINA!!!'!$L$6="Opto pelo Valor aplicado ao  Ano de cada Carro",SEM!AV127,0)))))))</f>
        <v/>
      </c>
      <c r="AL127" s="6"/>
      <c r="AM127" s="79" t="str">
        <f t="shared" si="30"/>
        <v/>
      </c>
      <c r="AN127" s="12"/>
      <c r="AO127" s="12"/>
      <c r="AP127" s="14"/>
      <c r="AQ127" s="16"/>
      <c r="AR127" s="15"/>
      <c r="AU127" s="198" t="str">
        <f>IF(C127="","",VLOOKUP(FROTA!$AB$2,RECEBÍVEIS!$AA$11:$AB$43,2,0))</f>
        <v/>
      </c>
      <c r="AV127" s="198" t="str">
        <f>IF(C127="","",IF(C127=FROTA!Z127="","",VLOOKUP(FROTA!Z127,RECEBÍVEIS!$AA$11:$AB$43,2,0)))</f>
        <v/>
      </c>
      <c r="AW127" s="198" t="str">
        <f>IF(C127="","",VLOOKUP(FROTA!$AB$2,RECEBÍVEIS!$AA$11:$AC$43,3,0))</f>
        <v/>
      </c>
      <c r="AX127" s="198" t="str">
        <f>IF(C127="","",IF(C127=FROTA!Z127="","",VLOOKUP(FROTA!Z127,RECEBÍVEIS!$AA$11:$AC$43,3,0)))</f>
        <v/>
      </c>
    </row>
    <row r="128" spans="2:50" ht="17.25" customHeight="1" x14ac:dyDescent="0.2">
      <c r="B128" s="6"/>
      <c r="C128" s="49" t="str">
        <f>IF(FROTA!B128="","",FROTA!B128)</f>
        <v/>
      </c>
      <c r="D128" s="220" t="str">
        <f>IF(C128="","",VLOOKUP(SEM!C128,FROTA!$B$5:$C$305,2,0))</f>
        <v/>
      </c>
      <c r="E128" s="24" t="str">
        <f>IF(C128="","",VLOOKUP(C128,FROTA!$B$5:$H$305,7,0))</f>
        <v/>
      </c>
      <c r="F128" s="38" t="str">
        <f t="shared" si="20"/>
        <v/>
      </c>
      <c r="G128" s="71" t="str">
        <f t="shared" si="31"/>
        <v/>
      </c>
      <c r="H128" s="32" t="str">
        <f t="shared" si="21"/>
        <v/>
      </c>
      <c r="I128" s="73" t="str">
        <f t="shared" si="21"/>
        <v/>
      </c>
      <c r="J128" s="73" t="str">
        <f t="shared" si="21"/>
        <v/>
      </c>
      <c r="K128" s="73" t="str">
        <f t="shared" si="35"/>
        <v/>
      </c>
      <c r="L128" s="73" t="str">
        <f t="shared" si="35"/>
        <v/>
      </c>
      <c r="M128" s="73" t="str">
        <f t="shared" si="35"/>
        <v/>
      </c>
      <c r="N128" s="73" t="str">
        <f t="shared" si="35"/>
        <v/>
      </c>
      <c r="O128" s="73" t="str">
        <f t="shared" si="35"/>
        <v/>
      </c>
      <c r="P128" s="73" t="str">
        <f t="shared" si="35"/>
        <v/>
      </c>
      <c r="Q128" s="73" t="str">
        <f t="shared" si="34"/>
        <v/>
      </c>
      <c r="R128" s="73" t="str">
        <f t="shared" si="33"/>
        <v/>
      </c>
      <c r="S128" s="73" t="str">
        <f t="shared" si="33"/>
        <v/>
      </c>
      <c r="T128" s="73" t="str">
        <f t="shared" si="33"/>
        <v/>
      </c>
      <c r="U128" s="73" t="str">
        <f t="shared" si="33"/>
        <v/>
      </c>
      <c r="V128" s="73" t="str">
        <f t="shared" si="33"/>
        <v/>
      </c>
      <c r="W128" s="73" t="str">
        <f t="shared" si="33"/>
        <v/>
      </c>
      <c r="X128" s="73" t="str">
        <f t="shared" si="33"/>
        <v/>
      </c>
      <c r="Y128" s="73" t="str">
        <f t="shared" si="33"/>
        <v/>
      </c>
      <c r="Z128" s="73" t="str">
        <f t="shared" si="33"/>
        <v/>
      </c>
      <c r="AA128" s="73" t="str">
        <f t="shared" si="33"/>
        <v/>
      </c>
      <c r="AB128" s="74" t="str">
        <f t="shared" si="33"/>
        <v/>
      </c>
      <c r="AC128" s="35" t="str">
        <f t="shared" si="22"/>
        <v/>
      </c>
      <c r="AD128" s="40" t="str">
        <f t="shared" si="23"/>
        <v/>
      </c>
      <c r="AE128" s="37" t="str">
        <f t="shared" si="24"/>
        <v/>
      </c>
      <c r="AF128" s="40" t="str">
        <f t="shared" si="25"/>
        <v/>
      </c>
      <c r="AG128" s="37" t="str">
        <f t="shared" si="26"/>
        <v/>
      </c>
      <c r="AH128" s="40" t="str">
        <f t="shared" si="27"/>
        <v/>
      </c>
      <c r="AI128" s="37" t="str">
        <f t="shared" si="28"/>
        <v/>
      </c>
      <c r="AJ128" s="40" t="str">
        <f t="shared" si="29"/>
        <v/>
      </c>
      <c r="AK128" s="204" t="str">
        <f>IF(C128="","",IF(E128=FROTA!$AT$18,IF('DEFINA!!!'!$L$6="D-E-F-I-N-A !!!!!!!",0,IF('DEFINA!!!'!$L$6="Opto por Idade Média",SEM!AW128,IF('DEFINA!!!'!$L$6="Opto pelo Valor aplicado ao  Ano de cada Carro",SEM!AX128,0))),IF(E128=FROTA!$AT$17,IF('DEFINA!!!'!$L$6="D-E-F-I-N-A !!!!!!!",0,IF('DEFINA!!!'!$L$6="Opto por Idade Média",SEM!AW128,IF('DEFINA!!!'!$L$6="Opto pelo Valor aplicado ao  Ano de cada Carro",SEM!AX128,0))),IF(E128=FROTA!$AT$16,IF('DEFINA!!!'!$L$6="D-E-F-I-N-A !!!!!!!",0,IF('DEFINA!!!'!$L$6="Opto por Idade Média",SEM!AW128,IF('DEFINA!!!'!$L$6="Opto pelo Valor aplicado ao  Ano de cada Carro",SEM!AX128,0))),IF('DEFINA!!!'!$L$6="D-E-F-I-N-A !!!!!!!",0,IF('DEFINA!!!'!$L$6="Opto por Idade Média",SEM!AU128,IF('DEFINA!!!'!$L$6="Opto pelo Valor aplicado ao  Ano de cada Carro",SEM!AV128,0)))))))</f>
        <v/>
      </c>
      <c r="AL128" s="6"/>
      <c r="AM128" s="79" t="str">
        <f t="shared" si="30"/>
        <v/>
      </c>
      <c r="AN128" s="12"/>
      <c r="AO128" s="12"/>
      <c r="AP128" s="14"/>
      <c r="AQ128" s="16"/>
      <c r="AR128" s="15"/>
      <c r="AU128" s="198" t="str">
        <f>IF(C128="","",VLOOKUP(FROTA!$AB$2,RECEBÍVEIS!$AA$11:$AB$43,2,0))</f>
        <v/>
      </c>
      <c r="AV128" s="198" t="str">
        <f>IF(C128="","",IF(C128=FROTA!Z128="","",VLOOKUP(FROTA!Z128,RECEBÍVEIS!$AA$11:$AB$43,2,0)))</f>
        <v/>
      </c>
      <c r="AW128" s="198" t="str">
        <f>IF(C128="","",VLOOKUP(FROTA!$AB$2,RECEBÍVEIS!$AA$11:$AC$43,3,0))</f>
        <v/>
      </c>
      <c r="AX128" s="198" t="str">
        <f>IF(C128="","",IF(C128=FROTA!Z128="","",VLOOKUP(FROTA!Z128,RECEBÍVEIS!$AA$11:$AC$43,3,0)))</f>
        <v/>
      </c>
    </row>
    <row r="129" spans="2:50" ht="17.25" customHeight="1" x14ac:dyDescent="0.2">
      <c r="B129" s="6"/>
      <c r="C129" s="49" t="str">
        <f>IF(FROTA!B129="","",FROTA!B129)</f>
        <v/>
      </c>
      <c r="D129" s="220" t="str">
        <f>IF(C129="","",VLOOKUP(SEM!C129,FROTA!$B$5:$C$305,2,0))</f>
        <v/>
      </c>
      <c r="E129" s="24" t="str">
        <f>IF(C129="","",VLOOKUP(C129,FROTA!$B$5:$H$305,7,0))</f>
        <v/>
      </c>
      <c r="F129" s="38" t="str">
        <f t="shared" si="20"/>
        <v/>
      </c>
      <c r="G129" s="71" t="str">
        <f t="shared" si="31"/>
        <v/>
      </c>
      <c r="H129" s="32" t="str">
        <f t="shared" si="21"/>
        <v/>
      </c>
      <c r="I129" s="73" t="str">
        <f t="shared" si="21"/>
        <v/>
      </c>
      <c r="J129" s="73" t="str">
        <f t="shared" si="21"/>
        <v/>
      </c>
      <c r="K129" s="73" t="str">
        <f t="shared" si="35"/>
        <v/>
      </c>
      <c r="L129" s="73" t="str">
        <f t="shared" si="35"/>
        <v/>
      </c>
      <c r="M129" s="73" t="str">
        <f t="shared" si="35"/>
        <v/>
      </c>
      <c r="N129" s="73" t="str">
        <f t="shared" si="35"/>
        <v/>
      </c>
      <c r="O129" s="73" t="str">
        <f t="shared" si="35"/>
        <v/>
      </c>
      <c r="P129" s="73" t="str">
        <f t="shared" si="35"/>
        <v/>
      </c>
      <c r="Q129" s="73" t="str">
        <f t="shared" si="34"/>
        <v/>
      </c>
      <c r="R129" s="73" t="str">
        <f t="shared" si="33"/>
        <v/>
      </c>
      <c r="S129" s="73" t="str">
        <f t="shared" si="33"/>
        <v/>
      </c>
      <c r="T129" s="73" t="str">
        <f t="shared" si="33"/>
        <v/>
      </c>
      <c r="U129" s="73" t="str">
        <f t="shared" si="33"/>
        <v/>
      </c>
      <c r="V129" s="73" t="str">
        <f t="shared" si="33"/>
        <v/>
      </c>
      <c r="W129" s="73" t="str">
        <f t="shared" si="33"/>
        <v/>
      </c>
      <c r="X129" s="73" t="str">
        <f t="shared" si="33"/>
        <v/>
      </c>
      <c r="Y129" s="73" t="str">
        <f t="shared" si="33"/>
        <v/>
      </c>
      <c r="Z129" s="73" t="str">
        <f t="shared" si="33"/>
        <v/>
      </c>
      <c r="AA129" s="73" t="str">
        <f t="shared" si="33"/>
        <v/>
      </c>
      <c r="AB129" s="74" t="str">
        <f t="shared" si="33"/>
        <v/>
      </c>
      <c r="AC129" s="35" t="str">
        <f t="shared" si="22"/>
        <v/>
      </c>
      <c r="AD129" s="40" t="str">
        <f t="shared" si="23"/>
        <v/>
      </c>
      <c r="AE129" s="37" t="str">
        <f t="shared" si="24"/>
        <v/>
      </c>
      <c r="AF129" s="40" t="str">
        <f t="shared" si="25"/>
        <v/>
      </c>
      <c r="AG129" s="37" t="str">
        <f t="shared" si="26"/>
        <v/>
      </c>
      <c r="AH129" s="40" t="str">
        <f t="shared" si="27"/>
        <v/>
      </c>
      <c r="AI129" s="37" t="str">
        <f t="shared" si="28"/>
        <v/>
      </c>
      <c r="AJ129" s="40" t="str">
        <f t="shared" si="29"/>
        <v/>
      </c>
      <c r="AK129" s="204" t="str">
        <f>IF(C129="","",IF(E129=FROTA!$AT$18,IF('DEFINA!!!'!$L$6="D-E-F-I-N-A !!!!!!!",0,IF('DEFINA!!!'!$L$6="Opto por Idade Média",SEM!AW129,IF('DEFINA!!!'!$L$6="Opto pelo Valor aplicado ao  Ano de cada Carro",SEM!AX129,0))),IF(E129=FROTA!$AT$17,IF('DEFINA!!!'!$L$6="D-E-F-I-N-A !!!!!!!",0,IF('DEFINA!!!'!$L$6="Opto por Idade Média",SEM!AW129,IF('DEFINA!!!'!$L$6="Opto pelo Valor aplicado ao  Ano de cada Carro",SEM!AX129,0))),IF(E129=FROTA!$AT$16,IF('DEFINA!!!'!$L$6="D-E-F-I-N-A !!!!!!!",0,IF('DEFINA!!!'!$L$6="Opto por Idade Média",SEM!AW129,IF('DEFINA!!!'!$L$6="Opto pelo Valor aplicado ao  Ano de cada Carro",SEM!AX129,0))),IF('DEFINA!!!'!$L$6="D-E-F-I-N-A !!!!!!!",0,IF('DEFINA!!!'!$L$6="Opto por Idade Média",SEM!AU129,IF('DEFINA!!!'!$L$6="Opto pelo Valor aplicado ao  Ano de cada Carro",SEM!AV129,0)))))))</f>
        <v/>
      </c>
      <c r="AL129" s="6"/>
      <c r="AM129" s="79" t="str">
        <f t="shared" si="30"/>
        <v/>
      </c>
      <c r="AN129" s="12"/>
      <c r="AO129" s="12"/>
      <c r="AP129" s="14"/>
      <c r="AQ129" s="16"/>
      <c r="AR129" s="15"/>
      <c r="AU129" s="198" t="str">
        <f>IF(C129="","",VLOOKUP(FROTA!$AB$2,RECEBÍVEIS!$AA$11:$AB$43,2,0))</f>
        <v/>
      </c>
      <c r="AV129" s="198" t="str">
        <f>IF(C129="","",IF(C129=FROTA!Z129="","",VLOOKUP(FROTA!Z129,RECEBÍVEIS!$AA$11:$AB$43,2,0)))</f>
        <v/>
      </c>
      <c r="AW129" s="198" t="str">
        <f>IF(C129="","",VLOOKUP(FROTA!$AB$2,RECEBÍVEIS!$AA$11:$AC$43,3,0))</f>
        <v/>
      </c>
      <c r="AX129" s="198" t="str">
        <f>IF(C129="","",IF(C129=FROTA!Z129="","",VLOOKUP(FROTA!Z129,RECEBÍVEIS!$AA$11:$AC$43,3,0)))</f>
        <v/>
      </c>
    </row>
    <row r="130" spans="2:50" ht="17.25" customHeight="1" x14ac:dyDescent="0.2">
      <c r="B130" s="6"/>
      <c r="C130" s="49" t="str">
        <f>IF(FROTA!B130="","",FROTA!B130)</f>
        <v/>
      </c>
      <c r="D130" s="220" t="str">
        <f>IF(C130="","",VLOOKUP(SEM!C130,FROTA!$B$5:$C$305,2,0))</f>
        <v/>
      </c>
      <c r="E130" s="24" t="str">
        <f>IF(C130="","",VLOOKUP(C130,FROTA!$B$5:$H$305,7,0))</f>
        <v/>
      </c>
      <c r="F130" s="38" t="str">
        <f t="shared" si="20"/>
        <v/>
      </c>
      <c r="G130" s="71" t="str">
        <f t="shared" si="31"/>
        <v/>
      </c>
      <c r="H130" s="32" t="str">
        <f t="shared" si="21"/>
        <v/>
      </c>
      <c r="I130" s="73" t="str">
        <f t="shared" si="21"/>
        <v/>
      </c>
      <c r="J130" s="73" t="str">
        <f t="shared" si="21"/>
        <v/>
      </c>
      <c r="K130" s="73" t="str">
        <f t="shared" si="35"/>
        <v/>
      </c>
      <c r="L130" s="73" t="str">
        <f t="shared" si="35"/>
        <v/>
      </c>
      <c r="M130" s="73" t="str">
        <f t="shared" si="35"/>
        <v/>
      </c>
      <c r="N130" s="73" t="str">
        <f t="shared" si="35"/>
        <v/>
      </c>
      <c r="O130" s="73" t="str">
        <f t="shared" si="35"/>
        <v/>
      </c>
      <c r="P130" s="73" t="str">
        <f t="shared" si="35"/>
        <v/>
      </c>
      <c r="Q130" s="73" t="str">
        <f t="shared" si="34"/>
        <v/>
      </c>
      <c r="R130" s="73" t="str">
        <f t="shared" si="33"/>
        <v/>
      </c>
      <c r="S130" s="73" t="str">
        <f t="shared" si="33"/>
        <v/>
      </c>
      <c r="T130" s="73" t="str">
        <f t="shared" si="33"/>
        <v/>
      </c>
      <c r="U130" s="73" t="str">
        <f t="shared" si="33"/>
        <v/>
      </c>
      <c r="V130" s="73" t="str">
        <f t="shared" si="33"/>
        <v/>
      </c>
      <c r="W130" s="73" t="str">
        <f t="shared" si="33"/>
        <v/>
      </c>
      <c r="X130" s="73" t="str">
        <f t="shared" si="33"/>
        <v/>
      </c>
      <c r="Y130" s="73" t="str">
        <f t="shared" si="33"/>
        <v/>
      </c>
      <c r="Z130" s="73" t="str">
        <f t="shared" si="33"/>
        <v/>
      </c>
      <c r="AA130" s="73" t="str">
        <f t="shared" si="33"/>
        <v/>
      </c>
      <c r="AB130" s="74" t="str">
        <f t="shared" si="33"/>
        <v/>
      </c>
      <c r="AC130" s="35" t="str">
        <f t="shared" si="22"/>
        <v/>
      </c>
      <c r="AD130" s="40" t="str">
        <f t="shared" si="23"/>
        <v/>
      </c>
      <c r="AE130" s="37" t="str">
        <f t="shared" si="24"/>
        <v/>
      </c>
      <c r="AF130" s="40" t="str">
        <f t="shared" si="25"/>
        <v/>
      </c>
      <c r="AG130" s="37" t="str">
        <f t="shared" si="26"/>
        <v/>
      </c>
      <c r="AH130" s="40" t="str">
        <f t="shared" si="27"/>
        <v/>
      </c>
      <c r="AI130" s="37" t="str">
        <f t="shared" si="28"/>
        <v/>
      </c>
      <c r="AJ130" s="40" t="str">
        <f t="shared" si="29"/>
        <v/>
      </c>
      <c r="AK130" s="204" t="str">
        <f>IF(C130="","",IF(E130=FROTA!$AT$18,IF('DEFINA!!!'!$L$6="D-E-F-I-N-A !!!!!!!",0,IF('DEFINA!!!'!$L$6="Opto por Idade Média",SEM!AW130,IF('DEFINA!!!'!$L$6="Opto pelo Valor aplicado ao  Ano de cada Carro",SEM!AX130,0))),IF(E130=FROTA!$AT$17,IF('DEFINA!!!'!$L$6="D-E-F-I-N-A !!!!!!!",0,IF('DEFINA!!!'!$L$6="Opto por Idade Média",SEM!AW130,IF('DEFINA!!!'!$L$6="Opto pelo Valor aplicado ao  Ano de cada Carro",SEM!AX130,0))),IF(E130=FROTA!$AT$16,IF('DEFINA!!!'!$L$6="D-E-F-I-N-A !!!!!!!",0,IF('DEFINA!!!'!$L$6="Opto por Idade Média",SEM!AW130,IF('DEFINA!!!'!$L$6="Opto pelo Valor aplicado ao  Ano de cada Carro",SEM!AX130,0))),IF('DEFINA!!!'!$L$6="D-E-F-I-N-A !!!!!!!",0,IF('DEFINA!!!'!$L$6="Opto por Idade Média",SEM!AU130,IF('DEFINA!!!'!$L$6="Opto pelo Valor aplicado ao  Ano de cada Carro",SEM!AV130,0)))))))</f>
        <v/>
      </c>
      <c r="AL130" s="6"/>
      <c r="AM130" s="79" t="str">
        <f t="shared" si="30"/>
        <v/>
      </c>
      <c r="AN130" s="12"/>
      <c r="AO130" s="12"/>
      <c r="AP130" s="14"/>
      <c r="AQ130" s="16"/>
      <c r="AR130" s="15"/>
      <c r="AU130" s="198" t="str">
        <f>IF(C130="","",VLOOKUP(FROTA!$AB$2,RECEBÍVEIS!$AA$11:$AB$43,2,0))</f>
        <v/>
      </c>
      <c r="AV130" s="198" t="str">
        <f>IF(C130="","",IF(C130=FROTA!Z130="","",VLOOKUP(FROTA!Z130,RECEBÍVEIS!$AA$11:$AB$43,2,0)))</f>
        <v/>
      </c>
      <c r="AW130" s="198" t="str">
        <f>IF(C130="","",VLOOKUP(FROTA!$AB$2,RECEBÍVEIS!$AA$11:$AC$43,3,0))</f>
        <v/>
      </c>
      <c r="AX130" s="198" t="str">
        <f>IF(C130="","",IF(C130=FROTA!Z130="","",VLOOKUP(FROTA!Z130,RECEBÍVEIS!$AA$11:$AC$43,3,0)))</f>
        <v/>
      </c>
    </row>
    <row r="131" spans="2:50" ht="17.25" customHeight="1" x14ac:dyDescent="0.2">
      <c r="B131" s="6"/>
      <c r="C131" s="49" t="str">
        <f>IF(FROTA!B131="","",FROTA!B131)</f>
        <v/>
      </c>
      <c r="D131" s="220" t="str">
        <f>IF(C131="","",VLOOKUP(SEM!C131,FROTA!$B$5:$C$305,2,0))</f>
        <v/>
      </c>
      <c r="E131" s="24" t="str">
        <f>IF(C131="","",VLOOKUP(C131,FROTA!$B$5:$H$305,7,0))</f>
        <v/>
      </c>
      <c r="F131" s="38" t="str">
        <f t="shared" si="20"/>
        <v/>
      </c>
      <c r="G131" s="71" t="str">
        <f t="shared" si="31"/>
        <v/>
      </c>
      <c r="H131" s="32" t="str">
        <f t="shared" si="21"/>
        <v/>
      </c>
      <c r="I131" s="73" t="str">
        <f t="shared" si="21"/>
        <v/>
      </c>
      <c r="J131" s="73" t="str">
        <f t="shared" si="21"/>
        <v/>
      </c>
      <c r="K131" s="73" t="str">
        <f t="shared" si="35"/>
        <v/>
      </c>
      <c r="L131" s="73" t="str">
        <f t="shared" si="35"/>
        <v/>
      </c>
      <c r="M131" s="73" t="str">
        <f t="shared" si="35"/>
        <v/>
      </c>
      <c r="N131" s="73" t="str">
        <f t="shared" si="35"/>
        <v/>
      </c>
      <c r="O131" s="73" t="str">
        <f t="shared" si="35"/>
        <v/>
      </c>
      <c r="P131" s="73" t="str">
        <f t="shared" si="35"/>
        <v/>
      </c>
      <c r="Q131" s="73" t="str">
        <f t="shared" si="34"/>
        <v/>
      </c>
      <c r="R131" s="73" t="str">
        <f t="shared" si="33"/>
        <v/>
      </c>
      <c r="S131" s="73" t="str">
        <f t="shared" si="33"/>
        <v/>
      </c>
      <c r="T131" s="73" t="str">
        <f t="shared" si="33"/>
        <v/>
      </c>
      <c r="U131" s="73" t="str">
        <f t="shared" si="33"/>
        <v/>
      </c>
      <c r="V131" s="73" t="str">
        <f t="shared" si="33"/>
        <v/>
      </c>
      <c r="W131" s="73" t="str">
        <f t="shared" si="33"/>
        <v/>
      </c>
      <c r="X131" s="73" t="str">
        <f t="shared" si="33"/>
        <v/>
      </c>
      <c r="Y131" s="73" t="str">
        <f t="shared" si="33"/>
        <v/>
      </c>
      <c r="Z131" s="73" t="str">
        <f t="shared" si="33"/>
        <v/>
      </c>
      <c r="AA131" s="73" t="str">
        <f t="shared" si="33"/>
        <v/>
      </c>
      <c r="AB131" s="74" t="str">
        <f t="shared" si="33"/>
        <v/>
      </c>
      <c r="AC131" s="35" t="str">
        <f t="shared" si="22"/>
        <v/>
      </c>
      <c r="AD131" s="40" t="str">
        <f t="shared" si="23"/>
        <v/>
      </c>
      <c r="AE131" s="37" t="str">
        <f t="shared" si="24"/>
        <v/>
      </c>
      <c r="AF131" s="40" t="str">
        <f t="shared" si="25"/>
        <v/>
      </c>
      <c r="AG131" s="37" t="str">
        <f t="shared" si="26"/>
        <v/>
      </c>
      <c r="AH131" s="40" t="str">
        <f t="shared" si="27"/>
        <v/>
      </c>
      <c r="AI131" s="37" t="str">
        <f t="shared" si="28"/>
        <v/>
      </c>
      <c r="AJ131" s="40" t="str">
        <f t="shared" si="29"/>
        <v/>
      </c>
      <c r="AK131" s="204" t="str">
        <f>IF(C131="","",IF(E131=FROTA!$AT$18,IF('DEFINA!!!'!$L$6="D-E-F-I-N-A !!!!!!!",0,IF('DEFINA!!!'!$L$6="Opto por Idade Média",SEM!AW131,IF('DEFINA!!!'!$L$6="Opto pelo Valor aplicado ao  Ano de cada Carro",SEM!AX131,0))),IF(E131=FROTA!$AT$17,IF('DEFINA!!!'!$L$6="D-E-F-I-N-A !!!!!!!",0,IF('DEFINA!!!'!$L$6="Opto por Idade Média",SEM!AW131,IF('DEFINA!!!'!$L$6="Opto pelo Valor aplicado ao  Ano de cada Carro",SEM!AX131,0))),IF(E131=FROTA!$AT$16,IF('DEFINA!!!'!$L$6="D-E-F-I-N-A !!!!!!!",0,IF('DEFINA!!!'!$L$6="Opto por Idade Média",SEM!AW131,IF('DEFINA!!!'!$L$6="Opto pelo Valor aplicado ao  Ano de cada Carro",SEM!AX131,0))),IF('DEFINA!!!'!$L$6="D-E-F-I-N-A !!!!!!!",0,IF('DEFINA!!!'!$L$6="Opto por Idade Média",SEM!AU131,IF('DEFINA!!!'!$L$6="Opto pelo Valor aplicado ao  Ano de cada Carro",SEM!AV131,0)))))))</f>
        <v/>
      </c>
      <c r="AL131" s="6"/>
      <c r="AM131" s="79" t="str">
        <f t="shared" si="30"/>
        <v/>
      </c>
      <c r="AN131" s="12"/>
      <c r="AO131" s="12"/>
      <c r="AP131" s="14"/>
      <c r="AQ131" s="16"/>
      <c r="AR131" s="15"/>
      <c r="AU131" s="198" t="str">
        <f>IF(C131="","",VLOOKUP(FROTA!$AB$2,RECEBÍVEIS!$AA$11:$AB$43,2,0))</f>
        <v/>
      </c>
      <c r="AV131" s="198" t="str">
        <f>IF(C131="","",IF(C131=FROTA!Z131="","",VLOOKUP(FROTA!Z131,RECEBÍVEIS!$AA$11:$AB$43,2,0)))</f>
        <v/>
      </c>
      <c r="AW131" s="198" t="str">
        <f>IF(C131="","",VLOOKUP(FROTA!$AB$2,RECEBÍVEIS!$AA$11:$AC$43,3,0))</f>
        <v/>
      </c>
      <c r="AX131" s="198" t="str">
        <f>IF(C131="","",IF(C131=FROTA!Z131="","",VLOOKUP(FROTA!Z131,RECEBÍVEIS!$AA$11:$AC$43,3,0)))</f>
        <v/>
      </c>
    </row>
    <row r="132" spans="2:50" ht="17.25" customHeight="1" x14ac:dyDescent="0.2">
      <c r="B132" s="6"/>
      <c r="C132" s="49" t="str">
        <f>IF(FROTA!B132="","",FROTA!B132)</f>
        <v/>
      </c>
      <c r="D132" s="220" t="str">
        <f>IF(C132="","",VLOOKUP(SEM!C132,FROTA!$B$5:$C$305,2,0))</f>
        <v/>
      </c>
      <c r="E132" s="24" t="str">
        <f>IF(C132="","",VLOOKUP(C132,FROTA!$B$5:$H$305,7,0))</f>
        <v/>
      </c>
      <c r="F132" s="38" t="str">
        <f t="shared" si="20"/>
        <v/>
      </c>
      <c r="G132" s="71" t="str">
        <f t="shared" si="31"/>
        <v/>
      </c>
      <c r="H132" s="32" t="str">
        <f t="shared" si="21"/>
        <v/>
      </c>
      <c r="I132" s="73" t="str">
        <f t="shared" si="21"/>
        <v/>
      </c>
      <c r="J132" s="73" t="str">
        <f t="shared" si="21"/>
        <v/>
      </c>
      <c r="K132" s="73" t="str">
        <f t="shared" si="35"/>
        <v/>
      </c>
      <c r="L132" s="73" t="str">
        <f t="shared" si="35"/>
        <v/>
      </c>
      <c r="M132" s="73" t="str">
        <f t="shared" si="35"/>
        <v/>
      </c>
      <c r="N132" s="73" t="str">
        <f t="shared" si="35"/>
        <v/>
      </c>
      <c r="O132" s="73" t="str">
        <f t="shared" si="35"/>
        <v/>
      </c>
      <c r="P132" s="73" t="str">
        <f t="shared" si="35"/>
        <v/>
      </c>
      <c r="Q132" s="73" t="str">
        <f t="shared" si="34"/>
        <v/>
      </c>
      <c r="R132" s="73" t="str">
        <f t="shared" si="33"/>
        <v/>
      </c>
      <c r="S132" s="73" t="str">
        <f t="shared" si="33"/>
        <v/>
      </c>
      <c r="T132" s="73" t="str">
        <f t="shared" si="33"/>
        <v/>
      </c>
      <c r="U132" s="73" t="str">
        <f t="shared" si="33"/>
        <v/>
      </c>
      <c r="V132" s="73" t="str">
        <f t="shared" si="33"/>
        <v/>
      </c>
      <c r="W132" s="73" t="str">
        <f t="shared" si="33"/>
        <v/>
      </c>
      <c r="X132" s="73" t="str">
        <f t="shared" si="33"/>
        <v/>
      </c>
      <c r="Y132" s="73" t="str">
        <f t="shared" si="33"/>
        <v/>
      </c>
      <c r="Z132" s="73" t="str">
        <f t="shared" si="33"/>
        <v/>
      </c>
      <c r="AA132" s="73" t="str">
        <f t="shared" si="33"/>
        <v/>
      </c>
      <c r="AB132" s="74" t="str">
        <f t="shared" si="33"/>
        <v/>
      </c>
      <c r="AC132" s="35" t="str">
        <f t="shared" si="22"/>
        <v/>
      </c>
      <c r="AD132" s="40" t="str">
        <f t="shared" si="23"/>
        <v/>
      </c>
      <c r="AE132" s="37" t="str">
        <f t="shared" si="24"/>
        <v/>
      </c>
      <c r="AF132" s="40" t="str">
        <f t="shared" si="25"/>
        <v/>
      </c>
      <c r="AG132" s="37" t="str">
        <f t="shared" si="26"/>
        <v/>
      </c>
      <c r="AH132" s="40" t="str">
        <f t="shared" si="27"/>
        <v/>
      </c>
      <c r="AI132" s="37" t="str">
        <f t="shared" si="28"/>
        <v/>
      </c>
      <c r="AJ132" s="40" t="str">
        <f t="shared" si="29"/>
        <v/>
      </c>
      <c r="AK132" s="204" t="str">
        <f>IF(C132="","",IF(E132=FROTA!$AT$18,IF('DEFINA!!!'!$L$6="D-E-F-I-N-A !!!!!!!",0,IF('DEFINA!!!'!$L$6="Opto por Idade Média",SEM!AW132,IF('DEFINA!!!'!$L$6="Opto pelo Valor aplicado ao  Ano de cada Carro",SEM!AX132,0))),IF(E132=FROTA!$AT$17,IF('DEFINA!!!'!$L$6="D-E-F-I-N-A !!!!!!!",0,IF('DEFINA!!!'!$L$6="Opto por Idade Média",SEM!AW132,IF('DEFINA!!!'!$L$6="Opto pelo Valor aplicado ao  Ano de cada Carro",SEM!AX132,0))),IF(E132=FROTA!$AT$16,IF('DEFINA!!!'!$L$6="D-E-F-I-N-A !!!!!!!",0,IF('DEFINA!!!'!$L$6="Opto por Idade Média",SEM!AW132,IF('DEFINA!!!'!$L$6="Opto pelo Valor aplicado ao  Ano de cada Carro",SEM!AX132,0))),IF('DEFINA!!!'!$L$6="D-E-F-I-N-A !!!!!!!",0,IF('DEFINA!!!'!$L$6="Opto por Idade Média",SEM!AU132,IF('DEFINA!!!'!$L$6="Opto pelo Valor aplicado ao  Ano de cada Carro",SEM!AV132,0)))))))</f>
        <v/>
      </c>
      <c r="AL132" s="6"/>
      <c r="AM132" s="79" t="str">
        <f t="shared" si="30"/>
        <v/>
      </c>
      <c r="AN132" s="12"/>
      <c r="AO132" s="12"/>
      <c r="AP132" s="14"/>
      <c r="AQ132" s="16"/>
      <c r="AR132" s="15"/>
      <c r="AU132" s="198" t="str">
        <f>IF(C132="","",VLOOKUP(FROTA!$AB$2,RECEBÍVEIS!$AA$11:$AB$43,2,0))</f>
        <v/>
      </c>
      <c r="AV132" s="198" t="str">
        <f>IF(C132="","",IF(C132=FROTA!Z132="","",VLOOKUP(FROTA!Z132,RECEBÍVEIS!$AA$11:$AB$43,2,0)))</f>
        <v/>
      </c>
      <c r="AW132" s="198" t="str">
        <f>IF(C132="","",VLOOKUP(FROTA!$AB$2,RECEBÍVEIS!$AA$11:$AC$43,3,0))</f>
        <v/>
      </c>
      <c r="AX132" s="198" t="str">
        <f>IF(C132="","",IF(C132=FROTA!Z132="","",VLOOKUP(FROTA!Z132,RECEBÍVEIS!$AA$11:$AC$43,3,0)))</f>
        <v/>
      </c>
    </row>
    <row r="133" spans="2:50" ht="17.25" customHeight="1" x14ac:dyDescent="0.2">
      <c r="B133" s="6"/>
      <c r="C133" s="49" t="str">
        <f>IF(FROTA!B133="","",FROTA!B133)</f>
        <v/>
      </c>
      <c r="D133" s="220" t="str">
        <f>IF(C133="","",VLOOKUP(SEM!C133,FROTA!$B$5:$C$305,2,0))</f>
        <v/>
      </c>
      <c r="E133" s="24" t="str">
        <f>IF(C133="","",VLOOKUP(C133,FROTA!$B$5:$H$305,7,0))</f>
        <v/>
      </c>
      <c r="F133" s="38" t="str">
        <f t="shared" si="20"/>
        <v/>
      </c>
      <c r="G133" s="71" t="str">
        <f t="shared" si="31"/>
        <v/>
      </c>
      <c r="H133" s="32" t="str">
        <f t="shared" si="21"/>
        <v/>
      </c>
      <c r="I133" s="73" t="str">
        <f t="shared" si="21"/>
        <v/>
      </c>
      <c r="J133" s="73" t="str">
        <f t="shared" si="21"/>
        <v/>
      </c>
      <c r="K133" s="73" t="str">
        <f t="shared" si="35"/>
        <v/>
      </c>
      <c r="L133" s="73" t="str">
        <f t="shared" si="35"/>
        <v/>
      </c>
      <c r="M133" s="73" t="str">
        <f t="shared" si="35"/>
        <v/>
      </c>
      <c r="N133" s="73" t="str">
        <f t="shared" si="35"/>
        <v/>
      </c>
      <c r="O133" s="73" t="str">
        <f t="shared" si="35"/>
        <v/>
      </c>
      <c r="P133" s="73" t="str">
        <f t="shared" si="35"/>
        <v/>
      </c>
      <c r="Q133" s="73" t="str">
        <f t="shared" si="34"/>
        <v/>
      </c>
      <c r="R133" s="73" t="str">
        <f t="shared" si="33"/>
        <v/>
      </c>
      <c r="S133" s="73" t="str">
        <f t="shared" si="33"/>
        <v/>
      </c>
      <c r="T133" s="73" t="str">
        <f t="shared" si="33"/>
        <v/>
      </c>
      <c r="U133" s="73" t="str">
        <f t="shared" si="33"/>
        <v/>
      </c>
      <c r="V133" s="73" t="str">
        <f t="shared" si="33"/>
        <v/>
      </c>
      <c r="W133" s="73" t="str">
        <f t="shared" si="33"/>
        <v/>
      </c>
      <c r="X133" s="73" t="str">
        <f t="shared" si="33"/>
        <v/>
      </c>
      <c r="Y133" s="73" t="str">
        <f t="shared" si="33"/>
        <v/>
      </c>
      <c r="Z133" s="73" t="str">
        <f t="shared" si="33"/>
        <v/>
      </c>
      <c r="AA133" s="73" t="str">
        <f t="shared" si="33"/>
        <v/>
      </c>
      <c r="AB133" s="74" t="str">
        <f t="shared" si="33"/>
        <v/>
      </c>
      <c r="AC133" s="35" t="str">
        <f t="shared" si="22"/>
        <v/>
      </c>
      <c r="AD133" s="40" t="str">
        <f t="shared" si="23"/>
        <v/>
      </c>
      <c r="AE133" s="37" t="str">
        <f t="shared" si="24"/>
        <v/>
      </c>
      <c r="AF133" s="40" t="str">
        <f t="shared" si="25"/>
        <v/>
      </c>
      <c r="AG133" s="37" t="str">
        <f t="shared" si="26"/>
        <v/>
      </c>
      <c r="AH133" s="40" t="str">
        <f t="shared" si="27"/>
        <v/>
      </c>
      <c r="AI133" s="37" t="str">
        <f t="shared" si="28"/>
        <v/>
      </c>
      <c r="AJ133" s="40" t="str">
        <f t="shared" si="29"/>
        <v/>
      </c>
      <c r="AK133" s="204" t="str">
        <f>IF(C133="","",IF(E133=FROTA!$AT$18,IF('DEFINA!!!'!$L$6="D-E-F-I-N-A !!!!!!!",0,IF('DEFINA!!!'!$L$6="Opto por Idade Média",SEM!AW133,IF('DEFINA!!!'!$L$6="Opto pelo Valor aplicado ao  Ano de cada Carro",SEM!AX133,0))),IF(E133=FROTA!$AT$17,IF('DEFINA!!!'!$L$6="D-E-F-I-N-A !!!!!!!",0,IF('DEFINA!!!'!$L$6="Opto por Idade Média",SEM!AW133,IF('DEFINA!!!'!$L$6="Opto pelo Valor aplicado ao  Ano de cada Carro",SEM!AX133,0))),IF(E133=FROTA!$AT$16,IF('DEFINA!!!'!$L$6="D-E-F-I-N-A !!!!!!!",0,IF('DEFINA!!!'!$L$6="Opto por Idade Média",SEM!AW133,IF('DEFINA!!!'!$L$6="Opto pelo Valor aplicado ao  Ano de cada Carro",SEM!AX133,0))),IF('DEFINA!!!'!$L$6="D-E-F-I-N-A !!!!!!!",0,IF('DEFINA!!!'!$L$6="Opto por Idade Média",SEM!AU133,IF('DEFINA!!!'!$L$6="Opto pelo Valor aplicado ao  Ano de cada Carro",SEM!AV133,0)))))))</f>
        <v/>
      </c>
      <c r="AL133" s="6"/>
      <c r="AM133" s="79" t="str">
        <f t="shared" si="30"/>
        <v/>
      </c>
      <c r="AN133" s="12"/>
      <c r="AO133" s="12"/>
      <c r="AP133" s="14"/>
      <c r="AQ133" s="16"/>
      <c r="AR133" s="15"/>
      <c r="AU133" s="198" t="str">
        <f>IF(C133="","",VLOOKUP(FROTA!$AB$2,RECEBÍVEIS!$AA$11:$AB$43,2,0))</f>
        <v/>
      </c>
      <c r="AV133" s="198" t="str">
        <f>IF(C133="","",IF(C133=FROTA!Z133="","",VLOOKUP(FROTA!Z133,RECEBÍVEIS!$AA$11:$AB$43,2,0)))</f>
        <v/>
      </c>
      <c r="AW133" s="198" t="str">
        <f>IF(C133="","",VLOOKUP(FROTA!$AB$2,RECEBÍVEIS!$AA$11:$AC$43,3,0))</f>
        <v/>
      </c>
      <c r="AX133" s="198" t="str">
        <f>IF(C133="","",IF(C133=FROTA!Z133="","",VLOOKUP(FROTA!Z133,RECEBÍVEIS!$AA$11:$AC$43,3,0)))</f>
        <v/>
      </c>
    </row>
    <row r="134" spans="2:50" ht="17.25" customHeight="1" x14ac:dyDescent="0.2">
      <c r="B134" s="6"/>
      <c r="C134" s="49" t="str">
        <f>IF(FROTA!B134="","",FROTA!B134)</f>
        <v/>
      </c>
      <c r="D134" s="220" t="str">
        <f>IF(C134="","",VLOOKUP(SEM!C134,FROTA!$B$5:$C$305,2,0))</f>
        <v/>
      </c>
      <c r="E134" s="24" t="str">
        <f>IF(C134="","",VLOOKUP(C134,FROTA!$B$5:$H$305,7,0))</f>
        <v/>
      </c>
      <c r="F134" s="38" t="str">
        <f t="shared" si="20"/>
        <v/>
      </c>
      <c r="G134" s="71" t="str">
        <f t="shared" si="31"/>
        <v/>
      </c>
      <c r="H134" s="32" t="str">
        <f t="shared" si="21"/>
        <v/>
      </c>
      <c r="I134" s="73" t="str">
        <f t="shared" si="21"/>
        <v/>
      </c>
      <c r="J134" s="73" t="str">
        <f t="shared" si="21"/>
        <v/>
      </c>
      <c r="K134" s="73" t="str">
        <f t="shared" si="35"/>
        <v/>
      </c>
      <c r="L134" s="73" t="str">
        <f t="shared" si="35"/>
        <v/>
      </c>
      <c r="M134" s="73" t="str">
        <f t="shared" si="35"/>
        <v/>
      </c>
      <c r="N134" s="73" t="str">
        <f t="shared" si="35"/>
        <v/>
      </c>
      <c r="O134" s="73" t="str">
        <f t="shared" si="35"/>
        <v/>
      </c>
      <c r="P134" s="73" t="str">
        <f t="shared" si="35"/>
        <v/>
      </c>
      <c r="Q134" s="73" t="str">
        <f t="shared" si="34"/>
        <v/>
      </c>
      <c r="R134" s="73" t="str">
        <f t="shared" si="33"/>
        <v/>
      </c>
      <c r="S134" s="73" t="str">
        <f t="shared" si="33"/>
        <v/>
      </c>
      <c r="T134" s="73" t="str">
        <f t="shared" si="33"/>
        <v/>
      </c>
      <c r="U134" s="73" t="str">
        <f t="shared" si="33"/>
        <v/>
      </c>
      <c r="V134" s="73" t="str">
        <f t="shared" si="33"/>
        <v/>
      </c>
      <c r="W134" s="73" t="str">
        <f t="shared" si="33"/>
        <v/>
      </c>
      <c r="X134" s="73" t="str">
        <f t="shared" si="33"/>
        <v/>
      </c>
      <c r="Y134" s="73" t="str">
        <f t="shared" si="33"/>
        <v/>
      </c>
      <c r="Z134" s="73" t="str">
        <f t="shared" si="33"/>
        <v/>
      </c>
      <c r="AA134" s="73" t="str">
        <f t="shared" si="33"/>
        <v/>
      </c>
      <c r="AB134" s="74" t="str">
        <f t="shared" si="33"/>
        <v/>
      </c>
      <c r="AC134" s="35" t="str">
        <f t="shared" si="22"/>
        <v/>
      </c>
      <c r="AD134" s="40" t="str">
        <f t="shared" si="23"/>
        <v/>
      </c>
      <c r="AE134" s="37" t="str">
        <f t="shared" si="24"/>
        <v/>
      </c>
      <c r="AF134" s="40" t="str">
        <f t="shared" si="25"/>
        <v/>
      </c>
      <c r="AG134" s="37" t="str">
        <f t="shared" si="26"/>
        <v/>
      </c>
      <c r="AH134" s="40" t="str">
        <f t="shared" si="27"/>
        <v/>
      </c>
      <c r="AI134" s="37" t="str">
        <f t="shared" si="28"/>
        <v/>
      </c>
      <c r="AJ134" s="40" t="str">
        <f t="shared" si="29"/>
        <v/>
      </c>
      <c r="AK134" s="204" t="str">
        <f>IF(C134="","",IF(E134=FROTA!$AT$18,IF('DEFINA!!!'!$L$6="D-E-F-I-N-A !!!!!!!",0,IF('DEFINA!!!'!$L$6="Opto por Idade Média",SEM!AW134,IF('DEFINA!!!'!$L$6="Opto pelo Valor aplicado ao  Ano de cada Carro",SEM!AX134,0))),IF(E134=FROTA!$AT$17,IF('DEFINA!!!'!$L$6="D-E-F-I-N-A !!!!!!!",0,IF('DEFINA!!!'!$L$6="Opto por Idade Média",SEM!AW134,IF('DEFINA!!!'!$L$6="Opto pelo Valor aplicado ao  Ano de cada Carro",SEM!AX134,0))),IF(E134=FROTA!$AT$16,IF('DEFINA!!!'!$L$6="D-E-F-I-N-A !!!!!!!",0,IF('DEFINA!!!'!$L$6="Opto por Idade Média",SEM!AW134,IF('DEFINA!!!'!$L$6="Opto pelo Valor aplicado ao  Ano de cada Carro",SEM!AX134,0))),IF('DEFINA!!!'!$L$6="D-E-F-I-N-A !!!!!!!",0,IF('DEFINA!!!'!$L$6="Opto por Idade Média",SEM!AU134,IF('DEFINA!!!'!$L$6="Opto pelo Valor aplicado ao  Ano de cada Carro",SEM!AV134,0)))))))</f>
        <v/>
      </c>
      <c r="AL134" s="6"/>
      <c r="AM134" s="79" t="str">
        <f t="shared" si="30"/>
        <v/>
      </c>
      <c r="AN134" s="12"/>
      <c r="AO134" s="12"/>
      <c r="AP134" s="14"/>
      <c r="AQ134" s="16"/>
      <c r="AR134" s="15"/>
      <c r="AU134" s="198" t="str">
        <f>IF(C134="","",VLOOKUP(FROTA!$AB$2,RECEBÍVEIS!$AA$11:$AB$43,2,0))</f>
        <v/>
      </c>
      <c r="AV134" s="198" t="str">
        <f>IF(C134="","",IF(C134=FROTA!Z134="","",VLOOKUP(FROTA!Z134,RECEBÍVEIS!$AA$11:$AB$43,2,0)))</f>
        <v/>
      </c>
      <c r="AW134" s="198" t="str">
        <f>IF(C134="","",VLOOKUP(FROTA!$AB$2,RECEBÍVEIS!$AA$11:$AC$43,3,0))</f>
        <v/>
      </c>
      <c r="AX134" s="198" t="str">
        <f>IF(C134="","",IF(C134=FROTA!Z134="","",VLOOKUP(FROTA!Z134,RECEBÍVEIS!$AA$11:$AC$43,3,0)))</f>
        <v/>
      </c>
    </row>
    <row r="135" spans="2:50" ht="17.25" customHeight="1" x14ac:dyDescent="0.2">
      <c r="B135" s="6"/>
      <c r="C135" s="49" t="str">
        <f>IF(FROTA!B135="","",FROTA!B135)</f>
        <v/>
      </c>
      <c r="D135" s="220" t="str">
        <f>IF(C135="","",VLOOKUP(SEM!C135,FROTA!$B$5:$C$305,2,0))</f>
        <v/>
      </c>
      <c r="E135" s="24" t="str">
        <f>IF(C135="","",VLOOKUP(C135,FROTA!$B$5:$H$305,7,0))</f>
        <v/>
      </c>
      <c r="F135" s="38" t="str">
        <f t="shared" ref="F135:F198" si="36">IF(E135="","",VLOOKUP(E135,$AP$5:$AQ$18,2,0))</f>
        <v/>
      </c>
      <c r="G135" s="71" t="str">
        <f t="shared" si="31"/>
        <v/>
      </c>
      <c r="H135" s="32" t="str">
        <f t="shared" ref="H135:J166" si="37">IF($C135="","",IF(SUM(H$307*$G135)&gt;$F135,$F135,SUM(H$307*$G135)))</f>
        <v/>
      </c>
      <c r="I135" s="73" t="str">
        <f t="shared" si="37"/>
        <v/>
      </c>
      <c r="J135" s="73" t="str">
        <f t="shared" si="37"/>
        <v/>
      </c>
      <c r="K135" s="73" t="str">
        <f t="shared" si="35"/>
        <v/>
      </c>
      <c r="L135" s="73" t="str">
        <f t="shared" si="35"/>
        <v/>
      </c>
      <c r="M135" s="73" t="str">
        <f t="shared" si="35"/>
        <v/>
      </c>
      <c r="N135" s="73" t="str">
        <f t="shared" si="35"/>
        <v/>
      </c>
      <c r="O135" s="73" t="str">
        <f t="shared" si="35"/>
        <v/>
      </c>
      <c r="P135" s="73" t="str">
        <f t="shared" si="35"/>
        <v/>
      </c>
      <c r="Q135" s="73" t="str">
        <f t="shared" si="34"/>
        <v/>
      </c>
      <c r="R135" s="73" t="str">
        <f t="shared" si="33"/>
        <v/>
      </c>
      <c r="S135" s="73" t="str">
        <f t="shared" si="33"/>
        <v/>
      </c>
      <c r="T135" s="73" t="str">
        <f t="shared" si="33"/>
        <v/>
      </c>
      <c r="U135" s="73" t="str">
        <f t="shared" si="33"/>
        <v/>
      </c>
      <c r="V135" s="73" t="str">
        <f t="shared" si="33"/>
        <v/>
      </c>
      <c r="W135" s="73" t="str">
        <f t="shared" si="33"/>
        <v/>
      </c>
      <c r="X135" s="73" t="str">
        <f t="shared" si="33"/>
        <v/>
      </c>
      <c r="Y135" s="73" t="str">
        <f t="shared" si="33"/>
        <v/>
      </c>
      <c r="Z135" s="73" t="str">
        <f t="shared" si="33"/>
        <v/>
      </c>
      <c r="AA135" s="73" t="str">
        <f t="shared" si="33"/>
        <v/>
      </c>
      <c r="AB135" s="74" t="str">
        <f t="shared" si="33"/>
        <v/>
      </c>
      <c r="AC135" s="35" t="str">
        <f t="shared" ref="AC135:AC198" si="38">IF(C135="","",SUM(H135:AB135)*AK135)</f>
        <v/>
      </c>
      <c r="AD135" s="40" t="str">
        <f t="shared" ref="AD135:AD198" si="39">IF(C135="","",SUM(H135:AB135))</f>
        <v/>
      </c>
      <c r="AE135" s="37" t="str">
        <f t="shared" ref="AE135:AE198" si="40">IF(C135="","",SUM(H135:R135)*AK135)</f>
        <v/>
      </c>
      <c r="AF135" s="40" t="str">
        <f t="shared" ref="AF135:AF198" si="41">IF(C135="","",SUM(H135:Q135))</f>
        <v/>
      </c>
      <c r="AG135" s="37" t="str">
        <f t="shared" ref="AG135:AG198" si="42">IF(C135="","",SUM(R135:AB135)*AK135)</f>
        <v/>
      </c>
      <c r="AH135" s="40" t="str">
        <f t="shared" ref="AH135:AH198" si="43">IF(C135="","",SUM(R135:AB135))</f>
        <v/>
      </c>
      <c r="AI135" s="37" t="str">
        <f t="shared" ref="AI135:AI198" si="44">IF(C135="","",SUM(J135:M135,T135:W135)*AK135)</f>
        <v/>
      </c>
      <c r="AJ135" s="40" t="str">
        <f t="shared" ref="AJ135:AJ198" si="45">IF(C135="","",SUM(J135:M135,T135:W135))</f>
        <v/>
      </c>
      <c r="AK135" s="204" t="str">
        <f>IF(C135="","",IF(E135=FROTA!$AT$18,IF('DEFINA!!!'!$L$6="D-E-F-I-N-A !!!!!!!",0,IF('DEFINA!!!'!$L$6="Opto por Idade Média",SEM!AW135,IF('DEFINA!!!'!$L$6="Opto pelo Valor aplicado ao  Ano de cada Carro",SEM!AX135,0))),IF(E135=FROTA!$AT$17,IF('DEFINA!!!'!$L$6="D-E-F-I-N-A !!!!!!!",0,IF('DEFINA!!!'!$L$6="Opto por Idade Média",SEM!AW135,IF('DEFINA!!!'!$L$6="Opto pelo Valor aplicado ao  Ano de cada Carro",SEM!AX135,0))),IF(E135=FROTA!$AT$16,IF('DEFINA!!!'!$L$6="D-E-F-I-N-A !!!!!!!",0,IF('DEFINA!!!'!$L$6="Opto por Idade Média",SEM!AW135,IF('DEFINA!!!'!$L$6="Opto pelo Valor aplicado ao  Ano de cada Carro",SEM!AX135,0))),IF('DEFINA!!!'!$L$6="D-E-F-I-N-A !!!!!!!",0,IF('DEFINA!!!'!$L$6="Opto por Idade Média",SEM!AU135,IF('DEFINA!!!'!$L$6="Opto pelo Valor aplicado ao  Ano de cada Carro",SEM!AV135,0)))))))</f>
        <v/>
      </c>
      <c r="AL135" s="6"/>
      <c r="AM135" s="79" t="str">
        <f t="shared" ref="AM135:AM198" si="46">IF(C135="","",SUM(H135:AB135))</f>
        <v/>
      </c>
      <c r="AN135" s="12"/>
      <c r="AO135" s="12"/>
      <c r="AP135" s="14"/>
      <c r="AQ135" s="16"/>
      <c r="AR135" s="15"/>
      <c r="AU135" s="198" t="str">
        <f>IF(C135="","",VLOOKUP(FROTA!$AB$2,RECEBÍVEIS!$AA$11:$AB$43,2,0))</f>
        <v/>
      </c>
      <c r="AV135" s="198" t="str">
        <f>IF(C135="","",IF(C135=FROTA!Z135="","",VLOOKUP(FROTA!Z135,RECEBÍVEIS!$AA$11:$AB$43,2,0)))</f>
        <v/>
      </c>
      <c r="AW135" s="198" t="str">
        <f>IF(C135="","",VLOOKUP(FROTA!$AB$2,RECEBÍVEIS!$AA$11:$AC$43,3,0))</f>
        <v/>
      </c>
      <c r="AX135" s="198" t="str">
        <f>IF(C135="","",IF(C135=FROTA!Z135="","",VLOOKUP(FROTA!Z135,RECEBÍVEIS!$AA$11:$AC$43,3,0)))</f>
        <v/>
      </c>
    </row>
    <row r="136" spans="2:50" ht="17.25" customHeight="1" x14ac:dyDescent="0.2">
      <c r="B136" s="6"/>
      <c r="C136" s="49" t="str">
        <f>IF(FROTA!B136="","",FROTA!B136)</f>
        <v/>
      </c>
      <c r="D136" s="220" t="str">
        <f>IF(C136="","",VLOOKUP(SEM!C136,FROTA!$B$5:$C$305,2,0))</f>
        <v/>
      </c>
      <c r="E136" s="24" t="str">
        <f>IF(C136="","",VLOOKUP(C136,FROTA!$B$5:$H$305,7,0))</f>
        <v/>
      </c>
      <c r="F136" s="38" t="str">
        <f t="shared" si="36"/>
        <v/>
      </c>
      <c r="G136" s="71" t="str">
        <f t="shared" si="31"/>
        <v/>
      </c>
      <c r="H136" s="32" t="str">
        <f t="shared" si="37"/>
        <v/>
      </c>
      <c r="I136" s="73" t="str">
        <f t="shared" si="37"/>
        <v/>
      </c>
      <c r="J136" s="73" t="str">
        <f t="shared" si="37"/>
        <v/>
      </c>
      <c r="K136" s="73" t="str">
        <f t="shared" si="35"/>
        <v/>
      </c>
      <c r="L136" s="73" t="str">
        <f t="shared" si="35"/>
        <v/>
      </c>
      <c r="M136" s="73" t="str">
        <f t="shared" si="35"/>
        <v/>
      </c>
      <c r="N136" s="73" t="str">
        <f t="shared" si="35"/>
        <v/>
      </c>
      <c r="O136" s="73" t="str">
        <f t="shared" si="35"/>
        <v/>
      </c>
      <c r="P136" s="73" t="str">
        <f t="shared" si="35"/>
        <v/>
      </c>
      <c r="Q136" s="73" t="str">
        <f t="shared" si="34"/>
        <v/>
      </c>
      <c r="R136" s="73" t="str">
        <f t="shared" si="33"/>
        <v/>
      </c>
      <c r="S136" s="73" t="str">
        <f t="shared" si="33"/>
        <v/>
      </c>
      <c r="T136" s="73" t="str">
        <f t="shared" si="33"/>
        <v/>
      </c>
      <c r="U136" s="73" t="str">
        <f t="shared" si="33"/>
        <v/>
      </c>
      <c r="V136" s="73" t="str">
        <f t="shared" si="33"/>
        <v/>
      </c>
      <c r="W136" s="73" t="str">
        <f t="shared" si="33"/>
        <v/>
      </c>
      <c r="X136" s="73" t="str">
        <f t="shared" si="33"/>
        <v/>
      </c>
      <c r="Y136" s="73" t="str">
        <f t="shared" si="33"/>
        <v/>
      </c>
      <c r="Z136" s="73" t="str">
        <f t="shared" si="33"/>
        <v/>
      </c>
      <c r="AA136" s="73" t="str">
        <f t="shared" si="33"/>
        <v/>
      </c>
      <c r="AB136" s="74" t="str">
        <f t="shared" si="33"/>
        <v/>
      </c>
      <c r="AC136" s="35" t="str">
        <f t="shared" si="38"/>
        <v/>
      </c>
      <c r="AD136" s="40" t="str">
        <f t="shared" si="39"/>
        <v/>
      </c>
      <c r="AE136" s="37" t="str">
        <f t="shared" si="40"/>
        <v/>
      </c>
      <c r="AF136" s="40" t="str">
        <f t="shared" si="41"/>
        <v/>
      </c>
      <c r="AG136" s="37" t="str">
        <f t="shared" si="42"/>
        <v/>
      </c>
      <c r="AH136" s="40" t="str">
        <f t="shared" si="43"/>
        <v/>
      </c>
      <c r="AI136" s="37" t="str">
        <f t="shared" si="44"/>
        <v/>
      </c>
      <c r="AJ136" s="40" t="str">
        <f t="shared" si="45"/>
        <v/>
      </c>
      <c r="AK136" s="204" t="str">
        <f>IF(C136="","",IF(E136=FROTA!$AT$18,IF('DEFINA!!!'!$L$6="D-E-F-I-N-A !!!!!!!",0,IF('DEFINA!!!'!$L$6="Opto por Idade Média",SEM!AW136,IF('DEFINA!!!'!$L$6="Opto pelo Valor aplicado ao  Ano de cada Carro",SEM!AX136,0))),IF(E136=FROTA!$AT$17,IF('DEFINA!!!'!$L$6="D-E-F-I-N-A !!!!!!!",0,IF('DEFINA!!!'!$L$6="Opto por Idade Média",SEM!AW136,IF('DEFINA!!!'!$L$6="Opto pelo Valor aplicado ao  Ano de cada Carro",SEM!AX136,0))),IF(E136=FROTA!$AT$16,IF('DEFINA!!!'!$L$6="D-E-F-I-N-A !!!!!!!",0,IF('DEFINA!!!'!$L$6="Opto por Idade Média",SEM!AW136,IF('DEFINA!!!'!$L$6="Opto pelo Valor aplicado ao  Ano de cada Carro",SEM!AX136,0))),IF('DEFINA!!!'!$L$6="D-E-F-I-N-A !!!!!!!",0,IF('DEFINA!!!'!$L$6="Opto por Idade Média",SEM!AU136,IF('DEFINA!!!'!$L$6="Opto pelo Valor aplicado ao  Ano de cada Carro",SEM!AV136,0)))))))</f>
        <v/>
      </c>
      <c r="AL136" s="6"/>
      <c r="AM136" s="79" t="str">
        <f t="shared" si="46"/>
        <v/>
      </c>
      <c r="AN136" s="12"/>
      <c r="AO136" s="12"/>
      <c r="AP136" s="14"/>
      <c r="AQ136" s="16"/>
      <c r="AR136" s="15"/>
      <c r="AU136" s="198" t="str">
        <f>IF(C136="","",VLOOKUP(FROTA!$AB$2,RECEBÍVEIS!$AA$11:$AB$43,2,0))</f>
        <v/>
      </c>
      <c r="AV136" s="198" t="str">
        <f>IF(C136="","",IF(C136=FROTA!Z136="","",VLOOKUP(FROTA!Z136,RECEBÍVEIS!$AA$11:$AB$43,2,0)))</f>
        <v/>
      </c>
      <c r="AW136" s="198" t="str">
        <f>IF(C136="","",VLOOKUP(FROTA!$AB$2,RECEBÍVEIS!$AA$11:$AC$43,3,0))</f>
        <v/>
      </c>
      <c r="AX136" s="198" t="str">
        <f>IF(C136="","",IF(C136=FROTA!Z136="","",VLOOKUP(FROTA!Z136,RECEBÍVEIS!$AA$11:$AC$43,3,0)))</f>
        <v/>
      </c>
    </row>
    <row r="137" spans="2:50" ht="17.25" customHeight="1" x14ac:dyDescent="0.2">
      <c r="B137" s="6"/>
      <c r="C137" s="49" t="str">
        <f>IF(FROTA!B137="","",FROTA!B137)</f>
        <v/>
      </c>
      <c r="D137" s="220" t="str">
        <f>IF(C137="","",VLOOKUP(SEM!C137,FROTA!$B$5:$C$305,2,0))</f>
        <v/>
      </c>
      <c r="E137" s="24" t="str">
        <f>IF(C137="","",VLOOKUP(C137,FROTA!$B$5:$H$305,7,0))</f>
        <v/>
      </c>
      <c r="F137" s="38" t="str">
        <f t="shared" si="36"/>
        <v/>
      </c>
      <c r="G137" s="71" t="str">
        <f t="shared" ref="G137:G200" si="47">IF(C137="","",F137/$F$307)</f>
        <v/>
      </c>
      <c r="H137" s="32" t="str">
        <f t="shared" si="37"/>
        <v/>
      </c>
      <c r="I137" s="73" t="str">
        <f t="shared" si="37"/>
        <v/>
      </c>
      <c r="J137" s="73" t="str">
        <f t="shared" si="37"/>
        <v/>
      </c>
      <c r="K137" s="73" t="str">
        <f t="shared" si="35"/>
        <v/>
      </c>
      <c r="L137" s="73" t="str">
        <f t="shared" si="35"/>
        <v/>
      </c>
      <c r="M137" s="73" t="str">
        <f t="shared" si="35"/>
        <v/>
      </c>
      <c r="N137" s="73" t="str">
        <f t="shared" si="35"/>
        <v/>
      </c>
      <c r="O137" s="73" t="str">
        <f t="shared" si="35"/>
        <v/>
      </c>
      <c r="P137" s="73" t="str">
        <f t="shared" si="35"/>
        <v/>
      </c>
      <c r="Q137" s="73" t="str">
        <f t="shared" si="34"/>
        <v/>
      </c>
      <c r="R137" s="73" t="str">
        <f t="shared" si="33"/>
        <v/>
      </c>
      <c r="S137" s="73" t="str">
        <f t="shared" si="33"/>
        <v/>
      </c>
      <c r="T137" s="73" t="str">
        <f t="shared" si="33"/>
        <v/>
      </c>
      <c r="U137" s="73" t="str">
        <f t="shared" si="33"/>
        <v/>
      </c>
      <c r="V137" s="73" t="str">
        <f t="shared" si="33"/>
        <v/>
      </c>
      <c r="W137" s="73" t="str">
        <f t="shared" si="33"/>
        <v/>
      </c>
      <c r="X137" s="73" t="str">
        <f t="shared" si="33"/>
        <v/>
      </c>
      <c r="Y137" s="73" t="str">
        <f t="shared" si="33"/>
        <v/>
      </c>
      <c r="Z137" s="73" t="str">
        <f t="shared" si="33"/>
        <v/>
      </c>
      <c r="AA137" s="73" t="str">
        <f t="shared" si="33"/>
        <v/>
      </c>
      <c r="AB137" s="74" t="str">
        <f t="shared" ref="R137:AB161" si="48">IF($C137="","",IF(SUM(AB$307*$G137)&gt;$F137,$F137,SUM(AB$307*$G137)))</f>
        <v/>
      </c>
      <c r="AC137" s="35" t="str">
        <f t="shared" si="38"/>
        <v/>
      </c>
      <c r="AD137" s="40" t="str">
        <f t="shared" si="39"/>
        <v/>
      </c>
      <c r="AE137" s="37" t="str">
        <f t="shared" si="40"/>
        <v/>
      </c>
      <c r="AF137" s="40" t="str">
        <f t="shared" si="41"/>
        <v/>
      </c>
      <c r="AG137" s="37" t="str">
        <f t="shared" si="42"/>
        <v/>
      </c>
      <c r="AH137" s="40" t="str">
        <f t="shared" si="43"/>
        <v/>
      </c>
      <c r="AI137" s="37" t="str">
        <f t="shared" si="44"/>
        <v/>
      </c>
      <c r="AJ137" s="40" t="str">
        <f t="shared" si="45"/>
        <v/>
      </c>
      <c r="AK137" s="204" t="str">
        <f>IF(C137="","",IF(E137=FROTA!$AT$18,IF('DEFINA!!!'!$L$6="D-E-F-I-N-A !!!!!!!",0,IF('DEFINA!!!'!$L$6="Opto por Idade Média",SEM!AW137,IF('DEFINA!!!'!$L$6="Opto pelo Valor aplicado ao  Ano de cada Carro",SEM!AX137,0))),IF(E137=FROTA!$AT$17,IF('DEFINA!!!'!$L$6="D-E-F-I-N-A !!!!!!!",0,IF('DEFINA!!!'!$L$6="Opto por Idade Média",SEM!AW137,IF('DEFINA!!!'!$L$6="Opto pelo Valor aplicado ao  Ano de cada Carro",SEM!AX137,0))),IF(E137=FROTA!$AT$16,IF('DEFINA!!!'!$L$6="D-E-F-I-N-A !!!!!!!",0,IF('DEFINA!!!'!$L$6="Opto por Idade Média",SEM!AW137,IF('DEFINA!!!'!$L$6="Opto pelo Valor aplicado ao  Ano de cada Carro",SEM!AX137,0))),IF('DEFINA!!!'!$L$6="D-E-F-I-N-A !!!!!!!",0,IF('DEFINA!!!'!$L$6="Opto por Idade Média",SEM!AU137,IF('DEFINA!!!'!$L$6="Opto pelo Valor aplicado ao  Ano de cada Carro",SEM!AV137,0)))))))</f>
        <v/>
      </c>
      <c r="AL137" s="6"/>
      <c r="AM137" s="79" t="str">
        <f t="shared" si="46"/>
        <v/>
      </c>
      <c r="AN137" s="12"/>
      <c r="AO137" s="12"/>
      <c r="AP137" s="14"/>
      <c r="AQ137" s="16"/>
      <c r="AR137" s="15"/>
      <c r="AU137" s="198" t="str">
        <f>IF(C137="","",VLOOKUP(FROTA!$AB$2,RECEBÍVEIS!$AA$11:$AB$43,2,0))</f>
        <v/>
      </c>
      <c r="AV137" s="198" t="str">
        <f>IF(C137="","",IF(C137=FROTA!Z137="","",VLOOKUP(FROTA!Z137,RECEBÍVEIS!$AA$11:$AB$43,2,0)))</f>
        <v/>
      </c>
      <c r="AW137" s="198" t="str">
        <f>IF(C137="","",VLOOKUP(FROTA!$AB$2,RECEBÍVEIS!$AA$11:$AC$43,3,0))</f>
        <v/>
      </c>
      <c r="AX137" s="198" t="str">
        <f>IF(C137="","",IF(C137=FROTA!Z137="","",VLOOKUP(FROTA!Z137,RECEBÍVEIS!$AA$11:$AC$43,3,0)))</f>
        <v/>
      </c>
    </row>
    <row r="138" spans="2:50" ht="17.25" customHeight="1" x14ac:dyDescent="0.2">
      <c r="B138" s="6"/>
      <c r="C138" s="49" t="str">
        <f>IF(FROTA!B138="","",FROTA!B138)</f>
        <v/>
      </c>
      <c r="D138" s="220" t="str">
        <f>IF(C138="","",VLOOKUP(SEM!C138,FROTA!$B$5:$C$305,2,0))</f>
        <v/>
      </c>
      <c r="E138" s="24" t="str">
        <f>IF(C138="","",VLOOKUP(C138,FROTA!$B$5:$H$305,7,0))</f>
        <v/>
      </c>
      <c r="F138" s="38" t="str">
        <f t="shared" si="36"/>
        <v/>
      </c>
      <c r="G138" s="71" t="str">
        <f t="shared" si="47"/>
        <v/>
      </c>
      <c r="H138" s="32" t="str">
        <f t="shared" si="37"/>
        <v/>
      </c>
      <c r="I138" s="73" t="str">
        <f t="shared" si="37"/>
        <v/>
      </c>
      <c r="J138" s="73" t="str">
        <f t="shared" si="37"/>
        <v/>
      </c>
      <c r="K138" s="73" t="str">
        <f t="shared" si="35"/>
        <v/>
      </c>
      <c r="L138" s="73" t="str">
        <f t="shared" si="35"/>
        <v/>
      </c>
      <c r="M138" s="73" t="str">
        <f t="shared" si="35"/>
        <v/>
      </c>
      <c r="N138" s="73" t="str">
        <f t="shared" si="35"/>
        <v/>
      </c>
      <c r="O138" s="73" t="str">
        <f t="shared" si="35"/>
        <v/>
      </c>
      <c r="P138" s="73" t="str">
        <f t="shared" si="35"/>
        <v/>
      </c>
      <c r="Q138" s="73" t="str">
        <f t="shared" si="34"/>
        <v/>
      </c>
      <c r="R138" s="73" t="str">
        <f t="shared" si="48"/>
        <v/>
      </c>
      <c r="S138" s="73" t="str">
        <f t="shared" si="48"/>
        <v/>
      </c>
      <c r="T138" s="73" t="str">
        <f t="shared" si="48"/>
        <v/>
      </c>
      <c r="U138" s="73" t="str">
        <f t="shared" si="48"/>
        <v/>
      </c>
      <c r="V138" s="73" t="str">
        <f t="shared" si="48"/>
        <v/>
      </c>
      <c r="W138" s="73" t="str">
        <f t="shared" si="48"/>
        <v/>
      </c>
      <c r="X138" s="73" t="str">
        <f t="shared" si="48"/>
        <v/>
      </c>
      <c r="Y138" s="73" t="str">
        <f t="shared" si="48"/>
        <v/>
      </c>
      <c r="Z138" s="73" t="str">
        <f t="shared" si="48"/>
        <v/>
      </c>
      <c r="AA138" s="73" t="str">
        <f t="shared" si="48"/>
        <v/>
      </c>
      <c r="AB138" s="74" t="str">
        <f t="shared" si="48"/>
        <v/>
      </c>
      <c r="AC138" s="35" t="str">
        <f t="shared" si="38"/>
        <v/>
      </c>
      <c r="AD138" s="40" t="str">
        <f t="shared" si="39"/>
        <v/>
      </c>
      <c r="AE138" s="37" t="str">
        <f t="shared" si="40"/>
        <v/>
      </c>
      <c r="AF138" s="40" t="str">
        <f t="shared" si="41"/>
        <v/>
      </c>
      <c r="AG138" s="37" t="str">
        <f t="shared" si="42"/>
        <v/>
      </c>
      <c r="AH138" s="40" t="str">
        <f t="shared" si="43"/>
        <v/>
      </c>
      <c r="AI138" s="37" t="str">
        <f t="shared" si="44"/>
        <v/>
      </c>
      <c r="AJ138" s="40" t="str">
        <f t="shared" si="45"/>
        <v/>
      </c>
      <c r="AK138" s="204" t="str">
        <f>IF(C138="","",IF(E138=FROTA!$AT$18,IF('DEFINA!!!'!$L$6="D-E-F-I-N-A !!!!!!!",0,IF('DEFINA!!!'!$L$6="Opto por Idade Média",SEM!AW138,IF('DEFINA!!!'!$L$6="Opto pelo Valor aplicado ao  Ano de cada Carro",SEM!AX138,0))),IF(E138=FROTA!$AT$17,IF('DEFINA!!!'!$L$6="D-E-F-I-N-A !!!!!!!",0,IF('DEFINA!!!'!$L$6="Opto por Idade Média",SEM!AW138,IF('DEFINA!!!'!$L$6="Opto pelo Valor aplicado ao  Ano de cada Carro",SEM!AX138,0))),IF(E138=FROTA!$AT$16,IF('DEFINA!!!'!$L$6="D-E-F-I-N-A !!!!!!!",0,IF('DEFINA!!!'!$L$6="Opto por Idade Média",SEM!AW138,IF('DEFINA!!!'!$L$6="Opto pelo Valor aplicado ao  Ano de cada Carro",SEM!AX138,0))),IF('DEFINA!!!'!$L$6="D-E-F-I-N-A !!!!!!!",0,IF('DEFINA!!!'!$L$6="Opto por Idade Média",SEM!AU138,IF('DEFINA!!!'!$L$6="Opto pelo Valor aplicado ao  Ano de cada Carro",SEM!AV138,0)))))))</f>
        <v/>
      </c>
      <c r="AL138" s="6"/>
      <c r="AM138" s="79" t="str">
        <f t="shared" si="46"/>
        <v/>
      </c>
      <c r="AN138" s="12"/>
      <c r="AO138" s="12"/>
      <c r="AP138" s="14"/>
      <c r="AQ138" s="16"/>
      <c r="AR138" s="15"/>
      <c r="AU138" s="198" t="str">
        <f>IF(C138="","",VLOOKUP(FROTA!$AB$2,RECEBÍVEIS!$AA$11:$AB$43,2,0))</f>
        <v/>
      </c>
      <c r="AV138" s="198" t="str">
        <f>IF(C138="","",IF(C138=FROTA!Z138="","",VLOOKUP(FROTA!Z138,RECEBÍVEIS!$AA$11:$AB$43,2,0)))</f>
        <v/>
      </c>
      <c r="AW138" s="198" t="str">
        <f>IF(C138="","",VLOOKUP(FROTA!$AB$2,RECEBÍVEIS!$AA$11:$AC$43,3,0))</f>
        <v/>
      </c>
      <c r="AX138" s="198" t="str">
        <f>IF(C138="","",IF(C138=FROTA!Z138="","",VLOOKUP(FROTA!Z138,RECEBÍVEIS!$AA$11:$AC$43,3,0)))</f>
        <v/>
      </c>
    </row>
    <row r="139" spans="2:50" ht="17.25" customHeight="1" x14ac:dyDescent="0.2">
      <c r="B139" s="6"/>
      <c r="C139" s="49" t="str">
        <f>IF(FROTA!B139="","",FROTA!B139)</f>
        <v/>
      </c>
      <c r="D139" s="220" t="str">
        <f>IF(C139="","",VLOOKUP(SEM!C139,FROTA!$B$5:$C$305,2,0))</f>
        <v/>
      </c>
      <c r="E139" s="24" t="str">
        <f>IF(C139="","",VLOOKUP(C139,FROTA!$B$5:$H$305,7,0))</f>
        <v/>
      </c>
      <c r="F139" s="38" t="str">
        <f t="shared" si="36"/>
        <v/>
      </c>
      <c r="G139" s="71" t="str">
        <f t="shared" si="47"/>
        <v/>
      </c>
      <c r="H139" s="32" t="str">
        <f t="shared" si="37"/>
        <v/>
      </c>
      <c r="I139" s="73" t="str">
        <f t="shared" si="37"/>
        <v/>
      </c>
      <c r="J139" s="73" t="str">
        <f t="shared" si="37"/>
        <v/>
      </c>
      <c r="K139" s="73" t="str">
        <f t="shared" si="35"/>
        <v/>
      </c>
      <c r="L139" s="73" t="str">
        <f t="shared" si="35"/>
        <v/>
      </c>
      <c r="M139" s="73" t="str">
        <f t="shared" si="35"/>
        <v/>
      </c>
      <c r="N139" s="73" t="str">
        <f t="shared" si="35"/>
        <v/>
      </c>
      <c r="O139" s="73" t="str">
        <f t="shared" si="35"/>
        <v/>
      </c>
      <c r="P139" s="73" t="str">
        <f t="shared" si="35"/>
        <v/>
      </c>
      <c r="Q139" s="73" t="str">
        <f t="shared" si="34"/>
        <v/>
      </c>
      <c r="R139" s="73" t="str">
        <f t="shared" si="48"/>
        <v/>
      </c>
      <c r="S139" s="73" t="str">
        <f t="shared" si="48"/>
        <v/>
      </c>
      <c r="T139" s="73" t="str">
        <f t="shared" si="48"/>
        <v/>
      </c>
      <c r="U139" s="73" t="str">
        <f t="shared" si="48"/>
        <v/>
      </c>
      <c r="V139" s="73" t="str">
        <f t="shared" si="48"/>
        <v/>
      </c>
      <c r="W139" s="73" t="str">
        <f t="shared" si="48"/>
        <v/>
      </c>
      <c r="X139" s="73" t="str">
        <f t="shared" si="48"/>
        <v/>
      </c>
      <c r="Y139" s="73" t="str">
        <f t="shared" si="48"/>
        <v/>
      </c>
      <c r="Z139" s="73" t="str">
        <f t="shared" si="48"/>
        <v/>
      </c>
      <c r="AA139" s="73" t="str">
        <f t="shared" si="48"/>
        <v/>
      </c>
      <c r="AB139" s="74" t="str">
        <f t="shared" si="48"/>
        <v/>
      </c>
      <c r="AC139" s="35" t="str">
        <f t="shared" si="38"/>
        <v/>
      </c>
      <c r="AD139" s="40" t="str">
        <f t="shared" si="39"/>
        <v/>
      </c>
      <c r="AE139" s="37" t="str">
        <f t="shared" si="40"/>
        <v/>
      </c>
      <c r="AF139" s="40" t="str">
        <f t="shared" si="41"/>
        <v/>
      </c>
      <c r="AG139" s="37" t="str">
        <f t="shared" si="42"/>
        <v/>
      </c>
      <c r="AH139" s="40" t="str">
        <f t="shared" si="43"/>
        <v/>
      </c>
      <c r="AI139" s="37" t="str">
        <f t="shared" si="44"/>
        <v/>
      </c>
      <c r="AJ139" s="40" t="str">
        <f t="shared" si="45"/>
        <v/>
      </c>
      <c r="AK139" s="204" t="str">
        <f>IF(C139="","",IF(E139=FROTA!$AT$18,IF('DEFINA!!!'!$L$6="D-E-F-I-N-A !!!!!!!",0,IF('DEFINA!!!'!$L$6="Opto por Idade Média",SEM!AW139,IF('DEFINA!!!'!$L$6="Opto pelo Valor aplicado ao  Ano de cada Carro",SEM!AX139,0))),IF(E139=FROTA!$AT$17,IF('DEFINA!!!'!$L$6="D-E-F-I-N-A !!!!!!!",0,IF('DEFINA!!!'!$L$6="Opto por Idade Média",SEM!AW139,IF('DEFINA!!!'!$L$6="Opto pelo Valor aplicado ao  Ano de cada Carro",SEM!AX139,0))),IF(E139=FROTA!$AT$16,IF('DEFINA!!!'!$L$6="D-E-F-I-N-A !!!!!!!",0,IF('DEFINA!!!'!$L$6="Opto por Idade Média",SEM!AW139,IF('DEFINA!!!'!$L$6="Opto pelo Valor aplicado ao  Ano de cada Carro",SEM!AX139,0))),IF('DEFINA!!!'!$L$6="D-E-F-I-N-A !!!!!!!",0,IF('DEFINA!!!'!$L$6="Opto por Idade Média",SEM!AU139,IF('DEFINA!!!'!$L$6="Opto pelo Valor aplicado ao  Ano de cada Carro",SEM!AV139,0)))))))</f>
        <v/>
      </c>
      <c r="AL139" s="6"/>
      <c r="AM139" s="79" t="str">
        <f t="shared" si="46"/>
        <v/>
      </c>
      <c r="AN139" s="12"/>
      <c r="AO139" s="12"/>
      <c r="AP139" s="14"/>
      <c r="AQ139" s="16"/>
      <c r="AR139" s="15"/>
      <c r="AU139" s="198" t="str">
        <f>IF(C139="","",VLOOKUP(FROTA!$AB$2,RECEBÍVEIS!$AA$11:$AB$43,2,0))</f>
        <v/>
      </c>
      <c r="AV139" s="198" t="str">
        <f>IF(C139="","",IF(C139=FROTA!Z139="","",VLOOKUP(FROTA!Z139,RECEBÍVEIS!$AA$11:$AB$43,2,0)))</f>
        <v/>
      </c>
      <c r="AW139" s="198" t="str">
        <f>IF(C139="","",VLOOKUP(FROTA!$AB$2,RECEBÍVEIS!$AA$11:$AC$43,3,0))</f>
        <v/>
      </c>
      <c r="AX139" s="198" t="str">
        <f>IF(C139="","",IF(C139=FROTA!Z139="","",VLOOKUP(FROTA!Z139,RECEBÍVEIS!$AA$11:$AC$43,3,0)))</f>
        <v/>
      </c>
    </row>
    <row r="140" spans="2:50" ht="17.25" customHeight="1" x14ac:dyDescent="0.2">
      <c r="B140" s="6"/>
      <c r="C140" s="49" t="str">
        <f>IF(FROTA!B140="","",FROTA!B140)</f>
        <v/>
      </c>
      <c r="D140" s="220" t="str">
        <f>IF(C140="","",VLOOKUP(SEM!C140,FROTA!$B$5:$C$305,2,0))</f>
        <v/>
      </c>
      <c r="E140" s="24" t="str">
        <f>IF(C140="","",VLOOKUP(C140,FROTA!$B$5:$H$305,7,0))</f>
        <v/>
      </c>
      <c r="F140" s="38" t="str">
        <f t="shared" si="36"/>
        <v/>
      </c>
      <c r="G140" s="71" t="str">
        <f t="shared" si="47"/>
        <v/>
      </c>
      <c r="H140" s="32" t="str">
        <f t="shared" si="37"/>
        <v/>
      </c>
      <c r="I140" s="73" t="str">
        <f t="shared" si="37"/>
        <v/>
      </c>
      <c r="J140" s="73" t="str">
        <f t="shared" si="37"/>
        <v/>
      </c>
      <c r="K140" s="73" t="str">
        <f t="shared" si="35"/>
        <v/>
      </c>
      <c r="L140" s="73" t="str">
        <f t="shared" si="35"/>
        <v/>
      </c>
      <c r="M140" s="73" t="str">
        <f t="shared" si="35"/>
        <v/>
      </c>
      <c r="N140" s="73" t="str">
        <f t="shared" si="35"/>
        <v/>
      </c>
      <c r="O140" s="73" t="str">
        <f t="shared" si="35"/>
        <v/>
      </c>
      <c r="P140" s="73" t="str">
        <f t="shared" si="35"/>
        <v/>
      </c>
      <c r="Q140" s="73" t="str">
        <f t="shared" si="34"/>
        <v/>
      </c>
      <c r="R140" s="73" t="str">
        <f t="shared" si="48"/>
        <v/>
      </c>
      <c r="S140" s="73" t="str">
        <f t="shared" si="48"/>
        <v/>
      </c>
      <c r="T140" s="73" t="str">
        <f t="shared" si="48"/>
        <v/>
      </c>
      <c r="U140" s="73" t="str">
        <f t="shared" si="48"/>
        <v/>
      </c>
      <c r="V140" s="73" t="str">
        <f t="shared" si="48"/>
        <v/>
      </c>
      <c r="W140" s="73" t="str">
        <f t="shared" si="48"/>
        <v/>
      </c>
      <c r="X140" s="73" t="str">
        <f t="shared" si="48"/>
        <v/>
      </c>
      <c r="Y140" s="73" t="str">
        <f t="shared" si="48"/>
        <v/>
      </c>
      <c r="Z140" s="73" t="str">
        <f t="shared" si="48"/>
        <v/>
      </c>
      <c r="AA140" s="73" t="str">
        <f t="shared" si="48"/>
        <v/>
      </c>
      <c r="AB140" s="74" t="str">
        <f t="shared" si="48"/>
        <v/>
      </c>
      <c r="AC140" s="35" t="str">
        <f t="shared" si="38"/>
        <v/>
      </c>
      <c r="AD140" s="40" t="str">
        <f t="shared" si="39"/>
        <v/>
      </c>
      <c r="AE140" s="37" t="str">
        <f t="shared" si="40"/>
        <v/>
      </c>
      <c r="AF140" s="40" t="str">
        <f t="shared" si="41"/>
        <v/>
      </c>
      <c r="AG140" s="37" t="str">
        <f t="shared" si="42"/>
        <v/>
      </c>
      <c r="AH140" s="40" t="str">
        <f t="shared" si="43"/>
        <v/>
      </c>
      <c r="AI140" s="37" t="str">
        <f t="shared" si="44"/>
        <v/>
      </c>
      <c r="AJ140" s="40" t="str">
        <f t="shared" si="45"/>
        <v/>
      </c>
      <c r="AK140" s="204" t="str">
        <f>IF(C140="","",IF(E140=FROTA!$AT$18,IF('DEFINA!!!'!$L$6="D-E-F-I-N-A !!!!!!!",0,IF('DEFINA!!!'!$L$6="Opto por Idade Média",SEM!AW140,IF('DEFINA!!!'!$L$6="Opto pelo Valor aplicado ao  Ano de cada Carro",SEM!AX140,0))),IF(E140=FROTA!$AT$17,IF('DEFINA!!!'!$L$6="D-E-F-I-N-A !!!!!!!",0,IF('DEFINA!!!'!$L$6="Opto por Idade Média",SEM!AW140,IF('DEFINA!!!'!$L$6="Opto pelo Valor aplicado ao  Ano de cada Carro",SEM!AX140,0))),IF(E140=FROTA!$AT$16,IF('DEFINA!!!'!$L$6="D-E-F-I-N-A !!!!!!!",0,IF('DEFINA!!!'!$L$6="Opto por Idade Média",SEM!AW140,IF('DEFINA!!!'!$L$6="Opto pelo Valor aplicado ao  Ano de cada Carro",SEM!AX140,0))),IF('DEFINA!!!'!$L$6="D-E-F-I-N-A !!!!!!!",0,IF('DEFINA!!!'!$L$6="Opto por Idade Média",SEM!AU140,IF('DEFINA!!!'!$L$6="Opto pelo Valor aplicado ao  Ano de cada Carro",SEM!AV140,0)))))))</f>
        <v/>
      </c>
      <c r="AL140" s="6"/>
      <c r="AM140" s="79" t="str">
        <f t="shared" si="46"/>
        <v/>
      </c>
      <c r="AN140" s="12"/>
      <c r="AO140" s="12"/>
      <c r="AP140" s="14"/>
      <c r="AQ140" s="16"/>
      <c r="AR140" s="15"/>
      <c r="AU140" s="198" t="str">
        <f>IF(C140="","",VLOOKUP(FROTA!$AB$2,RECEBÍVEIS!$AA$11:$AB$43,2,0))</f>
        <v/>
      </c>
      <c r="AV140" s="198" t="str">
        <f>IF(C140="","",IF(C140=FROTA!Z140="","",VLOOKUP(FROTA!Z140,RECEBÍVEIS!$AA$11:$AB$43,2,0)))</f>
        <v/>
      </c>
      <c r="AW140" s="198" t="str">
        <f>IF(C140="","",VLOOKUP(FROTA!$AB$2,RECEBÍVEIS!$AA$11:$AC$43,3,0))</f>
        <v/>
      </c>
      <c r="AX140" s="198" t="str">
        <f>IF(C140="","",IF(C140=FROTA!Z140="","",VLOOKUP(FROTA!Z140,RECEBÍVEIS!$AA$11:$AC$43,3,0)))</f>
        <v/>
      </c>
    </row>
    <row r="141" spans="2:50" ht="17.25" customHeight="1" x14ac:dyDescent="0.2">
      <c r="B141" s="6"/>
      <c r="C141" s="49" t="str">
        <f>IF(FROTA!B141="","",FROTA!B141)</f>
        <v/>
      </c>
      <c r="D141" s="220" t="str">
        <f>IF(C141="","",VLOOKUP(SEM!C141,FROTA!$B$5:$C$305,2,0))</f>
        <v/>
      </c>
      <c r="E141" s="24" t="str">
        <f>IF(C141="","",VLOOKUP(C141,FROTA!$B$5:$H$305,7,0))</f>
        <v/>
      </c>
      <c r="F141" s="38" t="str">
        <f t="shared" si="36"/>
        <v/>
      </c>
      <c r="G141" s="71" t="str">
        <f t="shared" si="47"/>
        <v/>
      </c>
      <c r="H141" s="32" t="str">
        <f t="shared" si="37"/>
        <v/>
      </c>
      <c r="I141" s="73" t="str">
        <f t="shared" si="37"/>
        <v/>
      </c>
      <c r="J141" s="73" t="str">
        <f t="shared" si="37"/>
        <v/>
      </c>
      <c r="K141" s="73" t="str">
        <f t="shared" si="35"/>
        <v/>
      </c>
      <c r="L141" s="73" t="str">
        <f t="shared" si="35"/>
        <v/>
      </c>
      <c r="M141" s="73" t="str">
        <f t="shared" si="35"/>
        <v/>
      </c>
      <c r="N141" s="73" t="str">
        <f t="shared" si="35"/>
        <v/>
      </c>
      <c r="O141" s="73" t="str">
        <f t="shared" si="35"/>
        <v/>
      </c>
      <c r="P141" s="73" t="str">
        <f t="shared" si="35"/>
        <v/>
      </c>
      <c r="Q141" s="73" t="str">
        <f t="shared" si="34"/>
        <v/>
      </c>
      <c r="R141" s="73" t="str">
        <f t="shared" si="48"/>
        <v/>
      </c>
      <c r="S141" s="73" t="str">
        <f t="shared" si="48"/>
        <v/>
      </c>
      <c r="T141" s="73" t="str">
        <f t="shared" si="48"/>
        <v/>
      </c>
      <c r="U141" s="73" t="str">
        <f t="shared" si="48"/>
        <v/>
      </c>
      <c r="V141" s="73" t="str">
        <f t="shared" si="48"/>
        <v/>
      </c>
      <c r="W141" s="73" t="str">
        <f t="shared" si="48"/>
        <v/>
      </c>
      <c r="X141" s="73" t="str">
        <f t="shared" si="48"/>
        <v/>
      </c>
      <c r="Y141" s="73" t="str">
        <f t="shared" si="48"/>
        <v/>
      </c>
      <c r="Z141" s="73" t="str">
        <f t="shared" si="48"/>
        <v/>
      </c>
      <c r="AA141" s="73" t="str">
        <f t="shared" si="48"/>
        <v/>
      </c>
      <c r="AB141" s="74" t="str">
        <f t="shared" si="48"/>
        <v/>
      </c>
      <c r="AC141" s="35" t="str">
        <f t="shared" si="38"/>
        <v/>
      </c>
      <c r="AD141" s="40" t="str">
        <f t="shared" si="39"/>
        <v/>
      </c>
      <c r="AE141" s="37" t="str">
        <f t="shared" si="40"/>
        <v/>
      </c>
      <c r="AF141" s="40" t="str">
        <f t="shared" si="41"/>
        <v/>
      </c>
      <c r="AG141" s="37" t="str">
        <f t="shared" si="42"/>
        <v/>
      </c>
      <c r="AH141" s="40" t="str">
        <f t="shared" si="43"/>
        <v/>
      </c>
      <c r="AI141" s="37" t="str">
        <f t="shared" si="44"/>
        <v/>
      </c>
      <c r="AJ141" s="40" t="str">
        <f t="shared" si="45"/>
        <v/>
      </c>
      <c r="AK141" s="204" t="str">
        <f>IF(C141="","",IF(E141=FROTA!$AT$18,IF('DEFINA!!!'!$L$6="D-E-F-I-N-A !!!!!!!",0,IF('DEFINA!!!'!$L$6="Opto por Idade Média",SEM!AW141,IF('DEFINA!!!'!$L$6="Opto pelo Valor aplicado ao  Ano de cada Carro",SEM!AX141,0))),IF(E141=FROTA!$AT$17,IF('DEFINA!!!'!$L$6="D-E-F-I-N-A !!!!!!!",0,IF('DEFINA!!!'!$L$6="Opto por Idade Média",SEM!AW141,IF('DEFINA!!!'!$L$6="Opto pelo Valor aplicado ao  Ano de cada Carro",SEM!AX141,0))),IF(E141=FROTA!$AT$16,IF('DEFINA!!!'!$L$6="D-E-F-I-N-A !!!!!!!",0,IF('DEFINA!!!'!$L$6="Opto por Idade Média",SEM!AW141,IF('DEFINA!!!'!$L$6="Opto pelo Valor aplicado ao  Ano de cada Carro",SEM!AX141,0))),IF('DEFINA!!!'!$L$6="D-E-F-I-N-A !!!!!!!",0,IF('DEFINA!!!'!$L$6="Opto por Idade Média",SEM!AU141,IF('DEFINA!!!'!$L$6="Opto pelo Valor aplicado ao  Ano de cada Carro",SEM!AV141,0)))))))</f>
        <v/>
      </c>
      <c r="AL141" s="6"/>
      <c r="AM141" s="79" t="str">
        <f t="shared" si="46"/>
        <v/>
      </c>
      <c r="AN141" s="12"/>
      <c r="AO141" s="12"/>
      <c r="AP141" s="14"/>
      <c r="AQ141" s="16"/>
      <c r="AR141" s="15"/>
      <c r="AU141" s="198" t="str">
        <f>IF(C141="","",VLOOKUP(FROTA!$AB$2,RECEBÍVEIS!$AA$11:$AB$43,2,0))</f>
        <v/>
      </c>
      <c r="AV141" s="198" t="str">
        <f>IF(C141="","",IF(C141=FROTA!Z141="","",VLOOKUP(FROTA!Z141,RECEBÍVEIS!$AA$11:$AB$43,2,0)))</f>
        <v/>
      </c>
      <c r="AW141" s="198" t="str">
        <f>IF(C141="","",VLOOKUP(FROTA!$AB$2,RECEBÍVEIS!$AA$11:$AC$43,3,0))</f>
        <v/>
      </c>
      <c r="AX141" s="198" t="str">
        <f>IF(C141="","",IF(C141=FROTA!Z141="","",VLOOKUP(FROTA!Z141,RECEBÍVEIS!$AA$11:$AC$43,3,0)))</f>
        <v/>
      </c>
    </row>
    <row r="142" spans="2:50" ht="17.25" customHeight="1" x14ac:dyDescent="0.2">
      <c r="B142" s="6"/>
      <c r="C142" s="49" t="str">
        <f>IF(FROTA!B142="","",FROTA!B142)</f>
        <v/>
      </c>
      <c r="D142" s="220" t="str">
        <f>IF(C142="","",VLOOKUP(SEM!C142,FROTA!$B$5:$C$305,2,0))</f>
        <v/>
      </c>
      <c r="E142" s="24" t="str">
        <f>IF(C142="","",VLOOKUP(C142,FROTA!$B$5:$H$305,7,0))</f>
        <v/>
      </c>
      <c r="F142" s="38" t="str">
        <f t="shared" si="36"/>
        <v/>
      </c>
      <c r="G142" s="71" t="str">
        <f t="shared" si="47"/>
        <v/>
      </c>
      <c r="H142" s="32" t="str">
        <f t="shared" si="37"/>
        <v/>
      </c>
      <c r="I142" s="73" t="str">
        <f t="shared" si="37"/>
        <v/>
      </c>
      <c r="J142" s="73" t="str">
        <f t="shared" si="37"/>
        <v/>
      </c>
      <c r="K142" s="73" t="str">
        <f t="shared" si="35"/>
        <v/>
      </c>
      <c r="L142" s="73" t="str">
        <f t="shared" si="35"/>
        <v/>
      </c>
      <c r="M142" s="73" t="str">
        <f t="shared" si="35"/>
        <v/>
      </c>
      <c r="N142" s="73" t="str">
        <f t="shared" si="35"/>
        <v/>
      </c>
      <c r="O142" s="73" t="str">
        <f t="shared" si="35"/>
        <v/>
      </c>
      <c r="P142" s="73" t="str">
        <f t="shared" si="35"/>
        <v/>
      </c>
      <c r="Q142" s="73" t="str">
        <f t="shared" si="34"/>
        <v/>
      </c>
      <c r="R142" s="73" t="str">
        <f t="shared" si="48"/>
        <v/>
      </c>
      <c r="S142" s="73" t="str">
        <f t="shared" si="48"/>
        <v/>
      </c>
      <c r="T142" s="73" t="str">
        <f t="shared" si="48"/>
        <v/>
      </c>
      <c r="U142" s="73" t="str">
        <f t="shared" si="48"/>
        <v/>
      </c>
      <c r="V142" s="73" t="str">
        <f t="shared" si="48"/>
        <v/>
      </c>
      <c r="W142" s="73" t="str">
        <f t="shared" si="48"/>
        <v/>
      </c>
      <c r="X142" s="73" t="str">
        <f t="shared" si="48"/>
        <v/>
      </c>
      <c r="Y142" s="73" t="str">
        <f t="shared" si="48"/>
        <v/>
      </c>
      <c r="Z142" s="73" t="str">
        <f t="shared" si="48"/>
        <v/>
      </c>
      <c r="AA142" s="73" t="str">
        <f t="shared" si="48"/>
        <v/>
      </c>
      <c r="AB142" s="74" t="str">
        <f t="shared" si="48"/>
        <v/>
      </c>
      <c r="AC142" s="35" t="str">
        <f t="shared" si="38"/>
        <v/>
      </c>
      <c r="AD142" s="40" t="str">
        <f t="shared" si="39"/>
        <v/>
      </c>
      <c r="AE142" s="37" t="str">
        <f t="shared" si="40"/>
        <v/>
      </c>
      <c r="AF142" s="40" t="str">
        <f t="shared" si="41"/>
        <v/>
      </c>
      <c r="AG142" s="37" t="str">
        <f t="shared" si="42"/>
        <v/>
      </c>
      <c r="AH142" s="40" t="str">
        <f t="shared" si="43"/>
        <v/>
      </c>
      <c r="AI142" s="37" t="str">
        <f t="shared" si="44"/>
        <v/>
      </c>
      <c r="AJ142" s="40" t="str">
        <f t="shared" si="45"/>
        <v/>
      </c>
      <c r="AK142" s="204" t="str">
        <f>IF(C142="","",IF(E142=FROTA!$AT$18,IF('DEFINA!!!'!$L$6="D-E-F-I-N-A !!!!!!!",0,IF('DEFINA!!!'!$L$6="Opto por Idade Média",SEM!AW142,IF('DEFINA!!!'!$L$6="Opto pelo Valor aplicado ao  Ano de cada Carro",SEM!AX142,0))),IF(E142=FROTA!$AT$17,IF('DEFINA!!!'!$L$6="D-E-F-I-N-A !!!!!!!",0,IF('DEFINA!!!'!$L$6="Opto por Idade Média",SEM!AW142,IF('DEFINA!!!'!$L$6="Opto pelo Valor aplicado ao  Ano de cada Carro",SEM!AX142,0))),IF(E142=FROTA!$AT$16,IF('DEFINA!!!'!$L$6="D-E-F-I-N-A !!!!!!!",0,IF('DEFINA!!!'!$L$6="Opto por Idade Média",SEM!AW142,IF('DEFINA!!!'!$L$6="Opto pelo Valor aplicado ao  Ano de cada Carro",SEM!AX142,0))),IF('DEFINA!!!'!$L$6="D-E-F-I-N-A !!!!!!!",0,IF('DEFINA!!!'!$L$6="Opto por Idade Média",SEM!AU142,IF('DEFINA!!!'!$L$6="Opto pelo Valor aplicado ao  Ano de cada Carro",SEM!AV142,0)))))))</f>
        <v/>
      </c>
      <c r="AL142" s="6"/>
      <c r="AM142" s="79" t="str">
        <f t="shared" si="46"/>
        <v/>
      </c>
      <c r="AN142" s="12"/>
      <c r="AO142" s="12"/>
      <c r="AP142" s="14"/>
      <c r="AQ142" s="16"/>
      <c r="AR142" s="15"/>
      <c r="AU142" s="198" t="str">
        <f>IF(C142="","",VLOOKUP(FROTA!$AB$2,RECEBÍVEIS!$AA$11:$AB$43,2,0))</f>
        <v/>
      </c>
      <c r="AV142" s="198" t="str">
        <f>IF(C142="","",IF(C142=FROTA!Z142="","",VLOOKUP(FROTA!Z142,RECEBÍVEIS!$AA$11:$AB$43,2,0)))</f>
        <v/>
      </c>
      <c r="AW142" s="198" t="str">
        <f>IF(C142="","",VLOOKUP(FROTA!$AB$2,RECEBÍVEIS!$AA$11:$AC$43,3,0))</f>
        <v/>
      </c>
      <c r="AX142" s="198" t="str">
        <f>IF(C142="","",IF(C142=FROTA!Z142="","",VLOOKUP(FROTA!Z142,RECEBÍVEIS!$AA$11:$AC$43,3,0)))</f>
        <v/>
      </c>
    </row>
    <row r="143" spans="2:50" ht="17.25" customHeight="1" x14ac:dyDescent="0.2">
      <c r="B143" s="6"/>
      <c r="C143" s="49" t="str">
        <f>IF(FROTA!B143="","",FROTA!B143)</f>
        <v/>
      </c>
      <c r="D143" s="220" t="str">
        <f>IF(C143="","",VLOOKUP(SEM!C143,FROTA!$B$5:$C$305,2,0))</f>
        <v/>
      </c>
      <c r="E143" s="24" t="str">
        <f>IF(C143="","",VLOOKUP(C143,FROTA!$B$5:$H$305,7,0))</f>
        <v/>
      </c>
      <c r="F143" s="38" t="str">
        <f t="shared" si="36"/>
        <v/>
      </c>
      <c r="G143" s="71" t="str">
        <f t="shared" si="47"/>
        <v/>
      </c>
      <c r="H143" s="32" t="str">
        <f t="shared" si="37"/>
        <v/>
      </c>
      <c r="I143" s="73" t="str">
        <f t="shared" si="37"/>
        <v/>
      </c>
      <c r="J143" s="73" t="str">
        <f t="shared" si="37"/>
        <v/>
      </c>
      <c r="K143" s="73" t="str">
        <f t="shared" si="35"/>
        <v/>
      </c>
      <c r="L143" s="73" t="str">
        <f t="shared" si="35"/>
        <v/>
      </c>
      <c r="M143" s="73" t="str">
        <f t="shared" si="35"/>
        <v/>
      </c>
      <c r="N143" s="73" t="str">
        <f t="shared" si="35"/>
        <v/>
      </c>
      <c r="O143" s="73" t="str">
        <f t="shared" si="35"/>
        <v/>
      </c>
      <c r="P143" s="73" t="str">
        <f t="shared" si="35"/>
        <v/>
      </c>
      <c r="Q143" s="73" t="str">
        <f t="shared" si="34"/>
        <v/>
      </c>
      <c r="R143" s="73" t="str">
        <f t="shared" si="48"/>
        <v/>
      </c>
      <c r="S143" s="73" t="str">
        <f t="shared" si="48"/>
        <v/>
      </c>
      <c r="T143" s="73" t="str">
        <f t="shared" si="48"/>
        <v/>
      </c>
      <c r="U143" s="73" t="str">
        <f t="shared" si="48"/>
        <v/>
      </c>
      <c r="V143" s="73" t="str">
        <f t="shared" si="48"/>
        <v/>
      </c>
      <c r="W143" s="73" t="str">
        <f t="shared" si="48"/>
        <v/>
      </c>
      <c r="X143" s="73" t="str">
        <f t="shared" si="48"/>
        <v/>
      </c>
      <c r="Y143" s="73" t="str">
        <f t="shared" si="48"/>
        <v/>
      </c>
      <c r="Z143" s="73" t="str">
        <f t="shared" si="48"/>
        <v/>
      </c>
      <c r="AA143" s="73" t="str">
        <f t="shared" si="48"/>
        <v/>
      </c>
      <c r="AB143" s="74" t="str">
        <f t="shared" si="48"/>
        <v/>
      </c>
      <c r="AC143" s="35" t="str">
        <f t="shared" si="38"/>
        <v/>
      </c>
      <c r="AD143" s="40" t="str">
        <f t="shared" si="39"/>
        <v/>
      </c>
      <c r="AE143" s="37" t="str">
        <f t="shared" si="40"/>
        <v/>
      </c>
      <c r="AF143" s="40" t="str">
        <f t="shared" si="41"/>
        <v/>
      </c>
      <c r="AG143" s="37" t="str">
        <f t="shared" si="42"/>
        <v/>
      </c>
      <c r="AH143" s="40" t="str">
        <f t="shared" si="43"/>
        <v/>
      </c>
      <c r="AI143" s="37" t="str">
        <f t="shared" si="44"/>
        <v/>
      </c>
      <c r="AJ143" s="40" t="str">
        <f t="shared" si="45"/>
        <v/>
      </c>
      <c r="AK143" s="204" t="str">
        <f>IF(C143="","",IF(E143=FROTA!$AT$18,IF('DEFINA!!!'!$L$6="D-E-F-I-N-A !!!!!!!",0,IF('DEFINA!!!'!$L$6="Opto por Idade Média",SEM!AW143,IF('DEFINA!!!'!$L$6="Opto pelo Valor aplicado ao  Ano de cada Carro",SEM!AX143,0))),IF(E143=FROTA!$AT$17,IF('DEFINA!!!'!$L$6="D-E-F-I-N-A !!!!!!!",0,IF('DEFINA!!!'!$L$6="Opto por Idade Média",SEM!AW143,IF('DEFINA!!!'!$L$6="Opto pelo Valor aplicado ao  Ano de cada Carro",SEM!AX143,0))),IF(E143=FROTA!$AT$16,IF('DEFINA!!!'!$L$6="D-E-F-I-N-A !!!!!!!",0,IF('DEFINA!!!'!$L$6="Opto por Idade Média",SEM!AW143,IF('DEFINA!!!'!$L$6="Opto pelo Valor aplicado ao  Ano de cada Carro",SEM!AX143,0))),IF('DEFINA!!!'!$L$6="D-E-F-I-N-A !!!!!!!",0,IF('DEFINA!!!'!$L$6="Opto por Idade Média",SEM!AU143,IF('DEFINA!!!'!$L$6="Opto pelo Valor aplicado ao  Ano de cada Carro",SEM!AV143,0)))))))</f>
        <v/>
      </c>
      <c r="AL143" s="6"/>
      <c r="AM143" s="79" t="str">
        <f t="shared" si="46"/>
        <v/>
      </c>
      <c r="AN143" s="12"/>
      <c r="AO143" s="12"/>
      <c r="AP143" s="14"/>
      <c r="AQ143" s="16"/>
      <c r="AR143" s="15"/>
      <c r="AU143" s="198" t="str">
        <f>IF(C143="","",VLOOKUP(FROTA!$AB$2,RECEBÍVEIS!$AA$11:$AB$43,2,0))</f>
        <v/>
      </c>
      <c r="AV143" s="198" t="str">
        <f>IF(C143="","",IF(C143=FROTA!Z143="","",VLOOKUP(FROTA!Z143,RECEBÍVEIS!$AA$11:$AB$43,2,0)))</f>
        <v/>
      </c>
      <c r="AW143" s="198" t="str">
        <f>IF(C143="","",VLOOKUP(FROTA!$AB$2,RECEBÍVEIS!$AA$11:$AC$43,3,0))</f>
        <v/>
      </c>
      <c r="AX143" s="198" t="str">
        <f>IF(C143="","",IF(C143=FROTA!Z143="","",VLOOKUP(FROTA!Z143,RECEBÍVEIS!$AA$11:$AC$43,3,0)))</f>
        <v/>
      </c>
    </row>
    <row r="144" spans="2:50" ht="17.25" customHeight="1" x14ac:dyDescent="0.2">
      <c r="B144" s="6"/>
      <c r="C144" s="49" t="str">
        <f>IF(FROTA!B144="","",FROTA!B144)</f>
        <v/>
      </c>
      <c r="D144" s="220" t="str">
        <f>IF(C144="","",VLOOKUP(SEM!C144,FROTA!$B$5:$C$305,2,0))</f>
        <v/>
      </c>
      <c r="E144" s="24" t="str">
        <f>IF(C144="","",VLOOKUP(C144,FROTA!$B$5:$H$305,7,0))</f>
        <v/>
      </c>
      <c r="F144" s="38" t="str">
        <f t="shared" si="36"/>
        <v/>
      </c>
      <c r="G144" s="71" t="str">
        <f t="shared" si="47"/>
        <v/>
      </c>
      <c r="H144" s="32" t="str">
        <f t="shared" si="37"/>
        <v/>
      </c>
      <c r="I144" s="73" t="str">
        <f t="shared" si="37"/>
        <v/>
      </c>
      <c r="J144" s="73" t="str">
        <f t="shared" si="37"/>
        <v/>
      </c>
      <c r="K144" s="73" t="str">
        <f t="shared" si="35"/>
        <v/>
      </c>
      <c r="L144" s="73" t="str">
        <f t="shared" si="35"/>
        <v/>
      </c>
      <c r="M144" s="73" t="str">
        <f t="shared" si="35"/>
        <v/>
      </c>
      <c r="N144" s="73" t="str">
        <f t="shared" si="35"/>
        <v/>
      </c>
      <c r="O144" s="73" t="str">
        <f t="shared" si="35"/>
        <v/>
      </c>
      <c r="P144" s="73" t="str">
        <f t="shared" si="35"/>
        <v/>
      </c>
      <c r="Q144" s="73" t="str">
        <f t="shared" si="34"/>
        <v/>
      </c>
      <c r="R144" s="73" t="str">
        <f t="shared" si="48"/>
        <v/>
      </c>
      <c r="S144" s="73" t="str">
        <f t="shared" si="48"/>
        <v/>
      </c>
      <c r="T144" s="73" t="str">
        <f t="shared" si="48"/>
        <v/>
      </c>
      <c r="U144" s="73" t="str">
        <f t="shared" si="48"/>
        <v/>
      </c>
      <c r="V144" s="73" t="str">
        <f t="shared" si="48"/>
        <v/>
      </c>
      <c r="W144" s="73" t="str">
        <f t="shared" si="48"/>
        <v/>
      </c>
      <c r="X144" s="73" t="str">
        <f t="shared" si="48"/>
        <v/>
      </c>
      <c r="Y144" s="73" t="str">
        <f t="shared" si="48"/>
        <v/>
      </c>
      <c r="Z144" s="73" t="str">
        <f t="shared" si="48"/>
        <v/>
      </c>
      <c r="AA144" s="73" t="str">
        <f t="shared" si="48"/>
        <v/>
      </c>
      <c r="AB144" s="74" t="str">
        <f t="shared" si="48"/>
        <v/>
      </c>
      <c r="AC144" s="35" t="str">
        <f t="shared" si="38"/>
        <v/>
      </c>
      <c r="AD144" s="40" t="str">
        <f t="shared" si="39"/>
        <v/>
      </c>
      <c r="AE144" s="37" t="str">
        <f t="shared" si="40"/>
        <v/>
      </c>
      <c r="AF144" s="40" t="str">
        <f t="shared" si="41"/>
        <v/>
      </c>
      <c r="AG144" s="37" t="str">
        <f t="shared" si="42"/>
        <v/>
      </c>
      <c r="AH144" s="40" t="str">
        <f t="shared" si="43"/>
        <v/>
      </c>
      <c r="AI144" s="37" t="str">
        <f t="shared" si="44"/>
        <v/>
      </c>
      <c r="AJ144" s="40" t="str">
        <f t="shared" si="45"/>
        <v/>
      </c>
      <c r="AK144" s="204" t="str">
        <f>IF(C144="","",IF(E144=FROTA!$AT$18,IF('DEFINA!!!'!$L$6="D-E-F-I-N-A !!!!!!!",0,IF('DEFINA!!!'!$L$6="Opto por Idade Média",SEM!AW144,IF('DEFINA!!!'!$L$6="Opto pelo Valor aplicado ao  Ano de cada Carro",SEM!AX144,0))),IF(E144=FROTA!$AT$17,IF('DEFINA!!!'!$L$6="D-E-F-I-N-A !!!!!!!",0,IF('DEFINA!!!'!$L$6="Opto por Idade Média",SEM!AW144,IF('DEFINA!!!'!$L$6="Opto pelo Valor aplicado ao  Ano de cada Carro",SEM!AX144,0))),IF(E144=FROTA!$AT$16,IF('DEFINA!!!'!$L$6="D-E-F-I-N-A !!!!!!!",0,IF('DEFINA!!!'!$L$6="Opto por Idade Média",SEM!AW144,IF('DEFINA!!!'!$L$6="Opto pelo Valor aplicado ao  Ano de cada Carro",SEM!AX144,0))),IF('DEFINA!!!'!$L$6="D-E-F-I-N-A !!!!!!!",0,IF('DEFINA!!!'!$L$6="Opto por Idade Média",SEM!AU144,IF('DEFINA!!!'!$L$6="Opto pelo Valor aplicado ao  Ano de cada Carro",SEM!AV144,0)))))))</f>
        <v/>
      </c>
      <c r="AL144" s="6"/>
      <c r="AM144" s="79" t="str">
        <f t="shared" si="46"/>
        <v/>
      </c>
      <c r="AN144" s="12"/>
      <c r="AO144" s="12"/>
      <c r="AP144" s="14"/>
      <c r="AQ144" s="16"/>
      <c r="AR144" s="15"/>
      <c r="AU144" s="198" t="str">
        <f>IF(C144="","",VLOOKUP(FROTA!$AB$2,RECEBÍVEIS!$AA$11:$AB$43,2,0))</f>
        <v/>
      </c>
      <c r="AV144" s="198" t="str">
        <f>IF(C144="","",IF(C144=FROTA!Z144="","",VLOOKUP(FROTA!Z144,RECEBÍVEIS!$AA$11:$AB$43,2,0)))</f>
        <v/>
      </c>
      <c r="AW144" s="198" t="str">
        <f>IF(C144="","",VLOOKUP(FROTA!$AB$2,RECEBÍVEIS!$AA$11:$AC$43,3,0))</f>
        <v/>
      </c>
      <c r="AX144" s="198" t="str">
        <f>IF(C144="","",IF(C144=FROTA!Z144="","",VLOOKUP(FROTA!Z144,RECEBÍVEIS!$AA$11:$AC$43,3,0)))</f>
        <v/>
      </c>
    </row>
    <row r="145" spans="2:50" ht="17.25" customHeight="1" x14ac:dyDescent="0.2">
      <c r="B145" s="6"/>
      <c r="C145" s="49" t="str">
        <f>IF(FROTA!B145="","",FROTA!B145)</f>
        <v/>
      </c>
      <c r="D145" s="220" t="str">
        <f>IF(C145="","",VLOOKUP(SEM!C145,FROTA!$B$5:$C$305,2,0))</f>
        <v/>
      </c>
      <c r="E145" s="24" t="str">
        <f>IF(C145="","",VLOOKUP(C145,FROTA!$B$5:$H$305,7,0))</f>
        <v/>
      </c>
      <c r="F145" s="38" t="str">
        <f t="shared" si="36"/>
        <v/>
      </c>
      <c r="G145" s="71" t="str">
        <f t="shared" si="47"/>
        <v/>
      </c>
      <c r="H145" s="32" t="str">
        <f t="shared" si="37"/>
        <v/>
      </c>
      <c r="I145" s="73" t="str">
        <f t="shared" si="37"/>
        <v/>
      </c>
      <c r="J145" s="73" t="str">
        <f t="shared" si="37"/>
        <v/>
      </c>
      <c r="K145" s="73" t="str">
        <f t="shared" si="35"/>
        <v/>
      </c>
      <c r="L145" s="73" t="str">
        <f t="shared" si="35"/>
        <v/>
      </c>
      <c r="M145" s="73" t="str">
        <f t="shared" si="35"/>
        <v/>
      </c>
      <c r="N145" s="73" t="str">
        <f t="shared" si="35"/>
        <v/>
      </c>
      <c r="O145" s="73" t="str">
        <f t="shared" si="35"/>
        <v/>
      </c>
      <c r="P145" s="73" t="str">
        <f t="shared" si="35"/>
        <v/>
      </c>
      <c r="Q145" s="73" t="str">
        <f t="shared" si="34"/>
        <v/>
      </c>
      <c r="R145" s="73" t="str">
        <f t="shared" si="48"/>
        <v/>
      </c>
      <c r="S145" s="73" t="str">
        <f t="shared" si="48"/>
        <v/>
      </c>
      <c r="T145" s="73" t="str">
        <f t="shared" si="48"/>
        <v/>
      </c>
      <c r="U145" s="73" t="str">
        <f t="shared" si="48"/>
        <v/>
      </c>
      <c r="V145" s="73" t="str">
        <f t="shared" si="48"/>
        <v/>
      </c>
      <c r="W145" s="73" t="str">
        <f t="shared" si="48"/>
        <v/>
      </c>
      <c r="X145" s="73" t="str">
        <f t="shared" si="48"/>
        <v/>
      </c>
      <c r="Y145" s="73" t="str">
        <f t="shared" si="48"/>
        <v/>
      </c>
      <c r="Z145" s="73" t="str">
        <f t="shared" si="48"/>
        <v/>
      </c>
      <c r="AA145" s="73" t="str">
        <f t="shared" si="48"/>
        <v/>
      </c>
      <c r="AB145" s="74" t="str">
        <f t="shared" si="48"/>
        <v/>
      </c>
      <c r="AC145" s="35" t="str">
        <f t="shared" si="38"/>
        <v/>
      </c>
      <c r="AD145" s="40" t="str">
        <f t="shared" si="39"/>
        <v/>
      </c>
      <c r="AE145" s="37" t="str">
        <f t="shared" si="40"/>
        <v/>
      </c>
      <c r="AF145" s="40" t="str">
        <f t="shared" si="41"/>
        <v/>
      </c>
      <c r="AG145" s="37" t="str">
        <f t="shared" si="42"/>
        <v/>
      </c>
      <c r="AH145" s="40" t="str">
        <f t="shared" si="43"/>
        <v/>
      </c>
      <c r="AI145" s="37" t="str">
        <f t="shared" si="44"/>
        <v/>
      </c>
      <c r="AJ145" s="40" t="str">
        <f t="shared" si="45"/>
        <v/>
      </c>
      <c r="AK145" s="204" t="str">
        <f>IF(C145="","",IF(E145=FROTA!$AT$18,IF('DEFINA!!!'!$L$6="D-E-F-I-N-A !!!!!!!",0,IF('DEFINA!!!'!$L$6="Opto por Idade Média",SEM!AW145,IF('DEFINA!!!'!$L$6="Opto pelo Valor aplicado ao  Ano de cada Carro",SEM!AX145,0))),IF(E145=FROTA!$AT$17,IF('DEFINA!!!'!$L$6="D-E-F-I-N-A !!!!!!!",0,IF('DEFINA!!!'!$L$6="Opto por Idade Média",SEM!AW145,IF('DEFINA!!!'!$L$6="Opto pelo Valor aplicado ao  Ano de cada Carro",SEM!AX145,0))),IF(E145=FROTA!$AT$16,IF('DEFINA!!!'!$L$6="D-E-F-I-N-A !!!!!!!",0,IF('DEFINA!!!'!$L$6="Opto por Idade Média",SEM!AW145,IF('DEFINA!!!'!$L$6="Opto pelo Valor aplicado ao  Ano de cada Carro",SEM!AX145,0))),IF('DEFINA!!!'!$L$6="D-E-F-I-N-A !!!!!!!",0,IF('DEFINA!!!'!$L$6="Opto por Idade Média",SEM!AU145,IF('DEFINA!!!'!$L$6="Opto pelo Valor aplicado ao  Ano de cada Carro",SEM!AV145,0)))))))</f>
        <v/>
      </c>
      <c r="AL145" s="6"/>
      <c r="AM145" s="79" t="str">
        <f t="shared" si="46"/>
        <v/>
      </c>
      <c r="AN145" s="12"/>
      <c r="AO145" s="12"/>
      <c r="AP145" s="14"/>
      <c r="AQ145" s="16"/>
      <c r="AR145" s="15"/>
      <c r="AU145" s="198" t="str">
        <f>IF(C145="","",VLOOKUP(FROTA!$AB$2,RECEBÍVEIS!$AA$11:$AB$43,2,0))</f>
        <v/>
      </c>
      <c r="AV145" s="198" t="str">
        <f>IF(C145="","",IF(C145=FROTA!Z145="","",VLOOKUP(FROTA!Z145,RECEBÍVEIS!$AA$11:$AB$43,2,0)))</f>
        <v/>
      </c>
      <c r="AW145" s="198" t="str">
        <f>IF(C145="","",VLOOKUP(FROTA!$AB$2,RECEBÍVEIS!$AA$11:$AC$43,3,0))</f>
        <v/>
      </c>
      <c r="AX145" s="198" t="str">
        <f>IF(C145="","",IF(C145=FROTA!Z145="","",VLOOKUP(FROTA!Z145,RECEBÍVEIS!$AA$11:$AC$43,3,0)))</f>
        <v/>
      </c>
    </row>
    <row r="146" spans="2:50" ht="17.25" customHeight="1" x14ac:dyDescent="0.2">
      <c r="B146" s="6"/>
      <c r="C146" s="49" t="str">
        <f>IF(FROTA!B146="","",FROTA!B146)</f>
        <v/>
      </c>
      <c r="D146" s="220" t="str">
        <f>IF(C146="","",VLOOKUP(SEM!C146,FROTA!$B$5:$C$305,2,0))</f>
        <v/>
      </c>
      <c r="E146" s="24" t="str">
        <f>IF(C146="","",VLOOKUP(C146,FROTA!$B$5:$H$305,7,0))</f>
        <v/>
      </c>
      <c r="F146" s="38" t="str">
        <f t="shared" si="36"/>
        <v/>
      </c>
      <c r="G146" s="71" t="str">
        <f t="shared" si="47"/>
        <v/>
      </c>
      <c r="H146" s="32" t="str">
        <f t="shared" si="37"/>
        <v/>
      </c>
      <c r="I146" s="73" t="str">
        <f t="shared" si="37"/>
        <v/>
      </c>
      <c r="J146" s="73" t="str">
        <f t="shared" si="37"/>
        <v/>
      </c>
      <c r="K146" s="73" t="str">
        <f t="shared" si="35"/>
        <v/>
      </c>
      <c r="L146" s="73" t="str">
        <f t="shared" si="35"/>
        <v/>
      </c>
      <c r="M146" s="73" t="str">
        <f t="shared" si="35"/>
        <v/>
      </c>
      <c r="N146" s="73" t="str">
        <f t="shared" si="35"/>
        <v/>
      </c>
      <c r="O146" s="73" t="str">
        <f t="shared" si="35"/>
        <v/>
      </c>
      <c r="P146" s="73" t="str">
        <f t="shared" si="35"/>
        <v/>
      </c>
      <c r="Q146" s="73" t="str">
        <f t="shared" si="34"/>
        <v/>
      </c>
      <c r="R146" s="73" t="str">
        <f t="shared" si="48"/>
        <v/>
      </c>
      <c r="S146" s="73" t="str">
        <f t="shared" si="48"/>
        <v/>
      </c>
      <c r="T146" s="73" t="str">
        <f t="shared" si="48"/>
        <v/>
      </c>
      <c r="U146" s="73" t="str">
        <f t="shared" si="48"/>
        <v/>
      </c>
      <c r="V146" s="73" t="str">
        <f t="shared" si="48"/>
        <v/>
      </c>
      <c r="W146" s="73" t="str">
        <f t="shared" si="48"/>
        <v/>
      </c>
      <c r="X146" s="73" t="str">
        <f t="shared" si="48"/>
        <v/>
      </c>
      <c r="Y146" s="73" t="str">
        <f t="shared" si="48"/>
        <v/>
      </c>
      <c r="Z146" s="73" t="str">
        <f t="shared" si="48"/>
        <v/>
      </c>
      <c r="AA146" s="73" t="str">
        <f t="shared" si="48"/>
        <v/>
      </c>
      <c r="AB146" s="74" t="str">
        <f t="shared" si="48"/>
        <v/>
      </c>
      <c r="AC146" s="35" t="str">
        <f t="shared" si="38"/>
        <v/>
      </c>
      <c r="AD146" s="40" t="str">
        <f t="shared" si="39"/>
        <v/>
      </c>
      <c r="AE146" s="37" t="str">
        <f t="shared" si="40"/>
        <v/>
      </c>
      <c r="AF146" s="40" t="str">
        <f t="shared" si="41"/>
        <v/>
      </c>
      <c r="AG146" s="37" t="str">
        <f t="shared" si="42"/>
        <v/>
      </c>
      <c r="AH146" s="40" t="str">
        <f t="shared" si="43"/>
        <v/>
      </c>
      <c r="AI146" s="37" t="str">
        <f t="shared" si="44"/>
        <v/>
      </c>
      <c r="AJ146" s="40" t="str">
        <f t="shared" si="45"/>
        <v/>
      </c>
      <c r="AK146" s="204" t="str">
        <f>IF(C146="","",IF(E146=FROTA!$AT$18,IF('DEFINA!!!'!$L$6="D-E-F-I-N-A !!!!!!!",0,IF('DEFINA!!!'!$L$6="Opto por Idade Média",SEM!AW146,IF('DEFINA!!!'!$L$6="Opto pelo Valor aplicado ao  Ano de cada Carro",SEM!AX146,0))),IF(E146=FROTA!$AT$17,IF('DEFINA!!!'!$L$6="D-E-F-I-N-A !!!!!!!",0,IF('DEFINA!!!'!$L$6="Opto por Idade Média",SEM!AW146,IF('DEFINA!!!'!$L$6="Opto pelo Valor aplicado ao  Ano de cada Carro",SEM!AX146,0))),IF(E146=FROTA!$AT$16,IF('DEFINA!!!'!$L$6="D-E-F-I-N-A !!!!!!!",0,IF('DEFINA!!!'!$L$6="Opto por Idade Média",SEM!AW146,IF('DEFINA!!!'!$L$6="Opto pelo Valor aplicado ao  Ano de cada Carro",SEM!AX146,0))),IF('DEFINA!!!'!$L$6="D-E-F-I-N-A !!!!!!!",0,IF('DEFINA!!!'!$L$6="Opto por Idade Média",SEM!AU146,IF('DEFINA!!!'!$L$6="Opto pelo Valor aplicado ao  Ano de cada Carro",SEM!AV146,0)))))))</f>
        <v/>
      </c>
      <c r="AL146" s="6"/>
      <c r="AM146" s="79" t="str">
        <f t="shared" si="46"/>
        <v/>
      </c>
      <c r="AN146" s="12"/>
      <c r="AO146" s="12"/>
      <c r="AP146" s="14"/>
      <c r="AQ146" s="16"/>
      <c r="AR146" s="15"/>
      <c r="AU146" s="198" t="str">
        <f>IF(C146="","",VLOOKUP(FROTA!$AB$2,RECEBÍVEIS!$AA$11:$AB$43,2,0))</f>
        <v/>
      </c>
      <c r="AV146" s="198" t="str">
        <f>IF(C146="","",IF(C146=FROTA!Z146="","",VLOOKUP(FROTA!Z146,RECEBÍVEIS!$AA$11:$AB$43,2,0)))</f>
        <v/>
      </c>
      <c r="AW146" s="198" t="str">
        <f>IF(C146="","",VLOOKUP(FROTA!$AB$2,RECEBÍVEIS!$AA$11:$AC$43,3,0))</f>
        <v/>
      </c>
      <c r="AX146" s="198" t="str">
        <f>IF(C146="","",IF(C146=FROTA!Z146="","",VLOOKUP(FROTA!Z146,RECEBÍVEIS!$AA$11:$AC$43,3,0)))</f>
        <v/>
      </c>
    </row>
    <row r="147" spans="2:50" ht="17.25" customHeight="1" x14ac:dyDescent="0.2">
      <c r="B147" s="6"/>
      <c r="C147" s="49" t="str">
        <f>IF(FROTA!B147="","",FROTA!B147)</f>
        <v/>
      </c>
      <c r="D147" s="220" t="str">
        <f>IF(C147="","",VLOOKUP(SEM!C147,FROTA!$B$5:$C$305,2,0))</f>
        <v/>
      </c>
      <c r="E147" s="24" t="str">
        <f>IF(C147="","",VLOOKUP(C147,FROTA!$B$5:$H$305,7,0))</f>
        <v/>
      </c>
      <c r="F147" s="38" t="str">
        <f t="shared" si="36"/>
        <v/>
      </c>
      <c r="G147" s="71" t="str">
        <f t="shared" si="47"/>
        <v/>
      </c>
      <c r="H147" s="32" t="str">
        <f t="shared" si="37"/>
        <v/>
      </c>
      <c r="I147" s="73" t="str">
        <f t="shared" si="37"/>
        <v/>
      </c>
      <c r="J147" s="73" t="str">
        <f t="shared" si="37"/>
        <v/>
      </c>
      <c r="K147" s="73" t="str">
        <f t="shared" si="35"/>
        <v/>
      </c>
      <c r="L147" s="73" t="str">
        <f t="shared" si="35"/>
        <v/>
      </c>
      <c r="M147" s="73" t="str">
        <f t="shared" si="35"/>
        <v/>
      </c>
      <c r="N147" s="73" t="str">
        <f t="shared" si="35"/>
        <v/>
      </c>
      <c r="O147" s="73" t="str">
        <f t="shared" si="35"/>
        <v/>
      </c>
      <c r="P147" s="73" t="str">
        <f t="shared" si="35"/>
        <v/>
      </c>
      <c r="Q147" s="73" t="str">
        <f t="shared" si="34"/>
        <v/>
      </c>
      <c r="R147" s="73" t="str">
        <f t="shared" si="48"/>
        <v/>
      </c>
      <c r="S147" s="73" t="str">
        <f t="shared" si="48"/>
        <v/>
      </c>
      <c r="T147" s="73" t="str">
        <f t="shared" si="48"/>
        <v/>
      </c>
      <c r="U147" s="73" t="str">
        <f t="shared" si="48"/>
        <v/>
      </c>
      <c r="V147" s="73" t="str">
        <f t="shared" si="48"/>
        <v/>
      </c>
      <c r="W147" s="73" t="str">
        <f t="shared" si="48"/>
        <v/>
      </c>
      <c r="X147" s="73" t="str">
        <f t="shared" si="48"/>
        <v/>
      </c>
      <c r="Y147" s="73" t="str">
        <f t="shared" si="48"/>
        <v/>
      </c>
      <c r="Z147" s="73" t="str">
        <f t="shared" si="48"/>
        <v/>
      </c>
      <c r="AA147" s="73" t="str">
        <f t="shared" si="48"/>
        <v/>
      </c>
      <c r="AB147" s="74" t="str">
        <f t="shared" si="48"/>
        <v/>
      </c>
      <c r="AC147" s="35" t="str">
        <f t="shared" si="38"/>
        <v/>
      </c>
      <c r="AD147" s="40" t="str">
        <f t="shared" si="39"/>
        <v/>
      </c>
      <c r="AE147" s="37" t="str">
        <f t="shared" si="40"/>
        <v/>
      </c>
      <c r="AF147" s="40" t="str">
        <f t="shared" si="41"/>
        <v/>
      </c>
      <c r="AG147" s="37" t="str">
        <f t="shared" si="42"/>
        <v/>
      </c>
      <c r="AH147" s="40" t="str">
        <f t="shared" si="43"/>
        <v/>
      </c>
      <c r="AI147" s="37" t="str">
        <f t="shared" si="44"/>
        <v/>
      </c>
      <c r="AJ147" s="40" t="str">
        <f t="shared" si="45"/>
        <v/>
      </c>
      <c r="AK147" s="204" t="str">
        <f>IF(C147="","",IF(E147=FROTA!$AT$18,IF('DEFINA!!!'!$L$6="D-E-F-I-N-A !!!!!!!",0,IF('DEFINA!!!'!$L$6="Opto por Idade Média",SEM!AW147,IF('DEFINA!!!'!$L$6="Opto pelo Valor aplicado ao  Ano de cada Carro",SEM!AX147,0))),IF(E147=FROTA!$AT$17,IF('DEFINA!!!'!$L$6="D-E-F-I-N-A !!!!!!!",0,IF('DEFINA!!!'!$L$6="Opto por Idade Média",SEM!AW147,IF('DEFINA!!!'!$L$6="Opto pelo Valor aplicado ao  Ano de cada Carro",SEM!AX147,0))),IF(E147=FROTA!$AT$16,IF('DEFINA!!!'!$L$6="D-E-F-I-N-A !!!!!!!",0,IF('DEFINA!!!'!$L$6="Opto por Idade Média",SEM!AW147,IF('DEFINA!!!'!$L$6="Opto pelo Valor aplicado ao  Ano de cada Carro",SEM!AX147,0))),IF('DEFINA!!!'!$L$6="D-E-F-I-N-A !!!!!!!",0,IF('DEFINA!!!'!$L$6="Opto por Idade Média",SEM!AU147,IF('DEFINA!!!'!$L$6="Opto pelo Valor aplicado ao  Ano de cada Carro",SEM!AV147,0)))))))</f>
        <v/>
      </c>
      <c r="AL147" s="6"/>
      <c r="AM147" s="79" t="str">
        <f t="shared" si="46"/>
        <v/>
      </c>
      <c r="AN147" s="12"/>
      <c r="AO147" s="12"/>
      <c r="AP147" s="14"/>
      <c r="AQ147" s="16"/>
      <c r="AR147" s="15"/>
      <c r="AU147" s="198" t="str">
        <f>IF(C147="","",VLOOKUP(FROTA!$AB$2,RECEBÍVEIS!$AA$11:$AB$43,2,0))</f>
        <v/>
      </c>
      <c r="AV147" s="198" t="str">
        <f>IF(C147="","",IF(C147=FROTA!Z147="","",VLOOKUP(FROTA!Z147,RECEBÍVEIS!$AA$11:$AB$43,2,0)))</f>
        <v/>
      </c>
      <c r="AW147" s="198" t="str">
        <f>IF(C147="","",VLOOKUP(FROTA!$AB$2,RECEBÍVEIS!$AA$11:$AC$43,3,0))</f>
        <v/>
      </c>
      <c r="AX147" s="198" t="str">
        <f>IF(C147="","",IF(C147=FROTA!Z147="","",VLOOKUP(FROTA!Z147,RECEBÍVEIS!$AA$11:$AC$43,3,0)))</f>
        <v/>
      </c>
    </row>
    <row r="148" spans="2:50" ht="17.25" customHeight="1" x14ac:dyDescent="0.2">
      <c r="B148" s="6"/>
      <c r="C148" s="49" t="str">
        <f>IF(FROTA!B148="","",FROTA!B148)</f>
        <v/>
      </c>
      <c r="D148" s="220" t="str">
        <f>IF(C148="","",VLOOKUP(SEM!C148,FROTA!$B$5:$C$305,2,0))</f>
        <v/>
      </c>
      <c r="E148" s="24" t="str">
        <f>IF(C148="","",VLOOKUP(C148,FROTA!$B$5:$H$305,7,0))</f>
        <v/>
      </c>
      <c r="F148" s="38" t="str">
        <f t="shared" si="36"/>
        <v/>
      </c>
      <c r="G148" s="71" t="str">
        <f t="shared" si="47"/>
        <v/>
      </c>
      <c r="H148" s="32" t="str">
        <f t="shared" si="37"/>
        <v/>
      </c>
      <c r="I148" s="73" t="str">
        <f t="shared" si="37"/>
        <v/>
      </c>
      <c r="J148" s="73" t="str">
        <f t="shared" si="37"/>
        <v/>
      </c>
      <c r="K148" s="73" t="str">
        <f t="shared" si="35"/>
        <v/>
      </c>
      <c r="L148" s="73" t="str">
        <f t="shared" si="35"/>
        <v/>
      </c>
      <c r="M148" s="73" t="str">
        <f t="shared" si="35"/>
        <v/>
      </c>
      <c r="N148" s="73" t="str">
        <f t="shared" si="35"/>
        <v/>
      </c>
      <c r="O148" s="73" t="str">
        <f t="shared" si="35"/>
        <v/>
      </c>
      <c r="P148" s="73" t="str">
        <f t="shared" si="35"/>
        <v/>
      </c>
      <c r="Q148" s="73" t="str">
        <f t="shared" si="34"/>
        <v/>
      </c>
      <c r="R148" s="73" t="str">
        <f t="shared" si="48"/>
        <v/>
      </c>
      <c r="S148" s="73" t="str">
        <f t="shared" si="48"/>
        <v/>
      </c>
      <c r="T148" s="73" t="str">
        <f t="shared" si="48"/>
        <v/>
      </c>
      <c r="U148" s="73" t="str">
        <f t="shared" si="48"/>
        <v/>
      </c>
      <c r="V148" s="73" t="str">
        <f t="shared" si="48"/>
        <v/>
      </c>
      <c r="W148" s="73" t="str">
        <f t="shared" si="48"/>
        <v/>
      </c>
      <c r="X148" s="73" t="str">
        <f t="shared" si="48"/>
        <v/>
      </c>
      <c r="Y148" s="73" t="str">
        <f t="shared" si="48"/>
        <v/>
      </c>
      <c r="Z148" s="73" t="str">
        <f t="shared" si="48"/>
        <v/>
      </c>
      <c r="AA148" s="73" t="str">
        <f t="shared" si="48"/>
        <v/>
      </c>
      <c r="AB148" s="74" t="str">
        <f t="shared" si="48"/>
        <v/>
      </c>
      <c r="AC148" s="35" t="str">
        <f t="shared" si="38"/>
        <v/>
      </c>
      <c r="AD148" s="40" t="str">
        <f t="shared" si="39"/>
        <v/>
      </c>
      <c r="AE148" s="37" t="str">
        <f t="shared" si="40"/>
        <v/>
      </c>
      <c r="AF148" s="40" t="str">
        <f t="shared" si="41"/>
        <v/>
      </c>
      <c r="AG148" s="37" t="str">
        <f t="shared" si="42"/>
        <v/>
      </c>
      <c r="AH148" s="40" t="str">
        <f t="shared" si="43"/>
        <v/>
      </c>
      <c r="AI148" s="37" t="str">
        <f t="shared" si="44"/>
        <v/>
      </c>
      <c r="AJ148" s="40" t="str">
        <f t="shared" si="45"/>
        <v/>
      </c>
      <c r="AK148" s="204" t="str">
        <f>IF(C148="","",IF(E148=FROTA!$AT$18,IF('DEFINA!!!'!$L$6="D-E-F-I-N-A !!!!!!!",0,IF('DEFINA!!!'!$L$6="Opto por Idade Média",SEM!AW148,IF('DEFINA!!!'!$L$6="Opto pelo Valor aplicado ao  Ano de cada Carro",SEM!AX148,0))),IF(E148=FROTA!$AT$17,IF('DEFINA!!!'!$L$6="D-E-F-I-N-A !!!!!!!",0,IF('DEFINA!!!'!$L$6="Opto por Idade Média",SEM!AW148,IF('DEFINA!!!'!$L$6="Opto pelo Valor aplicado ao  Ano de cada Carro",SEM!AX148,0))),IF(E148=FROTA!$AT$16,IF('DEFINA!!!'!$L$6="D-E-F-I-N-A !!!!!!!",0,IF('DEFINA!!!'!$L$6="Opto por Idade Média",SEM!AW148,IF('DEFINA!!!'!$L$6="Opto pelo Valor aplicado ao  Ano de cada Carro",SEM!AX148,0))),IF('DEFINA!!!'!$L$6="D-E-F-I-N-A !!!!!!!",0,IF('DEFINA!!!'!$L$6="Opto por Idade Média",SEM!AU148,IF('DEFINA!!!'!$L$6="Opto pelo Valor aplicado ao  Ano de cada Carro",SEM!AV148,0)))))))</f>
        <v/>
      </c>
      <c r="AL148" s="6"/>
      <c r="AM148" s="79" t="str">
        <f t="shared" si="46"/>
        <v/>
      </c>
      <c r="AN148" s="12"/>
      <c r="AO148" s="12"/>
      <c r="AP148" s="14"/>
      <c r="AQ148" s="16"/>
      <c r="AR148" s="15"/>
      <c r="AU148" s="198" t="str">
        <f>IF(C148="","",VLOOKUP(FROTA!$AB$2,RECEBÍVEIS!$AA$11:$AB$43,2,0))</f>
        <v/>
      </c>
      <c r="AV148" s="198" t="str">
        <f>IF(C148="","",IF(C148=FROTA!Z148="","",VLOOKUP(FROTA!Z148,RECEBÍVEIS!$AA$11:$AB$43,2,0)))</f>
        <v/>
      </c>
      <c r="AW148" s="198" t="str">
        <f>IF(C148="","",VLOOKUP(FROTA!$AB$2,RECEBÍVEIS!$AA$11:$AC$43,3,0))</f>
        <v/>
      </c>
      <c r="AX148" s="198" t="str">
        <f>IF(C148="","",IF(C148=FROTA!Z148="","",VLOOKUP(FROTA!Z148,RECEBÍVEIS!$AA$11:$AC$43,3,0)))</f>
        <v/>
      </c>
    </row>
    <row r="149" spans="2:50" ht="17.25" customHeight="1" x14ac:dyDescent="0.2">
      <c r="B149" s="6"/>
      <c r="C149" s="49" t="str">
        <f>IF(FROTA!B149="","",FROTA!B149)</f>
        <v/>
      </c>
      <c r="D149" s="220" t="str">
        <f>IF(C149="","",VLOOKUP(SEM!C149,FROTA!$B$5:$C$305,2,0))</f>
        <v/>
      </c>
      <c r="E149" s="24" t="str">
        <f>IF(C149="","",VLOOKUP(C149,FROTA!$B$5:$H$305,7,0))</f>
        <v/>
      </c>
      <c r="F149" s="38" t="str">
        <f t="shared" si="36"/>
        <v/>
      </c>
      <c r="G149" s="71" t="str">
        <f t="shared" si="47"/>
        <v/>
      </c>
      <c r="H149" s="32" t="str">
        <f t="shared" si="37"/>
        <v/>
      </c>
      <c r="I149" s="73" t="str">
        <f t="shared" si="37"/>
        <v/>
      </c>
      <c r="J149" s="73" t="str">
        <f t="shared" si="37"/>
        <v/>
      </c>
      <c r="K149" s="73" t="str">
        <f t="shared" si="35"/>
        <v/>
      </c>
      <c r="L149" s="73" t="str">
        <f t="shared" si="35"/>
        <v/>
      </c>
      <c r="M149" s="73" t="str">
        <f t="shared" si="35"/>
        <v/>
      </c>
      <c r="N149" s="73" t="str">
        <f t="shared" si="35"/>
        <v/>
      </c>
      <c r="O149" s="73" t="str">
        <f t="shared" si="35"/>
        <v/>
      </c>
      <c r="P149" s="73" t="str">
        <f t="shared" si="35"/>
        <v/>
      </c>
      <c r="Q149" s="73" t="str">
        <f t="shared" si="34"/>
        <v/>
      </c>
      <c r="R149" s="73" t="str">
        <f t="shared" si="48"/>
        <v/>
      </c>
      <c r="S149" s="73" t="str">
        <f t="shared" si="48"/>
        <v/>
      </c>
      <c r="T149" s="73" t="str">
        <f t="shared" si="48"/>
        <v/>
      </c>
      <c r="U149" s="73" t="str">
        <f t="shared" si="48"/>
        <v/>
      </c>
      <c r="V149" s="73" t="str">
        <f t="shared" si="48"/>
        <v/>
      </c>
      <c r="W149" s="73" t="str">
        <f t="shared" si="48"/>
        <v/>
      </c>
      <c r="X149" s="73" t="str">
        <f t="shared" si="48"/>
        <v/>
      </c>
      <c r="Y149" s="73" t="str">
        <f t="shared" si="48"/>
        <v/>
      </c>
      <c r="Z149" s="73" t="str">
        <f t="shared" si="48"/>
        <v/>
      </c>
      <c r="AA149" s="73" t="str">
        <f t="shared" si="48"/>
        <v/>
      </c>
      <c r="AB149" s="74" t="str">
        <f t="shared" si="48"/>
        <v/>
      </c>
      <c r="AC149" s="35" t="str">
        <f t="shared" si="38"/>
        <v/>
      </c>
      <c r="AD149" s="40" t="str">
        <f t="shared" si="39"/>
        <v/>
      </c>
      <c r="AE149" s="37" t="str">
        <f t="shared" si="40"/>
        <v/>
      </c>
      <c r="AF149" s="40" t="str">
        <f t="shared" si="41"/>
        <v/>
      </c>
      <c r="AG149" s="37" t="str">
        <f t="shared" si="42"/>
        <v/>
      </c>
      <c r="AH149" s="40" t="str">
        <f t="shared" si="43"/>
        <v/>
      </c>
      <c r="AI149" s="37" t="str">
        <f t="shared" si="44"/>
        <v/>
      </c>
      <c r="AJ149" s="40" t="str">
        <f t="shared" si="45"/>
        <v/>
      </c>
      <c r="AK149" s="204" t="str">
        <f>IF(C149="","",IF(E149=FROTA!$AT$18,IF('DEFINA!!!'!$L$6="D-E-F-I-N-A !!!!!!!",0,IF('DEFINA!!!'!$L$6="Opto por Idade Média",SEM!AW149,IF('DEFINA!!!'!$L$6="Opto pelo Valor aplicado ao  Ano de cada Carro",SEM!AX149,0))),IF(E149=FROTA!$AT$17,IF('DEFINA!!!'!$L$6="D-E-F-I-N-A !!!!!!!",0,IF('DEFINA!!!'!$L$6="Opto por Idade Média",SEM!AW149,IF('DEFINA!!!'!$L$6="Opto pelo Valor aplicado ao  Ano de cada Carro",SEM!AX149,0))),IF(E149=FROTA!$AT$16,IF('DEFINA!!!'!$L$6="D-E-F-I-N-A !!!!!!!",0,IF('DEFINA!!!'!$L$6="Opto por Idade Média",SEM!AW149,IF('DEFINA!!!'!$L$6="Opto pelo Valor aplicado ao  Ano de cada Carro",SEM!AX149,0))),IF('DEFINA!!!'!$L$6="D-E-F-I-N-A !!!!!!!",0,IF('DEFINA!!!'!$L$6="Opto por Idade Média",SEM!AU149,IF('DEFINA!!!'!$L$6="Opto pelo Valor aplicado ao  Ano de cada Carro",SEM!AV149,0)))))))</f>
        <v/>
      </c>
      <c r="AL149" s="6"/>
      <c r="AM149" s="79" t="str">
        <f t="shared" si="46"/>
        <v/>
      </c>
      <c r="AN149" s="12"/>
      <c r="AO149" s="12"/>
      <c r="AP149" s="14"/>
      <c r="AQ149" s="16"/>
      <c r="AR149" s="15"/>
      <c r="AU149" s="198" t="str">
        <f>IF(C149="","",VLOOKUP(FROTA!$AB$2,RECEBÍVEIS!$AA$11:$AB$43,2,0))</f>
        <v/>
      </c>
      <c r="AV149" s="198" t="str">
        <f>IF(C149="","",IF(C149=FROTA!Z149="","",VLOOKUP(FROTA!Z149,RECEBÍVEIS!$AA$11:$AB$43,2,0)))</f>
        <v/>
      </c>
      <c r="AW149" s="198" t="str">
        <f>IF(C149="","",VLOOKUP(FROTA!$AB$2,RECEBÍVEIS!$AA$11:$AC$43,3,0))</f>
        <v/>
      </c>
      <c r="AX149" s="198" t="str">
        <f>IF(C149="","",IF(C149=FROTA!Z149="","",VLOOKUP(FROTA!Z149,RECEBÍVEIS!$AA$11:$AC$43,3,0)))</f>
        <v/>
      </c>
    </row>
    <row r="150" spans="2:50" ht="17.25" customHeight="1" x14ac:dyDescent="0.2">
      <c r="B150" s="6"/>
      <c r="C150" s="49" t="str">
        <f>IF(FROTA!B150="","",FROTA!B150)</f>
        <v/>
      </c>
      <c r="D150" s="220" t="str">
        <f>IF(C150="","",VLOOKUP(SEM!C150,FROTA!$B$5:$C$305,2,0))</f>
        <v/>
      </c>
      <c r="E150" s="24" t="str">
        <f>IF(C150="","",VLOOKUP(C150,FROTA!$B$5:$H$305,7,0))</f>
        <v/>
      </c>
      <c r="F150" s="38" t="str">
        <f t="shared" si="36"/>
        <v/>
      </c>
      <c r="G150" s="71" t="str">
        <f t="shared" si="47"/>
        <v/>
      </c>
      <c r="H150" s="32" t="str">
        <f t="shared" si="37"/>
        <v/>
      </c>
      <c r="I150" s="73" t="str">
        <f t="shared" si="37"/>
        <v/>
      </c>
      <c r="J150" s="73" t="str">
        <f t="shared" si="37"/>
        <v/>
      </c>
      <c r="K150" s="73" t="str">
        <f t="shared" si="35"/>
        <v/>
      </c>
      <c r="L150" s="73" t="str">
        <f t="shared" si="35"/>
        <v/>
      </c>
      <c r="M150" s="73" t="str">
        <f t="shared" si="35"/>
        <v/>
      </c>
      <c r="N150" s="73" t="str">
        <f t="shared" si="35"/>
        <v/>
      </c>
      <c r="O150" s="73" t="str">
        <f t="shared" si="35"/>
        <v/>
      </c>
      <c r="P150" s="73" t="str">
        <f t="shared" si="35"/>
        <v/>
      </c>
      <c r="Q150" s="73" t="str">
        <f t="shared" si="34"/>
        <v/>
      </c>
      <c r="R150" s="73" t="str">
        <f t="shared" si="48"/>
        <v/>
      </c>
      <c r="S150" s="73" t="str">
        <f t="shared" si="48"/>
        <v/>
      </c>
      <c r="T150" s="73" t="str">
        <f t="shared" si="48"/>
        <v/>
      </c>
      <c r="U150" s="73" t="str">
        <f t="shared" si="48"/>
        <v/>
      </c>
      <c r="V150" s="73" t="str">
        <f t="shared" si="48"/>
        <v/>
      </c>
      <c r="W150" s="73" t="str">
        <f t="shared" si="48"/>
        <v/>
      </c>
      <c r="X150" s="73" t="str">
        <f t="shared" si="48"/>
        <v/>
      </c>
      <c r="Y150" s="73" t="str">
        <f t="shared" si="48"/>
        <v/>
      </c>
      <c r="Z150" s="73" t="str">
        <f t="shared" si="48"/>
        <v/>
      </c>
      <c r="AA150" s="73" t="str">
        <f t="shared" si="48"/>
        <v/>
      </c>
      <c r="AB150" s="74" t="str">
        <f t="shared" si="48"/>
        <v/>
      </c>
      <c r="AC150" s="35" t="str">
        <f t="shared" si="38"/>
        <v/>
      </c>
      <c r="AD150" s="40" t="str">
        <f t="shared" si="39"/>
        <v/>
      </c>
      <c r="AE150" s="37" t="str">
        <f t="shared" si="40"/>
        <v/>
      </c>
      <c r="AF150" s="40" t="str">
        <f t="shared" si="41"/>
        <v/>
      </c>
      <c r="AG150" s="37" t="str">
        <f t="shared" si="42"/>
        <v/>
      </c>
      <c r="AH150" s="40" t="str">
        <f t="shared" si="43"/>
        <v/>
      </c>
      <c r="AI150" s="37" t="str">
        <f t="shared" si="44"/>
        <v/>
      </c>
      <c r="AJ150" s="40" t="str">
        <f t="shared" si="45"/>
        <v/>
      </c>
      <c r="AK150" s="204" t="str">
        <f>IF(C150="","",IF(E150=FROTA!$AT$18,IF('DEFINA!!!'!$L$6="D-E-F-I-N-A !!!!!!!",0,IF('DEFINA!!!'!$L$6="Opto por Idade Média",SEM!AW150,IF('DEFINA!!!'!$L$6="Opto pelo Valor aplicado ao  Ano de cada Carro",SEM!AX150,0))),IF(E150=FROTA!$AT$17,IF('DEFINA!!!'!$L$6="D-E-F-I-N-A !!!!!!!",0,IF('DEFINA!!!'!$L$6="Opto por Idade Média",SEM!AW150,IF('DEFINA!!!'!$L$6="Opto pelo Valor aplicado ao  Ano de cada Carro",SEM!AX150,0))),IF(E150=FROTA!$AT$16,IF('DEFINA!!!'!$L$6="D-E-F-I-N-A !!!!!!!",0,IF('DEFINA!!!'!$L$6="Opto por Idade Média",SEM!AW150,IF('DEFINA!!!'!$L$6="Opto pelo Valor aplicado ao  Ano de cada Carro",SEM!AX150,0))),IF('DEFINA!!!'!$L$6="D-E-F-I-N-A !!!!!!!",0,IF('DEFINA!!!'!$L$6="Opto por Idade Média",SEM!AU150,IF('DEFINA!!!'!$L$6="Opto pelo Valor aplicado ao  Ano de cada Carro",SEM!AV150,0)))))))</f>
        <v/>
      </c>
      <c r="AL150" s="6"/>
      <c r="AM150" s="79" t="str">
        <f t="shared" si="46"/>
        <v/>
      </c>
      <c r="AN150" s="12"/>
      <c r="AO150" s="12"/>
      <c r="AP150" s="14"/>
      <c r="AQ150" s="16"/>
      <c r="AR150" s="15"/>
      <c r="AU150" s="198" t="str">
        <f>IF(C150="","",VLOOKUP(FROTA!$AB$2,RECEBÍVEIS!$AA$11:$AB$43,2,0))</f>
        <v/>
      </c>
      <c r="AV150" s="198" t="str">
        <f>IF(C150="","",IF(C150=FROTA!Z150="","",VLOOKUP(FROTA!Z150,RECEBÍVEIS!$AA$11:$AB$43,2,0)))</f>
        <v/>
      </c>
      <c r="AW150" s="198" t="str">
        <f>IF(C150="","",VLOOKUP(FROTA!$AB$2,RECEBÍVEIS!$AA$11:$AC$43,3,0))</f>
        <v/>
      </c>
      <c r="AX150" s="198" t="str">
        <f>IF(C150="","",IF(C150=FROTA!Z150="","",VLOOKUP(FROTA!Z150,RECEBÍVEIS!$AA$11:$AC$43,3,0)))</f>
        <v/>
      </c>
    </row>
    <row r="151" spans="2:50" ht="17.25" customHeight="1" x14ac:dyDescent="0.2">
      <c r="B151" s="6"/>
      <c r="C151" s="49" t="str">
        <f>IF(FROTA!B151="","",FROTA!B151)</f>
        <v/>
      </c>
      <c r="D151" s="220" t="str">
        <f>IF(C151="","",VLOOKUP(SEM!C151,FROTA!$B$5:$C$305,2,0))</f>
        <v/>
      </c>
      <c r="E151" s="24" t="str">
        <f>IF(C151="","",VLOOKUP(C151,FROTA!$B$5:$H$305,7,0))</f>
        <v/>
      </c>
      <c r="F151" s="38" t="str">
        <f t="shared" si="36"/>
        <v/>
      </c>
      <c r="G151" s="71" t="str">
        <f t="shared" si="47"/>
        <v/>
      </c>
      <c r="H151" s="32" t="str">
        <f t="shared" si="37"/>
        <v/>
      </c>
      <c r="I151" s="73" t="str">
        <f t="shared" si="37"/>
        <v/>
      </c>
      <c r="J151" s="73" t="str">
        <f t="shared" si="37"/>
        <v/>
      </c>
      <c r="K151" s="73" t="str">
        <f t="shared" si="35"/>
        <v/>
      </c>
      <c r="L151" s="73" t="str">
        <f t="shared" si="35"/>
        <v/>
      </c>
      <c r="M151" s="73" t="str">
        <f t="shared" si="35"/>
        <v/>
      </c>
      <c r="N151" s="73" t="str">
        <f t="shared" si="35"/>
        <v/>
      </c>
      <c r="O151" s="73" t="str">
        <f t="shared" si="35"/>
        <v/>
      </c>
      <c r="P151" s="73" t="str">
        <f t="shared" si="35"/>
        <v/>
      </c>
      <c r="Q151" s="73" t="str">
        <f t="shared" si="34"/>
        <v/>
      </c>
      <c r="R151" s="73" t="str">
        <f t="shared" si="48"/>
        <v/>
      </c>
      <c r="S151" s="73" t="str">
        <f t="shared" si="48"/>
        <v/>
      </c>
      <c r="T151" s="73" t="str">
        <f t="shared" si="48"/>
        <v/>
      </c>
      <c r="U151" s="73" t="str">
        <f t="shared" si="48"/>
        <v/>
      </c>
      <c r="V151" s="73" t="str">
        <f t="shared" si="48"/>
        <v/>
      </c>
      <c r="W151" s="73" t="str">
        <f t="shared" si="48"/>
        <v/>
      </c>
      <c r="X151" s="73" t="str">
        <f t="shared" si="48"/>
        <v/>
      </c>
      <c r="Y151" s="73" t="str">
        <f t="shared" si="48"/>
        <v/>
      </c>
      <c r="Z151" s="73" t="str">
        <f t="shared" si="48"/>
        <v/>
      </c>
      <c r="AA151" s="73" t="str">
        <f t="shared" si="48"/>
        <v/>
      </c>
      <c r="AB151" s="74" t="str">
        <f t="shared" si="48"/>
        <v/>
      </c>
      <c r="AC151" s="35" t="str">
        <f t="shared" si="38"/>
        <v/>
      </c>
      <c r="AD151" s="40" t="str">
        <f t="shared" si="39"/>
        <v/>
      </c>
      <c r="AE151" s="37" t="str">
        <f t="shared" si="40"/>
        <v/>
      </c>
      <c r="AF151" s="40" t="str">
        <f t="shared" si="41"/>
        <v/>
      </c>
      <c r="AG151" s="37" t="str">
        <f t="shared" si="42"/>
        <v/>
      </c>
      <c r="AH151" s="40" t="str">
        <f t="shared" si="43"/>
        <v/>
      </c>
      <c r="AI151" s="37" t="str">
        <f t="shared" si="44"/>
        <v/>
      </c>
      <c r="AJ151" s="40" t="str">
        <f t="shared" si="45"/>
        <v/>
      </c>
      <c r="AK151" s="204" t="str">
        <f>IF(C151="","",IF(E151=FROTA!$AT$18,IF('DEFINA!!!'!$L$6="D-E-F-I-N-A !!!!!!!",0,IF('DEFINA!!!'!$L$6="Opto por Idade Média",SEM!AW151,IF('DEFINA!!!'!$L$6="Opto pelo Valor aplicado ao  Ano de cada Carro",SEM!AX151,0))),IF(E151=FROTA!$AT$17,IF('DEFINA!!!'!$L$6="D-E-F-I-N-A !!!!!!!",0,IF('DEFINA!!!'!$L$6="Opto por Idade Média",SEM!AW151,IF('DEFINA!!!'!$L$6="Opto pelo Valor aplicado ao  Ano de cada Carro",SEM!AX151,0))),IF(E151=FROTA!$AT$16,IF('DEFINA!!!'!$L$6="D-E-F-I-N-A !!!!!!!",0,IF('DEFINA!!!'!$L$6="Opto por Idade Média",SEM!AW151,IF('DEFINA!!!'!$L$6="Opto pelo Valor aplicado ao  Ano de cada Carro",SEM!AX151,0))),IF('DEFINA!!!'!$L$6="D-E-F-I-N-A !!!!!!!",0,IF('DEFINA!!!'!$L$6="Opto por Idade Média",SEM!AU151,IF('DEFINA!!!'!$L$6="Opto pelo Valor aplicado ao  Ano de cada Carro",SEM!AV151,0)))))))</f>
        <v/>
      </c>
      <c r="AL151" s="6"/>
      <c r="AM151" s="79" t="str">
        <f t="shared" si="46"/>
        <v/>
      </c>
      <c r="AN151" s="12"/>
      <c r="AO151" s="12"/>
      <c r="AP151" s="14"/>
      <c r="AQ151" s="16"/>
      <c r="AR151" s="15"/>
      <c r="AU151" s="198" t="str">
        <f>IF(C151="","",VLOOKUP(FROTA!$AB$2,RECEBÍVEIS!$AA$11:$AB$43,2,0))</f>
        <v/>
      </c>
      <c r="AV151" s="198" t="str">
        <f>IF(C151="","",IF(C151=FROTA!Z151="","",VLOOKUP(FROTA!Z151,RECEBÍVEIS!$AA$11:$AB$43,2,0)))</f>
        <v/>
      </c>
      <c r="AW151" s="198" t="str">
        <f>IF(C151="","",VLOOKUP(FROTA!$AB$2,RECEBÍVEIS!$AA$11:$AC$43,3,0))</f>
        <v/>
      </c>
      <c r="AX151" s="198" t="str">
        <f>IF(C151="","",IF(C151=FROTA!Z151="","",VLOOKUP(FROTA!Z151,RECEBÍVEIS!$AA$11:$AC$43,3,0)))</f>
        <v/>
      </c>
    </row>
    <row r="152" spans="2:50" ht="17.25" customHeight="1" x14ac:dyDescent="0.2">
      <c r="B152" s="6"/>
      <c r="C152" s="49" t="str">
        <f>IF(FROTA!B152="","",FROTA!B152)</f>
        <v/>
      </c>
      <c r="D152" s="220" t="str">
        <f>IF(C152="","",VLOOKUP(SEM!C152,FROTA!$B$5:$C$305,2,0))</f>
        <v/>
      </c>
      <c r="E152" s="24" t="str">
        <f>IF(C152="","",VLOOKUP(C152,FROTA!$B$5:$H$305,7,0))</f>
        <v/>
      </c>
      <c r="F152" s="38" t="str">
        <f t="shared" si="36"/>
        <v/>
      </c>
      <c r="G152" s="71" t="str">
        <f t="shared" si="47"/>
        <v/>
      </c>
      <c r="H152" s="32" t="str">
        <f t="shared" si="37"/>
        <v/>
      </c>
      <c r="I152" s="73" t="str">
        <f t="shared" si="37"/>
        <v/>
      </c>
      <c r="J152" s="73" t="str">
        <f t="shared" si="37"/>
        <v/>
      </c>
      <c r="K152" s="73" t="str">
        <f t="shared" si="35"/>
        <v/>
      </c>
      <c r="L152" s="73" t="str">
        <f t="shared" si="35"/>
        <v/>
      </c>
      <c r="M152" s="73" t="str">
        <f t="shared" si="35"/>
        <v/>
      </c>
      <c r="N152" s="73" t="str">
        <f t="shared" si="35"/>
        <v/>
      </c>
      <c r="O152" s="73" t="str">
        <f t="shared" si="35"/>
        <v/>
      </c>
      <c r="P152" s="73" t="str">
        <f t="shared" si="35"/>
        <v/>
      </c>
      <c r="Q152" s="73" t="str">
        <f t="shared" si="34"/>
        <v/>
      </c>
      <c r="R152" s="73" t="str">
        <f t="shared" si="48"/>
        <v/>
      </c>
      <c r="S152" s="73" t="str">
        <f t="shared" si="48"/>
        <v/>
      </c>
      <c r="T152" s="73" t="str">
        <f t="shared" si="48"/>
        <v/>
      </c>
      <c r="U152" s="73" t="str">
        <f t="shared" si="48"/>
        <v/>
      </c>
      <c r="V152" s="73" t="str">
        <f t="shared" si="48"/>
        <v/>
      </c>
      <c r="W152" s="73" t="str">
        <f t="shared" si="48"/>
        <v/>
      </c>
      <c r="X152" s="73" t="str">
        <f t="shared" si="48"/>
        <v/>
      </c>
      <c r="Y152" s="73" t="str">
        <f t="shared" si="48"/>
        <v/>
      </c>
      <c r="Z152" s="73" t="str">
        <f t="shared" si="48"/>
        <v/>
      </c>
      <c r="AA152" s="73" t="str">
        <f t="shared" si="48"/>
        <v/>
      </c>
      <c r="AB152" s="74" t="str">
        <f t="shared" si="48"/>
        <v/>
      </c>
      <c r="AC152" s="35" t="str">
        <f t="shared" si="38"/>
        <v/>
      </c>
      <c r="AD152" s="40" t="str">
        <f t="shared" si="39"/>
        <v/>
      </c>
      <c r="AE152" s="37" t="str">
        <f t="shared" si="40"/>
        <v/>
      </c>
      <c r="AF152" s="40" t="str">
        <f t="shared" si="41"/>
        <v/>
      </c>
      <c r="AG152" s="37" t="str">
        <f t="shared" si="42"/>
        <v/>
      </c>
      <c r="AH152" s="40" t="str">
        <f t="shared" si="43"/>
        <v/>
      </c>
      <c r="AI152" s="37" t="str">
        <f t="shared" si="44"/>
        <v/>
      </c>
      <c r="AJ152" s="40" t="str">
        <f t="shared" si="45"/>
        <v/>
      </c>
      <c r="AK152" s="204" t="str">
        <f>IF(C152="","",IF(E152=FROTA!$AT$18,IF('DEFINA!!!'!$L$6="D-E-F-I-N-A !!!!!!!",0,IF('DEFINA!!!'!$L$6="Opto por Idade Média",SEM!AW152,IF('DEFINA!!!'!$L$6="Opto pelo Valor aplicado ao  Ano de cada Carro",SEM!AX152,0))),IF(E152=FROTA!$AT$17,IF('DEFINA!!!'!$L$6="D-E-F-I-N-A !!!!!!!",0,IF('DEFINA!!!'!$L$6="Opto por Idade Média",SEM!AW152,IF('DEFINA!!!'!$L$6="Opto pelo Valor aplicado ao  Ano de cada Carro",SEM!AX152,0))),IF(E152=FROTA!$AT$16,IF('DEFINA!!!'!$L$6="D-E-F-I-N-A !!!!!!!",0,IF('DEFINA!!!'!$L$6="Opto por Idade Média",SEM!AW152,IF('DEFINA!!!'!$L$6="Opto pelo Valor aplicado ao  Ano de cada Carro",SEM!AX152,0))),IF('DEFINA!!!'!$L$6="D-E-F-I-N-A !!!!!!!",0,IF('DEFINA!!!'!$L$6="Opto por Idade Média",SEM!AU152,IF('DEFINA!!!'!$L$6="Opto pelo Valor aplicado ao  Ano de cada Carro",SEM!AV152,0)))))))</f>
        <v/>
      </c>
      <c r="AL152" s="6"/>
      <c r="AM152" s="79" t="str">
        <f t="shared" si="46"/>
        <v/>
      </c>
      <c r="AN152" s="12"/>
      <c r="AO152" s="12"/>
      <c r="AP152" s="14"/>
      <c r="AQ152" s="16"/>
      <c r="AR152" s="15"/>
      <c r="AU152" s="198" t="str">
        <f>IF(C152="","",VLOOKUP(FROTA!$AB$2,RECEBÍVEIS!$AA$11:$AB$43,2,0))</f>
        <v/>
      </c>
      <c r="AV152" s="198" t="str">
        <f>IF(C152="","",IF(C152=FROTA!Z152="","",VLOOKUP(FROTA!Z152,RECEBÍVEIS!$AA$11:$AB$43,2,0)))</f>
        <v/>
      </c>
      <c r="AW152" s="198" t="str">
        <f>IF(C152="","",VLOOKUP(FROTA!$AB$2,RECEBÍVEIS!$AA$11:$AC$43,3,0))</f>
        <v/>
      </c>
      <c r="AX152" s="198" t="str">
        <f>IF(C152="","",IF(C152=FROTA!Z152="","",VLOOKUP(FROTA!Z152,RECEBÍVEIS!$AA$11:$AC$43,3,0)))</f>
        <v/>
      </c>
    </row>
    <row r="153" spans="2:50" ht="17.25" customHeight="1" x14ac:dyDescent="0.2">
      <c r="B153" s="6"/>
      <c r="C153" s="49" t="str">
        <f>IF(FROTA!B153="","",FROTA!B153)</f>
        <v/>
      </c>
      <c r="D153" s="220" t="str">
        <f>IF(C153="","",VLOOKUP(SEM!C153,FROTA!$B$5:$C$305,2,0))</f>
        <v/>
      </c>
      <c r="E153" s="24" t="str">
        <f>IF(C153="","",VLOOKUP(C153,FROTA!$B$5:$H$305,7,0))</f>
        <v/>
      </c>
      <c r="F153" s="38" t="str">
        <f t="shared" si="36"/>
        <v/>
      </c>
      <c r="G153" s="71" t="str">
        <f t="shared" si="47"/>
        <v/>
      </c>
      <c r="H153" s="32" t="str">
        <f t="shared" si="37"/>
        <v/>
      </c>
      <c r="I153" s="73" t="str">
        <f t="shared" si="37"/>
        <v/>
      </c>
      <c r="J153" s="73" t="str">
        <f t="shared" si="37"/>
        <v/>
      </c>
      <c r="K153" s="73" t="str">
        <f t="shared" si="35"/>
        <v/>
      </c>
      <c r="L153" s="73" t="str">
        <f t="shared" si="35"/>
        <v/>
      </c>
      <c r="M153" s="73" t="str">
        <f t="shared" si="35"/>
        <v/>
      </c>
      <c r="N153" s="73" t="str">
        <f t="shared" si="35"/>
        <v/>
      </c>
      <c r="O153" s="73" t="str">
        <f t="shared" si="35"/>
        <v/>
      </c>
      <c r="P153" s="73" t="str">
        <f t="shared" si="35"/>
        <v/>
      </c>
      <c r="Q153" s="73" t="str">
        <f t="shared" si="34"/>
        <v/>
      </c>
      <c r="R153" s="73" t="str">
        <f t="shared" si="48"/>
        <v/>
      </c>
      <c r="S153" s="73" t="str">
        <f t="shared" si="48"/>
        <v/>
      </c>
      <c r="T153" s="73" t="str">
        <f t="shared" si="48"/>
        <v/>
      </c>
      <c r="U153" s="73" t="str">
        <f t="shared" si="48"/>
        <v/>
      </c>
      <c r="V153" s="73" t="str">
        <f t="shared" si="48"/>
        <v/>
      </c>
      <c r="W153" s="73" t="str">
        <f t="shared" si="48"/>
        <v/>
      </c>
      <c r="X153" s="73" t="str">
        <f t="shared" si="48"/>
        <v/>
      </c>
      <c r="Y153" s="73" t="str">
        <f t="shared" si="48"/>
        <v/>
      </c>
      <c r="Z153" s="73" t="str">
        <f t="shared" si="48"/>
        <v/>
      </c>
      <c r="AA153" s="73" t="str">
        <f t="shared" si="48"/>
        <v/>
      </c>
      <c r="AB153" s="74" t="str">
        <f t="shared" si="48"/>
        <v/>
      </c>
      <c r="AC153" s="35" t="str">
        <f t="shared" si="38"/>
        <v/>
      </c>
      <c r="AD153" s="40" t="str">
        <f t="shared" si="39"/>
        <v/>
      </c>
      <c r="AE153" s="37" t="str">
        <f t="shared" si="40"/>
        <v/>
      </c>
      <c r="AF153" s="40" t="str">
        <f t="shared" si="41"/>
        <v/>
      </c>
      <c r="AG153" s="37" t="str">
        <f t="shared" si="42"/>
        <v/>
      </c>
      <c r="AH153" s="40" t="str">
        <f t="shared" si="43"/>
        <v/>
      </c>
      <c r="AI153" s="37" t="str">
        <f t="shared" si="44"/>
        <v/>
      </c>
      <c r="AJ153" s="40" t="str">
        <f t="shared" si="45"/>
        <v/>
      </c>
      <c r="AK153" s="204" t="str">
        <f>IF(C153="","",IF(E153=FROTA!$AT$18,IF('DEFINA!!!'!$L$6="D-E-F-I-N-A !!!!!!!",0,IF('DEFINA!!!'!$L$6="Opto por Idade Média",SEM!AW153,IF('DEFINA!!!'!$L$6="Opto pelo Valor aplicado ao  Ano de cada Carro",SEM!AX153,0))),IF(E153=FROTA!$AT$17,IF('DEFINA!!!'!$L$6="D-E-F-I-N-A !!!!!!!",0,IF('DEFINA!!!'!$L$6="Opto por Idade Média",SEM!AW153,IF('DEFINA!!!'!$L$6="Opto pelo Valor aplicado ao  Ano de cada Carro",SEM!AX153,0))),IF(E153=FROTA!$AT$16,IF('DEFINA!!!'!$L$6="D-E-F-I-N-A !!!!!!!",0,IF('DEFINA!!!'!$L$6="Opto por Idade Média",SEM!AW153,IF('DEFINA!!!'!$L$6="Opto pelo Valor aplicado ao  Ano de cada Carro",SEM!AX153,0))),IF('DEFINA!!!'!$L$6="D-E-F-I-N-A !!!!!!!",0,IF('DEFINA!!!'!$L$6="Opto por Idade Média",SEM!AU153,IF('DEFINA!!!'!$L$6="Opto pelo Valor aplicado ao  Ano de cada Carro",SEM!AV153,0)))))))</f>
        <v/>
      </c>
      <c r="AL153" s="6"/>
      <c r="AM153" s="79" t="str">
        <f t="shared" si="46"/>
        <v/>
      </c>
      <c r="AN153" s="12"/>
      <c r="AO153" s="12"/>
      <c r="AP153" s="14"/>
      <c r="AQ153" s="16"/>
      <c r="AR153" s="15"/>
      <c r="AU153" s="198" t="str">
        <f>IF(C153="","",VLOOKUP(FROTA!$AB$2,RECEBÍVEIS!$AA$11:$AB$43,2,0))</f>
        <v/>
      </c>
      <c r="AV153" s="198" t="str">
        <f>IF(C153="","",IF(C153=FROTA!Z153="","",VLOOKUP(FROTA!Z153,RECEBÍVEIS!$AA$11:$AB$43,2,0)))</f>
        <v/>
      </c>
      <c r="AW153" s="198" t="str">
        <f>IF(C153="","",VLOOKUP(FROTA!$AB$2,RECEBÍVEIS!$AA$11:$AC$43,3,0))</f>
        <v/>
      </c>
      <c r="AX153" s="198" t="str">
        <f>IF(C153="","",IF(C153=FROTA!Z153="","",VLOOKUP(FROTA!Z153,RECEBÍVEIS!$AA$11:$AC$43,3,0)))</f>
        <v/>
      </c>
    </row>
    <row r="154" spans="2:50" ht="17.25" customHeight="1" x14ac:dyDescent="0.2">
      <c r="B154" s="6"/>
      <c r="C154" s="49" t="str">
        <f>IF(FROTA!B154="","",FROTA!B154)</f>
        <v/>
      </c>
      <c r="D154" s="220" t="str">
        <f>IF(C154="","",VLOOKUP(SEM!C154,FROTA!$B$5:$C$305,2,0))</f>
        <v/>
      </c>
      <c r="E154" s="24" t="str">
        <f>IF(C154="","",VLOOKUP(C154,FROTA!$B$5:$H$305,7,0))</f>
        <v/>
      </c>
      <c r="F154" s="38" t="str">
        <f t="shared" si="36"/>
        <v/>
      </c>
      <c r="G154" s="71" t="str">
        <f t="shared" si="47"/>
        <v/>
      </c>
      <c r="H154" s="32" t="str">
        <f t="shared" si="37"/>
        <v/>
      </c>
      <c r="I154" s="73" t="str">
        <f t="shared" si="37"/>
        <v/>
      </c>
      <c r="J154" s="73" t="str">
        <f t="shared" si="37"/>
        <v/>
      </c>
      <c r="K154" s="73" t="str">
        <f t="shared" si="35"/>
        <v/>
      </c>
      <c r="L154" s="73" t="str">
        <f t="shared" si="35"/>
        <v/>
      </c>
      <c r="M154" s="73" t="str">
        <f t="shared" si="35"/>
        <v/>
      </c>
      <c r="N154" s="73" t="str">
        <f t="shared" si="35"/>
        <v/>
      </c>
      <c r="O154" s="73" t="str">
        <f t="shared" si="35"/>
        <v/>
      </c>
      <c r="P154" s="73" t="str">
        <f t="shared" si="35"/>
        <v/>
      </c>
      <c r="Q154" s="73" t="str">
        <f t="shared" si="34"/>
        <v/>
      </c>
      <c r="R154" s="73" t="str">
        <f t="shared" si="48"/>
        <v/>
      </c>
      <c r="S154" s="73" t="str">
        <f t="shared" si="48"/>
        <v/>
      </c>
      <c r="T154" s="73" t="str">
        <f t="shared" si="48"/>
        <v/>
      </c>
      <c r="U154" s="73" t="str">
        <f t="shared" si="48"/>
        <v/>
      </c>
      <c r="V154" s="73" t="str">
        <f t="shared" si="48"/>
        <v/>
      </c>
      <c r="W154" s="73" t="str">
        <f t="shared" si="48"/>
        <v/>
      </c>
      <c r="X154" s="73" t="str">
        <f t="shared" si="48"/>
        <v/>
      </c>
      <c r="Y154" s="73" t="str">
        <f t="shared" si="48"/>
        <v/>
      </c>
      <c r="Z154" s="73" t="str">
        <f t="shared" si="48"/>
        <v/>
      </c>
      <c r="AA154" s="73" t="str">
        <f t="shared" si="48"/>
        <v/>
      </c>
      <c r="AB154" s="74" t="str">
        <f t="shared" si="48"/>
        <v/>
      </c>
      <c r="AC154" s="35" t="str">
        <f t="shared" si="38"/>
        <v/>
      </c>
      <c r="AD154" s="40" t="str">
        <f t="shared" si="39"/>
        <v/>
      </c>
      <c r="AE154" s="37" t="str">
        <f t="shared" si="40"/>
        <v/>
      </c>
      <c r="AF154" s="40" t="str">
        <f t="shared" si="41"/>
        <v/>
      </c>
      <c r="AG154" s="37" t="str">
        <f t="shared" si="42"/>
        <v/>
      </c>
      <c r="AH154" s="40" t="str">
        <f t="shared" si="43"/>
        <v/>
      </c>
      <c r="AI154" s="37" t="str">
        <f t="shared" si="44"/>
        <v/>
      </c>
      <c r="AJ154" s="40" t="str">
        <f t="shared" si="45"/>
        <v/>
      </c>
      <c r="AK154" s="204" t="str">
        <f>IF(C154="","",IF(E154=FROTA!$AT$18,IF('DEFINA!!!'!$L$6="D-E-F-I-N-A !!!!!!!",0,IF('DEFINA!!!'!$L$6="Opto por Idade Média",SEM!AW154,IF('DEFINA!!!'!$L$6="Opto pelo Valor aplicado ao  Ano de cada Carro",SEM!AX154,0))),IF(E154=FROTA!$AT$17,IF('DEFINA!!!'!$L$6="D-E-F-I-N-A !!!!!!!",0,IF('DEFINA!!!'!$L$6="Opto por Idade Média",SEM!AW154,IF('DEFINA!!!'!$L$6="Opto pelo Valor aplicado ao  Ano de cada Carro",SEM!AX154,0))),IF(E154=FROTA!$AT$16,IF('DEFINA!!!'!$L$6="D-E-F-I-N-A !!!!!!!",0,IF('DEFINA!!!'!$L$6="Opto por Idade Média",SEM!AW154,IF('DEFINA!!!'!$L$6="Opto pelo Valor aplicado ao  Ano de cada Carro",SEM!AX154,0))),IF('DEFINA!!!'!$L$6="D-E-F-I-N-A !!!!!!!",0,IF('DEFINA!!!'!$L$6="Opto por Idade Média",SEM!AU154,IF('DEFINA!!!'!$L$6="Opto pelo Valor aplicado ao  Ano de cada Carro",SEM!AV154,0)))))))</f>
        <v/>
      </c>
      <c r="AL154" s="6"/>
      <c r="AM154" s="79" t="str">
        <f t="shared" si="46"/>
        <v/>
      </c>
      <c r="AN154" s="12"/>
      <c r="AO154" s="12"/>
      <c r="AP154" s="14"/>
      <c r="AQ154" s="16"/>
      <c r="AR154" s="15"/>
      <c r="AU154" s="198" t="str">
        <f>IF(C154="","",VLOOKUP(FROTA!$AB$2,RECEBÍVEIS!$AA$11:$AB$43,2,0))</f>
        <v/>
      </c>
      <c r="AV154" s="198" t="str">
        <f>IF(C154="","",IF(C154=FROTA!Z154="","",VLOOKUP(FROTA!Z154,RECEBÍVEIS!$AA$11:$AB$43,2,0)))</f>
        <v/>
      </c>
      <c r="AW154" s="198" t="str">
        <f>IF(C154="","",VLOOKUP(FROTA!$AB$2,RECEBÍVEIS!$AA$11:$AC$43,3,0))</f>
        <v/>
      </c>
      <c r="AX154" s="198" t="str">
        <f>IF(C154="","",IF(C154=FROTA!Z154="","",VLOOKUP(FROTA!Z154,RECEBÍVEIS!$AA$11:$AC$43,3,0)))</f>
        <v/>
      </c>
    </row>
    <row r="155" spans="2:50" ht="17.25" customHeight="1" x14ac:dyDescent="0.2">
      <c r="B155" s="6"/>
      <c r="C155" s="49" t="str">
        <f>IF(FROTA!B155="","",FROTA!B155)</f>
        <v/>
      </c>
      <c r="D155" s="220" t="str">
        <f>IF(C155="","",VLOOKUP(SEM!C155,FROTA!$B$5:$C$305,2,0))</f>
        <v/>
      </c>
      <c r="E155" s="24" t="str">
        <f>IF(C155="","",VLOOKUP(C155,FROTA!$B$5:$H$305,7,0))</f>
        <v/>
      </c>
      <c r="F155" s="38" t="str">
        <f t="shared" si="36"/>
        <v/>
      </c>
      <c r="G155" s="71" t="str">
        <f t="shared" si="47"/>
        <v/>
      </c>
      <c r="H155" s="32" t="str">
        <f t="shared" si="37"/>
        <v/>
      </c>
      <c r="I155" s="73" t="str">
        <f t="shared" si="37"/>
        <v/>
      </c>
      <c r="J155" s="73" t="str">
        <f t="shared" si="37"/>
        <v/>
      </c>
      <c r="K155" s="73" t="str">
        <f t="shared" si="35"/>
        <v/>
      </c>
      <c r="L155" s="73" t="str">
        <f t="shared" si="35"/>
        <v/>
      </c>
      <c r="M155" s="73" t="str">
        <f t="shared" si="35"/>
        <v/>
      </c>
      <c r="N155" s="73" t="str">
        <f t="shared" si="35"/>
        <v/>
      </c>
      <c r="O155" s="73" t="str">
        <f t="shared" si="35"/>
        <v/>
      </c>
      <c r="P155" s="73" t="str">
        <f t="shared" si="35"/>
        <v/>
      </c>
      <c r="Q155" s="73" t="str">
        <f t="shared" si="34"/>
        <v/>
      </c>
      <c r="R155" s="73" t="str">
        <f t="shared" si="48"/>
        <v/>
      </c>
      <c r="S155" s="73" t="str">
        <f t="shared" si="48"/>
        <v/>
      </c>
      <c r="T155" s="73" t="str">
        <f t="shared" si="48"/>
        <v/>
      </c>
      <c r="U155" s="73" t="str">
        <f t="shared" si="48"/>
        <v/>
      </c>
      <c r="V155" s="73" t="str">
        <f t="shared" si="48"/>
        <v/>
      </c>
      <c r="W155" s="73" t="str">
        <f t="shared" si="48"/>
        <v/>
      </c>
      <c r="X155" s="73" t="str">
        <f t="shared" si="48"/>
        <v/>
      </c>
      <c r="Y155" s="73" t="str">
        <f t="shared" si="48"/>
        <v/>
      </c>
      <c r="Z155" s="73" t="str">
        <f t="shared" si="48"/>
        <v/>
      </c>
      <c r="AA155" s="73" t="str">
        <f t="shared" si="48"/>
        <v/>
      </c>
      <c r="AB155" s="74" t="str">
        <f t="shared" si="48"/>
        <v/>
      </c>
      <c r="AC155" s="35" t="str">
        <f t="shared" si="38"/>
        <v/>
      </c>
      <c r="AD155" s="40" t="str">
        <f t="shared" si="39"/>
        <v/>
      </c>
      <c r="AE155" s="37" t="str">
        <f t="shared" si="40"/>
        <v/>
      </c>
      <c r="AF155" s="40" t="str">
        <f t="shared" si="41"/>
        <v/>
      </c>
      <c r="AG155" s="37" t="str">
        <f t="shared" si="42"/>
        <v/>
      </c>
      <c r="AH155" s="40" t="str">
        <f t="shared" si="43"/>
        <v/>
      </c>
      <c r="AI155" s="37" t="str">
        <f t="shared" si="44"/>
        <v/>
      </c>
      <c r="AJ155" s="40" t="str">
        <f t="shared" si="45"/>
        <v/>
      </c>
      <c r="AK155" s="204" t="str">
        <f>IF(C155="","",IF(E155=FROTA!$AT$18,IF('DEFINA!!!'!$L$6="D-E-F-I-N-A !!!!!!!",0,IF('DEFINA!!!'!$L$6="Opto por Idade Média",SEM!AW155,IF('DEFINA!!!'!$L$6="Opto pelo Valor aplicado ao  Ano de cada Carro",SEM!AX155,0))),IF(E155=FROTA!$AT$17,IF('DEFINA!!!'!$L$6="D-E-F-I-N-A !!!!!!!",0,IF('DEFINA!!!'!$L$6="Opto por Idade Média",SEM!AW155,IF('DEFINA!!!'!$L$6="Opto pelo Valor aplicado ao  Ano de cada Carro",SEM!AX155,0))),IF(E155=FROTA!$AT$16,IF('DEFINA!!!'!$L$6="D-E-F-I-N-A !!!!!!!",0,IF('DEFINA!!!'!$L$6="Opto por Idade Média",SEM!AW155,IF('DEFINA!!!'!$L$6="Opto pelo Valor aplicado ao  Ano de cada Carro",SEM!AX155,0))),IF('DEFINA!!!'!$L$6="D-E-F-I-N-A !!!!!!!",0,IF('DEFINA!!!'!$L$6="Opto por Idade Média",SEM!AU155,IF('DEFINA!!!'!$L$6="Opto pelo Valor aplicado ao  Ano de cada Carro",SEM!AV155,0)))))))</f>
        <v/>
      </c>
      <c r="AL155" s="6"/>
      <c r="AM155" s="79" t="str">
        <f t="shared" si="46"/>
        <v/>
      </c>
      <c r="AN155" s="12"/>
      <c r="AO155" s="12"/>
      <c r="AP155" s="14"/>
      <c r="AQ155" s="16"/>
      <c r="AR155" s="15"/>
      <c r="AU155" s="198" t="str">
        <f>IF(C155="","",VLOOKUP(FROTA!$AB$2,RECEBÍVEIS!$AA$11:$AB$43,2,0))</f>
        <v/>
      </c>
      <c r="AV155" s="198" t="str">
        <f>IF(C155="","",IF(C155=FROTA!Z155="","",VLOOKUP(FROTA!Z155,RECEBÍVEIS!$AA$11:$AB$43,2,0)))</f>
        <v/>
      </c>
      <c r="AW155" s="198" t="str">
        <f>IF(C155="","",VLOOKUP(FROTA!$AB$2,RECEBÍVEIS!$AA$11:$AC$43,3,0))</f>
        <v/>
      </c>
      <c r="AX155" s="198" t="str">
        <f>IF(C155="","",IF(C155=FROTA!Z155="","",VLOOKUP(FROTA!Z155,RECEBÍVEIS!$AA$11:$AC$43,3,0)))</f>
        <v/>
      </c>
    </row>
    <row r="156" spans="2:50" ht="17.25" customHeight="1" x14ac:dyDescent="0.2">
      <c r="B156" s="6"/>
      <c r="C156" s="49" t="str">
        <f>IF(FROTA!B156="","",FROTA!B156)</f>
        <v/>
      </c>
      <c r="D156" s="220" t="str">
        <f>IF(C156="","",VLOOKUP(SEM!C156,FROTA!$B$5:$C$305,2,0))</f>
        <v/>
      </c>
      <c r="E156" s="24" t="str">
        <f>IF(C156="","",VLOOKUP(C156,FROTA!$B$5:$H$305,7,0))</f>
        <v/>
      </c>
      <c r="F156" s="38" t="str">
        <f t="shared" si="36"/>
        <v/>
      </c>
      <c r="G156" s="71" t="str">
        <f t="shared" si="47"/>
        <v/>
      </c>
      <c r="H156" s="32" t="str">
        <f t="shared" si="37"/>
        <v/>
      </c>
      <c r="I156" s="73" t="str">
        <f t="shared" si="37"/>
        <v/>
      </c>
      <c r="J156" s="73" t="str">
        <f t="shared" si="37"/>
        <v/>
      </c>
      <c r="K156" s="73" t="str">
        <f t="shared" si="35"/>
        <v/>
      </c>
      <c r="L156" s="73" t="str">
        <f t="shared" si="35"/>
        <v/>
      </c>
      <c r="M156" s="73" t="str">
        <f t="shared" si="35"/>
        <v/>
      </c>
      <c r="N156" s="73" t="str">
        <f t="shared" si="35"/>
        <v/>
      </c>
      <c r="O156" s="73" t="str">
        <f t="shared" si="35"/>
        <v/>
      </c>
      <c r="P156" s="73" t="str">
        <f t="shared" si="35"/>
        <v/>
      </c>
      <c r="Q156" s="73" t="str">
        <f t="shared" si="34"/>
        <v/>
      </c>
      <c r="R156" s="73" t="str">
        <f t="shared" si="48"/>
        <v/>
      </c>
      <c r="S156" s="73" t="str">
        <f t="shared" si="48"/>
        <v/>
      </c>
      <c r="T156" s="73" t="str">
        <f t="shared" si="48"/>
        <v/>
      </c>
      <c r="U156" s="73" t="str">
        <f t="shared" si="48"/>
        <v/>
      </c>
      <c r="V156" s="73" t="str">
        <f t="shared" si="48"/>
        <v/>
      </c>
      <c r="W156" s="73" t="str">
        <f t="shared" si="48"/>
        <v/>
      </c>
      <c r="X156" s="73" t="str">
        <f t="shared" si="48"/>
        <v/>
      </c>
      <c r="Y156" s="73" t="str">
        <f t="shared" si="48"/>
        <v/>
      </c>
      <c r="Z156" s="73" t="str">
        <f t="shared" si="48"/>
        <v/>
      </c>
      <c r="AA156" s="73" t="str">
        <f t="shared" si="48"/>
        <v/>
      </c>
      <c r="AB156" s="74" t="str">
        <f t="shared" si="48"/>
        <v/>
      </c>
      <c r="AC156" s="35" t="str">
        <f t="shared" si="38"/>
        <v/>
      </c>
      <c r="AD156" s="40" t="str">
        <f t="shared" si="39"/>
        <v/>
      </c>
      <c r="AE156" s="37" t="str">
        <f t="shared" si="40"/>
        <v/>
      </c>
      <c r="AF156" s="40" t="str">
        <f t="shared" si="41"/>
        <v/>
      </c>
      <c r="AG156" s="37" t="str">
        <f t="shared" si="42"/>
        <v/>
      </c>
      <c r="AH156" s="40" t="str">
        <f t="shared" si="43"/>
        <v/>
      </c>
      <c r="AI156" s="37" t="str">
        <f t="shared" si="44"/>
        <v/>
      </c>
      <c r="AJ156" s="40" t="str">
        <f t="shared" si="45"/>
        <v/>
      </c>
      <c r="AK156" s="204" t="str">
        <f>IF(C156="","",IF(E156=FROTA!$AT$18,IF('DEFINA!!!'!$L$6="D-E-F-I-N-A !!!!!!!",0,IF('DEFINA!!!'!$L$6="Opto por Idade Média",SEM!AW156,IF('DEFINA!!!'!$L$6="Opto pelo Valor aplicado ao  Ano de cada Carro",SEM!AX156,0))),IF(E156=FROTA!$AT$17,IF('DEFINA!!!'!$L$6="D-E-F-I-N-A !!!!!!!",0,IF('DEFINA!!!'!$L$6="Opto por Idade Média",SEM!AW156,IF('DEFINA!!!'!$L$6="Opto pelo Valor aplicado ao  Ano de cada Carro",SEM!AX156,0))),IF(E156=FROTA!$AT$16,IF('DEFINA!!!'!$L$6="D-E-F-I-N-A !!!!!!!",0,IF('DEFINA!!!'!$L$6="Opto por Idade Média",SEM!AW156,IF('DEFINA!!!'!$L$6="Opto pelo Valor aplicado ao  Ano de cada Carro",SEM!AX156,0))),IF('DEFINA!!!'!$L$6="D-E-F-I-N-A !!!!!!!",0,IF('DEFINA!!!'!$L$6="Opto por Idade Média",SEM!AU156,IF('DEFINA!!!'!$L$6="Opto pelo Valor aplicado ao  Ano de cada Carro",SEM!AV156,0)))))))</f>
        <v/>
      </c>
      <c r="AL156" s="6"/>
      <c r="AM156" s="79" t="str">
        <f t="shared" si="46"/>
        <v/>
      </c>
      <c r="AN156" s="12"/>
      <c r="AO156" s="12"/>
      <c r="AP156" s="14"/>
      <c r="AQ156" s="16"/>
      <c r="AR156" s="15"/>
      <c r="AU156" s="198" t="str">
        <f>IF(C156="","",VLOOKUP(FROTA!$AB$2,RECEBÍVEIS!$AA$11:$AB$43,2,0))</f>
        <v/>
      </c>
      <c r="AV156" s="198" t="str">
        <f>IF(C156="","",IF(C156=FROTA!Z156="","",VLOOKUP(FROTA!Z156,RECEBÍVEIS!$AA$11:$AB$43,2,0)))</f>
        <v/>
      </c>
      <c r="AW156" s="198" t="str">
        <f>IF(C156="","",VLOOKUP(FROTA!$AB$2,RECEBÍVEIS!$AA$11:$AC$43,3,0))</f>
        <v/>
      </c>
      <c r="AX156" s="198" t="str">
        <f>IF(C156="","",IF(C156=FROTA!Z156="","",VLOOKUP(FROTA!Z156,RECEBÍVEIS!$AA$11:$AC$43,3,0)))</f>
        <v/>
      </c>
    </row>
    <row r="157" spans="2:50" ht="17.25" customHeight="1" x14ac:dyDescent="0.2">
      <c r="B157" s="6"/>
      <c r="C157" s="49" t="str">
        <f>IF(FROTA!B157="","",FROTA!B157)</f>
        <v/>
      </c>
      <c r="D157" s="220" t="str">
        <f>IF(C157="","",VLOOKUP(SEM!C157,FROTA!$B$5:$C$305,2,0))</f>
        <v/>
      </c>
      <c r="E157" s="24" t="str">
        <f>IF(C157="","",VLOOKUP(C157,FROTA!$B$5:$H$305,7,0))</f>
        <v/>
      </c>
      <c r="F157" s="38" t="str">
        <f t="shared" si="36"/>
        <v/>
      </c>
      <c r="G157" s="71" t="str">
        <f t="shared" si="47"/>
        <v/>
      </c>
      <c r="H157" s="32" t="str">
        <f t="shared" si="37"/>
        <v/>
      </c>
      <c r="I157" s="73" t="str">
        <f t="shared" si="37"/>
        <v/>
      </c>
      <c r="J157" s="73" t="str">
        <f t="shared" si="37"/>
        <v/>
      </c>
      <c r="K157" s="73" t="str">
        <f t="shared" si="35"/>
        <v/>
      </c>
      <c r="L157" s="73" t="str">
        <f t="shared" si="35"/>
        <v/>
      </c>
      <c r="M157" s="73" t="str">
        <f t="shared" si="35"/>
        <v/>
      </c>
      <c r="N157" s="73" t="str">
        <f t="shared" si="35"/>
        <v/>
      </c>
      <c r="O157" s="73" t="str">
        <f t="shared" si="35"/>
        <v/>
      </c>
      <c r="P157" s="73" t="str">
        <f t="shared" si="35"/>
        <v/>
      </c>
      <c r="Q157" s="73" t="str">
        <f t="shared" si="34"/>
        <v/>
      </c>
      <c r="R157" s="73" t="str">
        <f t="shared" si="48"/>
        <v/>
      </c>
      <c r="S157" s="73" t="str">
        <f t="shared" si="48"/>
        <v/>
      </c>
      <c r="T157" s="73" t="str">
        <f t="shared" si="48"/>
        <v/>
      </c>
      <c r="U157" s="73" t="str">
        <f t="shared" si="48"/>
        <v/>
      </c>
      <c r="V157" s="73" t="str">
        <f t="shared" si="48"/>
        <v/>
      </c>
      <c r="W157" s="73" t="str">
        <f t="shared" si="48"/>
        <v/>
      </c>
      <c r="X157" s="73" t="str">
        <f t="shared" si="48"/>
        <v/>
      </c>
      <c r="Y157" s="73" t="str">
        <f t="shared" si="48"/>
        <v/>
      </c>
      <c r="Z157" s="73" t="str">
        <f t="shared" si="48"/>
        <v/>
      </c>
      <c r="AA157" s="73" t="str">
        <f t="shared" si="48"/>
        <v/>
      </c>
      <c r="AB157" s="74" t="str">
        <f t="shared" si="48"/>
        <v/>
      </c>
      <c r="AC157" s="35" t="str">
        <f t="shared" si="38"/>
        <v/>
      </c>
      <c r="AD157" s="40" t="str">
        <f t="shared" si="39"/>
        <v/>
      </c>
      <c r="AE157" s="37" t="str">
        <f t="shared" si="40"/>
        <v/>
      </c>
      <c r="AF157" s="40" t="str">
        <f t="shared" si="41"/>
        <v/>
      </c>
      <c r="AG157" s="37" t="str">
        <f t="shared" si="42"/>
        <v/>
      </c>
      <c r="AH157" s="40" t="str">
        <f t="shared" si="43"/>
        <v/>
      </c>
      <c r="AI157" s="37" t="str">
        <f t="shared" si="44"/>
        <v/>
      </c>
      <c r="AJ157" s="40" t="str">
        <f t="shared" si="45"/>
        <v/>
      </c>
      <c r="AK157" s="204" t="str">
        <f>IF(C157="","",IF(E157=FROTA!$AT$18,IF('DEFINA!!!'!$L$6="D-E-F-I-N-A !!!!!!!",0,IF('DEFINA!!!'!$L$6="Opto por Idade Média",SEM!AW157,IF('DEFINA!!!'!$L$6="Opto pelo Valor aplicado ao  Ano de cada Carro",SEM!AX157,0))),IF(E157=FROTA!$AT$17,IF('DEFINA!!!'!$L$6="D-E-F-I-N-A !!!!!!!",0,IF('DEFINA!!!'!$L$6="Opto por Idade Média",SEM!AW157,IF('DEFINA!!!'!$L$6="Opto pelo Valor aplicado ao  Ano de cada Carro",SEM!AX157,0))),IF(E157=FROTA!$AT$16,IF('DEFINA!!!'!$L$6="D-E-F-I-N-A !!!!!!!",0,IF('DEFINA!!!'!$L$6="Opto por Idade Média",SEM!AW157,IF('DEFINA!!!'!$L$6="Opto pelo Valor aplicado ao  Ano de cada Carro",SEM!AX157,0))),IF('DEFINA!!!'!$L$6="D-E-F-I-N-A !!!!!!!",0,IF('DEFINA!!!'!$L$6="Opto por Idade Média",SEM!AU157,IF('DEFINA!!!'!$L$6="Opto pelo Valor aplicado ao  Ano de cada Carro",SEM!AV157,0)))))))</f>
        <v/>
      </c>
      <c r="AL157" s="6"/>
      <c r="AM157" s="79" t="str">
        <f t="shared" si="46"/>
        <v/>
      </c>
      <c r="AN157" s="12"/>
      <c r="AO157" s="12"/>
      <c r="AP157" s="14"/>
      <c r="AQ157" s="16"/>
      <c r="AR157" s="15"/>
      <c r="AU157" s="198" t="str">
        <f>IF(C157="","",VLOOKUP(FROTA!$AB$2,RECEBÍVEIS!$AA$11:$AB$43,2,0))</f>
        <v/>
      </c>
      <c r="AV157" s="198" t="str">
        <f>IF(C157="","",IF(C157=FROTA!Z157="","",VLOOKUP(FROTA!Z157,RECEBÍVEIS!$AA$11:$AB$43,2,0)))</f>
        <v/>
      </c>
      <c r="AW157" s="198" t="str">
        <f>IF(C157="","",VLOOKUP(FROTA!$AB$2,RECEBÍVEIS!$AA$11:$AC$43,3,0))</f>
        <v/>
      </c>
      <c r="AX157" s="198" t="str">
        <f>IF(C157="","",IF(C157=FROTA!Z157="","",VLOOKUP(FROTA!Z157,RECEBÍVEIS!$AA$11:$AC$43,3,0)))</f>
        <v/>
      </c>
    </row>
    <row r="158" spans="2:50" ht="17.25" customHeight="1" x14ac:dyDescent="0.2">
      <c r="B158" s="6"/>
      <c r="C158" s="49" t="str">
        <f>IF(FROTA!B158="","",FROTA!B158)</f>
        <v/>
      </c>
      <c r="D158" s="220" t="str">
        <f>IF(C158="","",VLOOKUP(SEM!C158,FROTA!$B$5:$C$305,2,0))</f>
        <v/>
      </c>
      <c r="E158" s="24" t="str">
        <f>IF(C158="","",VLOOKUP(C158,FROTA!$B$5:$H$305,7,0))</f>
        <v/>
      </c>
      <c r="F158" s="38" t="str">
        <f t="shared" si="36"/>
        <v/>
      </c>
      <c r="G158" s="71" t="str">
        <f t="shared" si="47"/>
        <v/>
      </c>
      <c r="H158" s="32" t="str">
        <f t="shared" si="37"/>
        <v/>
      </c>
      <c r="I158" s="73" t="str">
        <f t="shared" si="37"/>
        <v/>
      </c>
      <c r="J158" s="73" t="str">
        <f t="shared" si="37"/>
        <v/>
      </c>
      <c r="K158" s="73" t="str">
        <f t="shared" si="35"/>
        <v/>
      </c>
      <c r="L158" s="73" t="str">
        <f t="shared" si="35"/>
        <v/>
      </c>
      <c r="M158" s="73" t="str">
        <f t="shared" si="35"/>
        <v/>
      </c>
      <c r="N158" s="73" t="str">
        <f t="shared" si="35"/>
        <v/>
      </c>
      <c r="O158" s="73" t="str">
        <f t="shared" si="35"/>
        <v/>
      </c>
      <c r="P158" s="73" t="str">
        <f t="shared" si="35"/>
        <v/>
      </c>
      <c r="Q158" s="73" t="str">
        <f t="shared" si="34"/>
        <v/>
      </c>
      <c r="R158" s="73" t="str">
        <f t="shared" si="48"/>
        <v/>
      </c>
      <c r="S158" s="73" t="str">
        <f t="shared" si="48"/>
        <v/>
      </c>
      <c r="T158" s="73" t="str">
        <f t="shared" si="48"/>
        <v/>
      </c>
      <c r="U158" s="73" t="str">
        <f t="shared" si="48"/>
        <v/>
      </c>
      <c r="V158" s="73" t="str">
        <f t="shared" si="48"/>
        <v/>
      </c>
      <c r="W158" s="73" t="str">
        <f t="shared" si="48"/>
        <v/>
      </c>
      <c r="X158" s="73" t="str">
        <f t="shared" si="48"/>
        <v/>
      </c>
      <c r="Y158" s="73" t="str">
        <f t="shared" si="48"/>
        <v/>
      </c>
      <c r="Z158" s="73" t="str">
        <f t="shared" si="48"/>
        <v/>
      </c>
      <c r="AA158" s="73" t="str">
        <f t="shared" si="48"/>
        <v/>
      </c>
      <c r="AB158" s="74" t="str">
        <f t="shared" si="48"/>
        <v/>
      </c>
      <c r="AC158" s="35" t="str">
        <f t="shared" si="38"/>
        <v/>
      </c>
      <c r="AD158" s="40" t="str">
        <f t="shared" si="39"/>
        <v/>
      </c>
      <c r="AE158" s="37" t="str">
        <f t="shared" si="40"/>
        <v/>
      </c>
      <c r="AF158" s="40" t="str">
        <f t="shared" si="41"/>
        <v/>
      </c>
      <c r="AG158" s="37" t="str">
        <f t="shared" si="42"/>
        <v/>
      </c>
      <c r="AH158" s="40" t="str">
        <f t="shared" si="43"/>
        <v/>
      </c>
      <c r="AI158" s="37" t="str">
        <f t="shared" si="44"/>
        <v/>
      </c>
      <c r="AJ158" s="40" t="str">
        <f t="shared" si="45"/>
        <v/>
      </c>
      <c r="AK158" s="204" t="str">
        <f>IF(C158="","",IF(E158=FROTA!$AT$18,IF('DEFINA!!!'!$L$6="D-E-F-I-N-A !!!!!!!",0,IF('DEFINA!!!'!$L$6="Opto por Idade Média",SEM!AW158,IF('DEFINA!!!'!$L$6="Opto pelo Valor aplicado ao  Ano de cada Carro",SEM!AX158,0))),IF(E158=FROTA!$AT$17,IF('DEFINA!!!'!$L$6="D-E-F-I-N-A !!!!!!!",0,IF('DEFINA!!!'!$L$6="Opto por Idade Média",SEM!AW158,IF('DEFINA!!!'!$L$6="Opto pelo Valor aplicado ao  Ano de cada Carro",SEM!AX158,0))),IF(E158=FROTA!$AT$16,IF('DEFINA!!!'!$L$6="D-E-F-I-N-A !!!!!!!",0,IF('DEFINA!!!'!$L$6="Opto por Idade Média",SEM!AW158,IF('DEFINA!!!'!$L$6="Opto pelo Valor aplicado ao  Ano de cada Carro",SEM!AX158,0))),IF('DEFINA!!!'!$L$6="D-E-F-I-N-A !!!!!!!",0,IF('DEFINA!!!'!$L$6="Opto por Idade Média",SEM!AU158,IF('DEFINA!!!'!$L$6="Opto pelo Valor aplicado ao  Ano de cada Carro",SEM!AV158,0)))))))</f>
        <v/>
      </c>
      <c r="AL158" s="6"/>
      <c r="AM158" s="79" t="str">
        <f t="shared" si="46"/>
        <v/>
      </c>
      <c r="AN158" s="12"/>
      <c r="AO158" s="12"/>
      <c r="AP158" s="14"/>
      <c r="AQ158" s="16"/>
      <c r="AR158" s="15"/>
      <c r="AU158" s="198" t="str">
        <f>IF(C158="","",VLOOKUP(FROTA!$AB$2,RECEBÍVEIS!$AA$11:$AB$43,2,0))</f>
        <v/>
      </c>
      <c r="AV158" s="198" t="str">
        <f>IF(C158="","",IF(C158=FROTA!Z158="","",VLOOKUP(FROTA!Z158,RECEBÍVEIS!$AA$11:$AB$43,2,0)))</f>
        <v/>
      </c>
      <c r="AW158" s="198" t="str">
        <f>IF(C158="","",VLOOKUP(FROTA!$AB$2,RECEBÍVEIS!$AA$11:$AC$43,3,0))</f>
        <v/>
      </c>
      <c r="AX158" s="198" t="str">
        <f>IF(C158="","",IF(C158=FROTA!Z158="","",VLOOKUP(FROTA!Z158,RECEBÍVEIS!$AA$11:$AC$43,3,0)))</f>
        <v/>
      </c>
    </row>
    <row r="159" spans="2:50" ht="17.25" customHeight="1" x14ac:dyDescent="0.2">
      <c r="B159" s="6"/>
      <c r="C159" s="49" t="str">
        <f>IF(FROTA!B159="","",FROTA!B159)</f>
        <v/>
      </c>
      <c r="D159" s="220" t="str">
        <f>IF(C159="","",VLOOKUP(SEM!C159,FROTA!$B$5:$C$305,2,0))</f>
        <v/>
      </c>
      <c r="E159" s="24" t="str">
        <f>IF(C159="","",VLOOKUP(C159,FROTA!$B$5:$H$305,7,0))</f>
        <v/>
      </c>
      <c r="F159" s="38" t="str">
        <f t="shared" si="36"/>
        <v/>
      </c>
      <c r="G159" s="71" t="str">
        <f t="shared" si="47"/>
        <v/>
      </c>
      <c r="H159" s="32" t="str">
        <f t="shared" si="37"/>
        <v/>
      </c>
      <c r="I159" s="73" t="str">
        <f t="shared" si="37"/>
        <v/>
      </c>
      <c r="J159" s="73" t="str">
        <f t="shared" si="37"/>
        <v/>
      </c>
      <c r="K159" s="73" t="str">
        <f t="shared" si="35"/>
        <v/>
      </c>
      <c r="L159" s="73" t="str">
        <f t="shared" si="35"/>
        <v/>
      </c>
      <c r="M159" s="73" t="str">
        <f t="shared" si="35"/>
        <v/>
      </c>
      <c r="N159" s="73" t="str">
        <f t="shared" si="35"/>
        <v/>
      </c>
      <c r="O159" s="73" t="str">
        <f t="shared" si="35"/>
        <v/>
      </c>
      <c r="P159" s="73" t="str">
        <f t="shared" si="35"/>
        <v/>
      </c>
      <c r="Q159" s="73" t="str">
        <f t="shared" si="34"/>
        <v/>
      </c>
      <c r="R159" s="73" t="str">
        <f t="shared" si="48"/>
        <v/>
      </c>
      <c r="S159" s="73" t="str">
        <f t="shared" si="48"/>
        <v/>
      </c>
      <c r="T159" s="73" t="str">
        <f t="shared" si="48"/>
        <v/>
      </c>
      <c r="U159" s="73" t="str">
        <f t="shared" si="48"/>
        <v/>
      </c>
      <c r="V159" s="73" t="str">
        <f t="shared" si="48"/>
        <v/>
      </c>
      <c r="W159" s="73" t="str">
        <f t="shared" si="48"/>
        <v/>
      </c>
      <c r="X159" s="73" t="str">
        <f t="shared" si="48"/>
        <v/>
      </c>
      <c r="Y159" s="73" t="str">
        <f t="shared" si="48"/>
        <v/>
      </c>
      <c r="Z159" s="73" t="str">
        <f t="shared" si="48"/>
        <v/>
      </c>
      <c r="AA159" s="73" t="str">
        <f t="shared" si="48"/>
        <v/>
      </c>
      <c r="AB159" s="74" t="str">
        <f t="shared" si="48"/>
        <v/>
      </c>
      <c r="AC159" s="35" t="str">
        <f t="shared" si="38"/>
        <v/>
      </c>
      <c r="AD159" s="40" t="str">
        <f t="shared" si="39"/>
        <v/>
      </c>
      <c r="AE159" s="37" t="str">
        <f t="shared" si="40"/>
        <v/>
      </c>
      <c r="AF159" s="40" t="str">
        <f t="shared" si="41"/>
        <v/>
      </c>
      <c r="AG159" s="37" t="str">
        <f t="shared" si="42"/>
        <v/>
      </c>
      <c r="AH159" s="40" t="str">
        <f t="shared" si="43"/>
        <v/>
      </c>
      <c r="AI159" s="37" t="str">
        <f t="shared" si="44"/>
        <v/>
      </c>
      <c r="AJ159" s="40" t="str">
        <f t="shared" si="45"/>
        <v/>
      </c>
      <c r="AK159" s="204" t="str">
        <f>IF(C159="","",IF(E159=FROTA!$AT$18,IF('DEFINA!!!'!$L$6="D-E-F-I-N-A !!!!!!!",0,IF('DEFINA!!!'!$L$6="Opto por Idade Média",SEM!AW159,IF('DEFINA!!!'!$L$6="Opto pelo Valor aplicado ao  Ano de cada Carro",SEM!AX159,0))),IF(E159=FROTA!$AT$17,IF('DEFINA!!!'!$L$6="D-E-F-I-N-A !!!!!!!",0,IF('DEFINA!!!'!$L$6="Opto por Idade Média",SEM!AW159,IF('DEFINA!!!'!$L$6="Opto pelo Valor aplicado ao  Ano de cada Carro",SEM!AX159,0))),IF(E159=FROTA!$AT$16,IF('DEFINA!!!'!$L$6="D-E-F-I-N-A !!!!!!!",0,IF('DEFINA!!!'!$L$6="Opto por Idade Média",SEM!AW159,IF('DEFINA!!!'!$L$6="Opto pelo Valor aplicado ao  Ano de cada Carro",SEM!AX159,0))),IF('DEFINA!!!'!$L$6="D-E-F-I-N-A !!!!!!!",0,IF('DEFINA!!!'!$L$6="Opto por Idade Média",SEM!AU159,IF('DEFINA!!!'!$L$6="Opto pelo Valor aplicado ao  Ano de cada Carro",SEM!AV159,0)))))))</f>
        <v/>
      </c>
      <c r="AL159" s="6"/>
      <c r="AM159" s="79" t="str">
        <f t="shared" si="46"/>
        <v/>
      </c>
      <c r="AN159" s="12"/>
      <c r="AO159" s="12"/>
      <c r="AP159" s="14"/>
      <c r="AQ159" s="16"/>
      <c r="AR159" s="15"/>
      <c r="AU159" s="198" t="str">
        <f>IF(C159="","",VLOOKUP(FROTA!$AB$2,RECEBÍVEIS!$AA$11:$AB$43,2,0))</f>
        <v/>
      </c>
      <c r="AV159" s="198" t="str">
        <f>IF(C159="","",IF(C159=FROTA!Z159="","",VLOOKUP(FROTA!Z159,RECEBÍVEIS!$AA$11:$AB$43,2,0)))</f>
        <v/>
      </c>
      <c r="AW159" s="198" t="str">
        <f>IF(C159="","",VLOOKUP(FROTA!$AB$2,RECEBÍVEIS!$AA$11:$AC$43,3,0))</f>
        <v/>
      </c>
      <c r="AX159" s="198" t="str">
        <f>IF(C159="","",IF(C159=FROTA!Z159="","",VLOOKUP(FROTA!Z159,RECEBÍVEIS!$AA$11:$AC$43,3,0)))</f>
        <v/>
      </c>
    </row>
    <row r="160" spans="2:50" ht="17.25" customHeight="1" x14ac:dyDescent="0.2">
      <c r="B160" s="6"/>
      <c r="C160" s="49" t="str">
        <f>IF(FROTA!B160="","",FROTA!B160)</f>
        <v/>
      </c>
      <c r="D160" s="220" t="str">
        <f>IF(C160="","",VLOOKUP(SEM!C160,FROTA!$B$5:$C$305,2,0))</f>
        <v/>
      </c>
      <c r="E160" s="24" t="str">
        <f>IF(C160="","",VLOOKUP(C160,FROTA!$B$5:$H$305,7,0))</f>
        <v/>
      </c>
      <c r="F160" s="38" t="str">
        <f t="shared" si="36"/>
        <v/>
      </c>
      <c r="G160" s="71" t="str">
        <f t="shared" si="47"/>
        <v/>
      </c>
      <c r="H160" s="32" t="str">
        <f t="shared" si="37"/>
        <v/>
      </c>
      <c r="I160" s="73" t="str">
        <f t="shared" si="37"/>
        <v/>
      </c>
      <c r="J160" s="73" t="str">
        <f t="shared" si="37"/>
        <v/>
      </c>
      <c r="K160" s="73" t="str">
        <f t="shared" si="35"/>
        <v/>
      </c>
      <c r="L160" s="73" t="str">
        <f t="shared" si="35"/>
        <v/>
      </c>
      <c r="M160" s="73" t="str">
        <f t="shared" si="35"/>
        <v/>
      </c>
      <c r="N160" s="73" t="str">
        <f t="shared" si="35"/>
        <v/>
      </c>
      <c r="O160" s="73" t="str">
        <f t="shared" si="35"/>
        <v/>
      </c>
      <c r="P160" s="73" t="str">
        <f t="shared" si="35"/>
        <v/>
      </c>
      <c r="Q160" s="73" t="str">
        <f t="shared" si="34"/>
        <v/>
      </c>
      <c r="R160" s="73" t="str">
        <f t="shared" si="48"/>
        <v/>
      </c>
      <c r="S160" s="73" t="str">
        <f t="shared" si="48"/>
        <v/>
      </c>
      <c r="T160" s="73" t="str">
        <f t="shared" si="48"/>
        <v/>
      </c>
      <c r="U160" s="73" t="str">
        <f t="shared" si="48"/>
        <v/>
      </c>
      <c r="V160" s="73" t="str">
        <f t="shared" si="48"/>
        <v/>
      </c>
      <c r="W160" s="73" t="str">
        <f t="shared" si="48"/>
        <v/>
      </c>
      <c r="X160" s="73" t="str">
        <f t="shared" si="48"/>
        <v/>
      </c>
      <c r="Y160" s="73" t="str">
        <f t="shared" si="48"/>
        <v/>
      </c>
      <c r="Z160" s="73" t="str">
        <f t="shared" si="48"/>
        <v/>
      </c>
      <c r="AA160" s="73" t="str">
        <f t="shared" si="48"/>
        <v/>
      </c>
      <c r="AB160" s="74" t="str">
        <f t="shared" si="48"/>
        <v/>
      </c>
      <c r="AC160" s="35" t="str">
        <f t="shared" si="38"/>
        <v/>
      </c>
      <c r="AD160" s="40" t="str">
        <f t="shared" si="39"/>
        <v/>
      </c>
      <c r="AE160" s="37" t="str">
        <f t="shared" si="40"/>
        <v/>
      </c>
      <c r="AF160" s="40" t="str">
        <f t="shared" si="41"/>
        <v/>
      </c>
      <c r="AG160" s="37" t="str">
        <f t="shared" si="42"/>
        <v/>
      </c>
      <c r="AH160" s="40" t="str">
        <f t="shared" si="43"/>
        <v/>
      </c>
      <c r="AI160" s="37" t="str">
        <f t="shared" si="44"/>
        <v/>
      </c>
      <c r="AJ160" s="40" t="str">
        <f t="shared" si="45"/>
        <v/>
      </c>
      <c r="AK160" s="204" t="str">
        <f>IF(C160="","",IF(E160=FROTA!$AT$18,IF('DEFINA!!!'!$L$6="D-E-F-I-N-A !!!!!!!",0,IF('DEFINA!!!'!$L$6="Opto por Idade Média",SEM!AW160,IF('DEFINA!!!'!$L$6="Opto pelo Valor aplicado ao  Ano de cada Carro",SEM!AX160,0))),IF(E160=FROTA!$AT$17,IF('DEFINA!!!'!$L$6="D-E-F-I-N-A !!!!!!!",0,IF('DEFINA!!!'!$L$6="Opto por Idade Média",SEM!AW160,IF('DEFINA!!!'!$L$6="Opto pelo Valor aplicado ao  Ano de cada Carro",SEM!AX160,0))),IF(E160=FROTA!$AT$16,IF('DEFINA!!!'!$L$6="D-E-F-I-N-A !!!!!!!",0,IF('DEFINA!!!'!$L$6="Opto por Idade Média",SEM!AW160,IF('DEFINA!!!'!$L$6="Opto pelo Valor aplicado ao  Ano de cada Carro",SEM!AX160,0))),IF('DEFINA!!!'!$L$6="D-E-F-I-N-A !!!!!!!",0,IF('DEFINA!!!'!$L$6="Opto por Idade Média",SEM!AU160,IF('DEFINA!!!'!$L$6="Opto pelo Valor aplicado ao  Ano de cada Carro",SEM!AV160,0)))))))</f>
        <v/>
      </c>
      <c r="AL160" s="6"/>
      <c r="AM160" s="79" t="str">
        <f t="shared" si="46"/>
        <v/>
      </c>
      <c r="AN160" s="12"/>
      <c r="AO160" s="12"/>
      <c r="AP160" s="14"/>
      <c r="AQ160" s="16"/>
      <c r="AR160" s="15"/>
      <c r="AU160" s="198" t="str">
        <f>IF(C160="","",VLOOKUP(FROTA!$AB$2,RECEBÍVEIS!$AA$11:$AB$43,2,0))</f>
        <v/>
      </c>
      <c r="AV160" s="198" t="str">
        <f>IF(C160="","",IF(C160=FROTA!Z160="","",VLOOKUP(FROTA!Z160,RECEBÍVEIS!$AA$11:$AB$43,2,0)))</f>
        <v/>
      </c>
      <c r="AW160" s="198" t="str">
        <f>IF(C160="","",VLOOKUP(FROTA!$AB$2,RECEBÍVEIS!$AA$11:$AC$43,3,0))</f>
        <v/>
      </c>
      <c r="AX160" s="198" t="str">
        <f>IF(C160="","",IF(C160=FROTA!Z160="","",VLOOKUP(FROTA!Z160,RECEBÍVEIS!$AA$11:$AC$43,3,0)))</f>
        <v/>
      </c>
    </row>
    <row r="161" spans="2:50" ht="17.25" customHeight="1" x14ac:dyDescent="0.2">
      <c r="B161" s="6"/>
      <c r="C161" s="49" t="str">
        <f>IF(FROTA!B161="","",FROTA!B161)</f>
        <v/>
      </c>
      <c r="D161" s="220" t="str">
        <f>IF(C161="","",VLOOKUP(SEM!C161,FROTA!$B$5:$C$305,2,0))</f>
        <v/>
      </c>
      <c r="E161" s="24" t="str">
        <f>IF(C161="","",VLOOKUP(C161,FROTA!$B$5:$H$305,7,0))</f>
        <v/>
      </c>
      <c r="F161" s="38" t="str">
        <f t="shared" si="36"/>
        <v/>
      </c>
      <c r="G161" s="71" t="str">
        <f t="shared" si="47"/>
        <v/>
      </c>
      <c r="H161" s="32" t="str">
        <f t="shared" si="37"/>
        <v/>
      </c>
      <c r="I161" s="73" t="str">
        <f t="shared" si="37"/>
        <v/>
      </c>
      <c r="J161" s="73" t="str">
        <f t="shared" si="37"/>
        <v/>
      </c>
      <c r="K161" s="73" t="str">
        <f t="shared" si="35"/>
        <v/>
      </c>
      <c r="L161" s="73" t="str">
        <f t="shared" si="35"/>
        <v/>
      </c>
      <c r="M161" s="73" t="str">
        <f t="shared" si="35"/>
        <v/>
      </c>
      <c r="N161" s="73" t="str">
        <f t="shared" si="35"/>
        <v/>
      </c>
      <c r="O161" s="73" t="str">
        <f t="shared" si="35"/>
        <v/>
      </c>
      <c r="P161" s="73" t="str">
        <f t="shared" si="35"/>
        <v/>
      </c>
      <c r="Q161" s="73" t="str">
        <f t="shared" si="34"/>
        <v/>
      </c>
      <c r="R161" s="73" t="str">
        <f t="shared" si="48"/>
        <v/>
      </c>
      <c r="S161" s="73" t="str">
        <f t="shared" ref="R161:AB183" si="49">IF($C161="","",IF(SUM(S$307*$G161)&gt;$F161,$F161,SUM(S$307*$G161)))</f>
        <v/>
      </c>
      <c r="T161" s="73" t="str">
        <f t="shared" si="49"/>
        <v/>
      </c>
      <c r="U161" s="73" t="str">
        <f t="shared" si="49"/>
        <v/>
      </c>
      <c r="V161" s="73" t="str">
        <f t="shared" si="49"/>
        <v/>
      </c>
      <c r="W161" s="73" t="str">
        <f t="shared" si="49"/>
        <v/>
      </c>
      <c r="X161" s="73" t="str">
        <f t="shared" si="49"/>
        <v/>
      </c>
      <c r="Y161" s="73" t="str">
        <f t="shared" si="49"/>
        <v/>
      </c>
      <c r="Z161" s="73" t="str">
        <f t="shared" si="49"/>
        <v/>
      </c>
      <c r="AA161" s="73" t="str">
        <f t="shared" si="49"/>
        <v/>
      </c>
      <c r="AB161" s="74" t="str">
        <f t="shared" si="49"/>
        <v/>
      </c>
      <c r="AC161" s="35" t="str">
        <f t="shared" si="38"/>
        <v/>
      </c>
      <c r="AD161" s="40" t="str">
        <f t="shared" si="39"/>
        <v/>
      </c>
      <c r="AE161" s="37" t="str">
        <f t="shared" si="40"/>
        <v/>
      </c>
      <c r="AF161" s="40" t="str">
        <f t="shared" si="41"/>
        <v/>
      </c>
      <c r="AG161" s="37" t="str">
        <f t="shared" si="42"/>
        <v/>
      </c>
      <c r="AH161" s="40" t="str">
        <f t="shared" si="43"/>
        <v/>
      </c>
      <c r="AI161" s="37" t="str">
        <f t="shared" si="44"/>
        <v/>
      </c>
      <c r="AJ161" s="40" t="str">
        <f t="shared" si="45"/>
        <v/>
      </c>
      <c r="AK161" s="204" t="str">
        <f>IF(C161="","",IF(E161=FROTA!$AT$18,IF('DEFINA!!!'!$L$6="D-E-F-I-N-A !!!!!!!",0,IF('DEFINA!!!'!$L$6="Opto por Idade Média",SEM!AW161,IF('DEFINA!!!'!$L$6="Opto pelo Valor aplicado ao  Ano de cada Carro",SEM!AX161,0))),IF(E161=FROTA!$AT$17,IF('DEFINA!!!'!$L$6="D-E-F-I-N-A !!!!!!!",0,IF('DEFINA!!!'!$L$6="Opto por Idade Média",SEM!AW161,IF('DEFINA!!!'!$L$6="Opto pelo Valor aplicado ao  Ano de cada Carro",SEM!AX161,0))),IF(E161=FROTA!$AT$16,IF('DEFINA!!!'!$L$6="D-E-F-I-N-A !!!!!!!",0,IF('DEFINA!!!'!$L$6="Opto por Idade Média",SEM!AW161,IF('DEFINA!!!'!$L$6="Opto pelo Valor aplicado ao  Ano de cada Carro",SEM!AX161,0))),IF('DEFINA!!!'!$L$6="D-E-F-I-N-A !!!!!!!",0,IF('DEFINA!!!'!$L$6="Opto por Idade Média",SEM!AU161,IF('DEFINA!!!'!$L$6="Opto pelo Valor aplicado ao  Ano de cada Carro",SEM!AV161,0)))))))</f>
        <v/>
      </c>
      <c r="AL161" s="6"/>
      <c r="AM161" s="79" t="str">
        <f t="shared" si="46"/>
        <v/>
      </c>
      <c r="AN161" s="12"/>
      <c r="AO161" s="12"/>
      <c r="AP161" s="14"/>
      <c r="AQ161" s="16"/>
      <c r="AR161" s="15"/>
      <c r="AU161" s="198" t="str">
        <f>IF(C161="","",VLOOKUP(FROTA!$AB$2,RECEBÍVEIS!$AA$11:$AB$43,2,0))</f>
        <v/>
      </c>
      <c r="AV161" s="198" t="str">
        <f>IF(C161="","",IF(C161=FROTA!Z161="","",VLOOKUP(FROTA!Z161,RECEBÍVEIS!$AA$11:$AB$43,2,0)))</f>
        <v/>
      </c>
      <c r="AW161" s="198" t="str">
        <f>IF(C161="","",VLOOKUP(FROTA!$AB$2,RECEBÍVEIS!$AA$11:$AC$43,3,0))</f>
        <v/>
      </c>
      <c r="AX161" s="198" t="str">
        <f>IF(C161="","",IF(C161=FROTA!Z161="","",VLOOKUP(FROTA!Z161,RECEBÍVEIS!$AA$11:$AC$43,3,0)))</f>
        <v/>
      </c>
    </row>
    <row r="162" spans="2:50" ht="17.25" customHeight="1" x14ac:dyDescent="0.2">
      <c r="B162" s="6"/>
      <c r="C162" s="49" t="str">
        <f>IF(FROTA!B162="","",FROTA!B162)</f>
        <v/>
      </c>
      <c r="D162" s="220" t="str">
        <f>IF(C162="","",VLOOKUP(SEM!C162,FROTA!$B$5:$C$305,2,0))</f>
        <v/>
      </c>
      <c r="E162" s="24" t="str">
        <f>IF(C162="","",VLOOKUP(C162,FROTA!$B$5:$H$305,7,0))</f>
        <v/>
      </c>
      <c r="F162" s="38" t="str">
        <f t="shared" si="36"/>
        <v/>
      </c>
      <c r="G162" s="71" t="str">
        <f t="shared" si="47"/>
        <v/>
      </c>
      <c r="H162" s="32" t="str">
        <f t="shared" si="37"/>
        <v/>
      </c>
      <c r="I162" s="73" t="str">
        <f t="shared" si="37"/>
        <v/>
      </c>
      <c r="J162" s="73" t="str">
        <f t="shared" si="37"/>
        <v/>
      </c>
      <c r="K162" s="73" t="str">
        <f t="shared" si="35"/>
        <v/>
      </c>
      <c r="L162" s="73" t="str">
        <f t="shared" si="35"/>
        <v/>
      </c>
      <c r="M162" s="73" t="str">
        <f t="shared" si="35"/>
        <v/>
      </c>
      <c r="N162" s="73" t="str">
        <f t="shared" si="35"/>
        <v/>
      </c>
      <c r="O162" s="73" t="str">
        <f t="shared" si="35"/>
        <v/>
      </c>
      <c r="P162" s="73" t="str">
        <f t="shared" si="35"/>
        <v/>
      </c>
      <c r="Q162" s="73" t="str">
        <f t="shared" si="34"/>
        <v/>
      </c>
      <c r="R162" s="73" t="str">
        <f t="shared" si="49"/>
        <v/>
      </c>
      <c r="S162" s="73" t="str">
        <f t="shared" si="49"/>
        <v/>
      </c>
      <c r="T162" s="73" t="str">
        <f t="shared" si="49"/>
        <v/>
      </c>
      <c r="U162" s="73" t="str">
        <f t="shared" si="49"/>
        <v/>
      </c>
      <c r="V162" s="73" t="str">
        <f t="shared" si="49"/>
        <v/>
      </c>
      <c r="W162" s="73" t="str">
        <f t="shared" si="49"/>
        <v/>
      </c>
      <c r="X162" s="73" t="str">
        <f t="shared" si="49"/>
        <v/>
      </c>
      <c r="Y162" s="73" t="str">
        <f t="shared" si="49"/>
        <v/>
      </c>
      <c r="Z162" s="73" t="str">
        <f t="shared" si="49"/>
        <v/>
      </c>
      <c r="AA162" s="73" t="str">
        <f t="shared" si="49"/>
        <v/>
      </c>
      <c r="AB162" s="74" t="str">
        <f t="shared" si="49"/>
        <v/>
      </c>
      <c r="AC162" s="35" t="str">
        <f t="shared" si="38"/>
        <v/>
      </c>
      <c r="AD162" s="40" t="str">
        <f t="shared" si="39"/>
        <v/>
      </c>
      <c r="AE162" s="37" t="str">
        <f t="shared" si="40"/>
        <v/>
      </c>
      <c r="AF162" s="40" t="str">
        <f t="shared" si="41"/>
        <v/>
      </c>
      <c r="AG162" s="37" t="str">
        <f t="shared" si="42"/>
        <v/>
      </c>
      <c r="AH162" s="40" t="str">
        <f t="shared" si="43"/>
        <v/>
      </c>
      <c r="AI162" s="37" t="str">
        <f t="shared" si="44"/>
        <v/>
      </c>
      <c r="AJ162" s="40" t="str">
        <f t="shared" si="45"/>
        <v/>
      </c>
      <c r="AK162" s="204" t="str">
        <f>IF(C162="","",IF(E162=FROTA!$AT$18,IF('DEFINA!!!'!$L$6="D-E-F-I-N-A !!!!!!!",0,IF('DEFINA!!!'!$L$6="Opto por Idade Média",SEM!AW162,IF('DEFINA!!!'!$L$6="Opto pelo Valor aplicado ao  Ano de cada Carro",SEM!AX162,0))),IF(E162=FROTA!$AT$17,IF('DEFINA!!!'!$L$6="D-E-F-I-N-A !!!!!!!",0,IF('DEFINA!!!'!$L$6="Opto por Idade Média",SEM!AW162,IF('DEFINA!!!'!$L$6="Opto pelo Valor aplicado ao  Ano de cada Carro",SEM!AX162,0))),IF(E162=FROTA!$AT$16,IF('DEFINA!!!'!$L$6="D-E-F-I-N-A !!!!!!!",0,IF('DEFINA!!!'!$L$6="Opto por Idade Média",SEM!AW162,IF('DEFINA!!!'!$L$6="Opto pelo Valor aplicado ao  Ano de cada Carro",SEM!AX162,0))),IF('DEFINA!!!'!$L$6="D-E-F-I-N-A !!!!!!!",0,IF('DEFINA!!!'!$L$6="Opto por Idade Média",SEM!AU162,IF('DEFINA!!!'!$L$6="Opto pelo Valor aplicado ao  Ano de cada Carro",SEM!AV162,0)))))))</f>
        <v/>
      </c>
      <c r="AL162" s="6"/>
      <c r="AM162" s="79" t="str">
        <f t="shared" si="46"/>
        <v/>
      </c>
      <c r="AN162" s="12"/>
      <c r="AO162" s="12"/>
      <c r="AP162" s="14"/>
      <c r="AQ162" s="16"/>
      <c r="AR162" s="15"/>
      <c r="AU162" s="198" t="str">
        <f>IF(C162="","",VLOOKUP(FROTA!$AB$2,RECEBÍVEIS!$AA$11:$AB$43,2,0))</f>
        <v/>
      </c>
      <c r="AV162" s="198" t="str">
        <f>IF(C162="","",IF(C162=FROTA!Z162="","",VLOOKUP(FROTA!Z162,RECEBÍVEIS!$AA$11:$AB$43,2,0)))</f>
        <v/>
      </c>
      <c r="AW162" s="198" t="str">
        <f>IF(C162="","",VLOOKUP(FROTA!$AB$2,RECEBÍVEIS!$AA$11:$AC$43,3,0))</f>
        <v/>
      </c>
      <c r="AX162" s="198" t="str">
        <f>IF(C162="","",IF(C162=FROTA!Z162="","",VLOOKUP(FROTA!Z162,RECEBÍVEIS!$AA$11:$AC$43,3,0)))</f>
        <v/>
      </c>
    </row>
    <row r="163" spans="2:50" ht="17.25" customHeight="1" x14ac:dyDescent="0.2">
      <c r="B163" s="6"/>
      <c r="C163" s="49" t="str">
        <f>IF(FROTA!B163="","",FROTA!B163)</f>
        <v/>
      </c>
      <c r="D163" s="220" t="str">
        <f>IF(C163="","",VLOOKUP(SEM!C163,FROTA!$B$5:$C$305,2,0))</f>
        <v/>
      </c>
      <c r="E163" s="24" t="str">
        <f>IF(C163="","",VLOOKUP(C163,FROTA!$B$5:$H$305,7,0))</f>
        <v/>
      </c>
      <c r="F163" s="38" t="str">
        <f t="shared" si="36"/>
        <v/>
      </c>
      <c r="G163" s="71" t="str">
        <f t="shared" si="47"/>
        <v/>
      </c>
      <c r="H163" s="32" t="str">
        <f t="shared" si="37"/>
        <v/>
      </c>
      <c r="I163" s="73" t="str">
        <f t="shared" si="37"/>
        <v/>
      </c>
      <c r="J163" s="73" t="str">
        <f t="shared" si="37"/>
        <v/>
      </c>
      <c r="K163" s="73" t="str">
        <f t="shared" si="35"/>
        <v/>
      </c>
      <c r="L163" s="73" t="str">
        <f t="shared" si="35"/>
        <v/>
      </c>
      <c r="M163" s="73" t="str">
        <f t="shared" si="35"/>
        <v/>
      </c>
      <c r="N163" s="73" t="str">
        <f t="shared" si="35"/>
        <v/>
      </c>
      <c r="O163" s="73" t="str">
        <f t="shared" si="35"/>
        <v/>
      </c>
      <c r="P163" s="73" t="str">
        <f t="shared" si="35"/>
        <v/>
      </c>
      <c r="Q163" s="73" t="str">
        <f t="shared" si="34"/>
        <v/>
      </c>
      <c r="R163" s="73" t="str">
        <f t="shared" si="49"/>
        <v/>
      </c>
      <c r="S163" s="73" t="str">
        <f t="shared" si="49"/>
        <v/>
      </c>
      <c r="T163" s="73" t="str">
        <f t="shared" si="49"/>
        <v/>
      </c>
      <c r="U163" s="73" t="str">
        <f t="shared" si="49"/>
        <v/>
      </c>
      <c r="V163" s="73" t="str">
        <f t="shared" si="49"/>
        <v/>
      </c>
      <c r="W163" s="73" t="str">
        <f t="shared" si="49"/>
        <v/>
      </c>
      <c r="X163" s="73" t="str">
        <f t="shared" si="49"/>
        <v/>
      </c>
      <c r="Y163" s="73" t="str">
        <f t="shared" si="49"/>
        <v/>
      </c>
      <c r="Z163" s="73" t="str">
        <f t="shared" si="49"/>
        <v/>
      </c>
      <c r="AA163" s="73" t="str">
        <f t="shared" si="49"/>
        <v/>
      </c>
      <c r="AB163" s="74" t="str">
        <f t="shared" si="49"/>
        <v/>
      </c>
      <c r="AC163" s="35" t="str">
        <f t="shared" si="38"/>
        <v/>
      </c>
      <c r="AD163" s="40" t="str">
        <f t="shared" si="39"/>
        <v/>
      </c>
      <c r="AE163" s="37" t="str">
        <f t="shared" si="40"/>
        <v/>
      </c>
      <c r="AF163" s="40" t="str">
        <f t="shared" si="41"/>
        <v/>
      </c>
      <c r="AG163" s="37" t="str">
        <f t="shared" si="42"/>
        <v/>
      </c>
      <c r="AH163" s="40" t="str">
        <f t="shared" si="43"/>
        <v/>
      </c>
      <c r="AI163" s="37" t="str">
        <f t="shared" si="44"/>
        <v/>
      </c>
      <c r="AJ163" s="40" t="str">
        <f t="shared" si="45"/>
        <v/>
      </c>
      <c r="AK163" s="204" t="str">
        <f>IF(C163="","",IF(E163=FROTA!$AT$18,IF('DEFINA!!!'!$L$6="D-E-F-I-N-A !!!!!!!",0,IF('DEFINA!!!'!$L$6="Opto por Idade Média",SEM!AW163,IF('DEFINA!!!'!$L$6="Opto pelo Valor aplicado ao  Ano de cada Carro",SEM!AX163,0))),IF(E163=FROTA!$AT$17,IF('DEFINA!!!'!$L$6="D-E-F-I-N-A !!!!!!!",0,IF('DEFINA!!!'!$L$6="Opto por Idade Média",SEM!AW163,IF('DEFINA!!!'!$L$6="Opto pelo Valor aplicado ao  Ano de cada Carro",SEM!AX163,0))),IF(E163=FROTA!$AT$16,IF('DEFINA!!!'!$L$6="D-E-F-I-N-A !!!!!!!",0,IF('DEFINA!!!'!$L$6="Opto por Idade Média",SEM!AW163,IF('DEFINA!!!'!$L$6="Opto pelo Valor aplicado ao  Ano de cada Carro",SEM!AX163,0))),IF('DEFINA!!!'!$L$6="D-E-F-I-N-A !!!!!!!",0,IF('DEFINA!!!'!$L$6="Opto por Idade Média",SEM!AU163,IF('DEFINA!!!'!$L$6="Opto pelo Valor aplicado ao  Ano de cada Carro",SEM!AV163,0)))))))</f>
        <v/>
      </c>
      <c r="AL163" s="6"/>
      <c r="AM163" s="79" t="str">
        <f t="shared" si="46"/>
        <v/>
      </c>
      <c r="AN163" s="12"/>
      <c r="AO163" s="12"/>
      <c r="AP163" s="14"/>
      <c r="AQ163" s="16"/>
      <c r="AR163" s="15"/>
      <c r="AU163" s="198" t="str">
        <f>IF(C163="","",VLOOKUP(FROTA!$AB$2,RECEBÍVEIS!$AA$11:$AB$43,2,0))</f>
        <v/>
      </c>
      <c r="AV163" s="198" t="str">
        <f>IF(C163="","",IF(C163=FROTA!Z163="","",VLOOKUP(FROTA!Z163,RECEBÍVEIS!$AA$11:$AB$43,2,0)))</f>
        <v/>
      </c>
      <c r="AW163" s="198" t="str">
        <f>IF(C163="","",VLOOKUP(FROTA!$AB$2,RECEBÍVEIS!$AA$11:$AC$43,3,0))</f>
        <v/>
      </c>
      <c r="AX163" s="198" t="str">
        <f>IF(C163="","",IF(C163=FROTA!Z163="","",VLOOKUP(FROTA!Z163,RECEBÍVEIS!$AA$11:$AC$43,3,0)))</f>
        <v/>
      </c>
    </row>
    <row r="164" spans="2:50" ht="17.25" customHeight="1" x14ac:dyDescent="0.2">
      <c r="B164" s="6"/>
      <c r="C164" s="49" t="str">
        <f>IF(FROTA!B164="","",FROTA!B164)</f>
        <v/>
      </c>
      <c r="D164" s="220" t="str">
        <f>IF(C164="","",VLOOKUP(SEM!C164,FROTA!$B$5:$C$305,2,0))</f>
        <v/>
      </c>
      <c r="E164" s="24" t="str">
        <f>IF(C164="","",VLOOKUP(C164,FROTA!$B$5:$H$305,7,0))</f>
        <v/>
      </c>
      <c r="F164" s="38" t="str">
        <f t="shared" si="36"/>
        <v/>
      </c>
      <c r="G164" s="71" t="str">
        <f t="shared" si="47"/>
        <v/>
      </c>
      <c r="H164" s="32" t="str">
        <f t="shared" si="37"/>
        <v/>
      </c>
      <c r="I164" s="73" t="str">
        <f t="shared" si="37"/>
        <v/>
      </c>
      <c r="J164" s="73" t="str">
        <f t="shared" si="37"/>
        <v/>
      </c>
      <c r="K164" s="73" t="str">
        <f t="shared" si="35"/>
        <v/>
      </c>
      <c r="L164" s="73" t="str">
        <f t="shared" si="35"/>
        <v/>
      </c>
      <c r="M164" s="73" t="str">
        <f t="shared" si="35"/>
        <v/>
      </c>
      <c r="N164" s="73" t="str">
        <f t="shared" si="35"/>
        <v/>
      </c>
      <c r="O164" s="73" t="str">
        <f t="shared" si="35"/>
        <v/>
      </c>
      <c r="P164" s="73" t="str">
        <f t="shared" si="35"/>
        <v/>
      </c>
      <c r="Q164" s="73" t="str">
        <f t="shared" si="34"/>
        <v/>
      </c>
      <c r="R164" s="73" t="str">
        <f t="shared" si="49"/>
        <v/>
      </c>
      <c r="S164" s="73" t="str">
        <f t="shared" si="49"/>
        <v/>
      </c>
      <c r="T164" s="73" t="str">
        <f t="shared" si="49"/>
        <v/>
      </c>
      <c r="U164" s="73" t="str">
        <f t="shared" si="49"/>
        <v/>
      </c>
      <c r="V164" s="73" t="str">
        <f t="shared" si="49"/>
        <v/>
      </c>
      <c r="W164" s="73" t="str">
        <f t="shared" si="49"/>
        <v/>
      </c>
      <c r="X164" s="73" t="str">
        <f t="shared" si="49"/>
        <v/>
      </c>
      <c r="Y164" s="73" t="str">
        <f t="shared" si="49"/>
        <v/>
      </c>
      <c r="Z164" s="73" t="str">
        <f t="shared" si="49"/>
        <v/>
      </c>
      <c r="AA164" s="73" t="str">
        <f t="shared" si="49"/>
        <v/>
      </c>
      <c r="AB164" s="74" t="str">
        <f t="shared" si="49"/>
        <v/>
      </c>
      <c r="AC164" s="35" t="str">
        <f t="shared" si="38"/>
        <v/>
      </c>
      <c r="AD164" s="40" t="str">
        <f t="shared" si="39"/>
        <v/>
      </c>
      <c r="AE164" s="37" t="str">
        <f t="shared" si="40"/>
        <v/>
      </c>
      <c r="AF164" s="40" t="str">
        <f t="shared" si="41"/>
        <v/>
      </c>
      <c r="AG164" s="37" t="str">
        <f t="shared" si="42"/>
        <v/>
      </c>
      <c r="AH164" s="40" t="str">
        <f t="shared" si="43"/>
        <v/>
      </c>
      <c r="AI164" s="37" t="str">
        <f t="shared" si="44"/>
        <v/>
      </c>
      <c r="AJ164" s="40" t="str">
        <f t="shared" si="45"/>
        <v/>
      </c>
      <c r="AK164" s="204" t="str">
        <f>IF(C164="","",IF(E164=FROTA!$AT$18,IF('DEFINA!!!'!$L$6="D-E-F-I-N-A !!!!!!!",0,IF('DEFINA!!!'!$L$6="Opto por Idade Média",SEM!AW164,IF('DEFINA!!!'!$L$6="Opto pelo Valor aplicado ao  Ano de cada Carro",SEM!AX164,0))),IF(E164=FROTA!$AT$17,IF('DEFINA!!!'!$L$6="D-E-F-I-N-A !!!!!!!",0,IF('DEFINA!!!'!$L$6="Opto por Idade Média",SEM!AW164,IF('DEFINA!!!'!$L$6="Opto pelo Valor aplicado ao  Ano de cada Carro",SEM!AX164,0))),IF(E164=FROTA!$AT$16,IF('DEFINA!!!'!$L$6="D-E-F-I-N-A !!!!!!!",0,IF('DEFINA!!!'!$L$6="Opto por Idade Média",SEM!AW164,IF('DEFINA!!!'!$L$6="Opto pelo Valor aplicado ao  Ano de cada Carro",SEM!AX164,0))),IF('DEFINA!!!'!$L$6="D-E-F-I-N-A !!!!!!!",0,IF('DEFINA!!!'!$L$6="Opto por Idade Média",SEM!AU164,IF('DEFINA!!!'!$L$6="Opto pelo Valor aplicado ao  Ano de cada Carro",SEM!AV164,0)))))))</f>
        <v/>
      </c>
      <c r="AL164" s="6"/>
      <c r="AM164" s="79" t="str">
        <f t="shared" si="46"/>
        <v/>
      </c>
      <c r="AN164" s="12"/>
      <c r="AO164" s="12"/>
      <c r="AP164" s="14"/>
      <c r="AQ164" s="16"/>
      <c r="AR164" s="15"/>
      <c r="AU164" s="198" t="str">
        <f>IF(C164="","",VLOOKUP(FROTA!$AB$2,RECEBÍVEIS!$AA$11:$AB$43,2,0))</f>
        <v/>
      </c>
      <c r="AV164" s="198" t="str">
        <f>IF(C164="","",IF(C164=FROTA!Z164="","",VLOOKUP(FROTA!Z164,RECEBÍVEIS!$AA$11:$AB$43,2,0)))</f>
        <v/>
      </c>
      <c r="AW164" s="198" t="str">
        <f>IF(C164="","",VLOOKUP(FROTA!$AB$2,RECEBÍVEIS!$AA$11:$AC$43,3,0))</f>
        <v/>
      </c>
      <c r="AX164" s="198" t="str">
        <f>IF(C164="","",IF(C164=FROTA!Z164="","",VLOOKUP(FROTA!Z164,RECEBÍVEIS!$AA$11:$AC$43,3,0)))</f>
        <v/>
      </c>
    </row>
    <row r="165" spans="2:50" ht="17.25" customHeight="1" x14ac:dyDescent="0.2">
      <c r="B165" s="6"/>
      <c r="C165" s="49" t="str">
        <f>IF(FROTA!B165="","",FROTA!B165)</f>
        <v/>
      </c>
      <c r="D165" s="220" t="str">
        <f>IF(C165="","",VLOOKUP(SEM!C165,FROTA!$B$5:$C$305,2,0))</f>
        <v/>
      </c>
      <c r="E165" s="24" t="str">
        <f>IF(C165="","",VLOOKUP(C165,FROTA!$B$5:$H$305,7,0))</f>
        <v/>
      </c>
      <c r="F165" s="38" t="str">
        <f t="shared" si="36"/>
        <v/>
      </c>
      <c r="G165" s="71" t="str">
        <f t="shared" si="47"/>
        <v/>
      </c>
      <c r="H165" s="32" t="str">
        <f t="shared" si="37"/>
        <v/>
      </c>
      <c r="I165" s="73" t="str">
        <f t="shared" si="37"/>
        <v/>
      </c>
      <c r="J165" s="73" t="str">
        <f t="shared" si="37"/>
        <v/>
      </c>
      <c r="K165" s="73" t="str">
        <f t="shared" si="35"/>
        <v/>
      </c>
      <c r="L165" s="73" t="str">
        <f t="shared" si="35"/>
        <v/>
      </c>
      <c r="M165" s="73" t="str">
        <f t="shared" si="35"/>
        <v/>
      </c>
      <c r="N165" s="73" t="str">
        <f t="shared" ref="N165:P183" si="50">IF($C165="","",IF(SUM(N$307*$G165)&gt;$F165,$F165,SUM(N$307*$G165)))</f>
        <v/>
      </c>
      <c r="O165" s="73" t="str">
        <f t="shared" si="50"/>
        <v/>
      </c>
      <c r="P165" s="73" t="str">
        <f t="shared" si="50"/>
        <v/>
      </c>
      <c r="Q165" s="73" t="str">
        <f t="shared" si="34"/>
        <v/>
      </c>
      <c r="R165" s="73" t="str">
        <f t="shared" si="49"/>
        <v/>
      </c>
      <c r="S165" s="73" t="str">
        <f t="shared" si="49"/>
        <v/>
      </c>
      <c r="T165" s="73" t="str">
        <f t="shared" si="49"/>
        <v/>
      </c>
      <c r="U165" s="73" t="str">
        <f t="shared" si="49"/>
        <v/>
      </c>
      <c r="V165" s="73" t="str">
        <f t="shared" si="49"/>
        <v/>
      </c>
      <c r="W165" s="73" t="str">
        <f t="shared" si="49"/>
        <v/>
      </c>
      <c r="X165" s="73" t="str">
        <f t="shared" si="49"/>
        <v/>
      </c>
      <c r="Y165" s="73" t="str">
        <f t="shared" si="49"/>
        <v/>
      </c>
      <c r="Z165" s="73" t="str">
        <f t="shared" si="49"/>
        <v/>
      </c>
      <c r="AA165" s="73" t="str">
        <f t="shared" si="49"/>
        <v/>
      </c>
      <c r="AB165" s="74" t="str">
        <f t="shared" si="49"/>
        <v/>
      </c>
      <c r="AC165" s="35" t="str">
        <f t="shared" si="38"/>
        <v/>
      </c>
      <c r="AD165" s="40" t="str">
        <f t="shared" si="39"/>
        <v/>
      </c>
      <c r="AE165" s="37" t="str">
        <f t="shared" si="40"/>
        <v/>
      </c>
      <c r="AF165" s="40" t="str">
        <f t="shared" si="41"/>
        <v/>
      </c>
      <c r="AG165" s="37" t="str">
        <f t="shared" si="42"/>
        <v/>
      </c>
      <c r="AH165" s="40" t="str">
        <f t="shared" si="43"/>
        <v/>
      </c>
      <c r="AI165" s="37" t="str">
        <f t="shared" si="44"/>
        <v/>
      </c>
      <c r="AJ165" s="40" t="str">
        <f t="shared" si="45"/>
        <v/>
      </c>
      <c r="AK165" s="204" t="str">
        <f>IF(C165="","",IF(E165=FROTA!$AT$18,IF('DEFINA!!!'!$L$6="D-E-F-I-N-A !!!!!!!",0,IF('DEFINA!!!'!$L$6="Opto por Idade Média",SEM!AW165,IF('DEFINA!!!'!$L$6="Opto pelo Valor aplicado ao  Ano de cada Carro",SEM!AX165,0))),IF(E165=FROTA!$AT$17,IF('DEFINA!!!'!$L$6="D-E-F-I-N-A !!!!!!!",0,IF('DEFINA!!!'!$L$6="Opto por Idade Média",SEM!AW165,IF('DEFINA!!!'!$L$6="Opto pelo Valor aplicado ao  Ano de cada Carro",SEM!AX165,0))),IF(E165=FROTA!$AT$16,IF('DEFINA!!!'!$L$6="D-E-F-I-N-A !!!!!!!",0,IF('DEFINA!!!'!$L$6="Opto por Idade Média",SEM!AW165,IF('DEFINA!!!'!$L$6="Opto pelo Valor aplicado ao  Ano de cada Carro",SEM!AX165,0))),IF('DEFINA!!!'!$L$6="D-E-F-I-N-A !!!!!!!",0,IF('DEFINA!!!'!$L$6="Opto por Idade Média",SEM!AU165,IF('DEFINA!!!'!$L$6="Opto pelo Valor aplicado ao  Ano de cada Carro",SEM!AV165,0)))))))</f>
        <v/>
      </c>
      <c r="AL165" s="6"/>
      <c r="AM165" s="79" t="str">
        <f t="shared" si="46"/>
        <v/>
      </c>
      <c r="AN165" s="12"/>
      <c r="AO165" s="12"/>
      <c r="AP165" s="14"/>
      <c r="AQ165" s="16"/>
      <c r="AR165" s="15"/>
      <c r="AU165" s="198" t="str">
        <f>IF(C165="","",VLOOKUP(FROTA!$AB$2,RECEBÍVEIS!$AA$11:$AB$43,2,0))</f>
        <v/>
      </c>
      <c r="AV165" s="198" t="str">
        <f>IF(C165="","",IF(C165=FROTA!Z165="","",VLOOKUP(FROTA!Z165,RECEBÍVEIS!$AA$11:$AB$43,2,0)))</f>
        <v/>
      </c>
      <c r="AW165" s="198" t="str">
        <f>IF(C165="","",VLOOKUP(FROTA!$AB$2,RECEBÍVEIS!$AA$11:$AC$43,3,0))</f>
        <v/>
      </c>
      <c r="AX165" s="198" t="str">
        <f>IF(C165="","",IF(C165=FROTA!Z165="","",VLOOKUP(FROTA!Z165,RECEBÍVEIS!$AA$11:$AC$43,3,0)))</f>
        <v/>
      </c>
    </row>
    <row r="166" spans="2:50" ht="17.25" customHeight="1" x14ac:dyDescent="0.2">
      <c r="B166" s="6"/>
      <c r="C166" s="49" t="str">
        <f>IF(FROTA!B166="","",FROTA!B166)</f>
        <v/>
      </c>
      <c r="D166" s="220" t="str">
        <f>IF(C166="","",VLOOKUP(SEM!C166,FROTA!$B$5:$C$305,2,0))</f>
        <v/>
      </c>
      <c r="E166" s="24" t="str">
        <f>IF(C166="","",VLOOKUP(C166,FROTA!$B$5:$H$305,7,0))</f>
        <v/>
      </c>
      <c r="F166" s="38" t="str">
        <f t="shared" si="36"/>
        <v/>
      </c>
      <c r="G166" s="71" t="str">
        <f t="shared" si="47"/>
        <v/>
      </c>
      <c r="H166" s="32" t="str">
        <f t="shared" si="37"/>
        <v/>
      </c>
      <c r="I166" s="73" t="str">
        <f t="shared" si="37"/>
        <v/>
      </c>
      <c r="J166" s="73" t="str">
        <f t="shared" si="37"/>
        <v/>
      </c>
      <c r="K166" s="73" t="str">
        <f t="shared" ref="K166:M183" si="51">IF($C166="","",IF(SUM(K$307*$G166)&gt;$F166,$F166,SUM(K$307*$G166)))</f>
        <v/>
      </c>
      <c r="L166" s="73" t="str">
        <f t="shared" si="51"/>
        <v/>
      </c>
      <c r="M166" s="73" t="str">
        <f t="shared" si="51"/>
        <v/>
      </c>
      <c r="N166" s="73" t="str">
        <f t="shared" si="50"/>
        <v/>
      </c>
      <c r="O166" s="73" t="str">
        <f t="shared" si="50"/>
        <v/>
      </c>
      <c r="P166" s="73" t="str">
        <f t="shared" si="50"/>
        <v/>
      </c>
      <c r="Q166" s="73" t="str">
        <f t="shared" si="34"/>
        <v/>
      </c>
      <c r="R166" s="73" t="str">
        <f t="shared" si="49"/>
        <v/>
      </c>
      <c r="S166" s="73" t="str">
        <f t="shared" si="49"/>
        <v/>
      </c>
      <c r="T166" s="73" t="str">
        <f t="shared" si="49"/>
        <v/>
      </c>
      <c r="U166" s="73" t="str">
        <f t="shared" si="49"/>
        <v/>
      </c>
      <c r="V166" s="73" t="str">
        <f t="shared" si="49"/>
        <v/>
      </c>
      <c r="W166" s="73" t="str">
        <f t="shared" si="49"/>
        <v/>
      </c>
      <c r="X166" s="73" t="str">
        <f t="shared" si="49"/>
        <v/>
      </c>
      <c r="Y166" s="73" t="str">
        <f t="shared" si="49"/>
        <v/>
      </c>
      <c r="Z166" s="73" t="str">
        <f t="shared" si="49"/>
        <v/>
      </c>
      <c r="AA166" s="73" t="str">
        <f t="shared" si="49"/>
        <v/>
      </c>
      <c r="AB166" s="74" t="str">
        <f t="shared" si="49"/>
        <v/>
      </c>
      <c r="AC166" s="35" t="str">
        <f t="shared" si="38"/>
        <v/>
      </c>
      <c r="AD166" s="40" t="str">
        <f t="shared" si="39"/>
        <v/>
      </c>
      <c r="AE166" s="37" t="str">
        <f t="shared" si="40"/>
        <v/>
      </c>
      <c r="AF166" s="40" t="str">
        <f t="shared" si="41"/>
        <v/>
      </c>
      <c r="AG166" s="37" t="str">
        <f t="shared" si="42"/>
        <v/>
      </c>
      <c r="AH166" s="40" t="str">
        <f t="shared" si="43"/>
        <v/>
      </c>
      <c r="AI166" s="37" t="str">
        <f t="shared" si="44"/>
        <v/>
      </c>
      <c r="AJ166" s="40" t="str">
        <f t="shared" si="45"/>
        <v/>
      </c>
      <c r="AK166" s="204" t="str">
        <f>IF(C166="","",IF(E166=FROTA!$AT$18,IF('DEFINA!!!'!$L$6="D-E-F-I-N-A !!!!!!!",0,IF('DEFINA!!!'!$L$6="Opto por Idade Média",SEM!AW166,IF('DEFINA!!!'!$L$6="Opto pelo Valor aplicado ao  Ano de cada Carro",SEM!AX166,0))),IF(E166=FROTA!$AT$17,IF('DEFINA!!!'!$L$6="D-E-F-I-N-A !!!!!!!",0,IF('DEFINA!!!'!$L$6="Opto por Idade Média",SEM!AW166,IF('DEFINA!!!'!$L$6="Opto pelo Valor aplicado ao  Ano de cada Carro",SEM!AX166,0))),IF(E166=FROTA!$AT$16,IF('DEFINA!!!'!$L$6="D-E-F-I-N-A !!!!!!!",0,IF('DEFINA!!!'!$L$6="Opto por Idade Média",SEM!AW166,IF('DEFINA!!!'!$L$6="Opto pelo Valor aplicado ao  Ano de cada Carro",SEM!AX166,0))),IF('DEFINA!!!'!$L$6="D-E-F-I-N-A !!!!!!!",0,IF('DEFINA!!!'!$L$6="Opto por Idade Média",SEM!AU166,IF('DEFINA!!!'!$L$6="Opto pelo Valor aplicado ao  Ano de cada Carro",SEM!AV166,0)))))))</f>
        <v/>
      </c>
      <c r="AL166" s="6"/>
      <c r="AM166" s="79" t="str">
        <f t="shared" si="46"/>
        <v/>
      </c>
      <c r="AN166" s="12"/>
      <c r="AO166" s="12"/>
      <c r="AP166" s="14"/>
      <c r="AQ166" s="16"/>
      <c r="AR166" s="15"/>
      <c r="AU166" s="198" t="str">
        <f>IF(C166="","",VLOOKUP(FROTA!$AB$2,RECEBÍVEIS!$AA$11:$AB$43,2,0))</f>
        <v/>
      </c>
      <c r="AV166" s="198" t="str">
        <f>IF(C166="","",IF(C166=FROTA!Z166="","",VLOOKUP(FROTA!Z166,RECEBÍVEIS!$AA$11:$AB$43,2,0)))</f>
        <v/>
      </c>
      <c r="AW166" s="198" t="str">
        <f>IF(C166="","",VLOOKUP(FROTA!$AB$2,RECEBÍVEIS!$AA$11:$AC$43,3,0))</f>
        <v/>
      </c>
      <c r="AX166" s="198" t="str">
        <f>IF(C166="","",IF(C166=FROTA!Z166="","",VLOOKUP(FROTA!Z166,RECEBÍVEIS!$AA$11:$AC$43,3,0)))</f>
        <v/>
      </c>
    </row>
    <row r="167" spans="2:50" ht="17.25" customHeight="1" x14ac:dyDescent="0.2">
      <c r="B167" s="6"/>
      <c r="C167" s="49" t="str">
        <f>IF(FROTA!B167="","",FROTA!B167)</f>
        <v/>
      </c>
      <c r="D167" s="220" t="str">
        <f>IF(C167="","",VLOOKUP(SEM!C167,FROTA!$B$5:$C$305,2,0))</f>
        <v/>
      </c>
      <c r="E167" s="24" t="str">
        <f>IF(C167="","",VLOOKUP(C167,FROTA!$B$5:$H$305,7,0))</f>
        <v/>
      </c>
      <c r="F167" s="38" t="str">
        <f t="shared" si="36"/>
        <v/>
      </c>
      <c r="G167" s="71" t="str">
        <f t="shared" si="47"/>
        <v/>
      </c>
      <c r="H167" s="32" t="str">
        <f t="shared" ref="H167:J183" si="52">IF($C167="","",IF(SUM(H$307*$G167)&gt;$F167,$F167,SUM(H$307*$G167)))</f>
        <v/>
      </c>
      <c r="I167" s="73" t="str">
        <f t="shared" si="52"/>
        <v/>
      </c>
      <c r="J167" s="73" t="str">
        <f t="shared" si="52"/>
        <v/>
      </c>
      <c r="K167" s="73" t="str">
        <f t="shared" si="51"/>
        <v/>
      </c>
      <c r="L167" s="73" t="str">
        <f t="shared" si="51"/>
        <v/>
      </c>
      <c r="M167" s="73" t="str">
        <f t="shared" si="51"/>
        <v/>
      </c>
      <c r="N167" s="73" t="str">
        <f t="shared" si="50"/>
        <v/>
      </c>
      <c r="O167" s="73" t="str">
        <f t="shared" si="50"/>
        <v/>
      </c>
      <c r="P167" s="73" t="str">
        <f t="shared" si="50"/>
        <v/>
      </c>
      <c r="Q167" s="73" t="str">
        <f t="shared" si="34"/>
        <v/>
      </c>
      <c r="R167" s="73" t="str">
        <f t="shared" si="49"/>
        <v/>
      </c>
      <c r="S167" s="73" t="str">
        <f t="shared" si="49"/>
        <v/>
      </c>
      <c r="T167" s="73" t="str">
        <f t="shared" si="49"/>
        <v/>
      </c>
      <c r="U167" s="73" t="str">
        <f t="shared" si="49"/>
        <v/>
      </c>
      <c r="V167" s="73" t="str">
        <f t="shared" si="49"/>
        <v/>
      </c>
      <c r="W167" s="73" t="str">
        <f t="shared" si="49"/>
        <v/>
      </c>
      <c r="X167" s="73" t="str">
        <f t="shared" si="49"/>
        <v/>
      </c>
      <c r="Y167" s="73" t="str">
        <f t="shared" si="49"/>
        <v/>
      </c>
      <c r="Z167" s="73" t="str">
        <f t="shared" si="49"/>
        <v/>
      </c>
      <c r="AA167" s="73" t="str">
        <f t="shared" si="49"/>
        <v/>
      </c>
      <c r="AB167" s="74" t="str">
        <f t="shared" si="49"/>
        <v/>
      </c>
      <c r="AC167" s="35" t="str">
        <f t="shared" si="38"/>
        <v/>
      </c>
      <c r="AD167" s="40" t="str">
        <f t="shared" si="39"/>
        <v/>
      </c>
      <c r="AE167" s="37" t="str">
        <f t="shared" si="40"/>
        <v/>
      </c>
      <c r="AF167" s="40" t="str">
        <f t="shared" si="41"/>
        <v/>
      </c>
      <c r="AG167" s="37" t="str">
        <f t="shared" si="42"/>
        <v/>
      </c>
      <c r="AH167" s="40" t="str">
        <f t="shared" si="43"/>
        <v/>
      </c>
      <c r="AI167" s="37" t="str">
        <f t="shared" si="44"/>
        <v/>
      </c>
      <c r="AJ167" s="40" t="str">
        <f t="shared" si="45"/>
        <v/>
      </c>
      <c r="AK167" s="204" t="str">
        <f>IF(C167="","",IF(E167=FROTA!$AT$18,IF('DEFINA!!!'!$L$6="D-E-F-I-N-A !!!!!!!",0,IF('DEFINA!!!'!$L$6="Opto por Idade Média",SEM!AW167,IF('DEFINA!!!'!$L$6="Opto pelo Valor aplicado ao  Ano de cada Carro",SEM!AX167,0))),IF(E167=FROTA!$AT$17,IF('DEFINA!!!'!$L$6="D-E-F-I-N-A !!!!!!!",0,IF('DEFINA!!!'!$L$6="Opto por Idade Média",SEM!AW167,IF('DEFINA!!!'!$L$6="Opto pelo Valor aplicado ao  Ano de cada Carro",SEM!AX167,0))),IF(E167=FROTA!$AT$16,IF('DEFINA!!!'!$L$6="D-E-F-I-N-A !!!!!!!",0,IF('DEFINA!!!'!$L$6="Opto por Idade Média",SEM!AW167,IF('DEFINA!!!'!$L$6="Opto pelo Valor aplicado ao  Ano de cada Carro",SEM!AX167,0))),IF('DEFINA!!!'!$L$6="D-E-F-I-N-A !!!!!!!",0,IF('DEFINA!!!'!$L$6="Opto por Idade Média",SEM!AU167,IF('DEFINA!!!'!$L$6="Opto pelo Valor aplicado ao  Ano de cada Carro",SEM!AV167,0)))))))</f>
        <v/>
      </c>
      <c r="AL167" s="6"/>
      <c r="AM167" s="79" t="str">
        <f t="shared" si="46"/>
        <v/>
      </c>
      <c r="AN167" s="12"/>
      <c r="AO167" s="12"/>
      <c r="AP167" s="14"/>
      <c r="AQ167" s="16"/>
      <c r="AR167" s="15"/>
      <c r="AU167" s="198" t="str">
        <f>IF(C167="","",VLOOKUP(FROTA!$AB$2,RECEBÍVEIS!$AA$11:$AB$43,2,0))</f>
        <v/>
      </c>
      <c r="AV167" s="198" t="str">
        <f>IF(C167="","",IF(C167=FROTA!Z167="","",VLOOKUP(FROTA!Z167,RECEBÍVEIS!$AA$11:$AB$43,2,0)))</f>
        <v/>
      </c>
      <c r="AW167" s="198" t="str">
        <f>IF(C167="","",VLOOKUP(FROTA!$AB$2,RECEBÍVEIS!$AA$11:$AC$43,3,0))</f>
        <v/>
      </c>
      <c r="AX167" s="198" t="str">
        <f>IF(C167="","",IF(C167=FROTA!Z167="","",VLOOKUP(FROTA!Z167,RECEBÍVEIS!$AA$11:$AC$43,3,0)))</f>
        <v/>
      </c>
    </row>
    <row r="168" spans="2:50" ht="17.25" customHeight="1" x14ac:dyDescent="0.2">
      <c r="B168" s="6"/>
      <c r="C168" s="49" t="str">
        <f>IF(FROTA!B168="","",FROTA!B168)</f>
        <v/>
      </c>
      <c r="D168" s="220" t="str">
        <f>IF(C168="","",VLOOKUP(SEM!C168,FROTA!$B$5:$C$305,2,0))</f>
        <v/>
      </c>
      <c r="E168" s="24" t="str">
        <f>IF(C168="","",VLOOKUP(C168,FROTA!$B$5:$H$305,7,0))</f>
        <v/>
      </c>
      <c r="F168" s="38" t="str">
        <f t="shared" si="36"/>
        <v/>
      </c>
      <c r="G168" s="71" t="str">
        <f t="shared" si="47"/>
        <v/>
      </c>
      <c r="H168" s="32" t="str">
        <f t="shared" si="52"/>
        <v/>
      </c>
      <c r="I168" s="73" t="str">
        <f t="shared" si="52"/>
        <v/>
      </c>
      <c r="J168" s="73" t="str">
        <f t="shared" si="52"/>
        <v/>
      </c>
      <c r="K168" s="73" t="str">
        <f t="shared" si="51"/>
        <v/>
      </c>
      <c r="L168" s="73" t="str">
        <f t="shared" si="51"/>
        <v/>
      </c>
      <c r="M168" s="73" t="str">
        <f t="shared" si="51"/>
        <v/>
      </c>
      <c r="N168" s="73" t="str">
        <f t="shared" si="50"/>
        <v/>
      </c>
      <c r="O168" s="73" t="str">
        <f t="shared" si="50"/>
        <v/>
      </c>
      <c r="P168" s="73" t="str">
        <f t="shared" si="50"/>
        <v/>
      </c>
      <c r="Q168" s="73" t="str">
        <f t="shared" si="34"/>
        <v/>
      </c>
      <c r="R168" s="73" t="str">
        <f t="shared" si="49"/>
        <v/>
      </c>
      <c r="S168" s="73" t="str">
        <f t="shared" si="49"/>
        <v/>
      </c>
      <c r="T168" s="73" t="str">
        <f t="shared" si="49"/>
        <v/>
      </c>
      <c r="U168" s="73" t="str">
        <f t="shared" si="49"/>
        <v/>
      </c>
      <c r="V168" s="73" t="str">
        <f t="shared" si="49"/>
        <v/>
      </c>
      <c r="W168" s="73" t="str">
        <f t="shared" si="49"/>
        <v/>
      </c>
      <c r="X168" s="73" t="str">
        <f t="shared" si="49"/>
        <v/>
      </c>
      <c r="Y168" s="73" t="str">
        <f t="shared" si="49"/>
        <v/>
      </c>
      <c r="Z168" s="73" t="str">
        <f t="shared" si="49"/>
        <v/>
      </c>
      <c r="AA168" s="73" t="str">
        <f t="shared" si="49"/>
        <v/>
      </c>
      <c r="AB168" s="74" t="str">
        <f t="shared" si="49"/>
        <v/>
      </c>
      <c r="AC168" s="35" t="str">
        <f t="shared" si="38"/>
        <v/>
      </c>
      <c r="AD168" s="40" t="str">
        <f t="shared" si="39"/>
        <v/>
      </c>
      <c r="AE168" s="37" t="str">
        <f t="shared" si="40"/>
        <v/>
      </c>
      <c r="AF168" s="40" t="str">
        <f t="shared" si="41"/>
        <v/>
      </c>
      <c r="AG168" s="37" t="str">
        <f t="shared" si="42"/>
        <v/>
      </c>
      <c r="AH168" s="40" t="str">
        <f t="shared" si="43"/>
        <v/>
      </c>
      <c r="AI168" s="37" t="str">
        <f t="shared" si="44"/>
        <v/>
      </c>
      <c r="AJ168" s="40" t="str">
        <f t="shared" si="45"/>
        <v/>
      </c>
      <c r="AK168" s="204" t="str">
        <f>IF(C168="","",IF(E168=FROTA!$AT$18,IF('DEFINA!!!'!$L$6="D-E-F-I-N-A !!!!!!!",0,IF('DEFINA!!!'!$L$6="Opto por Idade Média",SEM!AW168,IF('DEFINA!!!'!$L$6="Opto pelo Valor aplicado ao  Ano de cada Carro",SEM!AX168,0))),IF(E168=FROTA!$AT$17,IF('DEFINA!!!'!$L$6="D-E-F-I-N-A !!!!!!!",0,IF('DEFINA!!!'!$L$6="Opto por Idade Média",SEM!AW168,IF('DEFINA!!!'!$L$6="Opto pelo Valor aplicado ao  Ano de cada Carro",SEM!AX168,0))),IF(E168=FROTA!$AT$16,IF('DEFINA!!!'!$L$6="D-E-F-I-N-A !!!!!!!",0,IF('DEFINA!!!'!$L$6="Opto por Idade Média",SEM!AW168,IF('DEFINA!!!'!$L$6="Opto pelo Valor aplicado ao  Ano de cada Carro",SEM!AX168,0))),IF('DEFINA!!!'!$L$6="D-E-F-I-N-A !!!!!!!",0,IF('DEFINA!!!'!$L$6="Opto por Idade Média",SEM!AU168,IF('DEFINA!!!'!$L$6="Opto pelo Valor aplicado ao  Ano de cada Carro",SEM!AV168,0)))))))</f>
        <v/>
      </c>
      <c r="AL168" s="6"/>
      <c r="AM168" s="79" t="str">
        <f t="shared" si="46"/>
        <v/>
      </c>
      <c r="AN168" s="12"/>
      <c r="AO168" s="12"/>
      <c r="AP168" s="14"/>
      <c r="AQ168" s="16"/>
      <c r="AR168" s="15"/>
      <c r="AU168" s="198" t="str">
        <f>IF(C168="","",VLOOKUP(FROTA!$AB$2,RECEBÍVEIS!$AA$11:$AB$43,2,0))</f>
        <v/>
      </c>
      <c r="AV168" s="198" t="str">
        <f>IF(C168="","",IF(C168=FROTA!Z168="","",VLOOKUP(FROTA!Z168,RECEBÍVEIS!$AA$11:$AB$43,2,0)))</f>
        <v/>
      </c>
      <c r="AW168" s="198" t="str">
        <f>IF(C168="","",VLOOKUP(FROTA!$AB$2,RECEBÍVEIS!$AA$11:$AC$43,3,0))</f>
        <v/>
      </c>
      <c r="AX168" s="198" t="str">
        <f>IF(C168="","",IF(C168=FROTA!Z168="","",VLOOKUP(FROTA!Z168,RECEBÍVEIS!$AA$11:$AC$43,3,0)))</f>
        <v/>
      </c>
    </row>
    <row r="169" spans="2:50" ht="17.25" customHeight="1" x14ac:dyDescent="0.2">
      <c r="B169" s="6"/>
      <c r="C169" s="49" t="str">
        <f>IF(FROTA!B169="","",FROTA!B169)</f>
        <v/>
      </c>
      <c r="D169" s="220" t="str">
        <f>IF(C169="","",VLOOKUP(SEM!C169,FROTA!$B$5:$C$305,2,0))</f>
        <v/>
      </c>
      <c r="E169" s="24" t="str">
        <f>IF(C169="","",VLOOKUP(C169,FROTA!$B$5:$H$305,7,0))</f>
        <v/>
      </c>
      <c r="F169" s="38" t="str">
        <f t="shared" si="36"/>
        <v/>
      </c>
      <c r="G169" s="71" t="str">
        <f t="shared" si="47"/>
        <v/>
      </c>
      <c r="H169" s="32" t="str">
        <f t="shared" si="52"/>
        <v/>
      </c>
      <c r="I169" s="73" t="str">
        <f t="shared" si="52"/>
        <v/>
      </c>
      <c r="J169" s="73" t="str">
        <f t="shared" si="52"/>
        <v/>
      </c>
      <c r="K169" s="73" t="str">
        <f t="shared" si="51"/>
        <v/>
      </c>
      <c r="L169" s="73" t="str">
        <f t="shared" si="51"/>
        <v/>
      </c>
      <c r="M169" s="73" t="str">
        <f t="shared" si="51"/>
        <v/>
      </c>
      <c r="N169" s="73" t="str">
        <f t="shared" si="50"/>
        <v/>
      </c>
      <c r="O169" s="73" t="str">
        <f t="shared" si="50"/>
        <v/>
      </c>
      <c r="P169" s="73" t="str">
        <f t="shared" si="50"/>
        <v/>
      </c>
      <c r="Q169" s="73" t="str">
        <f t="shared" si="34"/>
        <v/>
      </c>
      <c r="R169" s="73" t="str">
        <f t="shared" si="49"/>
        <v/>
      </c>
      <c r="S169" s="73" t="str">
        <f t="shared" si="49"/>
        <v/>
      </c>
      <c r="T169" s="73" t="str">
        <f t="shared" si="49"/>
        <v/>
      </c>
      <c r="U169" s="73" t="str">
        <f t="shared" si="49"/>
        <v/>
      </c>
      <c r="V169" s="73" t="str">
        <f t="shared" si="49"/>
        <v/>
      </c>
      <c r="W169" s="73" t="str">
        <f t="shared" si="49"/>
        <v/>
      </c>
      <c r="X169" s="73" t="str">
        <f t="shared" si="49"/>
        <v/>
      </c>
      <c r="Y169" s="73" t="str">
        <f t="shared" si="49"/>
        <v/>
      </c>
      <c r="Z169" s="73" t="str">
        <f t="shared" si="49"/>
        <v/>
      </c>
      <c r="AA169" s="73" t="str">
        <f t="shared" si="49"/>
        <v/>
      </c>
      <c r="AB169" s="74" t="str">
        <f t="shared" si="49"/>
        <v/>
      </c>
      <c r="AC169" s="35" t="str">
        <f t="shared" si="38"/>
        <v/>
      </c>
      <c r="AD169" s="40" t="str">
        <f t="shared" si="39"/>
        <v/>
      </c>
      <c r="AE169" s="37" t="str">
        <f t="shared" si="40"/>
        <v/>
      </c>
      <c r="AF169" s="40" t="str">
        <f t="shared" si="41"/>
        <v/>
      </c>
      <c r="AG169" s="37" t="str">
        <f t="shared" si="42"/>
        <v/>
      </c>
      <c r="AH169" s="40" t="str">
        <f t="shared" si="43"/>
        <v/>
      </c>
      <c r="AI169" s="37" t="str">
        <f t="shared" si="44"/>
        <v/>
      </c>
      <c r="AJ169" s="40" t="str">
        <f t="shared" si="45"/>
        <v/>
      </c>
      <c r="AK169" s="204" t="str">
        <f>IF(C169="","",IF(E169=FROTA!$AT$18,IF('DEFINA!!!'!$L$6="D-E-F-I-N-A !!!!!!!",0,IF('DEFINA!!!'!$L$6="Opto por Idade Média",SEM!AW169,IF('DEFINA!!!'!$L$6="Opto pelo Valor aplicado ao  Ano de cada Carro",SEM!AX169,0))),IF(E169=FROTA!$AT$17,IF('DEFINA!!!'!$L$6="D-E-F-I-N-A !!!!!!!",0,IF('DEFINA!!!'!$L$6="Opto por Idade Média",SEM!AW169,IF('DEFINA!!!'!$L$6="Opto pelo Valor aplicado ao  Ano de cada Carro",SEM!AX169,0))),IF(E169=FROTA!$AT$16,IF('DEFINA!!!'!$L$6="D-E-F-I-N-A !!!!!!!",0,IF('DEFINA!!!'!$L$6="Opto por Idade Média",SEM!AW169,IF('DEFINA!!!'!$L$6="Opto pelo Valor aplicado ao  Ano de cada Carro",SEM!AX169,0))),IF('DEFINA!!!'!$L$6="D-E-F-I-N-A !!!!!!!",0,IF('DEFINA!!!'!$L$6="Opto por Idade Média",SEM!AU169,IF('DEFINA!!!'!$L$6="Opto pelo Valor aplicado ao  Ano de cada Carro",SEM!AV169,0)))))))</f>
        <v/>
      </c>
      <c r="AL169" s="6"/>
      <c r="AM169" s="79" t="str">
        <f t="shared" si="46"/>
        <v/>
      </c>
      <c r="AN169" s="12"/>
      <c r="AO169" s="12"/>
      <c r="AP169" s="14"/>
      <c r="AQ169" s="16"/>
      <c r="AR169" s="15"/>
      <c r="AU169" s="198" t="str">
        <f>IF(C169="","",VLOOKUP(FROTA!$AB$2,RECEBÍVEIS!$AA$11:$AB$43,2,0))</f>
        <v/>
      </c>
      <c r="AV169" s="198" t="str">
        <f>IF(C169="","",IF(C169=FROTA!Z169="","",VLOOKUP(FROTA!Z169,RECEBÍVEIS!$AA$11:$AB$43,2,0)))</f>
        <v/>
      </c>
      <c r="AW169" s="198" t="str">
        <f>IF(C169="","",VLOOKUP(FROTA!$AB$2,RECEBÍVEIS!$AA$11:$AC$43,3,0))</f>
        <v/>
      </c>
      <c r="AX169" s="198" t="str">
        <f>IF(C169="","",IF(C169=FROTA!Z169="","",VLOOKUP(FROTA!Z169,RECEBÍVEIS!$AA$11:$AC$43,3,0)))</f>
        <v/>
      </c>
    </row>
    <row r="170" spans="2:50" ht="17.25" customHeight="1" x14ac:dyDescent="0.2">
      <c r="B170" s="6"/>
      <c r="C170" s="49" t="str">
        <f>IF(FROTA!B170="","",FROTA!B170)</f>
        <v/>
      </c>
      <c r="D170" s="220" t="str">
        <f>IF(C170="","",VLOOKUP(SEM!C170,FROTA!$B$5:$C$305,2,0))</f>
        <v/>
      </c>
      <c r="E170" s="24" t="str">
        <f>IF(C170="","",VLOOKUP(C170,FROTA!$B$5:$H$305,7,0))</f>
        <v/>
      </c>
      <c r="F170" s="38" t="str">
        <f t="shared" si="36"/>
        <v/>
      </c>
      <c r="G170" s="71" t="str">
        <f t="shared" si="47"/>
        <v/>
      </c>
      <c r="H170" s="32" t="str">
        <f t="shared" si="52"/>
        <v/>
      </c>
      <c r="I170" s="73" t="str">
        <f t="shared" si="52"/>
        <v/>
      </c>
      <c r="J170" s="73" t="str">
        <f t="shared" si="52"/>
        <v/>
      </c>
      <c r="K170" s="73" t="str">
        <f t="shared" si="51"/>
        <v/>
      </c>
      <c r="L170" s="73" t="str">
        <f t="shared" si="51"/>
        <v/>
      </c>
      <c r="M170" s="73" t="str">
        <f t="shared" si="51"/>
        <v/>
      </c>
      <c r="N170" s="73" t="str">
        <f t="shared" si="50"/>
        <v/>
      </c>
      <c r="O170" s="73" t="str">
        <f t="shared" si="50"/>
        <v/>
      </c>
      <c r="P170" s="73" t="str">
        <f t="shared" si="50"/>
        <v/>
      </c>
      <c r="Q170" s="73" t="str">
        <f t="shared" si="34"/>
        <v/>
      </c>
      <c r="R170" s="73" t="str">
        <f t="shared" si="49"/>
        <v/>
      </c>
      <c r="S170" s="73" t="str">
        <f t="shared" si="49"/>
        <v/>
      </c>
      <c r="T170" s="73" t="str">
        <f t="shared" si="49"/>
        <v/>
      </c>
      <c r="U170" s="73" t="str">
        <f t="shared" si="49"/>
        <v/>
      </c>
      <c r="V170" s="73" t="str">
        <f t="shared" si="49"/>
        <v/>
      </c>
      <c r="W170" s="73" t="str">
        <f t="shared" si="49"/>
        <v/>
      </c>
      <c r="X170" s="73" t="str">
        <f t="shared" si="49"/>
        <v/>
      </c>
      <c r="Y170" s="73" t="str">
        <f t="shared" si="49"/>
        <v/>
      </c>
      <c r="Z170" s="73" t="str">
        <f t="shared" si="49"/>
        <v/>
      </c>
      <c r="AA170" s="73" t="str">
        <f t="shared" si="49"/>
        <v/>
      </c>
      <c r="AB170" s="74" t="str">
        <f t="shared" si="49"/>
        <v/>
      </c>
      <c r="AC170" s="35" t="str">
        <f t="shared" si="38"/>
        <v/>
      </c>
      <c r="AD170" s="40" t="str">
        <f t="shared" si="39"/>
        <v/>
      </c>
      <c r="AE170" s="37" t="str">
        <f t="shared" si="40"/>
        <v/>
      </c>
      <c r="AF170" s="40" t="str">
        <f t="shared" si="41"/>
        <v/>
      </c>
      <c r="AG170" s="37" t="str">
        <f t="shared" si="42"/>
        <v/>
      </c>
      <c r="AH170" s="40" t="str">
        <f t="shared" si="43"/>
        <v/>
      </c>
      <c r="AI170" s="37" t="str">
        <f t="shared" si="44"/>
        <v/>
      </c>
      <c r="AJ170" s="40" t="str">
        <f t="shared" si="45"/>
        <v/>
      </c>
      <c r="AK170" s="204" t="str">
        <f>IF(C170="","",IF(E170=FROTA!$AT$18,IF('DEFINA!!!'!$L$6="D-E-F-I-N-A !!!!!!!",0,IF('DEFINA!!!'!$L$6="Opto por Idade Média",SEM!AW170,IF('DEFINA!!!'!$L$6="Opto pelo Valor aplicado ao  Ano de cada Carro",SEM!AX170,0))),IF(E170=FROTA!$AT$17,IF('DEFINA!!!'!$L$6="D-E-F-I-N-A !!!!!!!",0,IF('DEFINA!!!'!$L$6="Opto por Idade Média",SEM!AW170,IF('DEFINA!!!'!$L$6="Opto pelo Valor aplicado ao  Ano de cada Carro",SEM!AX170,0))),IF(E170=FROTA!$AT$16,IF('DEFINA!!!'!$L$6="D-E-F-I-N-A !!!!!!!",0,IF('DEFINA!!!'!$L$6="Opto por Idade Média",SEM!AW170,IF('DEFINA!!!'!$L$6="Opto pelo Valor aplicado ao  Ano de cada Carro",SEM!AX170,0))),IF('DEFINA!!!'!$L$6="D-E-F-I-N-A !!!!!!!",0,IF('DEFINA!!!'!$L$6="Opto por Idade Média",SEM!AU170,IF('DEFINA!!!'!$L$6="Opto pelo Valor aplicado ao  Ano de cada Carro",SEM!AV170,0)))))))</f>
        <v/>
      </c>
      <c r="AL170" s="6"/>
      <c r="AM170" s="79" t="str">
        <f t="shared" si="46"/>
        <v/>
      </c>
      <c r="AN170" s="12"/>
      <c r="AO170" s="12"/>
      <c r="AP170" s="14"/>
      <c r="AQ170" s="16"/>
      <c r="AR170" s="15"/>
      <c r="AU170" s="198" t="str">
        <f>IF(C170="","",VLOOKUP(FROTA!$AB$2,RECEBÍVEIS!$AA$11:$AB$43,2,0))</f>
        <v/>
      </c>
      <c r="AV170" s="198" t="str">
        <f>IF(C170="","",IF(C170=FROTA!Z170="","",VLOOKUP(FROTA!Z170,RECEBÍVEIS!$AA$11:$AB$43,2,0)))</f>
        <v/>
      </c>
      <c r="AW170" s="198" t="str">
        <f>IF(C170="","",VLOOKUP(FROTA!$AB$2,RECEBÍVEIS!$AA$11:$AC$43,3,0))</f>
        <v/>
      </c>
      <c r="AX170" s="198" t="str">
        <f>IF(C170="","",IF(C170=FROTA!Z170="","",VLOOKUP(FROTA!Z170,RECEBÍVEIS!$AA$11:$AC$43,3,0)))</f>
        <v/>
      </c>
    </row>
    <row r="171" spans="2:50" ht="17.25" customHeight="1" x14ac:dyDescent="0.2">
      <c r="B171" s="6"/>
      <c r="C171" s="49" t="str">
        <f>IF(FROTA!B171="","",FROTA!B171)</f>
        <v/>
      </c>
      <c r="D171" s="220" t="str">
        <f>IF(C171="","",VLOOKUP(SEM!C171,FROTA!$B$5:$C$305,2,0))</f>
        <v/>
      </c>
      <c r="E171" s="24" t="str">
        <f>IF(C171="","",VLOOKUP(C171,FROTA!$B$5:$H$305,7,0))</f>
        <v/>
      </c>
      <c r="F171" s="38" t="str">
        <f t="shared" si="36"/>
        <v/>
      </c>
      <c r="G171" s="71" t="str">
        <f t="shared" si="47"/>
        <v/>
      </c>
      <c r="H171" s="32" t="str">
        <f t="shared" si="52"/>
        <v/>
      </c>
      <c r="I171" s="73" t="str">
        <f t="shared" si="52"/>
        <v/>
      </c>
      <c r="J171" s="73" t="str">
        <f t="shared" si="52"/>
        <v/>
      </c>
      <c r="K171" s="73" t="str">
        <f t="shared" si="51"/>
        <v/>
      </c>
      <c r="L171" s="73" t="str">
        <f t="shared" si="51"/>
        <v/>
      </c>
      <c r="M171" s="73" t="str">
        <f t="shared" si="51"/>
        <v/>
      </c>
      <c r="N171" s="73" t="str">
        <f t="shared" si="50"/>
        <v/>
      </c>
      <c r="O171" s="73" t="str">
        <f t="shared" si="50"/>
        <v/>
      </c>
      <c r="P171" s="73" t="str">
        <f t="shared" si="50"/>
        <v/>
      </c>
      <c r="Q171" s="73" t="str">
        <f t="shared" si="34"/>
        <v/>
      </c>
      <c r="R171" s="73" t="str">
        <f t="shared" si="49"/>
        <v/>
      </c>
      <c r="S171" s="73" t="str">
        <f t="shared" si="49"/>
        <v/>
      </c>
      <c r="T171" s="73" t="str">
        <f t="shared" si="49"/>
        <v/>
      </c>
      <c r="U171" s="73" t="str">
        <f t="shared" si="49"/>
        <v/>
      </c>
      <c r="V171" s="73" t="str">
        <f t="shared" si="49"/>
        <v/>
      </c>
      <c r="W171" s="73" t="str">
        <f t="shared" si="49"/>
        <v/>
      </c>
      <c r="X171" s="73" t="str">
        <f t="shared" si="49"/>
        <v/>
      </c>
      <c r="Y171" s="73" t="str">
        <f t="shared" si="49"/>
        <v/>
      </c>
      <c r="Z171" s="73" t="str">
        <f t="shared" si="49"/>
        <v/>
      </c>
      <c r="AA171" s="73" t="str">
        <f t="shared" si="49"/>
        <v/>
      </c>
      <c r="AB171" s="74" t="str">
        <f t="shared" si="49"/>
        <v/>
      </c>
      <c r="AC171" s="35" t="str">
        <f t="shared" si="38"/>
        <v/>
      </c>
      <c r="AD171" s="40" t="str">
        <f t="shared" si="39"/>
        <v/>
      </c>
      <c r="AE171" s="37" t="str">
        <f t="shared" si="40"/>
        <v/>
      </c>
      <c r="AF171" s="40" t="str">
        <f t="shared" si="41"/>
        <v/>
      </c>
      <c r="AG171" s="37" t="str">
        <f t="shared" si="42"/>
        <v/>
      </c>
      <c r="AH171" s="40" t="str">
        <f t="shared" si="43"/>
        <v/>
      </c>
      <c r="AI171" s="37" t="str">
        <f t="shared" si="44"/>
        <v/>
      </c>
      <c r="AJ171" s="40" t="str">
        <f t="shared" si="45"/>
        <v/>
      </c>
      <c r="AK171" s="204" t="str">
        <f>IF(C171="","",IF(E171=FROTA!$AT$18,IF('DEFINA!!!'!$L$6="D-E-F-I-N-A !!!!!!!",0,IF('DEFINA!!!'!$L$6="Opto por Idade Média",SEM!AW171,IF('DEFINA!!!'!$L$6="Opto pelo Valor aplicado ao  Ano de cada Carro",SEM!AX171,0))),IF(E171=FROTA!$AT$17,IF('DEFINA!!!'!$L$6="D-E-F-I-N-A !!!!!!!",0,IF('DEFINA!!!'!$L$6="Opto por Idade Média",SEM!AW171,IF('DEFINA!!!'!$L$6="Opto pelo Valor aplicado ao  Ano de cada Carro",SEM!AX171,0))),IF(E171=FROTA!$AT$16,IF('DEFINA!!!'!$L$6="D-E-F-I-N-A !!!!!!!",0,IF('DEFINA!!!'!$L$6="Opto por Idade Média",SEM!AW171,IF('DEFINA!!!'!$L$6="Opto pelo Valor aplicado ao  Ano de cada Carro",SEM!AX171,0))),IF('DEFINA!!!'!$L$6="D-E-F-I-N-A !!!!!!!",0,IF('DEFINA!!!'!$L$6="Opto por Idade Média",SEM!AU171,IF('DEFINA!!!'!$L$6="Opto pelo Valor aplicado ao  Ano de cada Carro",SEM!AV171,0)))))))</f>
        <v/>
      </c>
      <c r="AL171" s="6"/>
      <c r="AM171" s="79" t="str">
        <f t="shared" si="46"/>
        <v/>
      </c>
      <c r="AN171" s="12"/>
      <c r="AO171" s="12"/>
      <c r="AP171" s="14"/>
      <c r="AQ171" s="16"/>
      <c r="AR171" s="15"/>
      <c r="AU171" s="198" t="str">
        <f>IF(C171="","",VLOOKUP(FROTA!$AB$2,RECEBÍVEIS!$AA$11:$AB$43,2,0))</f>
        <v/>
      </c>
      <c r="AV171" s="198" t="str">
        <f>IF(C171="","",IF(C171=FROTA!Z171="","",VLOOKUP(FROTA!Z171,RECEBÍVEIS!$AA$11:$AB$43,2,0)))</f>
        <v/>
      </c>
      <c r="AW171" s="198" t="str">
        <f>IF(C171="","",VLOOKUP(FROTA!$AB$2,RECEBÍVEIS!$AA$11:$AC$43,3,0))</f>
        <v/>
      </c>
      <c r="AX171" s="198" t="str">
        <f>IF(C171="","",IF(C171=FROTA!Z171="","",VLOOKUP(FROTA!Z171,RECEBÍVEIS!$AA$11:$AC$43,3,0)))</f>
        <v/>
      </c>
    </row>
    <row r="172" spans="2:50" ht="17.25" customHeight="1" x14ac:dyDescent="0.2">
      <c r="B172" s="6"/>
      <c r="C172" s="49" t="str">
        <f>IF(FROTA!B172="","",FROTA!B172)</f>
        <v/>
      </c>
      <c r="D172" s="220" t="str">
        <f>IF(C172="","",VLOOKUP(SEM!C172,FROTA!$B$5:$C$305,2,0))</f>
        <v/>
      </c>
      <c r="E172" s="24" t="str">
        <f>IF(C172="","",VLOOKUP(C172,FROTA!$B$5:$H$305,7,0))</f>
        <v/>
      </c>
      <c r="F172" s="38" t="str">
        <f t="shared" si="36"/>
        <v/>
      </c>
      <c r="G172" s="71" t="str">
        <f t="shared" si="47"/>
        <v/>
      </c>
      <c r="H172" s="32" t="str">
        <f t="shared" si="52"/>
        <v/>
      </c>
      <c r="I172" s="73" t="str">
        <f t="shared" si="52"/>
        <v/>
      </c>
      <c r="J172" s="73" t="str">
        <f t="shared" si="52"/>
        <v/>
      </c>
      <c r="K172" s="73" t="str">
        <f t="shared" si="51"/>
        <v/>
      </c>
      <c r="L172" s="73" t="str">
        <f t="shared" si="51"/>
        <v/>
      </c>
      <c r="M172" s="73" t="str">
        <f t="shared" si="51"/>
        <v/>
      </c>
      <c r="N172" s="73" t="str">
        <f t="shared" si="50"/>
        <v/>
      </c>
      <c r="O172" s="73" t="str">
        <f t="shared" si="50"/>
        <v/>
      </c>
      <c r="P172" s="73" t="str">
        <f t="shared" si="50"/>
        <v/>
      </c>
      <c r="Q172" s="73" t="str">
        <f t="shared" si="34"/>
        <v/>
      </c>
      <c r="R172" s="73" t="str">
        <f t="shared" si="49"/>
        <v/>
      </c>
      <c r="S172" s="73" t="str">
        <f t="shared" si="49"/>
        <v/>
      </c>
      <c r="T172" s="73" t="str">
        <f t="shared" si="49"/>
        <v/>
      </c>
      <c r="U172" s="73" t="str">
        <f t="shared" si="49"/>
        <v/>
      </c>
      <c r="V172" s="73" t="str">
        <f t="shared" si="49"/>
        <v/>
      </c>
      <c r="W172" s="73" t="str">
        <f t="shared" si="49"/>
        <v/>
      </c>
      <c r="X172" s="73" t="str">
        <f t="shared" si="49"/>
        <v/>
      </c>
      <c r="Y172" s="73" t="str">
        <f t="shared" si="49"/>
        <v/>
      </c>
      <c r="Z172" s="73" t="str">
        <f t="shared" si="49"/>
        <v/>
      </c>
      <c r="AA172" s="73" t="str">
        <f t="shared" si="49"/>
        <v/>
      </c>
      <c r="AB172" s="74" t="str">
        <f t="shared" si="49"/>
        <v/>
      </c>
      <c r="AC172" s="35" t="str">
        <f t="shared" si="38"/>
        <v/>
      </c>
      <c r="AD172" s="40" t="str">
        <f t="shared" si="39"/>
        <v/>
      </c>
      <c r="AE172" s="37" t="str">
        <f t="shared" si="40"/>
        <v/>
      </c>
      <c r="AF172" s="40" t="str">
        <f t="shared" si="41"/>
        <v/>
      </c>
      <c r="AG172" s="37" t="str">
        <f t="shared" si="42"/>
        <v/>
      </c>
      <c r="AH172" s="40" t="str">
        <f t="shared" si="43"/>
        <v/>
      </c>
      <c r="AI172" s="37" t="str">
        <f t="shared" si="44"/>
        <v/>
      </c>
      <c r="AJ172" s="40" t="str">
        <f t="shared" si="45"/>
        <v/>
      </c>
      <c r="AK172" s="204" t="str">
        <f>IF(C172="","",IF(E172=FROTA!$AT$18,IF('DEFINA!!!'!$L$6="D-E-F-I-N-A !!!!!!!",0,IF('DEFINA!!!'!$L$6="Opto por Idade Média",SEM!AW172,IF('DEFINA!!!'!$L$6="Opto pelo Valor aplicado ao  Ano de cada Carro",SEM!AX172,0))),IF(E172=FROTA!$AT$17,IF('DEFINA!!!'!$L$6="D-E-F-I-N-A !!!!!!!",0,IF('DEFINA!!!'!$L$6="Opto por Idade Média",SEM!AW172,IF('DEFINA!!!'!$L$6="Opto pelo Valor aplicado ao  Ano de cada Carro",SEM!AX172,0))),IF(E172=FROTA!$AT$16,IF('DEFINA!!!'!$L$6="D-E-F-I-N-A !!!!!!!",0,IF('DEFINA!!!'!$L$6="Opto por Idade Média",SEM!AW172,IF('DEFINA!!!'!$L$6="Opto pelo Valor aplicado ao  Ano de cada Carro",SEM!AX172,0))),IF('DEFINA!!!'!$L$6="D-E-F-I-N-A !!!!!!!",0,IF('DEFINA!!!'!$L$6="Opto por Idade Média",SEM!AU172,IF('DEFINA!!!'!$L$6="Opto pelo Valor aplicado ao  Ano de cada Carro",SEM!AV172,0)))))))</f>
        <v/>
      </c>
      <c r="AL172" s="6"/>
      <c r="AM172" s="79" t="str">
        <f t="shared" si="46"/>
        <v/>
      </c>
      <c r="AN172" s="12"/>
      <c r="AO172" s="12"/>
      <c r="AP172" s="14"/>
      <c r="AQ172" s="16"/>
      <c r="AR172" s="15"/>
      <c r="AU172" s="198" t="str">
        <f>IF(C172="","",VLOOKUP(FROTA!$AB$2,RECEBÍVEIS!$AA$11:$AB$43,2,0))</f>
        <v/>
      </c>
      <c r="AV172" s="198" t="str">
        <f>IF(C172="","",IF(C172=FROTA!Z172="","",VLOOKUP(FROTA!Z172,RECEBÍVEIS!$AA$11:$AB$43,2,0)))</f>
        <v/>
      </c>
      <c r="AW172" s="198" t="str">
        <f>IF(C172="","",VLOOKUP(FROTA!$AB$2,RECEBÍVEIS!$AA$11:$AC$43,3,0))</f>
        <v/>
      </c>
      <c r="AX172" s="198" t="str">
        <f>IF(C172="","",IF(C172=FROTA!Z172="","",VLOOKUP(FROTA!Z172,RECEBÍVEIS!$AA$11:$AC$43,3,0)))</f>
        <v/>
      </c>
    </row>
    <row r="173" spans="2:50" ht="17.25" customHeight="1" x14ac:dyDescent="0.2">
      <c r="B173" s="6"/>
      <c r="C173" s="49" t="str">
        <f>IF(FROTA!B173="","",FROTA!B173)</f>
        <v/>
      </c>
      <c r="D173" s="220" t="str">
        <f>IF(C173="","",VLOOKUP(SEM!C173,FROTA!$B$5:$C$305,2,0))</f>
        <v/>
      </c>
      <c r="E173" s="24" t="str">
        <f>IF(C173="","",VLOOKUP(C173,FROTA!$B$5:$H$305,7,0))</f>
        <v/>
      </c>
      <c r="F173" s="38" t="str">
        <f t="shared" si="36"/>
        <v/>
      </c>
      <c r="G173" s="71" t="str">
        <f t="shared" si="47"/>
        <v/>
      </c>
      <c r="H173" s="32" t="str">
        <f t="shared" si="52"/>
        <v/>
      </c>
      <c r="I173" s="73" t="str">
        <f t="shared" si="52"/>
        <v/>
      </c>
      <c r="J173" s="73" t="str">
        <f t="shared" si="52"/>
        <v/>
      </c>
      <c r="K173" s="73" t="str">
        <f t="shared" si="51"/>
        <v/>
      </c>
      <c r="L173" s="73" t="str">
        <f t="shared" si="51"/>
        <v/>
      </c>
      <c r="M173" s="73" t="str">
        <f t="shared" si="51"/>
        <v/>
      </c>
      <c r="N173" s="73" t="str">
        <f t="shared" si="50"/>
        <v/>
      </c>
      <c r="O173" s="73" t="str">
        <f t="shared" si="50"/>
        <v/>
      </c>
      <c r="P173" s="73" t="str">
        <f t="shared" si="50"/>
        <v/>
      </c>
      <c r="Q173" s="73" t="str">
        <f t="shared" si="34"/>
        <v/>
      </c>
      <c r="R173" s="73" t="str">
        <f t="shared" si="49"/>
        <v/>
      </c>
      <c r="S173" s="73" t="str">
        <f t="shared" si="49"/>
        <v/>
      </c>
      <c r="T173" s="73" t="str">
        <f t="shared" si="49"/>
        <v/>
      </c>
      <c r="U173" s="73" t="str">
        <f t="shared" si="49"/>
        <v/>
      </c>
      <c r="V173" s="73" t="str">
        <f t="shared" si="49"/>
        <v/>
      </c>
      <c r="W173" s="73" t="str">
        <f t="shared" si="49"/>
        <v/>
      </c>
      <c r="X173" s="73" t="str">
        <f t="shared" si="49"/>
        <v/>
      </c>
      <c r="Y173" s="73" t="str">
        <f t="shared" si="49"/>
        <v/>
      </c>
      <c r="Z173" s="73" t="str">
        <f t="shared" si="49"/>
        <v/>
      </c>
      <c r="AA173" s="73" t="str">
        <f t="shared" si="49"/>
        <v/>
      </c>
      <c r="AB173" s="74" t="str">
        <f t="shared" si="49"/>
        <v/>
      </c>
      <c r="AC173" s="35" t="str">
        <f t="shared" si="38"/>
        <v/>
      </c>
      <c r="AD173" s="40" t="str">
        <f t="shared" si="39"/>
        <v/>
      </c>
      <c r="AE173" s="37" t="str">
        <f t="shared" si="40"/>
        <v/>
      </c>
      <c r="AF173" s="40" t="str">
        <f t="shared" si="41"/>
        <v/>
      </c>
      <c r="AG173" s="37" t="str">
        <f t="shared" si="42"/>
        <v/>
      </c>
      <c r="AH173" s="40" t="str">
        <f t="shared" si="43"/>
        <v/>
      </c>
      <c r="AI173" s="37" t="str">
        <f t="shared" si="44"/>
        <v/>
      </c>
      <c r="AJ173" s="40" t="str">
        <f t="shared" si="45"/>
        <v/>
      </c>
      <c r="AK173" s="204" t="str">
        <f>IF(C173="","",IF(E173=FROTA!$AT$18,IF('DEFINA!!!'!$L$6="D-E-F-I-N-A !!!!!!!",0,IF('DEFINA!!!'!$L$6="Opto por Idade Média",SEM!AW173,IF('DEFINA!!!'!$L$6="Opto pelo Valor aplicado ao  Ano de cada Carro",SEM!AX173,0))),IF(E173=FROTA!$AT$17,IF('DEFINA!!!'!$L$6="D-E-F-I-N-A !!!!!!!",0,IF('DEFINA!!!'!$L$6="Opto por Idade Média",SEM!AW173,IF('DEFINA!!!'!$L$6="Opto pelo Valor aplicado ao  Ano de cada Carro",SEM!AX173,0))),IF(E173=FROTA!$AT$16,IF('DEFINA!!!'!$L$6="D-E-F-I-N-A !!!!!!!",0,IF('DEFINA!!!'!$L$6="Opto por Idade Média",SEM!AW173,IF('DEFINA!!!'!$L$6="Opto pelo Valor aplicado ao  Ano de cada Carro",SEM!AX173,0))),IF('DEFINA!!!'!$L$6="D-E-F-I-N-A !!!!!!!",0,IF('DEFINA!!!'!$L$6="Opto por Idade Média",SEM!AU173,IF('DEFINA!!!'!$L$6="Opto pelo Valor aplicado ao  Ano de cada Carro",SEM!AV173,0)))))))</f>
        <v/>
      </c>
      <c r="AL173" s="6"/>
      <c r="AM173" s="79" t="str">
        <f t="shared" si="46"/>
        <v/>
      </c>
      <c r="AN173" s="12"/>
      <c r="AO173" s="12"/>
      <c r="AP173" s="14"/>
      <c r="AQ173" s="16"/>
      <c r="AR173" s="15"/>
      <c r="AU173" s="198" t="str">
        <f>IF(C173="","",VLOOKUP(FROTA!$AB$2,RECEBÍVEIS!$AA$11:$AB$43,2,0))</f>
        <v/>
      </c>
      <c r="AV173" s="198" t="str">
        <f>IF(C173="","",IF(C173=FROTA!Z173="","",VLOOKUP(FROTA!Z173,RECEBÍVEIS!$AA$11:$AB$43,2,0)))</f>
        <v/>
      </c>
      <c r="AW173" s="198" t="str">
        <f>IF(C173="","",VLOOKUP(FROTA!$AB$2,RECEBÍVEIS!$AA$11:$AC$43,3,0))</f>
        <v/>
      </c>
      <c r="AX173" s="198" t="str">
        <f>IF(C173="","",IF(C173=FROTA!Z173="","",VLOOKUP(FROTA!Z173,RECEBÍVEIS!$AA$11:$AC$43,3,0)))</f>
        <v/>
      </c>
    </row>
    <row r="174" spans="2:50" ht="17.25" customHeight="1" x14ac:dyDescent="0.2">
      <c r="B174" s="6"/>
      <c r="C174" s="49" t="str">
        <f>IF(FROTA!B174="","",FROTA!B174)</f>
        <v/>
      </c>
      <c r="D174" s="220" t="str">
        <f>IF(C174="","",VLOOKUP(SEM!C174,FROTA!$B$5:$C$305,2,0))</f>
        <v/>
      </c>
      <c r="E174" s="24" t="str">
        <f>IF(C174="","",VLOOKUP(C174,FROTA!$B$5:$H$305,7,0))</f>
        <v/>
      </c>
      <c r="F174" s="38" t="str">
        <f t="shared" si="36"/>
        <v/>
      </c>
      <c r="G174" s="71" t="str">
        <f t="shared" si="47"/>
        <v/>
      </c>
      <c r="H174" s="32" t="str">
        <f t="shared" si="52"/>
        <v/>
      </c>
      <c r="I174" s="73" t="str">
        <f t="shared" si="52"/>
        <v/>
      </c>
      <c r="J174" s="73" t="str">
        <f t="shared" si="52"/>
        <v/>
      </c>
      <c r="K174" s="73" t="str">
        <f t="shared" si="51"/>
        <v/>
      </c>
      <c r="L174" s="73" t="str">
        <f t="shared" si="51"/>
        <v/>
      </c>
      <c r="M174" s="73" t="str">
        <f t="shared" si="51"/>
        <v/>
      </c>
      <c r="N174" s="73" t="str">
        <f t="shared" si="50"/>
        <v/>
      </c>
      <c r="O174" s="73" t="str">
        <f t="shared" si="50"/>
        <v/>
      </c>
      <c r="P174" s="73" t="str">
        <f t="shared" si="50"/>
        <v/>
      </c>
      <c r="Q174" s="73" t="str">
        <f t="shared" si="34"/>
        <v/>
      </c>
      <c r="R174" s="73" t="str">
        <f t="shared" si="49"/>
        <v/>
      </c>
      <c r="S174" s="73" t="str">
        <f t="shared" si="49"/>
        <v/>
      </c>
      <c r="T174" s="73" t="str">
        <f t="shared" si="49"/>
        <v/>
      </c>
      <c r="U174" s="73" t="str">
        <f t="shared" si="49"/>
        <v/>
      </c>
      <c r="V174" s="73" t="str">
        <f t="shared" si="49"/>
        <v/>
      </c>
      <c r="W174" s="73" t="str">
        <f t="shared" si="49"/>
        <v/>
      </c>
      <c r="X174" s="73" t="str">
        <f t="shared" si="49"/>
        <v/>
      </c>
      <c r="Y174" s="73" t="str">
        <f t="shared" si="49"/>
        <v/>
      </c>
      <c r="Z174" s="73" t="str">
        <f t="shared" si="49"/>
        <v/>
      </c>
      <c r="AA174" s="73" t="str">
        <f t="shared" si="49"/>
        <v/>
      </c>
      <c r="AB174" s="74" t="str">
        <f t="shared" si="49"/>
        <v/>
      </c>
      <c r="AC174" s="35" t="str">
        <f t="shared" si="38"/>
        <v/>
      </c>
      <c r="AD174" s="40" t="str">
        <f t="shared" si="39"/>
        <v/>
      </c>
      <c r="AE174" s="37" t="str">
        <f t="shared" si="40"/>
        <v/>
      </c>
      <c r="AF174" s="40" t="str">
        <f t="shared" si="41"/>
        <v/>
      </c>
      <c r="AG174" s="37" t="str">
        <f t="shared" si="42"/>
        <v/>
      </c>
      <c r="AH174" s="40" t="str">
        <f t="shared" si="43"/>
        <v/>
      </c>
      <c r="AI174" s="37" t="str">
        <f t="shared" si="44"/>
        <v/>
      </c>
      <c r="AJ174" s="40" t="str">
        <f t="shared" si="45"/>
        <v/>
      </c>
      <c r="AK174" s="204" t="str">
        <f>IF(C174="","",IF(E174=FROTA!$AT$18,IF('DEFINA!!!'!$L$6="D-E-F-I-N-A !!!!!!!",0,IF('DEFINA!!!'!$L$6="Opto por Idade Média",SEM!AW174,IF('DEFINA!!!'!$L$6="Opto pelo Valor aplicado ao  Ano de cada Carro",SEM!AX174,0))),IF(E174=FROTA!$AT$17,IF('DEFINA!!!'!$L$6="D-E-F-I-N-A !!!!!!!",0,IF('DEFINA!!!'!$L$6="Opto por Idade Média",SEM!AW174,IF('DEFINA!!!'!$L$6="Opto pelo Valor aplicado ao  Ano de cada Carro",SEM!AX174,0))),IF(E174=FROTA!$AT$16,IF('DEFINA!!!'!$L$6="D-E-F-I-N-A !!!!!!!",0,IF('DEFINA!!!'!$L$6="Opto por Idade Média",SEM!AW174,IF('DEFINA!!!'!$L$6="Opto pelo Valor aplicado ao  Ano de cada Carro",SEM!AX174,0))),IF('DEFINA!!!'!$L$6="D-E-F-I-N-A !!!!!!!",0,IF('DEFINA!!!'!$L$6="Opto por Idade Média",SEM!AU174,IF('DEFINA!!!'!$L$6="Opto pelo Valor aplicado ao  Ano de cada Carro",SEM!AV174,0)))))))</f>
        <v/>
      </c>
      <c r="AL174" s="6"/>
      <c r="AM174" s="79" t="str">
        <f t="shared" si="46"/>
        <v/>
      </c>
      <c r="AN174" s="12"/>
      <c r="AO174" s="12"/>
      <c r="AP174" s="14"/>
      <c r="AQ174" s="16"/>
      <c r="AR174" s="15"/>
      <c r="AU174" s="198" t="str">
        <f>IF(C174="","",VLOOKUP(FROTA!$AB$2,RECEBÍVEIS!$AA$11:$AB$43,2,0))</f>
        <v/>
      </c>
      <c r="AV174" s="198" t="str">
        <f>IF(C174="","",IF(C174=FROTA!Z174="","",VLOOKUP(FROTA!Z174,RECEBÍVEIS!$AA$11:$AB$43,2,0)))</f>
        <v/>
      </c>
      <c r="AW174" s="198" t="str">
        <f>IF(C174="","",VLOOKUP(FROTA!$AB$2,RECEBÍVEIS!$AA$11:$AC$43,3,0))</f>
        <v/>
      </c>
      <c r="AX174" s="198" t="str">
        <f>IF(C174="","",IF(C174=FROTA!Z174="","",VLOOKUP(FROTA!Z174,RECEBÍVEIS!$AA$11:$AC$43,3,0)))</f>
        <v/>
      </c>
    </row>
    <row r="175" spans="2:50" ht="17.25" customHeight="1" x14ac:dyDescent="0.2">
      <c r="B175" s="6"/>
      <c r="C175" s="49" t="str">
        <f>IF(FROTA!B175="","",FROTA!B175)</f>
        <v/>
      </c>
      <c r="D175" s="220" t="str">
        <f>IF(C175="","",VLOOKUP(SEM!C175,FROTA!$B$5:$C$305,2,0))</f>
        <v/>
      </c>
      <c r="E175" s="24" t="str">
        <f>IF(C175="","",VLOOKUP(C175,FROTA!$B$5:$H$305,7,0))</f>
        <v/>
      </c>
      <c r="F175" s="38" t="str">
        <f t="shared" si="36"/>
        <v/>
      </c>
      <c r="G175" s="71" t="str">
        <f t="shared" si="47"/>
        <v/>
      </c>
      <c r="H175" s="32" t="str">
        <f t="shared" si="52"/>
        <v/>
      </c>
      <c r="I175" s="73" t="str">
        <f t="shared" si="52"/>
        <v/>
      </c>
      <c r="J175" s="73" t="str">
        <f t="shared" si="52"/>
        <v/>
      </c>
      <c r="K175" s="73" t="str">
        <f t="shared" si="51"/>
        <v/>
      </c>
      <c r="L175" s="73" t="str">
        <f t="shared" si="51"/>
        <v/>
      </c>
      <c r="M175" s="73" t="str">
        <f t="shared" si="51"/>
        <v/>
      </c>
      <c r="N175" s="73" t="str">
        <f t="shared" si="50"/>
        <v/>
      </c>
      <c r="O175" s="73" t="str">
        <f t="shared" si="50"/>
        <v/>
      </c>
      <c r="P175" s="73" t="str">
        <f t="shared" si="50"/>
        <v/>
      </c>
      <c r="Q175" s="73" t="str">
        <f t="shared" si="34"/>
        <v/>
      </c>
      <c r="R175" s="73" t="str">
        <f t="shared" si="49"/>
        <v/>
      </c>
      <c r="S175" s="73" t="str">
        <f t="shared" si="49"/>
        <v/>
      </c>
      <c r="T175" s="73" t="str">
        <f t="shared" si="49"/>
        <v/>
      </c>
      <c r="U175" s="73" t="str">
        <f t="shared" si="49"/>
        <v/>
      </c>
      <c r="V175" s="73" t="str">
        <f t="shared" si="49"/>
        <v/>
      </c>
      <c r="W175" s="73" t="str">
        <f t="shared" si="49"/>
        <v/>
      </c>
      <c r="X175" s="73" t="str">
        <f t="shared" si="49"/>
        <v/>
      </c>
      <c r="Y175" s="73" t="str">
        <f t="shared" si="49"/>
        <v/>
      </c>
      <c r="Z175" s="73" t="str">
        <f t="shared" si="49"/>
        <v/>
      </c>
      <c r="AA175" s="73" t="str">
        <f t="shared" si="49"/>
        <v/>
      </c>
      <c r="AB175" s="74" t="str">
        <f t="shared" si="49"/>
        <v/>
      </c>
      <c r="AC175" s="35" t="str">
        <f t="shared" si="38"/>
        <v/>
      </c>
      <c r="AD175" s="40" t="str">
        <f t="shared" si="39"/>
        <v/>
      </c>
      <c r="AE175" s="37" t="str">
        <f t="shared" si="40"/>
        <v/>
      </c>
      <c r="AF175" s="40" t="str">
        <f t="shared" si="41"/>
        <v/>
      </c>
      <c r="AG175" s="37" t="str">
        <f t="shared" si="42"/>
        <v/>
      </c>
      <c r="AH175" s="40" t="str">
        <f t="shared" si="43"/>
        <v/>
      </c>
      <c r="AI175" s="37" t="str">
        <f t="shared" si="44"/>
        <v/>
      </c>
      <c r="AJ175" s="40" t="str">
        <f t="shared" si="45"/>
        <v/>
      </c>
      <c r="AK175" s="204" t="str">
        <f>IF(C175="","",IF(E175=FROTA!$AT$18,IF('DEFINA!!!'!$L$6="D-E-F-I-N-A !!!!!!!",0,IF('DEFINA!!!'!$L$6="Opto por Idade Média",SEM!AW175,IF('DEFINA!!!'!$L$6="Opto pelo Valor aplicado ao  Ano de cada Carro",SEM!AX175,0))),IF(E175=FROTA!$AT$17,IF('DEFINA!!!'!$L$6="D-E-F-I-N-A !!!!!!!",0,IF('DEFINA!!!'!$L$6="Opto por Idade Média",SEM!AW175,IF('DEFINA!!!'!$L$6="Opto pelo Valor aplicado ao  Ano de cada Carro",SEM!AX175,0))),IF(E175=FROTA!$AT$16,IF('DEFINA!!!'!$L$6="D-E-F-I-N-A !!!!!!!",0,IF('DEFINA!!!'!$L$6="Opto por Idade Média",SEM!AW175,IF('DEFINA!!!'!$L$6="Opto pelo Valor aplicado ao  Ano de cada Carro",SEM!AX175,0))),IF('DEFINA!!!'!$L$6="D-E-F-I-N-A !!!!!!!",0,IF('DEFINA!!!'!$L$6="Opto por Idade Média",SEM!AU175,IF('DEFINA!!!'!$L$6="Opto pelo Valor aplicado ao  Ano de cada Carro",SEM!AV175,0)))))))</f>
        <v/>
      </c>
      <c r="AL175" s="6"/>
      <c r="AM175" s="79" t="str">
        <f t="shared" si="46"/>
        <v/>
      </c>
      <c r="AN175" s="12"/>
      <c r="AO175" s="12"/>
      <c r="AP175" s="14"/>
      <c r="AQ175" s="16"/>
      <c r="AR175" s="15"/>
      <c r="AU175" s="198" t="str">
        <f>IF(C175="","",VLOOKUP(FROTA!$AB$2,RECEBÍVEIS!$AA$11:$AB$43,2,0))</f>
        <v/>
      </c>
      <c r="AV175" s="198" t="str">
        <f>IF(C175="","",IF(C175=FROTA!Z175="","",VLOOKUP(FROTA!Z175,RECEBÍVEIS!$AA$11:$AB$43,2,0)))</f>
        <v/>
      </c>
      <c r="AW175" s="198" t="str">
        <f>IF(C175="","",VLOOKUP(FROTA!$AB$2,RECEBÍVEIS!$AA$11:$AC$43,3,0))</f>
        <v/>
      </c>
      <c r="AX175" s="198" t="str">
        <f>IF(C175="","",IF(C175=FROTA!Z175="","",VLOOKUP(FROTA!Z175,RECEBÍVEIS!$AA$11:$AC$43,3,0)))</f>
        <v/>
      </c>
    </row>
    <row r="176" spans="2:50" ht="17.25" customHeight="1" x14ac:dyDescent="0.2">
      <c r="B176" s="6"/>
      <c r="C176" s="49" t="str">
        <f>IF(FROTA!B176="","",FROTA!B176)</f>
        <v/>
      </c>
      <c r="D176" s="220" t="str">
        <f>IF(C176="","",VLOOKUP(SEM!C176,FROTA!$B$5:$C$305,2,0))</f>
        <v/>
      </c>
      <c r="E176" s="24" t="str">
        <f>IF(C176="","",VLOOKUP(C176,FROTA!$B$5:$H$305,7,0))</f>
        <v/>
      </c>
      <c r="F176" s="38" t="str">
        <f t="shared" si="36"/>
        <v/>
      </c>
      <c r="G176" s="71" t="str">
        <f t="shared" si="47"/>
        <v/>
      </c>
      <c r="H176" s="32" t="str">
        <f t="shared" si="52"/>
        <v/>
      </c>
      <c r="I176" s="73" t="str">
        <f t="shared" si="52"/>
        <v/>
      </c>
      <c r="J176" s="73" t="str">
        <f t="shared" si="52"/>
        <v/>
      </c>
      <c r="K176" s="73" t="str">
        <f t="shared" si="51"/>
        <v/>
      </c>
      <c r="L176" s="73" t="str">
        <f t="shared" si="51"/>
        <v/>
      </c>
      <c r="M176" s="73" t="str">
        <f t="shared" si="51"/>
        <v/>
      </c>
      <c r="N176" s="73" t="str">
        <f t="shared" si="50"/>
        <v/>
      </c>
      <c r="O176" s="73" t="str">
        <f t="shared" si="50"/>
        <v/>
      </c>
      <c r="P176" s="73" t="str">
        <f t="shared" si="50"/>
        <v/>
      </c>
      <c r="Q176" s="73" t="str">
        <f t="shared" si="34"/>
        <v/>
      </c>
      <c r="R176" s="73" t="str">
        <f t="shared" si="49"/>
        <v/>
      </c>
      <c r="S176" s="73" t="str">
        <f t="shared" si="49"/>
        <v/>
      </c>
      <c r="T176" s="73" t="str">
        <f t="shared" si="49"/>
        <v/>
      </c>
      <c r="U176" s="73" t="str">
        <f t="shared" si="49"/>
        <v/>
      </c>
      <c r="V176" s="73" t="str">
        <f t="shared" si="49"/>
        <v/>
      </c>
      <c r="W176" s="73" t="str">
        <f t="shared" si="49"/>
        <v/>
      </c>
      <c r="X176" s="73" t="str">
        <f t="shared" si="49"/>
        <v/>
      </c>
      <c r="Y176" s="73" t="str">
        <f t="shared" si="49"/>
        <v/>
      </c>
      <c r="Z176" s="73" t="str">
        <f t="shared" si="49"/>
        <v/>
      </c>
      <c r="AA176" s="73" t="str">
        <f t="shared" si="49"/>
        <v/>
      </c>
      <c r="AB176" s="74" t="str">
        <f t="shared" si="49"/>
        <v/>
      </c>
      <c r="AC176" s="35" t="str">
        <f t="shared" si="38"/>
        <v/>
      </c>
      <c r="AD176" s="40" t="str">
        <f t="shared" si="39"/>
        <v/>
      </c>
      <c r="AE176" s="37" t="str">
        <f t="shared" si="40"/>
        <v/>
      </c>
      <c r="AF176" s="40" t="str">
        <f t="shared" si="41"/>
        <v/>
      </c>
      <c r="AG176" s="37" t="str">
        <f t="shared" si="42"/>
        <v/>
      </c>
      <c r="AH176" s="40" t="str">
        <f t="shared" si="43"/>
        <v/>
      </c>
      <c r="AI176" s="37" t="str">
        <f t="shared" si="44"/>
        <v/>
      </c>
      <c r="AJ176" s="40" t="str">
        <f t="shared" si="45"/>
        <v/>
      </c>
      <c r="AK176" s="204" t="str">
        <f>IF(C176="","",IF(E176=FROTA!$AT$18,IF('DEFINA!!!'!$L$6="D-E-F-I-N-A !!!!!!!",0,IF('DEFINA!!!'!$L$6="Opto por Idade Média",SEM!AW176,IF('DEFINA!!!'!$L$6="Opto pelo Valor aplicado ao  Ano de cada Carro",SEM!AX176,0))),IF(E176=FROTA!$AT$17,IF('DEFINA!!!'!$L$6="D-E-F-I-N-A !!!!!!!",0,IF('DEFINA!!!'!$L$6="Opto por Idade Média",SEM!AW176,IF('DEFINA!!!'!$L$6="Opto pelo Valor aplicado ao  Ano de cada Carro",SEM!AX176,0))),IF(E176=FROTA!$AT$16,IF('DEFINA!!!'!$L$6="D-E-F-I-N-A !!!!!!!",0,IF('DEFINA!!!'!$L$6="Opto por Idade Média",SEM!AW176,IF('DEFINA!!!'!$L$6="Opto pelo Valor aplicado ao  Ano de cada Carro",SEM!AX176,0))),IF('DEFINA!!!'!$L$6="D-E-F-I-N-A !!!!!!!",0,IF('DEFINA!!!'!$L$6="Opto por Idade Média",SEM!AU176,IF('DEFINA!!!'!$L$6="Opto pelo Valor aplicado ao  Ano de cada Carro",SEM!AV176,0)))))))</f>
        <v/>
      </c>
      <c r="AL176" s="6"/>
      <c r="AM176" s="79" t="str">
        <f t="shared" si="46"/>
        <v/>
      </c>
      <c r="AN176" s="12"/>
      <c r="AO176" s="12"/>
      <c r="AP176" s="14"/>
      <c r="AQ176" s="16"/>
      <c r="AR176" s="15"/>
      <c r="AU176" s="198" t="str">
        <f>IF(C176="","",VLOOKUP(FROTA!$AB$2,RECEBÍVEIS!$AA$11:$AB$43,2,0))</f>
        <v/>
      </c>
      <c r="AV176" s="198" t="str">
        <f>IF(C176="","",IF(C176=FROTA!Z176="","",VLOOKUP(FROTA!Z176,RECEBÍVEIS!$AA$11:$AB$43,2,0)))</f>
        <v/>
      </c>
      <c r="AW176" s="198" t="str">
        <f>IF(C176="","",VLOOKUP(FROTA!$AB$2,RECEBÍVEIS!$AA$11:$AC$43,3,0))</f>
        <v/>
      </c>
      <c r="AX176" s="198" t="str">
        <f>IF(C176="","",IF(C176=FROTA!Z176="","",VLOOKUP(FROTA!Z176,RECEBÍVEIS!$AA$11:$AC$43,3,0)))</f>
        <v/>
      </c>
    </row>
    <row r="177" spans="2:50" ht="17.25" customHeight="1" x14ac:dyDescent="0.2">
      <c r="B177" s="6"/>
      <c r="C177" s="49" t="str">
        <f>IF(FROTA!B177="","",FROTA!B177)</f>
        <v/>
      </c>
      <c r="D177" s="220" t="str">
        <f>IF(C177="","",VLOOKUP(SEM!C177,FROTA!$B$5:$C$305,2,0))</f>
        <v/>
      </c>
      <c r="E177" s="24" t="str">
        <f>IF(C177="","",VLOOKUP(C177,FROTA!$B$5:$H$305,7,0))</f>
        <v/>
      </c>
      <c r="F177" s="38" t="str">
        <f t="shared" si="36"/>
        <v/>
      </c>
      <c r="G177" s="71" t="str">
        <f t="shared" si="47"/>
        <v/>
      </c>
      <c r="H177" s="32" t="str">
        <f t="shared" si="52"/>
        <v/>
      </c>
      <c r="I177" s="73" t="str">
        <f t="shared" si="52"/>
        <v/>
      </c>
      <c r="J177" s="73" t="str">
        <f t="shared" si="52"/>
        <v/>
      </c>
      <c r="K177" s="73" t="str">
        <f t="shared" si="51"/>
        <v/>
      </c>
      <c r="L177" s="73" t="str">
        <f t="shared" si="51"/>
        <v/>
      </c>
      <c r="M177" s="73" t="str">
        <f t="shared" si="51"/>
        <v/>
      </c>
      <c r="N177" s="73" t="str">
        <f t="shared" si="50"/>
        <v/>
      </c>
      <c r="O177" s="73" t="str">
        <f t="shared" si="50"/>
        <v/>
      </c>
      <c r="P177" s="73" t="str">
        <f t="shared" si="50"/>
        <v/>
      </c>
      <c r="Q177" s="73" t="str">
        <f t="shared" si="34"/>
        <v/>
      </c>
      <c r="R177" s="73" t="str">
        <f t="shared" si="49"/>
        <v/>
      </c>
      <c r="S177" s="73" t="str">
        <f t="shared" si="49"/>
        <v/>
      </c>
      <c r="T177" s="73" t="str">
        <f t="shared" si="49"/>
        <v/>
      </c>
      <c r="U177" s="73" t="str">
        <f t="shared" si="49"/>
        <v/>
      </c>
      <c r="V177" s="73" t="str">
        <f t="shared" si="49"/>
        <v/>
      </c>
      <c r="W177" s="73" t="str">
        <f t="shared" si="49"/>
        <v/>
      </c>
      <c r="X177" s="73" t="str">
        <f t="shared" si="49"/>
        <v/>
      </c>
      <c r="Y177" s="73" t="str">
        <f t="shared" si="49"/>
        <v/>
      </c>
      <c r="Z177" s="73" t="str">
        <f t="shared" si="49"/>
        <v/>
      </c>
      <c r="AA177" s="73" t="str">
        <f t="shared" si="49"/>
        <v/>
      </c>
      <c r="AB177" s="74" t="str">
        <f t="shared" si="49"/>
        <v/>
      </c>
      <c r="AC177" s="35" t="str">
        <f t="shared" si="38"/>
        <v/>
      </c>
      <c r="AD177" s="40" t="str">
        <f t="shared" si="39"/>
        <v/>
      </c>
      <c r="AE177" s="37" t="str">
        <f t="shared" si="40"/>
        <v/>
      </c>
      <c r="AF177" s="40" t="str">
        <f t="shared" si="41"/>
        <v/>
      </c>
      <c r="AG177" s="37" t="str">
        <f t="shared" si="42"/>
        <v/>
      </c>
      <c r="AH177" s="40" t="str">
        <f t="shared" si="43"/>
        <v/>
      </c>
      <c r="AI177" s="37" t="str">
        <f t="shared" si="44"/>
        <v/>
      </c>
      <c r="AJ177" s="40" t="str">
        <f t="shared" si="45"/>
        <v/>
      </c>
      <c r="AK177" s="204" t="str">
        <f>IF(C177="","",IF(E177=FROTA!$AT$18,IF('DEFINA!!!'!$L$6="D-E-F-I-N-A !!!!!!!",0,IF('DEFINA!!!'!$L$6="Opto por Idade Média",SEM!AW177,IF('DEFINA!!!'!$L$6="Opto pelo Valor aplicado ao  Ano de cada Carro",SEM!AX177,0))),IF(E177=FROTA!$AT$17,IF('DEFINA!!!'!$L$6="D-E-F-I-N-A !!!!!!!",0,IF('DEFINA!!!'!$L$6="Opto por Idade Média",SEM!AW177,IF('DEFINA!!!'!$L$6="Opto pelo Valor aplicado ao  Ano de cada Carro",SEM!AX177,0))),IF(E177=FROTA!$AT$16,IF('DEFINA!!!'!$L$6="D-E-F-I-N-A !!!!!!!",0,IF('DEFINA!!!'!$L$6="Opto por Idade Média",SEM!AW177,IF('DEFINA!!!'!$L$6="Opto pelo Valor aplicado ao  Ano de cada Carro",SEM!AX177,0))),IF('DEFINA!!!'!$L$6="D-E-F-I-N-A !!!!!!!",0,IF('DEFINA!!!'!$L$6="Opto por Idade Média",SEM!AU177,IF('DEFINA!!!'!$L$6="Opto pelo Valor aplicado ao  Ano de cada Carro",SEM!AV177,0)))))))</f>
        <v/>
      </c>
      <c r="AL177" s="6"/>
      <c r="AM177" s="79" t="str">
        <f t="shared" si="46"/>
        <v/>
      </c>
      <c r="AN177" s="12"/>
      <c r="AO177" s="12"/>
      <c r="AP177" s="14"/>
      <c r="AQ177" s="16"/>
      <c r="AR177" s="15"/>
      <c r="AU177" s="198" t="str">
        <f>IF(C177="","",VLOOKUP(FROTA!$AB$2,RECEBÍVEIS!$AA$11:$AB$43,2,0))</f>
        <v/>
      </c>
      <c r="AV177" s="198" t="str">
        <f>IF(C177="","",IF(C177=FROTA!Z177="","",VLOOKUP(FROTA!Z177,RECEBÍVEIS!$AA$11:$AB$43,2,0)))</f>
        <v/>
      </c>
      <c r="AW177" s="198" t="str">
        <f>IF(C177="","",VLOOKUP(FROTA!$AB$2,RECEBÍVEIS!$AA$11:$AC$43,3,0))</f>
        <v/>
      </c>
      <c r="AX177" s="198" t="str">
        <f>IF(C177="","",IF(C177=FROTA!Z177="","",VLOOKUP(FROTA!Z177,RECEBÍVEIS!$AA$11:$AC$43,3,0)))</f>
        <v/>
      </c>
    </row>
    <row r="178" spans="2:50" ht="17.25" customHeight="1" x14ac:dyDescent="0.2">
      <c r="B178" s="6"/>
      <c r="C178" s="49" t="str">
        <f>IF(FROTA!B178="","",FROTA!B178)</f>
        <v/>
      </c>
      <c r="D178" s="220" t="str">
        <f>IF(C178="","",VLOOKUP(SEM!C178,FROTA!$B$5:$C$305,2,0))</f>
        <v/>
      </c>
      <c r="E178" s="24" t="str">
        <f>IF(C178="","",VLOOKUP(C178,FROTA!$B$5:$H$305,7,0))</f>
        <v/>
      </c>
      <c r="F178" s="38" t="str">
        <f t="shared" si="36"/>
        <v/>
      </c>
      <c r="G178" s="71" t="str">
        <f t="shared" si="47"/>
        <v/>
      </c>
      <c r="H178" s="32" t="str">
        <f t="shared" si="52"/>
        <v/>
      </c>
      <c r="I178" s="73" t="str">
        <f t="shared" si="52"/>
        <v/>
      </c>
      <c r="J178" s="73" t="str">
        <f t="shared" si="52"/>
        <v/>
      </c>
      <c r="K178" s="73" t="str">
        <f t="shared" si="51"/>
        <v/>
      </c>
      <c r="L178" s="73" t="str">
        <f t="shared" si="51"/>
        <v/>
      </c>
      <c r="M178" s="73" t="str">
        <f t="shared" si="51"/>
        <v/>
      </c>
      <c r="N178" s="73" t="str">
        <f t="shared" si="50"/>
        <v/>
      </c>
      <c r="O178" s="73" t="str">
        <f t="shared" si="50"/>
        <v/>
      </c>
      <c r="P178" s="73" t="str">
        <f t="shared" si="50"/>
        <v/>
      </c>
      <c r="Q178" s="73" t="str">
        <f t="shared" si="34"/>
        <v/>
      </c>
      <c r="R178" s="73" t="str">
        <f t="shared" si="49"/>
        <v/>
      </c>
      <c r="S178" s="73" t="str">
        <f t="shared" si="49"/>
        <v/>
      </c>
      <c r="T178" s="73" t="str">
        <f t="shared" si="49"/>
        <v/>
      </c>
      <c r="U178" s="73" t="str">
        <f t="shared" si="49"/>
        <v/>
      </c>
      <c r="V178" s="73" t="str">
        <f t="shared" si="49"/>
        <v/>
      </c>
      <c r="W178" s="73" t="str">
        <f t="shared" si="49"/>
        <v/>
      </c>
      <c r="X178" s="73" t="str">
        <f t="shared" si="49"/>
        <v/>
      </c>
      <c r="Y178" s="73" t="str">
        <f t="shared" si="49"/>
        <v/>
      </c>
      <c r="Z178" s="73" t="str">
        <f t="shared" si="49"/>
        <v/>
      </c>
      <c r="AA178" s="73" t="str">
        <f t="shared" si="49"/>
        <v/>
      </c>
      <c r="AB178" s="74" t="str">
        <f t="shared" si="49"/>
        <v/>
      </c>
      <c r="AC178" s="35" t="str">
        <f t="shared" si="38"/>
        <v/>
      </c>
      <c r="AD178" s="40" t="str">
        <f t="shared" si="39"/>
        <v/>
      </c>
      <c r="AE178" s="37" t="str">
        <f t="shared" si="40"/>
        <v/>
      </c>
      <c r="AF178" s="40" t="str">
        <f t="shared" si="41"/>
        <v/>
      </c>
      <c r="AG178" s="37" t="str">
        <f t="shared" si="42"/>
        <v/>
      </c>
      <c r="AH178" s="40" t="str">
        <f t="shared" si="43"/>
        <v/>
      </c>
      <c r="AI178" s="37" t="str">
        <f t="shared" si="44"/>
        <v/>
      </c>
      <c r="AJ178" s="40" t="str">
        <f t="shared" si="45"/>
        <v/>
      </c>
      <c r="AK178" s="204" t="str">
        <f>IF(C178="","",IF(E178=FROTA!$AT$18,IF('DEFINA!!!'!$L$6="D-E-F-I-N-A !!!!!!!",0,IF('DEFINA!!!'!$L$6="Opto por Idade Média",SEM!AW178,IF('DEFINA!!!'!$L$6="Opto pelo Valor aplicado ao  Ano de cada Carro",SEM!AX178,0))),IF(E178=FROTA!$AT$17,IF('DEFINA!!!'!$L$6="D-E-F-I-N-A !!!!!!!",0,IF('DEFINA!!!'!$L$6="Opto por Idade Média",SEM!AW178,IF('DEFINA!!!'!$L$6="Opto pelo Valor aplicado ao  Ano de cada Carro",SEM!AX178,0))),IF(E178=FROTA!$AT$16,IF('DEFINA!!!'!$L$6="D-E-F-I-N-A !!!!!!!",0,IF('DEFINA!!!'!$L$6="Opto por Idade Média",SEM!AW178,IF('DEFINA!!!'!$L$6="Opto pelo Valor aplicado ao  Ano de cada Carro",SEM!AX178,0))),IF('DEFINA!!!'!$L$6="D-E-F-I-N-A !!!!!!!",0,IF('DEFINA!!!'!$L$6="Opto por Idade Média",SEM!AU178,IF('DEFINA!!!'!$L$6="Opto pelo Valor aplicado ao  Ano de cada Carro",SEM!AV178,0)))))))</f>
        <v/>
      </c>
      <c r="AL178" s="6"/>
      <c r="AM178" s="79" t="str">
        <f t="shared" si="46"/>
        <v/>
      </c>
      <c r="AN178" s="12"/>
      <c r="AO178" s="12"/>
      <c r="AP178" s="14"/>
      <c r="AQ178" s="16"/>
      <c r="AR178" s="15"/>
      <c r="AU178" s="198" t="str">
        <f>IF(C178="","",VLOOKUP(FROTA!$AB$2,RECEBÍVEIS!$AA$11:$AB$43,2,0))</f>
        <v/>
      </c>
      <c r="AV178" s="198" t="str">
        <f>IF(C178="","",IF(C178=FROTA!Z178="","",VLOOKUP(FROTA!Z178,RECEBÍVEIS!$AA$11:$AB$43,2,0)))</f>
        <v/>
      </c>
      <c r="AW178" s="198" t="str">
        <f>IF(C178="","",VLOOKUP(FROTA!$AB$2,RECEBÍVEIS!$AA$11:$AC$43,3,0))</f>
        <v/>
      </c>
      <c r="AX178" s="198" t="str">
        <f>IF(C178="","",IF(C178=FROTA!Z178="","",VLOOKUP(FROTA!Z178,RECEBÍVEIS!$AA$11:$AC$43,3,0)))</f>
        <v/>
      </c>
    </row>
    <row r="179" spans="2:50" ht="17.25" customHeight="1" x14ac:dyDescent="0.2">
      <c r="B179" s="6"/>
      <c r="C179" s="49" t="str">
        <f>IF(FROTA!B179="","",FROTA!B179)</f>
        <v/>
      </c>
      <c r="D179" s="220" t="str">
        <f>IF(C179="","",VLOOKUP(SEM!C179,FROTA!$B$5:$C$305,2,0))</f>
        <v/>
      </c>
      <c r="E179" s="24" t="str">
        <f>IF(C179="","",VLOOKUP(C179,FROTA!$B$5:$H$305,7,0))</f>
        <v/>
      </c>
      <c r="F179" s="38" t="str">
        <f t="shared" si="36"/>
        <v/>
      </c>
      <c r="G179" s="71" t="str">
        <f t="shared" si="47"/>
        <v/>
      </c>
      <c r="H179" s="32" t="str">
        <f t="shared" si="52"/>
        <v/>
      </c>
      <c r="I179" s="73" t="str">
        <f t="shared" si="52"/>
        <v/>
      </c>
      <c r="J179" s="73" t="str">
        <f t="shared" si="52"/>
        <v/>
      </c>
      <c r="K179" s="73" t="str">
        <f t="shared" si="51"/>
        <v/>
      </c>
      <c r="L179" s="73" t="str">
        <f t="shared" si="51"/>
        <v/>
      </c>
      <c r="M179" s="73" t="str">
        <f t="shared" si="51"/>
        <v/>
      </c>
      <c r="N179" s="73" t="str">
        <f t="shared" si="50"/>
        <v/>
      </c>
      <c r="O179" s="73" t="str">
        <f t="shared" si="50"/>
        <v/>
      </c>
      <c r="P179" s="73" t="str">
        <f t="shared" si="50"/>
        <v/>
      </c>
      <c r="Q179" s="73" t="str">
        <f t="shared" si="34"/>
        <v/>
      </c>
      <c r="R179" s="73" t="str">
        <f t="shared" si="49"/>
        <v/>
      </c>
      <c r="S179" s="73" t="str">
        <f t="shared" si="49"/>
        <v/>
      </c>
      <c r="T179" s="73" t="str">
        <f t="shared" si="49"/>
        <v/>
      </c>
      <c r="U179" s="73" t="str">
        <f t="shared" si="49"/>
        <v/>
      </c>
      <c r="V179" s="73" t="str">
        <f t="shared" si="49"/>
        <v/>
      </c>
      <c r="W179" s="73" t="str">
        <f t="shared" si="49"/>
        <v/>
      </c>
      <c r="X179" s="73" t="str">
        <f t="shared" si="49"/>
        <v/>
      </c>
      <c r="Y179" s="73" t="str">
        <f t="shared" si="49"/>
        <v/>
      </c>
      <c r="Z179" s="73" t="str">
        <f t="shared" si="49"/>
        <v/>
      </c>
      <c r="AA179" s="73" t="str">
        <f t="shared" si="49"/>
        <v/>
      </c>
      <c r="AB179" s="74" t="str">
        <f t="shared" si="49"/>
        <v/>
      </c>
      <c r="AC179" s="35" t="str">
        <f t="shared" si="38"/>
        <v/>
      </c>
      <c r="AD179" s="40" t="str">
        <f t="shared" si="39"/>
        <v/>
      </c>
      <c r="AE179" s="37" t="str">
        <f t="shared" si="40"/>
        <v/>
      </c>
      <c r="AF179" s="40" t="str">
        <f t="shared" si="41"/>
        <v/>
      </c>
      <c r="AG179" s="37" t="str">
        <f t="shared" si="42"/>
        <v/>
      </c>
      <c r="AH179" s="40" t="str">
        <f t="shared" si="43"/>
        <v/>
      </c>
      <c r="AI179" s="37" t="str">
        <f t="shared" si="44"/>
        <v/>
      </c>
      <c r="AJ179" s="40" t="str">
        <f t="shared" si="45"/>
        <v/>
      </c>
      <c r="AK179" s="204" t="str">
        <f>IF(C179="","",IF(E179=FROTA!$AT$18,IF('DEFINA!!!'!$L$6="D-E-F-I-N-A !!!!!!!",0,IF('DEFINA!!!'!$L$6="Opto por Idade Média",SEM!AW179,IF('DEFINA!!!'!$L$6="Opto pelo Valor aplicado ao  Ano de cada Carro",SEM!AX179,0))),IF(E179=FROTA!$AT$17,IF('DEFINA!!!'!$L$6="D-E-F-I-N-A !!!!!!!",0,IF('DEFINA!!!'!$L$6="Opto por Idade Média",SEM!AW179,IF('DEFINA!!!'!$L$6="Opto pelo Valor aplicado ao  Ano de cada Carro",SEM!AX179,0))),IF(E179=FROTA!$AT$16,IF('DEFINA!!!'!$L$6="D-E-F-I-N-A !!!!!!!",0,IF('DEFINA!!!'!$L$6="Opto por Idade Média",SEM!AW179,IF('DEFINA!!!'!$L$6="Opto pelo Valor aplicado ao  Ano de cada Carro",SEM!AX179,0))),IF('DEFINA!!!'!$L$6="D-E-F-I-N-A !!!!!!!",0,IF('DEFINA!!!'!$L$6="Opto por Idade Média",SEM!AU179,IF('DEFINA!!!'!$L$6="Opto pelo Valor aplicado ao  Ano de cada Carro",SEM!AV179,0)))))))</f>
        <v/>
      </c>
      <c r="AL179" s="6"/>
      <c r="AM179" s="79" t="str">
        <f t="shared" si="46"/>
        <v/>
      </c>
      <c r="AN179" s="12"/>
      <c r="AO179" s="12"/>
      <c r="AP179" s="14"/>
      <c r="AQ179" s="16"/>
      <c r="AR179" s="15"/>
      <c r="AU179" s="198" t="str">
        <f>IF(C179="","",VLOOKUP(FROTA!$AB$2,RECEBÍVEIS!$AA$11:$AB$43,2,0))</f>
        <v/>
      </c>
      <c r="AV179" s="198" t="str">
        <f>IF(C179="","",IF(C179=FROTA!Z179="","",VLOOKUP(FROTA!Z179,RECEBÍVEIS!$AA$11:$AB$43,2,0)))</f>
        <v/>
      </c>
      <c r="AW179" s="198" t="str">
        <f>IF(C179="","",VLOOKUP(FROTA!$AB$2,RECEBÍVEIS!$AA$11:$AC$43,3,0))</f>
        <v/>
      </c>
      <c r="AX179" s="198" t="str">
        <f>IF(C179="","",IF(C179=FROTA!Z179="","",VLOOKUP(FROTA!Z179,RECEBÍVEIS!$AA$11:$AC$43,3,0)))</f>
        <v/>
      </c>
    </row>
    <row r="180" spans="2:50" ht="17.25" customHeight="1" x14ac:dyDescent="0.2">
      <c r="B180" s="6"/>
      <c r="C180" s="49" t="str">
        <f>IF(FROTA!B180="","",FROTA!B180)</f>
        <v/>
      </c>
      <c r="D180" s="220" t="str">
        <f>IF(C180="","",VLOOKUP(SEM!C180,FROTA!$B$5:$C$305,2,0))</f>
        <v/>
      </c>
      <c r="E180" s="24" t="str">
        <f>IF(C180="","",VLOOKUP(C180,FROTA!$B$5:$H$305,7,0))</f>
        <v/>
      </c>
      <c r="F180" s="38" t="str">
        <f t="shared" si="36"/>
        <v/>
      </c>
      <c r="G180" s="71" t="str">
        <f t="shared" si="47"/>
        <v/>
      </c>
      <c r="H180" s="32" t="str">
        <f t="shared" si="52"/>
        <v/>
      </c>
      <c r="I180" s="73" t="str">
        <f t="shared" si="52"/>
        <v/>
      </c>
      <c r="J180" s="73" t="str">
        <f t="shared" si="52"/>
        <v/>
      </c>
      <c r="K180" s="73" t="str">
        <f t="shared" si="51"/>
        <v/>
      </c>
      <c r="L180" s="73" t="str">
        <f t="shared" si="51"/>
        <v/>
      </c>
      <c r="M180" s="73" t="str">
        <f t="shared" si="51"/>
        <v/>
      </c>
      <c r="N180" s="73" t="str">
        <f t="shared" si="50"/>
        <v/>
      </c>
      <c r="O180" s="73" t="str">
        <f t="shared" si="50"/>
        <v/>
      </c>
      <c r="P180" s="73" t="str">
        <f t="shared" si="50"/>
        <v/>
      </c>
      <c r="Q180" s="73" t="str">
        <f t="shared" si="34"/>
        <v/>
      </c>
      <c r="R180" s="73" t="str">
        <f t="shared" si="49"/>
        <v/>
      </c>
      <c r="S180" s="73" t="str">
        <f t="shared" si="49"/>
        <v/>
      </c>
      <c r="T180" s="73" t="str">
        <f t="shared" si="49"/>
        <v/>
      </c>
      <c r="U180" s="73" t="str">
        <f t="shared" si="49"/>
        <v/>
      </c>
      <c r="V180" s="73" t="str">
        <f t="shared" si="49"/>
        <v/>
      </c>
      <c r="W180" s="73" t="str">
        <f t="shared" si="49"/>
        <v/>
      </c>
      <c r="X180" s="73" t="str">
        <f t="shared" si="49"/>
        <v/>
      </c>
      <c r="Y180" s="73" t="str">
        <f t="shared" si="49"/>
        <v/>
      </c>
      <c r="Z180" s="73" t="str">
        <f t="shared" si="49"/>
        <v/>
      </c>
      <c r="AA180" s="73" t="str">
        <f t="shared" si="49"/>
        <v/>
      </c>
      <c r="AB180" s="74" t="str">
        <f t="shared" si="49"/>
        <v/>
      </c>
      <c r="AC180" s="35" t="str">
        <f t="shared" si="38"/>
        <v/>
      </c>
      <c r="AD180" s="40" t="str">
        <f t="shared" si="39"/>
        <v/>
      </c>
      <c r="AE180" s="37" t="str">
        <f t="shared" si="40"/>
        <v/>
      </c>
      <c r="AF180" s="40" t="str">
        <f t="shared" si="41"/>
        <v/>
      </c>
      <c r="AG180" s="37" t="str">
        <f t="shared" si="42"/>
        <v/>
      </c>
      <c r="AH180" s="40" t="str">
        <f t="shared" si="43"/>
        <v/>
      </c>
      <c r="AI180" s="37" t="str">
        <f t="shared" si="44"/>
        <v/>
      </c>
      <c r="AJ180" s="40" t="str">
        <f t="shared" si="45"/>
        <v/>
      </c>
      <c r="AK180" s="204" t="str">
        <f>IF(C180="","",IF(E180=FROTA!$AT$18,IF('DEFINA!!!'!$L$6="D-E-F-I-N-A !!!!!!!",0,IF('DEFINA!!!'!$L$6="Opto por Idade Média",SEM!AW180,IF('DEFINA!!!'!$L$6="Opto pelo Valor aplicado ao  Ano de cada Carro",SEM!AX180,0))),IF(E180=FROTA!$AT$17,IF('DEFINA!!!'!$L$6="D-E-F-I-N-A !!!!!!!",0,IF('DEFINA!!!'!$L$6="Opto por Idade Média",SEM!AW180,IF('DEFINA!!!'!$L$6="Opto pelo Valor aplicado ao  Ano de cada Carro",SEM!AX180,0))),IF(E180=FROTA!$AT$16,IF('DEFINA!!!'!$L$6="D-E-F-I-N-A !!!!!!!",0,IF('DEFINA!!!'!$L$6="Opto por Idade Média",SEM!AW180,IF('DEFINA!!!'!$L$6="Opto pelo Valor aplicado ao  Ano de cada Carro",SEM!AX180,0))),IF('DEFINA!!!'!$L$6="D-E-F-I-N-A !!!!!!!",0,IF('DEFINA!!!'!$L$6="Opto por Idade Média",SEM!AU180,IF('DEFINA!!!'!$L$6="Opto pelo Valor aplicado ao  Ano de cada Carro",SEM!AV180,0)))))))</f>
        <v/>
      </c>
      <c r="AL180" s="6"/>
      <c r="AM180" s="79" t="str">
        <f t="shared" si="46"/>
        <v/>
      </c>
      <c r="AN180" s="12"/>
      <c r="AO180" s="12"/>
      <c r="AP180" s="14"/>
      <c r="AQ180" s="16"/>
      <c r="AR180" s="15"/>
      <c r="AU180" s="198" t="str">
        <f>IF(C180="","",VLOOKUP(FROTA!$AB$2,RECEBÍVEIS!$AA$11:$AB$43,2,0))</f>
        <v/>
      </c>
      <c r="AV180" s="198" t="str">
        <f>IF(C180="","",IF(C180=FROTA!Z180="","",VLOOKUP(FROTA!Z180,RECEBÍVEIS!$AA$11:$AB$43,2,0)))</f>
        <v/>
      </c>
      <c r="AW180" s="198" t="str">
        <f>IF(C180="","",VLOOKUP(FROTA!$AB$2,RECEBÍVEIS!$AA$11:$AC$43,3,0))</f>
        <v/>
      </c>
      <c r="AX180" s="198" t="str">
        <f>IF(C180="","",IF(C180=FROTA!Z180="","",VLOOKUP(FROTA!Z180,RECEBÍVEIS!$AA$11:$AC$43,3,0)))</f>
        <v/>
      </c>
    </row>
    <row r="181" spans="2:50" ht="17.25" customHeight="1" x14ac:dyDescent="0.2">
      <c r="B181" s="6"/>
      <c r="C181" s="49" t="str">
        <f>IF(FROTA!B181="","",FROTA!B181)</f>
        <v/>
      </c>
      <c r="D181" s="220" t="str">
        <f>IF(C181="","",VLOOKUP(SEM!C181,FROTA!$B$5:$C$305,2,0))</f>
        <v/>
      </c>
      <c r="E181" s="24" t="str">
        <f>IF(C181="","",VLOOKUP(C181,FROTA!$B$5:$H$305,7,0))</f>
        <v/>
      </c>
      <c r="F181" s="38" t="str">
        <f t="shared" si="36"/>
        <v/>
      </c>
      <c r="G181" s="71" t="str">
        <f t="shared" si="47"/>
        <v/>
      </c>
      <c r="H181" s="32" t="str">
        <f t="shared" si="52"/>
        <v/>
      </c>
      <c r="I181" s="73" t="str">
        <f t="shared" si="52"/>
        <v/>
      </c>
      <c r="J181" s="73" t="str">
        <f t="shared" si="52"/>
        <v/>
      </c>
      <c r="K181" s="73" t="str">
        <f t="shared" si="51"/>
        <v/>
      </c>
      <c r="L181" s="73" t="str">
        <f t="shared" si="51"/>
        <v/>
      </c>
      <c r="M181" s="73" t="str">
        <f t="shared" si="51"/>
        <v/>
      </c>
      <c r="N181" s="73" t="str">
        <f t="shared" si="50"/>
        <v/>
      </c>
      <c r="O181" s="73" t="str">
        <f t="shared" si="50"/>
        <v/>
      </c>
      <c r="P181" s="73" t="str">
        <f t="shared" si="50"/>
        <v/>
      </c>
      <c r="Q181" s="73" t="str">
        <f t="shared" si="34"/>
        <v/>
      </c>
      <c r="R181" s="73" t="str">
        <f t="shared" si="49"/>
        <v/>
      </c>
      <c r="S181" s="73" t="str">
        <f t="shared" si="49"/>
        <v/>
      </c>
      <c r="T181" s="73" t="str">
        <f t="shared" si="49"/>
        <v/>
      </c>
      <c r="U181" s="73" t="str">
        <f t="shared" si="49"/>
        <v/>
      </c>
      <c r="V181" s="73" t="str">
        <f t="shared" si="49"/>
        <v/>
      </c>
      <c r="W181" s="73" t="str">
        <f t="shared" si="49"/>
        <v/>
      </c>
      <c r="X181" s="73" t="str">
        <f t="shared" si="49"/>
        <v/>
      </c>
      <c r="Y181" s="73" t="str">
        <f t="shared" si="49"/>
        <v/>
      </c>
      <c r="Z181" s="73" t="str">
        <f t="shared" si="49"/>
        <v/>
      </c>
      <c r="AA181" s="73" t="str">
        <f t="shared" si="49"/>
        <v/>
      </c>
      <c r="AB181" s="74" t="str">
        <f t="shared" si="49"/>
        <v/>
      </c>
      <c r="AC181" s="35" t="str">
        <f t="shared" si="38"/>
        <v/>
      </c>
      <c r="AD181" s="40" t="str">
        <f t="shared" si="39"/>
        <v/>
      </c>
      <c r="AE181" s="37" t="str">
        <f t="shared" si="40"/>
        <v/>
      </c>
      <c r="AF181" s="40" t="str">
        <f t="shared" si="41"/>
        <v/>
      </c>
      <c r="AG181" s="37" t="str">
        <f t="shared" si="42"/>
        <v/>
      </c>
      <c r="AH181" s="40" t="str">
        <f t="shared" si="43"/>
        <v/>
      </c>
      <c r="AI181" s="37" t="str">
        <f t="shared" si="44"/>
        <v/>
      </c>
      <c r="AJ181" s="40" t="str">
        <f t="shared" si="45"/>
        <v/>
      </c>
      <c r="AK181" s="204" t="str">
        <f>IF(C181="","",IF(E181=FROTA!$AT$18,IF('DEFINA!!!'!$L$6="D-E-F-I-N-A !!!!!!!",0,IF('DEFINA!!!'!$L$6="Opto por Idade Média",SEM!AW181,IF('DEFINA!!!'!$L$6="Opto pelo Valor aplicado ao  Ano de cada Carro",SEM!AX181,0))),IF(E181=FROTA!$AT$17,IF('DEFINA!!!'!$L$6="D-E-F-I-N-A !!!!!!!",0,IF('DEFINA!!!'!$L$6="Opto por Idade Média",SEM!AW181,IF('DEFINA!!!'!$L$6="Opto pelo Valor aplicado ao  Ano de cada Carro",SEM!AX181,0))),IF(E181=FROTA!$AT$16,IF('DEFINA!!!'!$L$6="D-E-F-I-N-A !!!!!!!",0,IF('DEFINA!!!'!$L$6="Opto por Idade Média",SEM!AW181,IF('DEFINA!!!'!$L$6="Opto pelo Valor aplicado ao  Ano de cada Carro",SEM!AX181,0))),IF('DEFINA!!!'!$L$6="D-E-F-I-N-A !!!!!!!",0,IF('DEFINA!!!'!$L$6="Opto por Idade Média",SEM!AU181,IF('DEFINA!!!'!$L$6="Opto pelo Valor aplicado ao  Ano de cada Carro",SEM!AV181,0)))))))</f>
        <v/>
      </c>
      <c r="AL181" s="6"/>
      <c r="AM181" s="79" t="str">
        <f t="shared" si="46"/>
        <v/>
      </c>
      <c r="AN181" s="12"/>
      <c r="AO181" s="12"/>
      <c r="AP181" s="14"/>
      <c r="AQ181" s="16"/>
      <c r="AR181" s="15"/>
      <c r="AU181" s="198" t="str">
        <f>IF(C181="","",VLOOKUP(FROTA!$AB$2,RECEBÍVEIS!$AA$11:$AB$43,2,0))</f>
        <v/>
      </c>
      <c r="AV181" s="198" t="str">
        <f>IF(C181="","",IF(C181=FROTA!Z181="","",VLOOKUP(FROTA!Z181,RECEBÍVEIS!$AA$11:$AB$43,2,0)))</f>
        <v/>
      </c>
      <c r="AW181" s="198" t="str">
        <f>IF(C181="","",VLOOKUP(FROTA!$AB$2,RECEBÍVEIS!$AA$11:$AC$43,3,0))</f>
        <v/>
      </c>
      <c r="AX181" s="198" t="str">
        <f>IF(C181="","",IF(C181=FROTA!Z181="","",VLOOKUP(FROTA!Z181,RECEBÍVEIS!$AA$11:$AC$43,3,0)))</f>
        <v/>
      </c>
    </row>
    <row r="182" spans="2:50" ht="17.25" customHeight="1" x14ac:dyDescent="0.2">
      <c r="B182" s="6"/>
      <c r="C182" s="49" t="str">
        <f>IF(FROTA!B182="","",FROTA!B182)</f>
        <v/>
      </c>
      <c r="D182" s="220" t="str">
        <f>IF(C182="","",VLOOKUP(SEM!C182,FROTA!$B$5:$C$305,2,0))</f>
        <v/>
      </c>
      <c r="E182" s="24" t="str">
        <f>IF(C182="","",VLOOKUP(C182,FROTA!$B$5:$H$305,7,0))</f>
        <v/>
      </c>
      <c r="F182" s="38" t="str">
        <f t="shared" si="36"/>
        <v/>
      </c>
      <c r="G182" s="71" t="str">
        <f t="shared" si="47"/>
        <v/>
      </c>
      <c r="H182" s="32" t="str">
        <f t="shared" si="52"/>
        <v/>
      </c>
      <c r="I182" s="73" t="str">
        <f t="shared" si="52"/>
        <v/>
      </c>
      <c r="J182" s="73" t="str">
        <f t="shared" si="52"/>
        <v/>
      </c>
      <c r="K182" s="73" t="str">
        <f t="shared" si="51"/>
        <v/>
      </c>
      <c r="L182" s="73" t="str">
        <f t="shared" si="51"/>
        <v/>
      </c>
      <c r="M182" s="73" t="str">
        <f t="shared" si="51"/>
        <v/>
      </c>
      <c r="N182" s="73" t="str">
        <f t="shared" si="50"/>
        <v/>
      </c>
      <c r="O182" s="73" t="str">
        <f t="shared" si="50"/>
        <v/>
      </c>
      <c r="P182" s="73" t="str">
        <f t="shared" si="50"/>
        <v/>
      </c>
      <c r="Q182" s="73" t="str">
        <f t="shared" si="34"/>
        <v/>
      </c>
      <c r="R182" s="73" t="str">
        <f t="shared" si="49"/>
        <v/>
      </c>
      <c r="S182" s="73" t="str">
        <f t="shared" si="49"/>
        <v/>
      </c>
      <c r="T182" s="73" t="str">
        <f t="shared" si="49"/>
        <v/>
      </c>
      <c r="U182" s="73" t="str">
        <f t="shared" si="49"/>
        <v/>
      </c>
      <c r="V182" s="73" t="str">
        <f t="shared" si="49"/>
        <v/>
      </c>
      <c r="W182" s="73" t="str">
        <f t="shared" si="49"/>
        <v/>
      </c>
      <c r="X182" s="73" t="str">
        <f t="shared" si="49"/>
        <v/>
      </c>
      <c r="Y182" s="73" t="str">
        <f t="shared" si="49"/>
        <v/>
      </c>
      <c r="Z182" s="73" t="str">
        <f t="shared" si="49"/>
        <v/>
      </c>
      <c r="AA182" s="73" t="str">
        <f t="shared" si="49"/>
        <v/>
      </c>
      <c r="AB182" s="74" t="str">
        <f t="shared" si="49"/>
        <v/>
      </c>
      <c r="AC182" s="35" t="str">
        <f t="shared" si="38"/>
        <v/>
      </c>
      <c r="AD182" s="40" t="str">
        <f t="shared" si="39"/>
        <v/>
      </c>
      <c r="AE182" s="37" t="str">
        <f t="shared" si="40"/>
        <v/>
      </c>
      <c r="AF182" s="40" t="str">
        <f t="shared" si="41"/>
        <v/>
      </c>
      <c r="AG182" s="37" t="str">
        <f t="shared" si="42"/>
        <v/>
      </c>
      <c r="AH182" s="40" t="str">
        <f t="shared" si="43"/>
        <v/>
      </c>
      <c r="AI182" s="37" t="str">
        <f t="shared" si="44"/>
        <v/>
      </c>
      <c r="AJ182" s="40" t="str">
        <f t="shared" si="45"/>
        <v/>
      </c>
      <c r="AK182" s="204" t="str">
        <f>IF(C182="","",IF(E182=FROTA!$AT$18,IF('DEFINA!!!'!$L$6="D-E-F-I-N-A !!!!!!!",0,IF('DEFINA!!!'!$L$6="Opto por Idade Média",SEM!AW182,IF('DEFINA!!!'!$L$6="Opto pelo Valor aplicado ao  Ano de cada Carro",SEM!AX182,0))),IF(E182=FROTA!$AT$17,IF('DEFINA!!!'!$L$6="D-E-F-I-N-A !!!!!!!",0,IF('DEFINA!!!'!$L$6="Opto por Idade Média",SEM!AW182,IF('DEFINA!!!'!$L$6="Opto pelo Valor aplicado ao  Ano de cada Carro",SEM!AX182,0))),IF(E182=FROTA!$AT$16,IF('DEFINA!!!'!$L$6="D-E-F-I-N-A !!!!!!!",0,IF('DEFINA!!!'!$L$6="Opto por Idade Média",SEM!AW182,IF('DEFINA!!!'!$L$6="Opto pelo Valor aplicado ao  Ano de cada Carro",SEM!AX182,0))),IF('DEFINA!!!'!$L$6="D-E-F-I-N-A !!!!!!!",0,IF('DEFINA!!!'!$L$6="Opto por Idade Média",SEM!AU182,IF('DEFINA!!!'!$L$6="Opto pelo Valor aplicado ao  Ano de cada Carro",SEM!AV182,0)))))))</f>
        <v/>
      </c>
      <c r="AL182" s="6"/>
      <c r="AM182" s="79" t="str">
        <f t="shared" si="46"/>
        <v/>
      </c>
      <c r="AN182" s="12"/>
      <c r="AO182" s="12"/>
      <c r="AP182" s="14"/>
      <c r="AQ182" s="16"/>
      <c r="AR182" s="15"/>
      <c r="AU182" s="198" t="str">
        <f>IF(C182="","",VLOOKUP(FROTA!$AB$2,RECEBÍVEIS!$AA$11:$AB$43,2,0))</f>
        <v/>
      </c>
      <c r="AV182" s="198" t="str">
        <f>IF(C182="","",IF(C182=FROTA!Z182="","",VLOOKUP(FROTA!Z182,RECEBÍVEIS!$AA$11:$AB$43,2,0)))</f>
        <v/>
      </c>
      <c r="AW182" s="198" t="str">
        <f>IF(C182="","",VLOOKUP(FROTA!$AB$2,RECEBÍVEIS!$AA$11:$AC$43,3,0))</f>
        <v/>
      </c>
      <c r="AX182" s="198" t="str">
        <f>IF(C182="","",IF(C182=FROTA!Z182="","",VLOOKUP(FROTA!Z182,RECEBÍVEIS!$AA$11:$AC$43,3,0)))</f>
        <v/>
      </c>
    </row>
    <row r="183" spans="2:50" ht="17.25" customHeight="1" x14ac:dyDescent="0.2">
      <c r="B183" s="6"/>
      <c r="C183" s="49" t="str">
        <f>IF(FROTA!B183="","",FROTA!B183)</f>
        <v/>
      </c>
      <c r="D183" s="220" t="str">
        <f>IF(C183="","",VLOOKUP(SEM!C183,FROTA!$B$5:$C$305,2,0))</f>
        <v/>
      </c>
      <c r="E183" s="24" t="str">
        <f>IF(C183="","",VLOOKUP(C183,FROTA!$B$5:$H$305,7,0))</f>
        <v/>
      </c>
      <c r="F183" s="38" t="str">
        <f t="shared" si="36"/>
        <v/>
      </c>
      <c r="G183" s="71" t="str">
        <f t="shared" si="47"/>
        <v/>
      </c>
      <c r="H183" s="32" t="str">
        <f t="shared" si="52"/>
        <v/>
      </c>
      <c r="I183" s="73" t="str">
        <f t="shared" si="52"/>
        <v/>
      </c>
      <c r="J183" s="73" t="str">
        <f t="shared" si="52"/>
        <v/>
      </c>
      <c r="K183" s="73" t="str">
        <f t="shared" si="51"/>
        <v/>
      </c>
      <c r="L183" s="73" t="str">
        <f t="shared" si="51"/>
        <v/>
      </c>
      <c r="M183" s="73" t="str">
        <f t="shared" si="51"/>
        <v/>
      </c>
      <c r="N183" s="73" t="str">
        <f t="shared" si="50"/>
        <v/>
      </c>
      <c r="O183" s="73" t="str">
        <f t="shared" si="50"/>
        <v/>
      </c>
      <c r="P183" s="73" t="str">
        <f t="shared" si="50"/>
        <v/>
      </c>
      <c r="Q183" s="73" t="str">
        <f t="shared" si="34"/>
        <v/>
      </c>
      <c r="R183" s="73" t="str">
        <f t="shared" si="49"/>
        <v/>
      </c>
      <c r="S183" s="73" t="str">
        <f t="shared" si="49"/>
        <v/>
      </c>
      <c r="T183" s="73" t="str">
        <f t="shared" si="49"/>
        <v/>
      </c>
      <c r="U183" s="73" t="str">
        <f t="shared" si="49"/>
        <v/>
      </c>
      <c r="V183" s="73" t="str">
        <f t="shared" si="49"/>
        <v/>
      </c>
      <c r="W183" s="73" t="str">
        <f t="shared" si="49"/>
        <v/>
      </c>
      <c r="X183" s="73" t="str">
        <f t="shared" si="49"/>
        <v/>
      </c>
      <c r="Y183" s="73" t="str">
        <f t="shared" si="49"/>
        <v/>
      </c>
      <c r="Z183" s="73" t="str">
        <f t="shared" si="49"/>
        <v/>
      </c>
      <c r="AA183" s="73" t="str">
        <f t="shared" si="49"/>
        <v/>
      </c>
      <c r="AB183" s="74" t="str">
        <f t="shared" si="49"/>
        <v/>
      </c>
      <c r="AC183" s="35" t="str">
        <f t="shared" si="38"/>
        <v/>
      </c>
      <c r="AD183" s="40" t="str">
        <f t="shared" si="39"/>
        <v/>
      </c>
      <c r="AE183" s="37" t="str">
        <f t="shared" si="40"/>
        <v/>
      </c>
      <c r="AF183" s="40" t="str">
        <f t="shared" si="41"/>
        <v/>
      </c>
      <c r="AG183" s="37" t="str">
        <f t="shared" si="42"/>
        <v/>
      </c>
      <c r="AH183" s="40" t="str">
        <f t="shared" si="43"/>
        <v/>
      </c>
      <c r="AI183" s="37" t="str">
        <f t="shared" si="44"/>
        <v/>
      </c>
      <c r="AJ183" s="40" t="str">
        <f t="shared" si="45"/>
        <v/>
      </c>
      <c r="AK183" s="204" t="str">
        <f>IF(C183="","",IF(E183=FROTA!$AT$18,IF('DEFINA!!!'!$L$6="D-E-F-I-N-A !!!!!!!",0,IF('DEFINA!!!'!$L$6="Opto por Idade Média",SEM!AW183,IF('DEFINA!!!'!$L$6="Opto pelo Valor aplicado ao  Ano de cada Carro",SEM!AX183,0))),IF(E183=FROTA!$AT$17,IF('DEFINA!!!'!$L$6="D-E-F-I-N-A !!!!!!!",0,IF('DEFINA!!!'!$L$6="Opto por Idade Média",SEM!AW183,IF('DEFINA!!!'!$L$6="Opto pelo Valor aplicado ao  Ano de cada Carro",SEM!AX183,0))),IF(E183=FROTA!$AT$16,IF('DEFINA!!!'!$L$6="D-E-F-I-N-A !!!!!!!",0,IF('DEFINA!!!'!$L$6="Opto por Idade Média",SEM!AW183,IF('DEFINA!!!'!$L$6="Opto pelo Valor aplicado ao  Ano de cada Carro",SEM!AX183,0))),IF('DEFINA!!!'!$L$6="D-E-F-I-N-A !!!!!!!",0,IF('DEFINA!!!'!$L$6="Opto por Idade Média",SEM!AU183,IF('DEFINA!!!'!$L$6="Opto pelo Valor aplicado ao  Ano de cada Carro",SEM!AV183,0)))))))</f>
        <v/>
      </c>
      <c r="AL183" s="6"/>
      <c r="AM183" s="79" t="str">
        <f t="shared" si="46"/>
        <v/>
      </c>
      <c r="AN183" s="12"/>
      <c r="AO183" s="12"/>
      <c r="AP183" s="14"/>
      <c r="AQ183" s="16"/>
      <c r="AR183" s="15"/>
      <c r="AU183" s="198" t="str">
        <f>IF(C183="","",VLOOKUP(FROTA!$AB$2,RECEBÍVEIS!$AA$11:$AB$43,2,0))</f>
        <v/>
      </c>
      <c r="AV183" s="198" t="str">
        <f>IF(C183="","",IF(C183=FROTA!Z183="","",VLOOKUP(FROTA!Z183,RECEBÍVEIS!$AA$11:$AB$43,2,0)))</f>
        <v/>
      </c>
      <c r="AW183" s="198" t="str">
        <f>IF(C183="","",VLOOKUP(FROTA!$AB$2,RECEBÍVEIS!$AA$11:$AC$43,3,0))</f>
        <v/>
      </c>
      <c r="AX183" s="198" t="str">
        <f>IF(C183="","",IF(C183=FROTA!Z183="","",VLOOKUP(FROTA!Z183,RECEBÍVEIS!$AA$11:$AC$43,3,0)))</f>
        <v/>
      </c>
    </row>
    <row r="184" spans="2:50" ht="17.25" customHeight="1" x14ac:dyDescent="0.2">
      <c r="B184" s="6"/>
      <c r="C184" s="49" t="str">
        <f>IF(FROTA!B184="","",FROTA!B184)</f>
        <v/>
      </c>
      <c r="D184" s="220" t="str">
        <f>IF(C184="","",VLOOKUP(SEM!C184,FROTA!$B$5:$C$305,2,0))</f>
        <v/>
      </c>
      <c r="E184" s="24" t="str">
        <f>IF(C184="","",VLOOKUP(C184,FROTA!$B$5:$H$305,7,0))</f>
        <v/>
      </c>
      <c r="F184" s="38" t="str">
        <f t="shared" si="36"/>
        <v/>
      </c>
      <c r="G184" s="71" t="str">
        <f t="shared" si="47"/>
        <v/>
      </c>
      <c r="H184" s="32" t="str">
        <f t="shared" ref="H184:J247" si="53">IF($C184="","",IF(SUM(H$307*$G184)&gt;$F184,$F184,SUM(H$307*$G184)))</f>
        <v/>
      </c>
      <c r="I184" s="73" t="str">
        <f t="shared" si="53"/>
        <v/>
      </c>
      <c r="J184" s="73" t="str">
        <f t="shared" si="53"/>
        <v/>
      </c>
      <c r="K184" s="73" t="str">
        <f t="shared" ref="K184:Z217" si="54">IF($C184="","",IF(SUM(K$307*$G184)&gt;$F184,$F184,SUM(K$307*$G184)))</f>
        <v/>
      </c>
      <c r="L184" s="73" t="str">
        <f t="shared" si="54"/>
        <v/>
      </c>
      <c r="M184" s="73" t="str">
        <f t="shared" si="54"/>
        <v/>
      </c>
      <c r="N184" s="73" t="str">
        <f t="shared" si="54"/>
        <v/>
      </c>
      <c r="O184" s="73" t="str">
        <f t="shared" si="54"/>
        <v/>
      </c>
      <c r="P184" s="73" t="str">
        <f t="shared" si="54"/>
        <v/>
      </c>
      <c r="Q184" s="73" t="str">
        <f t="shared" si="54"/>
        <v/>
      </c>
      <c r="R184" s="73" t="str">
        <f t="shared" si="54"/>
        <v/>
      </c>
      <c r="S184" s="73" t="str">
        <f t="shared" si="54"/>
        <v/>
      </c>
      <c r="T184" s="73" t="str">
        <f t="shared" si="54"/>
        <v/>
      </c>
      <c r="U184" s="73" t="str">
        <f t="shared" si="54"/>
        <v/>
      </c>
      <c r="V184" s="73" t="str">
        <f t="shared" si="54"/>
        <v/>
      </c>
      <c r="W184" s="73" t="str">
        <f t="shared" si="54"/>
        <v/>
      </c>
      <c r="X184" s="73" t="str">
        <f t="shared" si="54"/>
        <v/>
      </c>
      <c r="Y184" s="73" t="str">
        <f t="shared" si="54"/>
        <v/>
      </c>
      <c r="Z184" s="73" t="str">
        <f t="shared" si="54"/>
        <v/>
      </c>
      <c r="AA184" s="73" t="str">
        <f t="shared" ref="R184:AB207" si="55">IF($C184="","",IF(SUM(AA$307*$G184)&gt;$F184,$F184,SUM(AA$307*$G184)))</f>
        <v/>
      </c>
      <c r="AB184" s="74" t="str">
        <f t="shared" si="55"/>
        <v/>
      </c>
      <c r="AC184" s="35" t="str">
        <f t="shared" si="38"/>
        <v/>
      </c>
      <c r="AD184" s="40" t="str">
        <f t="shared" si="39"/>
        <v/>
      </c>
      <c r="AE184" s="37" t="str">
        <f t="shared" si="40"/>
        <v/>
      </c>
      <c r="AF184" s="40" t="str">
        <f t="shared" si="41"/>
        <v/>
      </c>
      <c r="AG184" s="37" t="str">
        <f t="shared" si="42"/>
        <v/>
      </c>
      <c r="AH184" s="40" t="str">
        <f t="shared" si="43"/>
        <v/>
      </c>
      <c r="AI184" s="37" t="str">
        <f t="shared" si="44"/>
        <v/>
      </c>
      <c r="AJ184" s="40" t="str">
        <f t="shared" si="45"/>
        <v/>
      </c>
      <c r="AK184" s="204" t="str">
        <f>IF(C184="","",IF(E184=FROTA!$AT$18,IF('DEFINA!!!'!$L$6="D-E-F-I-N-A !!!!!!!",0,IF('DEFINA!!!'!$L$6="Opto por Idade Média",SEM!AW184,IF('DEFINA!!!'!$L$6="Opto pelo Valor aplicado ao  Ano de cada Carro",SEM!AX184,0))),IF(E184=FROTA!$AT$17,IF('DEFINA!!!'!$L$6="D-E-F-I-N-A !!!!!!!",0,IF('DEFINA!!!'!$L$6="Opto por Idade Média",SEM!AW184,IF('DEFINA!!!'!$L$6="Opto pelo Valor aplicado ao  Ano de cada Carro",SEM!AX184,0))),IF(E184=FROTA!$AT$16,IF('DEFINA!!!'!$L$6="D-E-F-I-N-A !!!!!!!",0,IF('DEFINA!!!'!$L$6="Opto por Idade Média",SEM!AW184,IF('DEFINA!!!'!$L$6="Opto pelo Valor aplicado ao  Ano de cada Carro",SEM!AX184,0))),IF('DEFINA!!!'!$L$6="D-E-F-I-N-A !!!!!!!",0,IF('DEFINA!!!'!$L$6="Opto por Idade Média",SEM!AU184,IF('DEFINA!!!'!$L$6="Opto pelo Valor aplicado ao  Ano de cada Carro",SEM!AV184,0)))))))</f>
        <v/>
      </c>
      <c r="AL184" s="6"/>
      <c r="AM184" s="79" t="str">
        <f t="shared" si="46"/>
        <v/>
      </c>
      <c r="AN184" s="12"/>
      <c r="AO184" s="12"/>
      <c r="AP184" s="14"/>
      <c r="AQ184" s="16"/>
      <c r="AR184" s="15"/>
      <c r="AU184" s="198" t="str">
        <f>IF(C184="","",VLOOKUP(FROTA!$AB$2,RECEBÍVEIS!$AA$11:$AB$43,2,0))</f>
        <v/>
      </c>
      <c r="AV184" s="198" t="str">
        <f>IF(C184="","",IF(C184=FROTA!Z184="","",VLOOKUP(FROTA!Z184,RECEBÍVEIS!$AA$11:$AB$43,2,0)))</f>
        <v/>
      </c>
      <c r="AW184" s="198" t="str">
        <f>IF(C184="","",VLOOKUP(FROTA!$AB$2,RECEBÍVEIS!$AA$11:$AC$43,3,0))</f>
        <v/>
      </c>
      <c r="AX184" s="198" t="str">
        <f>IF(C184="","",IF(C184=FROTA!Z184="","",VLOOKUP(FROTA!Z184,RECEBÍVEIS!$AA$11:$AC$43,3,0)))</f>
        <v/>
      </c>
    </row>
    <row r="185" spans="2:50" ht="17.25" customHeight="1" x14ac:dyDescent="0.2">
      <c r="B185" s="6"/>
      <c r="C185" s="49" t="str">
        <f>IF(FROTA!B185="","",FROTA!B185)</f>
        <v/>
      </c>
      <c r="D185" s="220" t="str">
        <f>IF(C185="","",VLOOKUP(SEM!C185,FROTA!$B$5:$C$305,2,0))</f>
        <v/>
      </c>
      <c r="E185" s="24" t="str">
        <f>IF(C185="","",VLOOKUP(C185,FROTA!$B$5:$H$305,7,0))</f>
        <v/>
      </c>
      <c r="F185" s="38" t="str">
        <f t="shared" si="36"/>
        <v/>
      </c>
      <c r="G185" s="71" t="str">
        <f t="shared" si="47"/>
        <v/>
      </c>
      <c r="H185" s="32" t="str">
        <f t="shared" si="53"/>
        <v/>
      </c>
      <c r="I185" s="73" t="str">
        <f t="shared" si="53"/>
        <v/>
      </c>
      <c r="J185" s="73" t="str">
        <f t="shared" si="53"/>
        <v/>
      </c>
      <c r="K185" s="73" t="str">
        <f t="shared" si="54"/>
        <v/>
      </c>
      <c r="L185" s="73" t="str">
        <f t="shared" si="54"/>
        <v/>
      </c>
      <c r="M185" s="73" t="str">
        <f t="shared" si="54"/>
        <v/>
      </c>
      <c r="N185" s="73" t="str">
        <f t="shared" si="54"/>
        <v/>
      </c>
      <c r="O185" s="73" t="str">
        <f t="shared" si="54"/>
        <v/>
      </c>
      <c r="P185" s="73" t="str">
        <f t="shared" si="54"/>
        <v/>
      </c>
      <c r="Q185" s="73" t="str">
        <f t="shared" si="54"/>
        <v/>
      </c>
      <c r="R185" s="73" t="str">
        <f t="shared" si="55"/>
        <v/>
      </c>
      <c r="S185" s="73" t="str">
        <f t="shared" si="55"/>
        <v/>
      </c>
      <c r="T185" s="73" t="str">
        <f t="shared" si="55"/>
        <v/>
      </c>
      <c r="U185" s="73" t="str">
        <f t="shared" si="55"/>
        <v/>
      </c>
      <c r="V185" s="73" t="str">
        <f t="shared" si="55"/>
        <v/>
      </c>
      <c r="W185" s="73" t="str">
        <f t="shared" si="55"/>
        <v/>
      </c>
      <c r="X185" s="73" t="str">
        <f t="shared" si="55"/>
        <v/>
      </c>
      <c r="Y185" s="73" t="str">
        <f t="shared" si="55"/>
        <v/>
      </c>
      <c r="Z185" s="73" t="str">
        <f t="shared" si="55"/>
        <v/>
      </c>
      <c r="AA185" s="73" t="str">
        <f t="shared" si="55"/>
        <v/>
      </c>
      <c r="AB185" s="74" t="str">
        <f t="shared" si="55"/>
        <v/>
      </c>
      <c r="AC185" s="35" t="str">
        <f t="shared" si="38"/>
        <v/>
      </c>
      <c r="AD185" s="40" t="str">
        <f t="shared" si="39"/>
        <v/>
      </c>
      <c r="AE185" s="37" t="str">
        <f t="shared" si="40"/>
        <v/>
      </c>
      <c r="AF185" s="40" t="str">
        <f t="shared" si="41"/>
        <v/>
      </c>
      <c r="AG185" s="37" t="str">
        <f t="shared" si="42"/>
        <v/>
      </c>
      <c r="AH185" s="40" t="str">
        <f t="shared" si="43"/>
        <v/>
      </c>
      <c r="AI185" s="37" t="str">
        <f t="shared" si="44"/>
        <v/>
      </c>
      <c r="AJ185" s="40" t="str">
        <f t="shared" si="45"/>
        <v/>
      </c>
      <c r="AK185" s="204" t="str">
        <f>IF(C185="","",IF(E185=FROTA!$AT$18,IF('DEFINA!!!'!$L$6="D-E-F-I-N-A !!!!!!!",0,IF('DEFINA!!!'!$L$6="Opto por Idade Média",SEM!AW185,IF('DEFINA!!!'!$L$6="Opto pelo Valor aplicado ao  Ano de cada Carro",SEM!AX185,0))),IF(E185=FROTA!$AT$17,IF('DEFINA!!!'!$L$6="D-E-F-I-N-A !!!!!!!",0,IF('DEFINA!!!'!$L$6="Opto por Idade Média",SEM!AW185,IF('DEFINA!!!'!$L$6="Opto pelo Valor aplicado ao  Ano de cada Carro",SEM!AX185,0))),IF(E185=FROTA!$AT$16,IF('DEFINA!!!'!$L$6="D-E-F-I-N-A !!!!!!!",0,IF('DEFINA!!!'!$L$6="Opto por Idade Média",SEM!AW185,IF('DEFINA!!!'!$L$6="Opto pelo Valor aplicado ao  Ano de cada Carro",SEM!AX185,0))),IF('DEFINA!!!'!$L$6="D-E-F-I-N-A !!!!!!!",0,IF('DEFINA!!!'!$L$6="Opto por Idade Média",SEM!AU185,IF('DEFINA!!!'!$L$6="Opto pelo Valor aplicado ao  Ano de cada Carro",SEM!AV185,0)))))))</f>
        <v/>
      </c>
      <c r="AL185" s="6"/>
      <c r="AM185" s="79" t="str">
        <f t="shared" si="46"/>
        <v/>
      </c>
      <c r="AN185" s="12"/>
      <c r="AO185" s="12"/>
      <c r="AP185" s="14"/>
      <c r="AQ185" s="16"/>
      <c r="AR185" s="15"/>
      <c r="AU185" s="198" t="str">
        <f>IF(C185="","",VLOOKUP(FROTA!$AB$2,RECEBÍVEIS!$AA$11:$AB$43,2,0))</f>
        <v/>
      </c>
      <c r="AV185" s="198" t="str">
        <f>IF(C185="","",IF(C185=FROTA!Z185="","",VLOOKUP(FROTA!Z185,RECEBÍVEIS!$AA$11:$AB$43,2,0)))</f>
        <v/>
      </c>
      <c r="AW185" s="198" t="str">
        <f>IF(C185="","",VLOOKUP(FROTA!$AB$2,RECEBÍVEIS!$AA$11:$AC$43,3,0))</f>
        <v/>
      </c>
      <c r="AX185" s="198" t="str">
        <f>IF(C185="","",IF(C185=FROTA!Z185="","",VLOOKUP(FROTA!Z185,RECEBÍVEIS!$AA$11:$AC$43,3,0)))</f>
        <v/>
      </c>
    </row>
    <row r="186" spans="2:50" ht="17.25" customHeight="1" x14ac:dyDescent="0.2">
      <c r="B186" s="6"/>
      <c r="C186" s="49" t="str">
        <f>IF(FROTA!B186="","",FROTA!B186)</f>
        <v/>
      </c>
      <c r="D186" s="220" t="str">
        <f>IF(C186="","",VLOOKUP(SEM!C186,FROTA!$B$5:$C$305,2,0))</f>
        <v/>
      </c>
      <c r="E186" s="24" t="str">
        <f>IF(C186="","",VLOOKUP(C186,FROTA!$B$5:$H$305,7,0))</f>
        <v/>
      </c>
      <c r="F186" s="38" t="str">
        <f t="shared" si="36"/>
        <v/>
      </c>
      <c r="G186" s="71" t="str">
        <f t="shared" si="47"/>
        <v/>
      </c>
      <c r="H186" s="32" t="str">
        <f t="shared" si="53"/>
        <v/>
      </c>
      <c r="I186" s="73" t="str">
        <f t="shared" si="53"/>
        <v/>
      </c>
      <c r="J186" s="73" t="str">
        <f t="shared" si="53"/>
        <v/>
      </c>
      <c r="K186" s="73" t="str">
        <f t="shared" si="54"/>
        <v/>
      </c>
      <c r="L186" s="73" t="str">
        <f t="shared" si="54"/>
        <v/>
      </c>
      <c r="M186" s="73" t="str">
        <f t="shared" si="54"/>
        <v/>
      </c>
      <c r="N186" s="73" t="str">
        <f t="shared" si="54"/>
        <v/>
      </c>
      <c r="O186" s="73" t="str">
        <f t="shared" si="54"/>
        <v/>
      </c>
      <c r="P186" s="73" t="str">
        <f t="shared" si="54"/>
        <v/>
      </c>
      <c r="Q186" s="73" t="str">
        <f t="shared" si="54"/>
        <v/>
      </c>
      <c r="R186" s="73" t="str">
        <f t="shared" si="55"/>
        <v/>
      </c>
      <c r="S186" s="73" t="str">
        <f t="shared" si="55"/>
        <v/>
      </c>
      <c r="T186" s="73" t="str">
        <f t="shared" si="55"/>
        <v/>
      </c>
      <c r="U186" s="73" t="str">
        <f t="shared" si="55"/>
        <v/>
      </c>
      <c r="V186" s="73" t="str">
        <f t="shared" si="55"/>
        <v/>
      </c>
      <c r="W186" s="73" t="str">
        <f t="shared" si="55"/>
        <v/>
      </c>
      <c r="X186" s="73" t="str">
        <f t="shared" si="55"/>
        <v/>
      </c>
      <c r="Y186" s="73" t="str">
        <f t="shared" si="55"/>
        <v/>
      </c>
      <c r="Z186" s="73" t="str">
        <f t="shared" si="55"/>
        <v/>
      </c>
      <c r="AA186" s="73" t="str">
        <f t="shared" si="55"/>
        <v/>
      </c>
      <c r="AB186" s="74" t="str">
        <f t="shared" si="55"/>
        <v/>
      </c>
      <c r="AC186" s="35" t="str">
        <f t="shared" si="38"/>
        <v/>
      </c>
      <c r="AD186" s="40" t="str">
        <f t="shared" si="39"/>
        <v/>
      </c>
      <c r="AE186" s="37" t="str">
        <f t="shared" si="40"/>
        <v/>
      </c>
      <c r="AF186" s="40" t="str">
        <f t="shared" si="41"/>
        <v/>
      </c>
      <c r="AG186" s="37" t="str">
        <f t="shared" si="42"/>
        <v/>
      </c>
      <c r="AH186" s="40" t="str">
        <f t="shared" si="43"/>
        <v/>
      </c>
      <c r="AI186" s="37" t="str">
        <f t="shared" si="44"/>
        <v/>
      </c>
      <c r="AJ186" s="40" t="str">
        <f t="shared" si="45"/>
        <v/>
      </c>
      <c r="AK186" s="204" t="str">
        <f>IF(C186="","",IF(E186=FROTA!$AT$18,IF('DEFINA!!!'!$L$6="D-E-F-I-N-A !!!!!!!",0,IF('DEFINA!!!'!$L$6="Opto por Idade Média",SEM!AW186,IF('DEFINA!!!'!$L$6="Opto pelo Valor aplicado ao  Ano de cada Carro",SEM!AX186,0))),IF(E186=FROTA!$AT$17,IF('DEFINA!!!'!$L$6="D-E-F-I-N-A !!!!!!!",0,IF('DEFINA!!!'!$L$6="Opto por Idade Média",SEM!AW186,IF('DEFINA!!!'!$L$6="Opto pelo Valor aplicado ao  Ano de cada Carro",SEM!AX186,0))),IF(E186=FROTA!$AT$16,IF('DEFINA!!!'!$L$6="D-E-F-I-N-A !!!!!!!",0,IF('DEFINA!!!'!$L$6="Opto por Idade Média",SEM!AW186,IF('DEFINA!!!'!$L$6="Opto pelo Valor aplicado ao  Ano de cada Carro",SEM!AX186,0))),IF('DEFINA!!!'!$L$6="D-E-F-I-N-A !!!!!!!",0,IF('DEFINA!!!'!$L$6="Opto por Idade Média",SEM!AU186,IF('DEFINA!!!'!$L$6="Opto pelo Valor aplicado ao  Ano de cada Carro",SEM!AV186,0)))))))</f>
        <v/>
      </c>
      <c r="AL186" s="6"/>
      <c r="AM186" s="79" t="str">
        <f t="shared" si="46"/>
        <v/>
      </c>
      <c r="AN186" s="12"/>
      <c r="AO186" s="12"/>
      <c r="AP186" s="14"/>
      <c r="AQ186" s="16"/>
      <c r="AR186" s="15"/>
      <c r="AU186" s="198" t="str">
        <f>IF(C186="","",VLOOKUP(FROTA!$AB$2,RECEBÍVEIS!$AA$11:$AB$43,2,0))</f>
        <v/>
      </c>
      <c r="AV186" s="198" t="str">
        <f>IF(C186="","",IF(C186=FROTA!Z186="","",VLOOKUP(FROTA!Z186,RECEBÍVEIS!$AA$11:$AB$43,2,0)))</f>
        <v/>
      </c>
      <c r="AW186" s="198" t="str">
        <f>IF(C186="","",VLOOKUP(FROTA!$AB$2,RECEBÍVEIS!$AA$11:$AC$43,3,0))</f>
        <v/>
      </c>
      <c r="AX186" s="198" t="str">
        <f>IF(C186="","",IF(C186=FROTA!Z186="","",VLOOKUP(FROTA!Z186,RECEBÍVEIS!$AA$11:$AC$43,3,0)))</f>
        <v/>
      </c>
    </row>
    <row r="187" spans="2:50" ht="17.25" customHeight="1" x14ac:dyDescent="0.2">
      <c r="B187" s="6"/>
      <c r="C187" s="49" t="str">
        <f>IF(FROTA!B187="","",FROTA!B187)</f>
        <v/>
      </c>
      <c r="D187" s="220" t="str">
        <f>IF(C187="","",VLOOKUP(SEM!C187,FROTA!$B$5:$C$305,2,0))</f>
        <v/>
      </c>
      <c r="E187" s="24" t="str">
        <f>IF(C187="","",VLOOKUP(C187,FROTA!$B$5:$H$305,7,0))</f>
        <v/>
      </c>
      <c r="F187" s="38" t="str">
        <f t="shared" si="36"/>
        <v/>
      </c>
      <c r="G187" s="71" t="str">
        <f t="shared" si="47"/>
        <v/>
      </c>
      <c r="H187" s="32" t="str">
        <f t="shared" si="53"/>
        <v/>
      </c>
      <c r="I187" s="73" t="str">
        <f t="shared" si="53"/>
        <v/>
      </c>
      <c r="J187" s="73" t="str">
        <f t="shared" si="53"/>
        <v/>
      </c>
      <c r="K187" s="73" t="str">
        <f t="shared" si="54"/>
        <v/>
      </c>
      <c r="L187" s="73" t="str">
        <f t="shared" si="54"/>
        <v/>
      </c>
      <c r="M187" s="73" t="str">
        <f t="shared" si="54"/>
        <v/>
      </c>
      <c r="N187" s="73" t="str">
        <f t="shared" si="54"/>
        <v/>
      </c>
      <c r="O187" s="73" t="str">
        <f t="shared" si="54"/>
        <v/>
      </c>
      <c r="P187" s="73" t="str">
        <f t="shared" si="54"/>
        <v/>
      </c>
      <c r="Q187" s="73" t="str">
        <f t="shared" si="54"/>
        <v/>
      </c>
      <c r="R187" s="73" t="str">
        <f t="shared" si="55"/>
        <v/>
      </c>
      <c r="S187" s="73" t="str">
        <f t="shared" si="55"/>
        <v/>
      </c>
      <c r="T187" s="73" t="str">
        <f t="shared" si="55"/>
        <v/>
      </c>
      <c r="U187" s="73" t="str">
        <f t="shared" si="55"/>
        <v/>
      </c>
      <c r="V187" s="73" t="str">
        <f t="shared" si="55"/>
        <v/>
      </c>
      <c r="W187" s="73" t="str">
        <f t="shared" si="55"/>
        <v/>
      </c>
      <c r="X187" s="73" t="str">
        <f t="shared" si="55"/>
        <v/>
      </c>
      <c r="Y187" s="73" t="str">
        <f t="shared" si="55"/>
        <v/>
      </c>
      <c r="Z187" s="73" t="str">
        <f t="shared" si="55"/>
        <v/>
      </c>
      <c r="AA187" s="73" t="str">
        <f t="shared" si="55"/>
        <v/>
      </c>
      <c r="AB187" s="74" t="str">
        <f t="shared" si="55"/>
        <v/>
      </c>
      <c r="AC187" s="35" t="str">
        <f t="shared" si="38"/>
        <v/>
      </c>
      <c r="AD187" s="40" t="str">
        <f t="shared" si="39"/>
        <v/>
      </c>
      <c r="AE187" s="37" t="str">
        <f t="shared" si="40"/>
        <v/>
      </c>
      <c r="AF187" s="40" t="str">
        <f t="shared" si="41"/>
        <v/>
      </c>
      <c r="AG187" s="37" t="str">
        <f t="shared" si="42"/>
        <v/>
      </c>
      <c r="AH187" s="40" t="str">
        <f t="shared" si="43"/>
        <v/>
      </c>
      <c r="AI187" s="37" t="str">
        <f t="shared" si="44"/>
        <v/>
      </c>
      <c r="AJ187" s="40" t="str">
        <f t="shared" si="45"/>
        <v/>
      </c>
      <c r="AK187" s="204" t="str">
        <f>IF(C187="","",IF(E187=FROTA!$AT$18,IF('DEFINA!!!'!$L$6="D-E-F-I-N-A !!!!!!!",0,IF('DEFINA!!!'!$L$6="Opto por Idade Média",SEM!AW187,IF('DEFINA!!!'!$L$6="Opto pelo Valor aplicado ao  Ano de cada Carro",SEM!AX187,0))),IF(E187=FROTA!$AT$17,IF('DEFINA!!!'!$L$6="D-E-F-I-N-A !!!!!!!",0,IF('DEFINA!!!'!$L$6="Opto por Idade Média",SEM!AW187,IF('DEFINA!!!'!$L$6="Opto pelo Valor aplicado ao  Ano de cada Carro",SEM!AX187,0))),IF(E187=FROTA!$AT$16,IF('DEFINA!!!'!$L$6="D-E-F-I-N-A !!!!!!!",0,IF('DEFINA!!!'!$L$6="Opto por Idade Média",SEM!AW187,IF('DEFINA!!!'!$L$6="Opto pelo Valor aplicado ao  Ano de cada Carro",SEM!AX187,0))),IF('DEFINA!!!'!$L$6="D-E-F-I-N-A !!!!!!!",0,IF('DEFINA!!!'!$L$6="Opto por Idade Média",SEM!AU187,IF('DEFINA!!!'!$L$6="Opto pelo Valor aplicado ao  Ano de cada Carro",SEM!AV187,0)))))))</f>
        <v/>
      </c>
      <c r="AL187" s="6"/>
      <c r="AM187" s="79" t="str">
        <f t="shared" si="46"/>
        <v/>
      </c>
      <c r="AN187" s="12"/>
      <c r="AO187" s="12"/>
      <c r="AP187" s="14"/>
      <c r="AQ187" s="16"/>
      <c r="AR187" s="15"/>
      <c r="AU187" s="198" t="str">
        <f>IF(C187="","",VLOOKUP(FROTA!$AB$2,RECEBÍVEIS!$AA$11:$AB$43,2,0))</f>
        <v/>
      </c>
      <c r="AV187" s="198" t="str">
        <f>IF(C187="","",IF(C187=FROTA!Z187="","",VLOOKUP(FROTA!Z187,RECEBÍVEIS!$AA$11:$AB$43,2,0)))</f>
        <v/>
      </c>
      <c r="AW187" s="198" t="str">
        <f>IF(C187="","",VLOOKUP(FROTA!$AB$2,RECEBÍVEIS!$AA$11:$AC$43,3,0))</f>
        <v/>
      </c>
      <c r="AX187" s="198" t="str">
        <f>IF(C187="","",IF(C187=FROTA!Z187="","",VLOOKUP(FROTA!Z187,RECEBÍVEIS!$AA$11:$AC$43,3,0)))</f>
        <v/>
      </c>
    </row>
    <row r="188" spans="2:50" ht="17.25" customHeight="1" x14ac:dyDescent="0.2">
      <c r="B188" s="6"/>
      <c r="C188" s="49" t="str">
        <f>IF(FROTA!B188="","",FROTA!B188)</f>
        <v/>
      </c>
      <c r="D188" s="220" t="str">
        <f>IF(C188="","",VLOOKUP(SEM!C188,FROTA!$B$5:$C$305,2,0))</f>
        <v/>
      </c>
      <c r="E188" s="24" t="str">
        <f>IF(C188="","",VLOOKUP(C188,FROTA!$B$5:$H$305,7,0))</f>
        <v/>
      </c>
      <c r="F188" s="38" t="str">
        <f t="shared" si="36"/>
        <v/>
      </c>
      <c r="G188" s="71" t="str">
        <f t="shared" si="47"/>
        <v/>
      </c>
      <c r="H188" s="32" t="str">
        <f t="shared" si="53"/>
        <v/>
      </c>
      <c r="I188" s="73" t="str">
        <f t="shared" si="53"/>
        <v/>
      </c>
      <c r="J188" s="73" t="str">
        <f t="shared" si="53"/>
        <v/>
      </c>
      <c r="K188" s="73" t="str">
        <f t="shared" si="54"/>
        <v/>
      </c>
      <c r="L188" s="73" t="str">
        <f t="shared" si="54"/>
        <v/>
      </c>
      <c r="M188" s="73" t="str">
        <f t="shared" si="54"/>
        <v/>
      </c>
      <c r="N188" s="73" t="str">
        <f t="shared" si="54"/>
        <v/>
      </c>
      <c r="O188" s="73" t="str">
        <f t="shared" si="54"/>
        <v/>
      </c>
      <c r="P188" s="73" t="str">
        <f t="shared" si="54"/>
        <v/>
      </c>
      <c r="Q188" s="73" t="str">
        <f t="shared" si="54"/>
        <v/>
      </c>
      <c r="R188" s="73" t="str">
        <f t="shared" si="55"/>
        <v/>
      </c>
      <c r="S188" s="73" t="str">
        <f t="shared" si="55"/>
        <v/>
      </c>
      <c r="T188" s="73" t="str">
        <f t="shared" si="55"/>
        <v/>
      </c>
      <c r="U188" s="73" t="str">
        <f t="shared" si="55"/>
        <v/>
      </c>
      <c r="V188" s="73" t="str">
        <f t="shared" si="55"/>
        <v/>
      </c>
      <c r="W188" s="73" t="str">
        <f t="shared" si="55"/>
        <v/>
      </c>
      <c r="X188" s="73" t="str">
        <f t="shared" si="55"/>
        <v/>
      </c>
      <c r="Y188" s="73" t="str">
        <f t="shared" si="55"/>
        <v/>
      </c>
      <c r="Z188" s="73" t="str">
        <f t="shared" si="55"/>
        <v/>
      </c>
      <c r="AA188" s="73" t="str">
        <f t="shared" si="55"/>
        <v/>
      </c>
      <c r="AB188" s="74" t="str">
        <f t="shared" si="55"/>
        <v/>
      </c>
      <c r="AC188" s="35" t="str">
        <f t="shared" si="38"/>
        <v/>
      </c>
      <c r="AD188" s="40" t="str">
        <f t="shared" si="39"/>
        <v/>
      </c>
      <c r="AE188" s="37" t="str">
        <f t="shared" si="40"/>
        <v/>
      </c>
      <c r="AF188" s="40" t="str">
        <f t="shared" si="41"/>
        <v/>
      </c>
      <c r="AG188" s="37" t="str">
        <f t="shared" si="42"/>
        <v/>
      </c>
      <c r="AH188" s="40" t="str">
        <f t="shared" si="43"/>
        <v/>
      </c>
      <c r="AI188" s="37" t="str">
        <f t="shared" si="44"/>
        <v/>
      </c>
      <c r="AJ188" s="40" t="str">
        <f t="shared" si="45"/>
        <v/>
      </c>
      <c r="AK188" s="204" t="str">
        <f>IF(C188="","",IF(E188=FROTA!$AT$18,IF('DEFINA!!!'!$L$6="D-E-F-I-N-A !!!!!!!",0,IF('DEFINA!!!'!$L$6="Opto por Idade Média",SEM!AW188,IF('DEFINA!!!'!$L$6="Opto pelo Valor aplicado ao  Ano de cada Carro",SEM!AX188,0))),IF(E188=FROTA!$AT$17,IF('DEFINA!!!'!$L$6="D-E-F-I-N-A !!!!!!!",0,IF('DEFINA!!!'!$L$6="Opto por Idade Média",SEM!AW188,IF('DEFINA!!!'!$L$6="Opto pelo Valor aplicado ao  Ano de cada Carro",SEM!AX188,0))),IF(E188=FROTA!$AT$16,IF('DEFINA!!!'!$L$6="D-E-F-I-N-A !!!!!!!",0,IF('DEFINA!!!'!$L$6="Opto por Idade Média",SEM!AW188,IF('DEFINA!!!'!$L$6="Opto pelo Valor aplicado ao  Ano de cada Carro",SEM!AX188,0))),IF('DEFINA!!!'!$L$6="D-E-F-I-N-A !!!!!!!",0,IF('DEFINA!!!'!$L$6="Opto por Idade Média",SEM!AU188,IF('DEFINA!!!'!$L$6="Opto pelo Valor aplicado ao  Ano de cada Carro",SEM!AV188,0)))))))</f>
        <v/>
      </c>
      <c r="AL188" s="6"/>
      <c r="AM188" s="79" t="str">
        <f t="shared" si="46"/>
        <v/>
      </c>
      <c r="AN188" s="12"/>
      <c r="AO188" s="12"/>
      <c r="AP188" s="14"/>
      <c r="AQ188" s="16"/>
      <c r="AR188" s="15"/>
      <c r="AU188" s="198" t="str">
        <f>IF(C188="","",VLOOKUP(FROTA!$AB$2,RECEBÍVEIS!$AA$11:$AB$43,2,0))</f>
        <v/>
      </c>
      <c r="AV188" s="198" t="str">
        <f>IF(C188="","",IF(C188=FROTA!Z188="","",VLOOKUP(FROTA!Z188,RECEBÍVEIS!$AA$11:$AB$43,2,0)))</f>
        <v/>
      </c>
      <c r="AW188" s="198" t="str">
        <f>IF(C188="","",VLOOKUP(FROTA!$AB$2,RECEBÍVEIS!$AA$11:$AC$43,3,0))</f>
        <v/>
      </c>
      <c r="AX188" s="198" t="str">
        <f>IF(C188="","",IF(C188=FROTA!Z188="","",VLOOKUP(FROTA!Z188,RECEBÍVEIS!$AA$11:$AC$43,3,0)))</f>
        <v/>
      </c>
    </row>
    <row r="189" spans="2:50" ht="17.25" customHeight="1" x14ac:dyDescent="0.2">
      <c r="B189" s="6"/>
      <c r="C189" s="49" t="str">
        <f>IF(FROTA!B189="","",FROTA!B189)</f>
        <v/>
      </c>
      <c r="D189" s="220" t="str">
        <f>IF(C189="","",VLOOKUP(SEM!C189,FROTA!$B$5:$C$305,2,0))</f>
        <v/>
      </c>
      <c r="E189" s="24" t="str">
        <f>IF(C189="","",VLOOKUP(C189,FROTA!$B$5:$H$305,7,0))</f>
        <v/>
      </c>
      <c r="F189" s="38" t="str">
        <f t="shared" si="36"/>
        <v/>
      </c>
      <c r="G189" s="71" t="str">
        <f t="shared" si="47"/>
        <v/>
      </c>
      <c r="H189" s="32" t="str">
        <f t="shared" si="53"/>
        <v/>
      </c>
      <c r="I189" s="73" t="str">
        <f t="shared" si="53"/>
        <v/>
      </c>
      <c r="J189" s="73" t="str">
        <f t="shared" si="53"/>
        <v/>
      </c>
      <c r="K189" s="73" t="str">
        <f t="shared" si="54"/>
        <v/>
      </c>
      <c r="L189" s="73" t="str">
        <f t="shared" si="54"/>
        <v/>
      </c>
      <c r="M189" s="73" t="str">
        <f t="shared" si="54"/>
        <v/>
      </c>
      <c r="N189" s="73" t="str">
        <f t="shared" si="54"/>
        <v/>
      </c>
      <c r="O189" s="73" t="str">
        <f t="shared" si="54"/>
        <v/>
      </c>
      <c r="P189" s="73" t="str">
        <f t="shared" si="54"/>
        <v/>
      </c>
      <c r="Q189" s="73" t="str">
        <f t="shared" si="54"/>
        <v/>
      </c>
      <c r="R189" s="73" t="str">
        <f t="shared" si="55"/>
        <v/>
      </c>
      <c r="S189" s="73" t="str">
        <f t="shared" si="55"/>
        <v/>
      </c>
      <c r="T189" s="73" t="str">
        <f t="shared" si="55"/>
        <v/>
      </c>
      <c r="U189" s="73" t="str">
        <f t="shared" si="55"/>
        <v/>
      </c>
      <c r="V189" s="73" t="str">
        <f t="shared" si="55"/>
        <v/>
      </c>
      <c r="W189" s="73" t="str">
        <f t="shared" si="55"/>
        <v/>
      </c>
      <c r="X189" s="73" t="str">
        <f t="shared" si="55"/>
        <v/>
      </c>
      <c r="Y189" s="73" t="str">
        <f t="shared" si="55"/>
        <v/>
      </c>
      <c r="Z189" s="73" t="str">
        <f t="shared" si="55"/>
        <v/>
      </c>
      <c r="AA189" s="73" t="str">
        <f t="shared" si="55"/>
        <v/>
      </c>
      <c r="AB189" s="74" t="str">
        <f t="shared" si="55"/>
        <v/>
      </c>
      <c r="AC189" s="35" t="str">
        <f t="shared" si="38"/>
        <v/>
      </c>
      <c r="AD189" s="40" t="str">
        <f t="shared" si="39"/>
        <v/>
      </c>
      <c r="AE189" s="37" t="str">
        <f t="shared" si="40"/>
        <v/>
      </c>
      <c r="AF189" s="40" t="str">
        <f t="shared" si="41"/>
        <v/>
      </c>
      <c r="AG189" s="37" t="str">
        <f t="shared" si="42"/>
        <v/>
      </c>
      <c r="AH189" s="40" t="str">
        <f t="shared" si="43"/>
        <v/>
      </c>
      <c r="AI189" s="37" t="str">
        <f t="shared" si="44"/>
        <v/>
      </c>
      <c r="AJ189" s="40" t="str">
        <f t="shared" si="45"/>
        <v/>
      </c>
      <c r="AK189" s="204" t="str">
        <f>IF(C189="","",IF(E189=FROTA!$AT$18,IF('DEFINA!!!'!$L$6="D-E-F-I-N-A !!!!!!!",0,IF('DEFINA!!!'!$L$6="Opto por Idade Média",SEM!AW189,IF('DEFINA!!!'!$L$6="Opto pelo Valor aplicado ao  Ano de cada Carro",SEM!AX189,0))),IF(E189=FROTA!$AT$17,IF('DEFINA!!!'!$L$6="D-E-F-I-N-A !!!!!!!",0,IF('DEFINA!!!'!$L$6="Opto por Idade Média",SEM!AW189,IF('DEFINA!!!'!$L$6="Opto pelo Valor aplicado ao  Ano de cada Carro",SEM!AX189,0))),IF(E189=FROTA!$AT$16,IF('DEFINA!!!'!$L$6="D-E-F-I-N-A !!!!!!!",0,IF('DEFINA!!!'!$L$6="Opto por Idade Média",SEM!AW189,IF('DEFINA!!!'!$L$6="Opto pelo Valor aplicado ao  Ano de cada Carro",SEM!AX189,0))),IF('DEFINA!!!'!$L$6="D-E-F-I-N-A !!!!!!!",0,IF('DEFINA!!!'!$L$6="Opto por Idade Média",SEM!AU189,IF('DEFINA!!!'!$L$6="Opto pelo Valor aplicado ao  Ano de cada Carro",SEM!AV189,0)))))))</f>
        <v/>
      </c>
      <c r="AL189" s="6"/>
      <c r="AM189" s="79" t="str">
        <f t="shared" si="46"/>
        <v/>
      </c>
      <c r="AN189" s="12"/>
      <c r="AO189" s="12"/>
      <c r="AP189" s="14"/>
      <c r="AQ189" s="16"/>
      <c r="AR189" s="15"/>
      <c r="AU189" s="198" t="str">
        <f>IF(C189="","",VLOOKUP(FROTA!$AB$2,RECEBÍVEIS!$AA$11:$AB$43,2,0))</f>
        <v/>
      </c>
      <c r="AV189" s="198" t="str">
        <f>IF(C189="","",IF(C189=FROTA!Z189="","",VLOOKUP(FROTA!Z189,RECEBÍVEIS!$AA$11:$AB$43,2,0)))</f>
        <v/>
      </c>
      <c r="AW189" s="198" t="str">
        <f>IF(C189="","",VLOOKUP(FROTA!$AB$2,RECEBÍVEIS!$AA$11:$AC$43,3,0))</f>
        <v/>
      </c>
      <c r="AX189" s="198" t="str">
        <f>IF(C189="","",IF(C189=FROTA!Z189="","",VLOOKUP(FROTA!Z189,RECEBÍVEIS!$AA$11:$AC$43,3,0)))</f>
        <v/>
      </c>
    </row>
    <row r="190" spans="2:50" ht="17.25" customHeight="1" x14ac:dyDescent="0.2">
      <c r="B190" s="6"/>
      <c r="C190" s="49" t="str">
        <f>IF(FROTA!B190="","",FROTA!B190)</f>
        <v/>
      </c>
      <c r="D190" s="220" t="str">
        <f>IF(C190="","",VLOOKUP(SEM!C190,FROTA!$B$5:$C$305,2,0))</f>
        <v/>
      </c>
      <c r="E190" s="24" t="str">
        <f>IF(C190="","",VLOOKUP(C190,FROTA!$B$5:$H$305,7,0))</f>
        <v/>
      </c>
      <c r="F190" s="38" t="str">
        <f t="shared" si="36"/>
        <v/>
      </c>
      <c r="G190" s="71" t="str">
        <f t="shared" si="47"/>
        <v/>
      </c>
      <c r="H190" s="32" t="str">
        <f t="shared" si="53"/>
        <v/>
      </c>
      <c r="I190" s="73" t="str">
        <f t="shared" si="53"/>
        <v/>
      </c>
      <c r="J190" s="73" t="str">
        <f t="shared" si="53"/>
        <v/>
      </c>
      <c r="K190" s="73" t="str">
        <f t="shared" si="54"/>
        <v/>
      </c>
      <c r="L190" s="73" t="str">
        <f t="shared" si="54"/>
        <v/>
      </c>
      <c r="M190" s="73" t="str">
        <f t="shared" si="54"/>
        <v/>
      </c>
      <c r="N190" s="73" t="str">
        <f t="shared" si="54"/>
        <v/>
      </c>
      <c r="O190" s="73" t="str">
        <f t="shared" si="54"/>
        <v/>
      </c>
      <c r="P190" s="73" t="str">
        <f t="shared" si="54"/>
        <v/>
      </c>
      <c r="Q190" s="73" t="str">
        <f t="shared" si="54"/>
        <v/>
      </c>
      <c r="R190" s="73" t="str">
        <f t="shared" si="55"/>
        <v/>
      </c>
      <c r="S190" s="73" t="str">
        <f t="shared" si="55"/>
        <v/>
      </c>
      <c r="T190" s="73" t="str">
        <f t="shared" si="55"/>
        <v/>
      </c>
      <c r="U190" s="73" t="str">
        <f t="shared" si="55"/>
        <v/>
      </c>
      <c r="V190" s="73" t="str">
        <f t="shared" si="55"/>
        <v/>
      </c>
      <c r="W190" s="73" t="str">
        <f t="shared" si="55"/>
        <v/>
      </c>
      <c r="X190" s="73" t="str">
        <f t="shared" si="55"/>
        <v/>
      </c>
      <c r="Y190" s="73" t="str">
        <f t="shared" si="55"/>
        <v/>
      </c>
      <c r="Z190" s="73" t="str">
        <f t="shared" si="55"/>
        <v/>
      </c>
      <c r="AA190" s="73" t="str">
        <f t="shared" si="55"/>
        <v/>
      </c>
      <c r="AB190" s="74" t="str">
        <f t="shared" si="55"/>
        <v/>
      </c>
      <c r="AC190" s="35" t="str">
        <f t="shared" si="38"/>
        <v/>
      </c>
      <c r="AD190" s="40" t="str">
        <f t="shared" si="39"/>
        <v/>
      </c>
      <c r="AE190" s="37" t="str">
        <f t="shared" si="40"/>
        <v/>
      </c>
      <c r="AF190" s="40" t="str">
        <f t="shared" si="41"/>
        <v/>
      </c>
      <c r="AG190" s="37" t="str">
        <f t="shared" si="42"/>
        <v/>
      </c>
      <c r="AH190" s="40" t="str">
        <f t="shared" si="43"/>
        <v/>
      </c>
      <c r="AI190" s="37" t="str">
        <f t="shared" si="44"/>
        <v/>
      </c>
      <c r="AJ190" s="40" t="str">
        <f t="shared" si="45"/>
        <v/>
      </c>
      <c r="AK190" s="204" t="str">
        <f>IF(C190="","",IF(E190=FROTA!$AT$18,IF('DEFINA!!!'!$L$6="D-E-F-I-N-A !!!!!!!",0,IF('DEFINA!!!'!$L$6="Opto por Idade Média",SEM!AW190,IF('DEFINA!!!'!$L$6="Opto pelo Valor aplicado ao  Ano de cada Carro",SEM!AX190,0))),IF(E190=FROTA!$AT$17,IF('DEFINA!!!'!$L$6="D-E-F-I-N-A !!!!!!!",0,IF('DEFINA!!!'!$L$6="Opto por Idade Média",SEM!AW190,IF('DEFINA!!!'!$L$6="Opto pelo Valor aplicado ao  Ano de cada Carro",SEM!AX190,0))),IF(E190=FROTA!$AT$16,IF('DEFINA!!!'!$L$6="D-E-F-I-N-A !!!!!!!",0,IF('DEFINA!!!'!$L$6="Opto por Idade Média",SEM!AW190,IF('DEFINA!!!'!$L$6="Opto pelo Valor aplicado ao  Ano de cada Carro",SEM!AX190,0))),IF('DEFINA!!!'!$L$6="D-E-F-I-N-A !!!!!!!",0,IF('DEFINA!!!'!$L$6="Opto por Idade Média",SEM!AU190,IF('DEFINA!!!'!$L$6="Opto pelo Valor aplicado ao  Ano de cada Carro",SEM!AV190,0)))))))</f>
        <v/>
      </c>
      <c r="AL190" s="6"/>
      <c r="AM190" s="79" t="str">
        <f t="shared" si="46"/>
        <v/>
      </c>
      <c r="AN190" s="12"/>
      <c r="AO190" s="12"/>
      <c r="AP190" s="14"/>
      <c r="AQ190" s="16"/>
      <c r="AR190" s="15"/>
      <c r="AU190" s="198" t="str">
        <f>IF(C190="","",VLOOKUP(FROTA!$AB$2,RECEBÍVEIS!$AA$11:$AB$43,2,0))</f>
        <v/>
      </c>
      <c r="AV190" s="198" t="str">
        <f>IF(C190="","",IF(C190=FROTA!Z190="","",VLOOKUP(FROTA!Z190,RECEBÍVEIS!$AA$11:$AB$43,2,0)))</f>
        <v/>
      </c>
      <c r="AW190" s="198" t="str">
        <f>IF(C190="","",VLOOKUP(FROTA!$AB$2,RECEBÍVEIS!$AA$11:$AC$43,3,0))</f>
        <v/>
      </c>
      <c r="AX190" s="198" t="str">
        <f>IF(C190="","",IF(C190=FROTA!Z190="","",VLOOKUP(FROTA!Z190,RECEBÍVEIS!$AA$11:$AC$43,3,0)))</f>
        <v/>
      </c>
    </row>
    <row r="191" spans="2:50" ht="17.25" customHeight="1" x14ac:dyDescent="0.2">
      <c r="B191" s="6"/>
      <c r="C191" s="49" t="str">
        <f>IF(FROTA!B191="","",FROTA!B191)</f>
        <v/>
      </c>
      <c r="D191" s="220" t="str">
        <f>IF(C191="","",VLOOKUP(SEM!C191,FROTA!$B$5:$C$305,2,0))</f>
        <v/>
      </c>
      <c r="E191" s="24" t="str">
        <f>IF(C191="","",VLOOKUP(C191,FROTA!$B$5:$H$305,7,0))</f>
        <v/>
      </c>
      <c r="F191" s="38" t="str">
        <f t="shared" si="36"/>
        <v/>
      </c>
      <c r="G191" s="71" t="str">
        <f t="shared" si="47"/>
        <v/>
      </c>
      <c r="H191" s="32" t="str">
        <f t="shared" si="53"/>
        <v/>
      </c>
      <c r="I191" s="73" t="str">
        <f t="shared" si="53"/>
        <v/>
      </c>
      <c r="J191" s="73" t="str">
        <f t="shared" si="53"/>
        <v/>
      </c>
      <c r="K191" s="73" t="str">
        <f t="shared" si="54"/>
        <v/>
      </c>
      <c r="L191" s="73" t="str">
        <f t="shared" si="54"/>
        <v/>
      </c>
      <c r="M191" s="73" t="str">
        <f t="shared" si="54"/>
        <v/>
      </c>
      <c r="N191" s="73" t="str">
        <f t="shared" si="54"/>
        <v/>
      </c>
      <c r="O191" s="73" t="str">
        <f t="shared" si="54"/>
        <v/>
      </c>
      <c r="P191" s="73" t="str">
        <f t="shared" si="54"/>
        <v/>
      </c>
      <c r="Q191" s="73" t="str">
        <f t="shared" si="54"/>
        <v/>
      </c>
      <c r="R191" s="73" t="str">
        <f t="shared" si="55"/>
        <v/>
      </c>
      <c r="S191" s="73" t="str">
        <f t="shared" si="55"/>
        <v/>
      </c>
      <c r="T191" s="73" t="str">
        <f t="shared" si="55"/>
        <v/>
      </c>
      <c r="U191" s="73" t="str">
        <f t="shared" si="55"/>
        <v/>
      </c>
      <c r="V191" s="73" t="str">
        <f t="shared" si="55"/>
        <v/>
      </c>
      <c r="W191" s="73" t="str">
        <f t="shared" si="55"/>
        <v/>
      </c>
      <c r="X191" s="73" t="str">
        <f t="shared" si="55"/>
        <v/>
      </c>
      <c r="Y191" s="73" t="str">
        <f t="shared" si="55"/>
        <v/>
      </c>
      <c r="Z191" s="73" t="str">
        <f t="shared" si="55"/>
        <v/>
      </c>
      <c r="AA191" s="73" t="str">
        <f t="shared" si="55"/>
        <v/>
      </c>
      <c r="AB191" s="74" t="str">
        <f t="shared" si="55"/>
        <v/>
      </c>
      <c r="AC191" s="35" t="str">
        <f t="shared" si="38"/>
        <v/>
      </c>
      <c r="AD191" s="40" t="str">
        <f t="shared" si="39"/>
        <v/>
      </c>
      <c r="AE191" s="37" t="str">
        <f t="shared" si="40"/>
        <v/>
      </c>
      <c r="AF191" s="40" t="str">
        <f t="shared" si="41"/>
        <v/>
      </c>
      <c r="AG191" s="37" t="str">
        <f t="shared" si="42"/>
        <v/>
      </c>
      <c r="AH191" s="40" t="str">
        <f t="shared" si="43"/>
        <v/>
      </c>
      <c r="AI191" s="37" t="str">
        <f t="shared" si="44"/>
        <v/>
      </c>
      <c r="AJ191" s="40" t="str">
        <f t="shared" si="45"/>
        <v/>
      </c>
      <c r="AK191" s="204" t="str">
        <f>IF(C191="","",IF(E191=FROTA!$AT$18,IF('DEFINA!!!'!$L$6="D-E-F-I-N-A !!!!!!!",0,IF('DEFINA!!!'!$L$6="Opto por Idade Média",SEM!AW191,IF('DEFINA!!!'!$L$6="Opto pelo Valor aplicado ao  Ano de cada Carro",SEM!AX191,0))),IF(E191=FROTA!$AT$17,IF('DEFINA!!!'!$L$6="D-E-F-I-N-A !!!!!!!",0,IF('DEFINA!!!'!$L$6="Opto por Idade Média",SEM!AW191,IF('DEFINA!!!'!$L$6="Opto pelo Valor aplicado ao  Ano de cada Carro",SEM!AX191,0))),IF(E191=FROTA!$AT$16,IF('DEFINA!!!'!$L$6="D-E-F-I-N-A !!!!!!!",0,IF('DEFINA!!!'!$L$6="Opto por Idade Média",SEM!AW191,IF('DEFINA!!!'!$L$6="Opto pelo Valor aplicado ao  Ano de cada Carro",SEM!AX191,0))),IF('DEFINA!!!'!$L$6="D-E-F-I-N-A !!!!!!!",0,IF('DEFINA!!!'!$L$6="Opto por Idade Média",SEM!AU191,IF('DEFINA!!!'!$L$6="Opto pelo Valor aplicado ao  Ano de cada Carro",SEM!AV191,0)))))))</f>
        <v/>
      </c>
      <c r="AL191" s="6"/>
      <c r="AM191" s="79" t="str">
        <f t="shared" si="46"/>
        <v/>
      </c>
      <c r="AN191" s="12"/>
      <c r="AO191" s="12"/>
      <c r="AP191" s="14"/>
      <c r="AQ191" s="16"/>
      <c r="AR191" s="15"/>
      <c r="AU191" s="198" t="str">
        <f>IF(C191="","",VLOOKUP(FROTA!$AB$2,RECEBÍVEIS!$AA$11:$AB$43,2,0))</f>
        <v/>
      </c>
      <c r="AV191" s="198" t="str">
        <f>IF(C191="","",IF(C191=FROTA!Z191="","",VLOOKUP(FROTA!Z191,RECEBÍVEIS!$AA$11:$AB$43,2,0)))</f>
        <v/>
      </c>
      <c r="AW191" s="198" t="str">
        <f>IF(C191="","",VLOOKUP(FROTA!$AB$2,RECEBÍVEIS!$AA$11:$AC$43,3,0))</f>
        <v/>
      </c>
      <c r="AX191" s="198" t="str">
        <f>IF(C191="","",IF(C191=FROTA!Z191="","",VLOOKUP(FROTA!Z191,RECEBÍVEIS!$AA$11:$AC$43,3,0)))</f>
        <v/>
      </c>
    </row>
    <row r="192" spans="2:50" ht="17.25" customHeight="1" x14ac:dyDescent="0.2">
      <c r="B192" s="6"/>
      <c r="C192" s="49" t="str">
        <f>IF(FROTA!B192="","",FROTA!B192)</f>
        <v/>
      </c>
      <c r="D192" s="220" t="str">
        <f>IF(C192="","",VLOOKUP(SEM!C192,FROTA!$B$5:$C$305,2,0))</f>
        <v/>
      </c>
      <c r="E192" s="24" t="str">
        <f>IF(C192="","",VLOOKUP(C192,FROTA!$B$5:$H$305,7,0))</f>
        <v/>
      </c>
      <c r="F192" s="38" t="str">
        <f t="shared" si="36"/>
        <v/>
      </c>
      <c r="G192" s="71" t="str">
        <f t="shared" si="47"/>
        <v/>
      </c>
      <c r="H192" s="32" t="str">
        <f t="shared" si="53"/>
        <v/>
      </c>
      <c r="I192" s="73" t="str">
        <f t="shared" si="53"/>
        <v/>
      </c>
      <c r="J192" s="73" t="str">
        <f t="shared" si="53"/>
        <v/>
      </c>
      <c r="K192" s="73" t="str">
        <f t="shared" si="54"/>
        <v/>
      </c>
      <c r="L192" s="73" t="str">
        <f t="shared" si="54"/>
        <v/>
      </c>
      <c r="M192" s="73" t="str">
        <f t="shared" si="54"/>
        <v/>
      </c>
      <c r="N192" s="73" t="str">
        <f t="shared" si="54"/>
        <v/>
      </c>
      <c r="O192" s="73" t="str">
        <f t="shared" si="54"/>
        <v/>
      </c>
      <c r="P192" s="73" t="str">
        <f t="shared" si="54"/>
        <v/>
      </c>
      <c r="Q192" s="73" t="str">
        <f t="shared" si="54"/>
        <v/>
      </c>
      <c r="R192" s="73" t="str">
        <f t="shared" si="55"/>
        <v/>
      </c>
      <c r="S192" s="73" t="str">
        <f t="shared" si="55"/>
        <v/>
      </c>
      <c r="T192" s="73" t="str">
        <f t="shared" si="55"/>
        <v/>
      </c>
      <c r="U192" s="73" t="str">
        <f t="shared" si="55"/>
        <v/>
      </c>
      <c r="V192" s="73" t="str">
        <f t="shared" si="55"/>
        <v/>
      </c>
      <c r="W192" s="73" t="str">
        <f t="shared" si="55"/>
        <v/>
      </c>
      <c r="X192" s="73" t="str">
        <f t="shared" si="55"/>
        <v/>
      </c>
      <c r="Y192" s="73" t="str">
        <f t="shared" si="55"/>
        <v/>
      </c>
      <c r="Z192" s="73" t="str">
        <f t="shared" si="55"/>
        <v/>
      </c>
      <c r="AA192" s="73" t="str">
        <f t="shared" si="55"/>
        <v/>
      </c>
      <c r="AB192" s="74" t="str">
        <f t="shared" si="55"/>
        <v/>
      </c>
      <c r="AC192" s="35" t="str">
        <f t="shared" si="38"/>
        <v/>
      </c>
      <c r="AD192" s="40" t="str">
        <f t="shared" si="39"/>
        <v/>
      </c>
      <c r="AE192" s="37" t="str">
        <f t="shared" si="40"/>
        <v/>
      </c>
      <c r="AF192" s="40" t="str">
        <f t="shared" si="41"/>
        <v/>
      </c>
      <c r="AG192" s="37" t="str">
        <f t="shared" si="42"/>
        <v/>
      </c>
      <c r="AH192" s="40" t="str">
        <f t="shared" si="43"/>
        <v/>
      </c>
      <c r="AI192" s="37" t="str">
        <f t="shared" si="44"/>
        <v/>
      </c>
      <c r="AJ192" s="40" t="str">
        <f t="shared" si="45"/>
        <v/>
      </c>
      <c r="AK192" s="204" t="str">
        <f>IF(C192="","",IF(E192=FROTA!$AT$18,IF('DEFINA!!!'!$L$6="D-E-F-I-N-A !!!!!!!",0,IF('DEFINA!!!'!$L$6="Opto por Idade Média",SEM!AW192,IF('DEFINA!!!'!$L$6="Opto pelo Valor aplicado ao  Ano de cada Carro",SEM!AX192,0))),IF(E192=FROTA!$AT$17,IF('DEFINA!!!'!$L$6="D-E-F-I-N-A !!!!!!!",0,IF('DEFINA!!!'!$L$6="Opto por Idade Média",SEM!AW192,IF('DEFINA!!!'!$L$6="Opto pelo Valor aplicado ao  Ano de cada Carro",SEM!AX192,0))),IF(E192=FROTA!$AT$16,IF('DEFINA!!!'!$L$6="D-E-F-I-N-A !!!!!!!",0,IF('DEFINA!!!'!$L$6="Opto por Idade Média",SEM!AW192,IF('DEFINA!!!'!$L$6="Opto pelo Valor aplicado ao  Ano de cada Carro",SEM!AX192,0))),IF('DEFINA!!!'!$L$6="D-E-F-I-N-A !!!!!!!",0,IF('DEFINA!!!'!$L$6="Opto por Idade Média",SEM!AU192,IF('DEFINA!!!'!$L$6="Opto pelo Valor aplicado ao  Ano de cada Carro",SEM!AV192,0)))))))</f>
        <v/>
      </c>
      <c r="AL192" s="6"/>
      <c r="AM192" s="79" t="str">
        <f t="shared" si="46"/>
        <v/>
      </c>
      <c r="AN192" s="12"/>
      <c r="AO192" s="12"/>
      <c r="AP192" s="14"/>
      <c r="AQ192" s="16"/>
      <c r="AR192" s="15"/>
      <c r="AU192" s="198" t="str">
        <f>IF(C192="","",VLOOKUP(FROTA!$AB$2,RECEBÍVEIS!$AA$11:$AB$43,2,0))</f>
        <v/>
      </c>
      <c r="AV192" s="198" t="str">
        <f>IF(C192="","",IF(C192=FROTA!Z192="","",VLOOKUP(FROTA!Z192,RECEBÍVEIS!$AA$11:$AB$43,2,0)))</f>
        <v/>
      </c>
      <c r="AW192" s="198" t="str">
        <f>IF(C192="","",VLOOKUP(FROTA!$AB$2,RECEBÍVEIS!$AA$11:$AC$43,3,0))</f>
        <v/>
      </c>
      <c r="AX192" s="198" t="str">
        <f>IF(C192="","",IF(C192=FROTA!Z192="","",VLOOKUP(FROTA!Z192,RECEBÍVEIS!$AA$11:$AC$43,3,0)))</f>
        <v/>
      </c>
    </row>
    <row r="193" spans="2:50" ht="17.25" customHeight="1" x14ac:dyDescent="0.2">
      <c r="B193" s="6"/>
      <c r="C193" s="49" t="str">
        <f>IF(FROTA!B193="","",FROTA!B193)</f>
        <v/>
      </c>
      <c r="D193" s="220" t="str">
        <f>IF(C193="","",VLOOKUP(SEM!C193,FROTA!$B$5:$C$305,2,0))</f>
        <v/>
      </c>
      <c r="E193" s="24" t="str">
        <f>IF(C193="","",VLOOKUP(C193,FROTA!$B$5:$H$305,7,0))</f>
        <v/>
      </c>
      <c r="F193" s="38" t="str">
        <f t="shared" si="36"/>
        <v/>
      </c>
      <c r="G193" s="71" t="str">
        <f t="shared" si="47"/>
        <v/>
      </c>
      <c r="H193" s="32" t="str">
        <f t="shared" si="53"/>
        <v/>
      </c>
      <c r="I193" s="73" t="str">
        <f t="shared" si="53"/>
        <v/>
      </c>
      <c r="J193" s="73" t="str">
        <f t="shared" si="53"/>
        <v/>
      </c>
      <c r="K193" s="73" t="str">
        <f t="shared" si="54"/>
        <v/>
      </c>
      <c r="L193" s="73" t="str">
        <f t="shared" si="54"/>
        <v/>
      </c>
      <c r="M193" s="73" t="str">
        <f t="shared" si="54"/>
        <v/>
      </c>
      <c r="N193" s="73" t="str">
        <f t="shared" si="54"/>
        <v/>
      </c>
      <c r="O193" s="73" t="str">
        <f t="shared" si="54"/>
        <v/>
      </c>
      <c r="P193" s="73" t="str">
        <f t="shared" si="54"/>
        <v/>
      </c>
      <c r="Q193" s="73" t="str">
        <f t="shared" si="54"/>
        <v/>
      </c>
      <c r="R193" s="73" t="str">
        <f t="shared" si="55"/>
        <v/>
      </c>
      <c r="S193" s="73" t="str">
        <f t="shared" si="55"/>
        <v/>
      </c>
      <c r="T193" s="73" t="str">
        <f t="shared" si="55"/>
        <v/>
      </c>
      <c r="U193" s="73" t="str">
        <f t="shared" si="55"/>
        <v/>
      </c>
      <c r="V193" s="73" t="str">
        <f t="shared" si="55"/>
        <v/>
      </c>
      <c r="W193" s="73" t="str">
        <f t="shared" si="55"/>
        <v/>
      </c>
      <c r="X193" s="73" t="str">
        <f t="shared" si="55"/>
        <v/>
      </c>
      <c r="Y193" s="73" t="str">
        <f t="shared" si="55"/>
        <v/>
      </c>
      <c r="Z193" s="73" t="str">
        <f t="shared" si="55"/>
        <v/>
      </c>
      <c r="AA193" s="73" t="str">
        <f t="shared" si="55"/>
        <v/>
      </c>
      <c r="AB193" s="74" t="str">
        <f t="shared" si="55"/>
        <v/>
      </c>
      <c r="AC193" s="35" t="str">
        <f t="shared" si="38"/>
        <v/>
      </c>
      <c r="AD193" s="40" t="str">
        <f t="shared" si="39"/>
        <v/>
      </c>
      <c r="AE193" s="37" t="str">
        <f t="shared" si="40"/>
        <v/>
      </c>
      <c r="AF193" s="40" t="str">
        <f t="shared" si="41"/>
        <v/>
      </c>
      <c r="AG193" s="37" t="str">
        <f t="shared" si="42"/>
        <v/>
      </c>
      <c r="AH193" s="40" t="str">
        <f t="shared" si="43"/>
        <v/>
      </c>
      <c r="AI193" s="37" t="str">
        <f t="shared" si="44"/>
        <v/>
      </c>
      <c r="AJ193" s="40" t="str">
        <f t="shared" si="45"/>
        <v/>
      </c>
      <c r="AK193" s="204" t="str">
        <f>IF(C193="","",IF(E193=FROTA!$AT$18,IF('DEFINA!!!'!$L$6="D-E-F-I-N-A !!!!!!!",0,IF('DEFINA!!!'!$L$6="Opto por Idade Média",SEM!AW193,IF('DEFINA!!!'!$L$6="Opto pelo Valor aplicado ao  Ano de cada Carro",SEM!AX193,0))),IF(E193=FROTA!$AT$17,IF('DEFINA!!!'!$L$6="D-E-F-I-N-A !!!!!!!",0,IF('DEFINA!!!'!$L$6="Opto por Idade Média",SEM!AW193,IF('DEFINA!!!'!$L$6="Opto pelo Valor aplicado ao  Ano de cada Carro",SEM!AX193,0))),IF(E193=FROTA!$AT$16,IF('DEFINA!!!'!$L$6="D-E-F-I-N-A !!!!!!!",0,IF('DEFINA!!!'!$L$6="Opto por Idade Média",SEM!AW193,IF('DEFINA!!!'!$L$6="Opto pelo Valor aplicado ao  Ano de cada Carro",SEM!AX193,0))),IF('DEFINA!!!'!$L$6="D-E-F-I-N-A !!!!!!!",0,IF('DEFINA!!!'!$L$6="Opto por Idade Média",SEM!AU193,IF('DEFINA!!!'!$L$6="Opto pelo Valor aplicado ao  Ano de cada Carro",SEM!AV193,0)))))))</f>
        <v/>
      </c>
      <c r="AL193" s="6"/>
      <c r="AM193" s="79" t="str">
        <f t="shared" si="46"/>
        <v/>
      </c>
      <c r="AN193" s="12"/>
      <c r="AO193" s="12"/>
      <c r="AP193" s="14"/>
      <c r="AQ193" s="16"/>
      <c r="AR193" s="15"/>
      <c r="AU193" s="198" t="str">
        <f>IF(C193="","",VLOOKUP(FROTA!$AB$2,RECEBÍVEIS!$AA$11:$AB$43,2,0))</f>
        <v/>
      </c>
      <c r="AV193" s="198" t="str">
        <f>IF(C193="","",IF(C193=FROTA!Z193="","",VLOOKUP(FROTA!Z193,RECEBÍVEIS!$AA$11:$AB$43,2,0)))</f>
        <v/>
      </c>
      <c r="AW193" s="198" t="str">
        <f>IF(C193="","",VLOOKUP(FROTA!$AB$2,RECEBÍVEIS!$AA$11:$AC$43,3,0))</f>
        <v/>
      </c>
      <c r="AX193" s="198" t="str">
        <f>IF(C193="","",IF(C193=FROTA!Z193="","",VLOOKUP(FROTA!Z193,RECEBÍVEIS!$AA$11:$AC$43,3,0)))</f>
        <v/>
      </c>
    </row>
    <row r="194" spans="2:50" ht="17.25" customHeight="1" x14ac:dyDescent="0.2">
      <c r="B194" s="6"/>
      <c r="C194" s="49" t="str">
        <f>IF(FROTA!B194="","",FROTA!B194)</f>
        <v/>
      </c>
      <c r="D194" s="220" t="str">
        <f>IF(C194="","",VLOOKUP(SEM!C194,FROTA!$B$5:$C$305,2,0))</f>
        <v/>
      </c>
      <c r="E194" s="24" t="str">
        <f>IF(C194="","",VLOOKUP(C194,FROTA!$B$5:$H$305,7,0))</f>
        <v/>
      </c>
      <c r="F194" s="38" t="str">
        <f t="shared" si="36"/>
        <v/>
      </c>
      <c r="G194" s="71" t="str">
        <f t="shared" si="47"/>
        <v/>
      </c>
      <c r="H194" s="32" t="str">
        <f t="shared" si="53"/>
        <v/>
      </c>
      <c r="I194" s="73" t="str">
        <f t="shared" si="53"/>
        <v/>
      </c>
      <c r="J194" s="73" t="str">
        <f t="shared" si="53"/>
        <v/>
      </c>
      <c r="K194" s="73" t="str">
        <f t="shared" si="54"/>
        <v/>
      </c>
      <c r="L194" s="73" t="str">
        <f t="shared" si="54"/>
        <v/>
      </c>
      <c r="M194" s="73" t="str">
        <f t="shared" si="54"/>
        <v/>
      </c>
      <c r="N194" s="73" t="str">
        <f t="shared" si="54"/>
        <v/>
      </c>
      <c r="O194" s="73" t="str">
        <f t="shared" si="54"/>
        <v/>
      </c>
      <c r="P194" s="73" t="str">
        <f t="shared" si="54"/>
        <v/>
      </c>
      <c r="Q194" s="73" t="str">
        <f t="shared" si="54"/>
        <v/>
      </c>
      <c r="R194" s="73" t="str">
        <f t="shared" si="55"/>
        <v/>
      </c>
      <c r="S194" s="73" t="str">
        <f t="shared" si="55"/>
        <v/>
      </c>
      <c r="T194" s="73" t="str">
        <f t="shared" si="55"/>
        <v/>
      </c>
      <c r="U194" s="73" t="str">
        <f t="shared" si="55"/>
        <v/>
      </c>
      <c r="V194" s="73" t="str">
        <f t="shared" si="55"/>
        <v/>
      </c>
      <c r="W194" s="73" t="str">
        <f t="shared" si="55"/>
        <v/>
      </c>
      <c r="X194" s="73" t="str">
        <f t="shared" si="55"/>
        <v/>
      </c>
      <c r="Y194" s="73" t="str">
        <f t="shared" si="55"/>
        <v/>
      </c>
      <c r="Z194" s="73" t="str">
        <f t="shared" si="55"/>
        <v/>
      </c>
      <c r="AA194" s="73" t="str">
        <f t="shared" si="55"/>
        <v/>
      </c>
      <c r="AB194" s="74" t="str">
        <f t="shared" si="55"/>
        <v/>
      </c>
      <c r="AC194" s="35" t="str">
        <f t="shared" si="38"/>
        <v/>
      </c>
      <c r="AD194" s="40" t="str">
        <f t="shared" si="39"/>
        <v/>
      </c>
      <c r="AE194" s="37" t="str">
        <f t="shared" si="40"/>
        <v/>
      </c>
      <c r="AF194" s="40" t="str">
        <f t="shared" si="41"/>
        <v/>
      </c>
      <c r="AG194" s="37" t="str">
        <f t="shared" si="42"/>
        <v/>
      </c>
      <c r="AH194" s="40" t="str">
        <f t="shared" si="43"/>
        <v/>
      </c>
      <c r="AI194" s="37" t="str">
        <f t="shared" si="44"/>
        <v/>
      </c>
      <c r="AJ194" s="40" t="str">
        <f t="shared" si="45"/>
        <v/>
      </c>
      <c r="AK194" s="204" t="str">
        <f>IF(C194="","",IF(E194=FROTA!$AT$18,IF('DEFINA!!!'!$L$6="D-E-F-I-N-A !!!!!!!",0,IF('DEFINA!!!'!$L$6="Opto por Idade Média",SEM!AW194,IF('DEFINA!!!'!$L$6="Opto pelo Valor aplicado ao  Ano de cada Carro",SEM!AX194,0))),IF(E194=FROTA!$AT$17,IF('DEFINA!!!'!$L$6="D-E-F-I-N-A !!!!!!!",0,IF('DEFINA!!!'!$L$6="Opto por Idade Média",SEM!AW194,IF('DEFINA!!!'!$L$6="Opto pelo Valor aplicado ao  Ano de cada Carro",SEM!AX194,0))),IF(E194=FROTA!$AT$16,IF('DEFINA!!!'!$L$6="D-E-F-I-N-A !!!!!!!",0,IF('DEFINA!!!'!$L$6="Opto por Idade Média",SEM!AW194,IF('DEFINA!!!'!$L$6="Opto pelo Valor aplicado ao  Ano de cada Carro",SEM!AX194,0))),IF('DEFINA!!!'!$L$6="D-E-F-I-N-A !!!!!!!",0,IF('DEFINA!!!'!$L$6="Opto por Idade Média",SEM!AU194,IF('DEFINA!!!'!$L$6="Opto pelo Valor aplicado ao  Ano de cada Carro",SEM!AV194,0)))))))</f>
        <v/>
      </c>
      <c r="AL194" s="6"/>
      <c r="AM194" s="79" t="str">
        <f t="shared" si="46"/>
        <v/>
      </c>
      <c r="AN194" s="12"/>
      <c r="AO194" s="12"/>
      <c r="AP194" s="14"/>
      <c r="AQ194" s="16"/>
      <c r="AR194" s="15"/>
      <c r="AU194" s="198" t="str">
        <f>IF(C194="","",VLOOKUP(FROTA!$AB$2,RECEBÍVEIS!$AA$11:$AB$43,2,0))</f>
        <v/>
      </c>
      <c r="AV194" s="198" t="str">
        <f>IF(C194="","",IF(C194=FROTA!Z194="","",VLOOKUP(FROTA!Z194,RECEBÍVEIS!$AA$11:$AB$43,2,0)))</f>
        <v/>
      </c>
      <c r="AW194" s="198" t="str">
        <f>IF(C194="","",VLOOKUP(FROTA!$AB$2,RECEBÍVEIS!$AA$11:$AC$43,3,0))</f>
        <v/>
      </c>
      <c r="AX194" s="198" t="str">
        <f>IF(C194="","",IF(C194=FROTA!Z194="","",VLOOKUP(FROTA!Z194,RECEBÍVEIS!$AA$11:$AC$43,3,0)))</f>
        <v/>
      </c>
    </row>
    <row r="195" spans="2:50" ht="17.25" customHeight="1" x14ac:dyDescent="0.2">
      <c r="B195" s="6"/>
      <c r="C195" s="49" t="str">
        <f>IF(FROTA!B195="","",FROTA!B195)</f>
        <v/>
      </c>
      <c r="D195" s="220" t="str">
        <f>IF(C195="","",VLOOKUP(SEM!C195,FROTA!$B$5:$C$305,2,0))</f>
        <v/>
      </c>
      <c r="E195" s="24" t="str">
        <f>IF(C195="","",VLOOKUP(C195,FROTA!$B$5:$H$305,7,0))</f>
        <v/>
      </c>
      <c r="F195" s="38" t="str">
        <f t="shared" si="36"/>
        <v/>
      </c>
      <c r="G195" s="71" t="str">
        <f t="shared" si="47"/>
        <v/>
      </c>
      <c r="H195" s="32" t="str">
        <f t="shared" si="53"/>
        <v/>
      </c>
      <c r="I195" s="73" t="str">
        <f t="shared" si="53"/>
        <v/>
      </c>
      <c r="J195" s="73" t="str">
        <f t="shared" si="53"/>
        <v/>
      </c>
      <c r="K195" s="73" t="str">
        <f t="shared" si="54"/>
        <v/>
      </c>
      <c r="L195" s="73" t="str">
        <f t="shared" si="54"/>
        <v/>
      </c>
      <c r="M195" s="73" t="str">
        <f t="shared" si="54"/>
        <v/>
      </c>
      <c r="N195" s="73" t="str">
        <f t="shared" si="54"/>
        <v/>
      </c>
      <c r="O195" s="73" t="str">
        <f t="shared" si="54"/>
        <v/>
      </c>
      <c r="P195" s="73" t="str">
        <f t="shared" si="54"/>
        <v/>
      </c>
      <c r="Q195" s="73" t="str">
        <f t="shared" si="54"/>
        <v/>
      </c>
      <c r="R195" s="73" t="str">
        <f t="shared" si="55"/>
        <v/>
      </c>
      <c r="S195" s="73" t="str">
        <f t="shared" si="55"/>
        <v/>
      </c>
      <c r="T195" s="73" t="str">
        <f t="shared" si="55"/>
        <v/>
      </c>
      <c r="U195" s="73" t="str">
        <f t="shared" si="55"/>
        <v/>
      </c>
      <c r="V195" s="73" t="str">
        <f t="shared" si="55"/>
        <v/>
      </c>
      <c r="W195" s="73" t="str">
        <f t="shared" si="55"/>
        <v/>
      </c>
      <c r="X195" s="73" t="str">
        <f t="shared" si="55"/>
        <v/>
      </c>
      <c r="Y195" s="73" t="str">
        <f t="shared" si="55"/>
        <v/>
      </c>
      <c r="Z195" s="73" t="str">
        <f t="shared" si="55"/>
        <v/>
      </c>
      <c r="AA195" s="73" t="str">
        <f t="shared" si="55"/>
        <v/>
      </c>
      <c r="AB195" s="74" t="str">
        <f t="shared" si="55"/>
        <v/>
      </c>
      <c r="AC195" s="35" t="str">
        <f t="shared" si="38"/>
        <v/>
      </c>
      <c r="AD195" s="40" t="str">
        <f t="shared" si="39"/>
        <v/>
      </c>
      <c r="AE195" s="37" t="str">
        <f t="shared" si="40"/>
        <v/>
      </c>
      <c r="AF195" s="40" t="str">
        <f t="shared" si="41"/>
        <v/>
      </c>
      <c r="AG195" s="37" t="str">
        <f t="shared" si="42"/>
        <v/>
      </c>
      <c r="AH195" s="40" t="str">
        <f t="shared" si="43"/>
        <v/>
      </c>
      <c r="AI195" s="37" t="str">
        <f t="shared" si="44"/>
        <v/>
      </c>
      <c r="AJ195" s="40" t="str">
        <f t="shared" si="45"/>
        <v/>
      </c>
      <c r="AK195" s="204" t="str">
        <f>IF(C195="","",IF(E195=FROTA!$AT$18,IF('DEFINA!!!'!$L$6="D-E-F-I-N-A !!!!!!!",0,IF('DEFINA!!!'!$L$6="Opto por Idade Média",SEM!AW195,IF('DEFINA!!!'!$L$6="Opto pelo Valor aplicado ao  Ano de cada Carro",SEM!AX195,0))),IF(E195=FROTA!$AT$17,IF('DEFINA!!!'!$L$6="D-E-F-I-N-A !!!!!!!",0,IF('DEFINA!!!'!$L$6="Opto por Idade Média",SEM!AW195,IF('DEFINA!!!'!$L$6="Opto pelo Valor aplicado ao  Ano de cada Carro",SEM!AX195,0))),IF(E195=FROTA!$AT$16,IF('DEFINA!!!'!$L$6="D-E-F-I-N-A !!!!!!!",0,IF('DEFINA!!!'!$L$6="Opto por Idade Média",SEM!AW195,IF('DEFINA!!!'!$L$6="Opto pelo Valor aplicado ao  Ano de cada Carro",SEM!AX195,0))),IF('DEFINA!!!'!$L$6="D-E-F-I-N-A !!!!!!!",0,IF('DEFINA!!!'!$L$6="Opto por Idade Média",SEM!AU195,IF('DEFINA!!!'!$L$6="Opto pelo Valor aplicado ao  Ano de cada Carro",SEM!AV195,0)))))))</f>
        <v/>
      </c>
      <c r="AL195" s="6"/>
      <c r="AM195" s="79" t="str">
        <f t="shared" si="46"/>
        <v/>
      </c>
      <c r="AN195" s="12"/>
      <c r="AO195" s="12"/>
      <c r="AP195" s="14"/>
      <c r="AQ195" s="15"/>
      <c r="AR195" s="15"/>
      <c r="AU195" s="198" t="str">
        <f>IF(C195="","",VLOOKUP(FROTA!$AB$2,RECEBÍVEIS!$AA$11:$AB$43,2,0))</f>
        <v/>
      </c>
      <c r="AV195" s="198" t="str">
        <f>IF(C195="","",IF(C195=FROTA!Z195="","",VLOOKUP(FROTA!Z195,RECEBÍVEIS!$AA$11:$AB$43,2,0)))</f>
        <v/>
      </c>
      <c r="AW195" s="198" t="str">
        <f>IF(C195="","",VLOOKUP(FROTA!$AB$2,RECEBÍVEIS!$AA$11:$AC$43,3,0))</f>
        <v/>
      </c>
      <c r="AX195" s="198" t="str">
        <f>IF(C195="","",IF(C195=FROTA!Z195="","",VLOOKUP(FROTA!Z195,RECEBÍVEIS!$AA$11:$AC$43,3,0)))</f>
        <v/>
      </c>
    </row>
    <row r="196" spans="2:50" ht="17.25" customHeight="1" x14ac:dyDescent="0.2">
      <c r="B196" s="6"/>
      <c r="C196" s="49" t="str">
        <f>IF(FROTA!B196="","",FROTA!B196)</f>
        <v/>
      </c>
      <c r="D196" s="220" t="str">
        <f>IF(C196="","",VLOOKUP(SEM!C196,FROTA!$B$5:$C$305,2,0))</f>
        <v/>
      </c>
      <c r="E196" s="24" t="str">
        <f>IF(C196="","",VLOOKUP(C196,FROTA!$B$5:$H$305,7,0))</f>
        <v/>
      </c>
      <c r="F196" s="38" t="str">
        <f t="shared" si="36"/>
        <v/>
      </c>
      <c r="G196" s="71" t="str">
        <f t="shared" si="47"/>
        <v/>
      </c>
      <c r="H196" s="32" t="str">
        <f t="shared" si="53"/>
        <v/>
      </c>
      <c r="I196" s="73" t="str">
        <f t="shared" si="53"/>
        <v/>
      </c>
      <c r="J196" s="73" t="str">
        <f t="shared" si="53"/>
        <v/>
      </c>
      <c r="K196" s="73" t="str">
        <f t="shared" si="54"/>
        <v/>
      </c>
      <c r="L196" s="73" t="str">
        <f t="shared" si="54"/>
        <v/>
      </c>
      <c r="M196" s="73" t="str">
        <f t="shared" si="54"/>
        <v/>
      </c>
      <c r="N196" s="73" t="str">
        <f t="shared" si="54"/>
        <v/>
      </c>
      <c r="O196" s="73" t="str">
        <f t="shared" si="54"/>
        <v/>
      </c>
      <c r="P196" s="73" t="str">
        <f t="shared" si="54"/>
        <v/>
      </c>
      <c r="Q196" s="73" t="str">
        <f t="shared" si="54"/>
        <v/>
      </c>
      <c r="R196" s="73" t="str">
        <f t="shared" si="55"/>
        <v/>
      </c>
      <c r="S196" s="73" t="str">
        <f t="shared" si="55"/>
        <v/>
      </c>
      <c r="T196" s="73" t="str">
        <f t="shared" si="55"/>
        <v/>
      </c>
      <c r="U196" s="73" t="str">
        <f t="shared" si="55"/>
        <v/>
      </c>
      <c r="V196" s="73" t="str">
        <f t="shared" si="55"/>
        <v/>
      </c>
      <c r="W196" s="73" t="str">
        <f t="shared" si="55"/>
        <v/>
      </c>
      <c r="X196" s="73" t="str">
        <f t="shared" si="55"/>
        <v/>
      </c>
      <c r="Y196" s="73" t="str">
        <f t="shared" si="55"/>
        <v/>
      </c>
      <c r="Z196" s="73" t="str">
        <f t="shared" si="55"/>
        <v/>
      </c>
      <c r="AA196" s="73" t="str">
        <f t="shared" si="55"/>
        <v/>
      </c>
      <c r="AB196" s="74" t="str">
        <f t="shared" si="55"/>
        <v/>
      </c>
      <c r="AC196" s="35" t="str">
        <f t="shared" si="38"/>
        <v/>
      </c>
      <c r="AD196" s="40" t="str">
        <f t="shared" si="39"/>
        <v/>
      </c>
      <c r="AE196" s="37" t="str">
        <f t="shared" si="40"/>
        <v/>
      </c>
      <c r="AF196" s="40" t="str">
        <f t="shared" si="41"/>
        <v/>
      </c>
      <c r="AG196" s="37" t="str">
        <f t="shared" si="42"/>
        <v/>
      </c>
      <c r="AH196" s="40" t="str">
        <f t="shared" si="43"/>
        <v/>
      </c>
      <c r="AI196" s="37" t="str">
        <f t="shared" si="44"/>
        <v/>
      </c>
      <c r="AJ196" s="40" t="str">
        <f t="shared" si="45"/>
        <v/>
      </c>
      <c r="AK196" s="204" t="str">
        <f>IF(C196="","",IF(E196=FROTA!$AT$18,IF('DEFINA!!!'!$L$6="D-E-F-I-N-A !!!!!!!",0,IF('DEFINA!!!'!$L$6="Opto por Idade Média",SEM!AW196,IF('DEFINA!!!'!$L$6="Opto pelo Valor aplicado ao  Ano de cada Carro",SEM!AX196,0))),IF(E196=FROTA!$AT$17,IF('DEFINA!!!'!$L$6="D-E-F-I-N-A !!!!!!!",0,IF('DEFINA!!!'!$L$6="Opto por Idade Média",SEM!AW196,IF('DEFINA!!!'!$L$6="Opto pelo Valor aplicado ao  Ano de cada Carro",SEM!AX196,0))),IF(E196=FROTA!$AT$16,IF('DEFINA!!!'!$L$6="D-E-F-I-N-A !!!!!!!",0,IF('DEFINA!!!'!$L$6="Opto por Idade Média",SEM!AW196,IF('DEFINA!!!'!$L$6="Opto pelo Valor aplicado ao  Ano de cada Carro",SEM!AX196,0))),IF('DEFINA!!!'!$L$6="D-E-F-I-N-A !!!!!!!",0,IF('DEFINA!!!'!$L$6="Opto por Idade Média",SEM!AU196,IF('DEFINA!!!'!$L$6="Opto pelo Valor aplicado ao  Ano de cada Carro",SEM!AV196,0)))))))</f>
        <v/>
      </c>
      <c r="AL196" s="6"/>
      <c r="AM196" s="79" t="str">
        <f t="shared" si="46"/>
        <v/>
      </c>
      <c r="AN196" s="12"/>
      <c r="AO196" s="12"/>
      <c r="AP196" s="14"/>
      <c r="AQ196" s="16"/>
      <c r="AR196" s="15"/>
      <c r="AU196" s="198" t="str">
        <f>IF(C196="","",VLOOKUP(FROTA!$AB$2,RECEBÍVEIS!$AA$11:$AB$43,2,0))</f>
        <v/>
      </c>
      <c r="AV196" s="198" t="str">
        <f>IF(C196="","",IF(C196=FROTA!Z196="","",VLOOKUP(FROTA!Z196,RECEBÍVEIS!$AA$11:$AB$43,2,0)))</f>
        <v/>
      </c>
      <c r="AW196" s="198" t="str">
        <f>IF(C196="","",VLOOKUP(FROTA!$AB$2,RECEBÍVEIS!$AA$11:$AC$43,3,0))</f>
        <v/>
      </c>
      <c r="AX196" s="198" t="str">
        <f>IF(C196="","",IF(C196=FROTA!Z196="","",VLOOKUP(FROTA!Z196,RECEBÍVEIS!$AA$11:$AC$43,3,0)))</f>
        <v/>
      </c>
    </row>
    <row r="197" spans="2:50" ht="17.25" customHeight="1" x14ac:dyDescent="0.2">
      <c r="B197" s="6"/>
      <c r="C197" s="49" t="str">
        <f>IF(FROTA!B197="","",FROTA!B197)</f>
        <v/>
      </c>
      <c r="D197" s="220" t="str">
        <f>IF(C197="","",VLOOKUP(SEM!C197,FROTA!$B$5:$C$305,2,0))</f>
        <v/>
      </c>
      <c r="E197" s="24" t="str">
        <f>IF(C197="","",VLOOKUP(C197,FROTA!$B$5:$H$305,7,0))</f>
        <v/>
      </c>
      <c r="F197" s="38" t="str">
        <f t="shared" si="36"/>
        <v/>
      </c>
      <c r="G197" s="71" t="str">
        <f t="shared" si="47"/>
        <v/>
      </c>
      <c r="H197" s="32" t="str">
        <f t="shared" si="53"/>
        <v/>
      </c>
      <c r="I197" s="73" t="str">
        <f t="shared" si="53"/>
        <v/>
      </c>
      <c r="J197" s="73" t="str">
        <f t="shared" si="53"/>
        <v/>
      </c>
      <c r="K197" s="73" t="str">
        <f t="shared" si="54"/>
        <v/>
      </c>
      <c r="L197" s="73" t="str">
        <f t="shared" si="54"/>
        <v/>
      </c>
      <c r="M197" s="73" t="str">
        <f t="shared" si="54"/>
        <v/>
      </c>
      <c r="N197" s="73" t="str">
        <f t="shared" si="54"/>
        <v/>
      </c>
      <c r="O197" s="73" t="str">
        <f t="shared" si="54"/>
        <v/>
      </c>
      <c r="P197" s="73" t="str">
        <f t="shared" si="54"/>
        <v/>
      </c>
      <c r="Q197" s="73" t="str">
        <f t="shared" si="54"/>
        <v/>
      </c>
      <c r="R197" s="73" t="str">
        <f t="shared" si="55"/>
        <v/>
      </c>
      <c r="S197" s="73" t="str">
        <f t="shared" si="55"/>
        <v/>
      </c>
      <c r="T197" s="73" t="str">
        <f t="shared" si="55"/>
        <v/>
      </c>
      <c r="U197" s="73" t="str">
        <f t="shared" si="55"/>
        <v/>
      </c>
      <c r="V197" s="73" t="str">
        <f t="shared" si="55"/>
        <v/>
      </c>
      <c r="W197" s="73" t="str">
        <f t="shared" si="55"/>
        <v/>
      </c>
      <c r="X197" s="73" t="str">
        <f t="shared" si="55"/>
        <v/>
      </c>
      <c r="Y197" s="73" t="str">
        <f t="shared" si="55"/>
        <v/>
      </c>
      <c r="Z197" s="73" t="str">
        <f t="shared" si="55"/>
        <v/>
      </c>
      <c r="AA197" s="73" t="str">
        <f t="shared" si="55"/>
        <v/>
      </c>
      <c r="AB197" s="74" t="str">
        <f t="shared" si="55"/>
        <v/>
      </c>
      <c r="AC197" s="35" t="str">
        <f t="shared" si="38"/>
        <v/>
      </c>
      <c r="AD197" s="40" t="str">
        <f t="shared" si="39"/>
        <v/>
      </c>
      <c r="AE197" s="37" t="str">
        <f t="shared" si="40"/>
        <v/>
      </c>
      <c r="AF197" s="40" t="str">
        <f t="shared" si="41"/>
        <v/>
      </c>
      <c r="AG197" s="37" t="str">
        <f t="shared" si="42"/>
        <v/>
      </c>
      <c r="AH197" s="40" t="str">
        <f t="shared" si="43"/>
        <v/>
      </c>
      <c r="AI197" s="37" t="str">
        <f t="shared" si="44"/>
        <v/>
      </c>
      <c r="AJ197" s="40" t="str">
        <f t="shared" si="45"/>
        <v/>
      </c>
      <c r="AK197" s="204" t="str">
        <f>IF(C197="","",IF(E197=FROTA!$AT$18,IF('DEFINA!!!'!$L$6="D-E-F-I-N-A !!!!!!!",0,IF('DEFINA!!!'!$L$6="Opto por Idade Média",SEM!AW197,IF('DEFINA!!!'!$L$6="Opto pelo Valor aplicado ao  Ano de cada Carro",SEM!AX197,0))),IF(E197=FROTA!$AT$17,IF('DEFINA!!!'!$L$6="D-E-F-I-N-A !!!!!!!",0,IF('DEFINA!!!'!$L$6="Opto por Idade Média",SEM!AW197,IF('DEFINA!!!'!$L$6="Opto pelo Valor aplicado ao  Ano de cada Carro",SEM!AX197,0))),IF(E197=FROTA!$AT$16,IF('DEFINA!!!'!$L$6="D-E-F-I-N-A !!!!!!!",0,IF('DEFINA!!!'!$L$6="Opto por Idade Média",SEM!AW197,IF('DEFINA!!!'!$L$6="Opto pelo Valor aplicado ao  Ano de cada Carro",SEM!AX197,0))),IF('DEFINA!!!'!$L$6="D-E-F-I-N-A !!!!!!!",0,IF('DEFINA!!!'!$L$6="Opto por Idade Média",SEM!AU197,IF('DEFINA!!!'!$L$6="Opto pelo Valor aplicado ao  Ano de cada Carro",SEM!AV197,0)))))))</f>
        <v/>
      </c>
      <c r="AL197" s="6"/>
      <c r="AM197" s="79" t="str">
        <f t="shared" si="46"/>
        <v/>
      </c>
      <c r="AN197" s="12"/>
      <c r="AO197" s="12"/>
      <c r="AP197" s="14"/>
      <c r="AQ197" s="15"/>
      <c r="AR197" s="15"/>
      <c r="AU197" s="198" t="str">
        <f>IF(C197="","",VLOOKUP(FROTA!$AB$2,RECEBÍVEIS!$AA$11:$AB$43,2,0))</f>
        <v/>
      </c>
      <c r="AV197" s="198" t="str">
        <f>IF(C197="","",IF(C197=FROTA!Z197="","",VLOOKUP(FROTA!Z197,RECEBÍVEIS!$AA$11:$AB$43,2,0)))</f>
        <v/>
      </c>
      <c r="AW197" s="198" t="str">
        <f>IF(C197="","",VLOOKUP(FROTA!$AB$2,RECEBÍVEIS!$AA$11:$AC$43,3,0))</f>
        <v/>
      </c>
      <c r="AX197" s="198" t="str">
        <f>IF(C197="","",IF(C197=FROTA!Z197="","",VLOOKUP(FROTA!Z197,RECEBÍVEIS!$AA$11:$AC$43,3,0)))</f>
        <v/>
      </c>
    </row>
    <row r="198" spans="2:50" ht="17.25" customHeight="1" x14ac:dyDescent="0.2">
      <c r="B198" s="6"/>
      <c r="C198" s="49" t="str">
        <f>IF(FROTA!B198="","",FROTA!B198)</f>
        <v/>
      </c>
      <c r="D198" s="220" t="str">
        <f>IF(C198="","",VLOOKUP(SEM!C198,FROTA!$B$5:$C$305,2,0))</f>
        <v/>
      </c>
      <c r="E198" s="24" t="str">
        <f>IF(C198="","",VLOOKUP(C198,FROTA!$B$5:$H$305,7,0))</f>
        <v/>
      </c>
      <c r="F198" s="38" t="str">
        <f t="shared" si="36"/>
        <v/>
      </c>
      <c r="G198" s="71" t="str">
        <f t="shared" si="47"/>
        <v/>
      </c>
      <c r="H198" s="32" t="str">
        <f t="shared" si="53"/>
        <v/>
      </c>
      <c r="I198" s="73" t="str">
        <f t="shared" si="53"/>
        <v/>
      </c>
      <c r="J198" s="73" t="str">
        <f t="shared" si="53"/>
        <v/>
      </c>
      <c r="K198" s="73" t="str">
        <f t="shared" si="54"/>
        <v/>
      </c>
      <c r="L198" s="73" t="str">
        <f t="shared" si="54"/>
        <v/>
      </c>
      <c r="M198" s="73" t="str">
        <f t="shared" si="54"/>
        <v/>
      </c>
      <c r="N198" s="73" t="str">
        <f t="shared" si="54"/>
        <v/>
      </c>
      <c r="O198" s="73" t="str">
        <f t="shared" si="54"/>
        <v/>
      </c>
      <c r="P198" s="73" t="str">
        <f t="shared" si="54"/>
        <v/>
      </c>
      <c r="Q198" s="73" t="str">
        <f t="shared" si="54"/>
        <v/>
      </c>
      <c r="R198" s="73" t="str">
        <f t="shared" si="55"/>
        <v/>
      </c>
      <c r="S198" s="73" t="str">
        <f t="shared" si="55"/>
        <v/>
      </c>
      <c r="T198" s="73" t="str">
        <f t="shared" si="55"/>
        <v/>
      </c>
      <c r="U198" s="73" t="str">
        <f t="shared" si="55"/>
        <v/>
      </c>
      <c r="V198" s="73" t="str">
        <f t="shared" si="55"/>
        <v/>
      </c>
      <c r="W198" s="73" t="str">
        <f t="shared" si="55"/>
        <v/>
      </c>
      <c r="X198" s="73" t="str">
        <f t="shared" si="55"/>
        <v/>
      </c>
      <c r="Y198" s="73" t="str">
        <f t="shared" si="55"/>
        <v/>
      </c>
      <c r="Z198" s="73" t="str">
        <f t="shared" si="55"/>
        <v/>
      </c>
      <c r="AA198" s="73" t="str">
        <f t="shared" si="55"/>
        <v/>
      </c>
      <c r="AB198" s="74" t="str">
        <f t="shared" si="55"/>
        <v/>
      </c>
      <c r="AC198" s="35" t="str">
        <f t="shared" si="38"/>
        <v/>
      </c>
      <c r="AD198" s="40" t="str">
        <f t="shared" si="39"/>
        <v/>
      </c>
      <c r="AE198" s="37" t="str">
        <f t="shared" si="40"/>
        <v/>
      </c>
      <c r="AF198" s="40" t="str">
        <f t="shared" si="41"/>
        <v/>
      </c>
      <c r="AG198" s="37" t="str">
        <f t="shared" si="42"/>
        <v/>
      </c>
      <c r="AH198" s="40" t="str">
        <f t="shared" si="43"/>
        <v/>
      </c>
      <c r="AI198" s="37" t="str">
        <f t="shared" si="44"/>
        <v/>
      </c>
      <c r="AJ198" s="40" t="str">
        <f t="shared" si="45"/>
        <v/>
      </c>
      <c r="AK198" s="204" t="str">
        <f>IF(C198="","",IF(E198=FROTA!$AT$18,IF('DEFINA!!!'!$L$6="D-E-F-I-N-A !!!!!!!",0,IF('DEFINA!!!'!$L$6="Opto por Idade Média",SEM!AW198,IF('DEFINA!!!'!$L$6="Opto pelo Valor aplicado ao  Ano de cada Carro",SEM!AX198,0))),IF(E198=FROTA!$AT$17,IF('DEFINA!!!'!$L$6="D-E-F-I-N-A !!!!!!!",0,IF('DEFINA!!!'!$L$6="Opto por Idade Média",SEM!AW198,IF('DEFINA!!!'!$L$6="Opto pelo Valor aplicado ao  Ano de cada Carro",SEM!AX198,0))),IF(E198=FROTA!$AT$16,IF('DEFINA!!!'!$L$6="D-E-F-I-N-A !!!!!!!",0,IF('DEFINA!!!'!$L$6="Opto por Idade Média",SEM!AW198,IF('DEFINA!!!'!$L$6="Opto pelo Valor aplicado ao  Ano de cada Carro",SEM!AX198,0))),IF('DEFINA!!!'!$L$6="D-E-F-I-N-A !!!!!!!",0,IF('DEFINA!!!'!$L$6="Opto por Idade Média",SEM!AU198,IF('DEFINA!!!'!$L$6="Opto pelo Valor aplicado ao  Ano de cada Carro",SEM!AV198,0)))))))</f>
        <v/>
      </c>
      <c r="AL198" s="6"/>
      <c r="AM198" s="79" t="str">
        <f t="shared" si="46"/>
        <v/>
      </c>
      <c r="AN198" s="12"/>
      <c r="AO198" s="12"/>
      <c r="AP198" s="14"/>
      <c r="AQ198" s="14"/>
      <c r="AR198" s="15"/>
      <c r="AU198" s="198" t="str">
        <f>IF(C198="","",VLOOKUP(FROTA!$AB$2,RECEBÍVEIS!$AA$11:$AB$43,2,0))</f>
        <v/>
      </c>
      <c r="AV198" s="198" t="str">
        <f>IF(C198="","",IF(C198=FROTA!Z198="","",VLOOKUP(FROTA!Z198,RECEBÍVEIS!$AA$11:$AB$43,2,0)))</f>
        <v/>
      </c>
      <c r="AW198" s="198" t="str">
        <f>IF(C198="","",VLOOKUP(FROTA!$AB$2,RECEBÍVEIS!$AA$11:$AC$43,3,0))</f>
        <v/>
      </c>
      <c r="AX198" s="198" t="str">
        <f>IF(C198="","",IF(C198=FROTA!Z198="","",VLOOKUP(FROTA!Z198,RECEBÍVEIS!$AA$11:$AC$43,3,0)))</f>
        <v/>
      </c>
    </row>
    <row r="199" spans="2:50" ht="17.25" customHeight="1" x14ac:dyDescent="0.2">
      <c r="B199" s="6"/>
      <c r="C199" s="49" t="str">
        <f>IF(FROTA!B199="","",FROTA!B199)</f>
        <v/>
      </c>
      <c r="D199" s="220" t="str">
        <f>IF(C199="","",VLOOKUP(SEM!C199,FROTA!$B$5:$C$305,2,0))</f>
        <v/>
      </c>
      <c r="E199" s="24" t="str">
        <f>IF(C199="","",VLOOKUP(C199,FROTA!$B$5:$H$305,7,0))</f>
        <v/>
      </c>
      <c r="F199" s="38" t="str">
        <f t="shared" ref="F199:F262" si="56">IF(E199="","",VLOOKUP(E199,$AP$5:$AQ$18,2,0))</f>
        <v/>
      </c>
      <c r="G199" s="71" t="str">
        <f t="shared" si="47"/>
        <v/>
      </c>
      <c r="H199" s="32" t="str">
        <f t="shared" si="53"/>
        <v/>
      </c>
      <c r="I199" s="73" t="str">
        <f t="shared" si="53"/>
        <v/>
      </c>
      <c r="J199" s="73" t="str">
        <f t="shared" si="53"/>
        <v/>
      </c>
      <c r="K199" s="73" t="str">
        <f t="shared" si="54"/>
        <v/>
      </c>
      <c r="L199" s="73" t="str">
        <f t="shared" si="54"/>
        <v/>
      </c>
      <c r="M199" s="73" t="str">
        <f t="shared" si="54"/>
        <v/>
      </c>
      <c r="N199" s="73" t="str">
        <f t="shared" si="54"/>
        <v/>
      </c>
      <c r="O199" s="73" t="str">
        <f t="shared" si="54"/>
        <v/>
      </c>
      <c r="P199" s="73" t="str">
        <f t="shared" si="54"/>
        <v/>
      </c>
      <c r="Q199" s="73" t="str">
        <f t="shared" si="54"/>
        <v/>
      </c>
      <c r="R199" s="73" t="str">
        <f t="shared" si="55"/>
        <v/>
      </c>
      <c r="S199" s="73" t="str">
        <f t="shared" si="55"/>
        <v/>
      </c>
      <c r="T199" s="73" t="str">
        <f t="shared" si="55"/>
        <v/>
      </c>
      <c r="U199" s="73" t="str">
        <f t="shared" si="55"/>
        <v/>
      </c>
      <c r="V199" s="73" t="str">
        <f t="shared" si="55"/>
        <v/>
      </c>
      <c r="W199" s="73" t="str">
        <f t="shared" si="55"/>
        <v/>
      </c>
      <c r="X199" s="73" t="str">
        <f t="shared" si="55"/>
        <v/>
      </c>
      <c r="Y199" s="73" t="str">
        <f t="shared" si="55"/>
        <v/>
      </c>
      <c r="Z199" s="73" t="str">
        <f t="shared" si="55"/>
        <v/>
      </c>
      <c r="AA199" s="73" t="str">
        <f t="shared" si="55"/>
        <v/>
      </c>
      <c r="AB199" s="74" t="str">
        <f t="shared" si="55"/>
        <v/>
      </c>
      <c r="AC199" s="35" t="str">
        <f t="shared" ref="AC199:AC262" si="57">IF(C199="","",SUM(H199:AB199)*AK199)</f>
        <v/>
      </c>
      <c r="AD199" s="40" t="str">
        <f t="shared" ref="AD199:AD262" si="58">IF(C199="","",SUM(H199:AB199))</f>
        <v/>
      </c>
      <c r="AE199" s="37" t="str">
        <f t="shared" ref="AE199:AE262" si="59">IF(C199="","",SUM(H199:R199)*AK199)</f>
        <v/>
      </c>
      <c r="AF199" s="40" t="str">
        <f t="shared" ref="AF199:AF262" si="60">IF(C199="","",SUM(H199:Q199))</f>
        <v/>
      </c>
      <c r="AG199" s="37" t="str">
        <f t="shared" ref="AG199:AG262" si="61">IF(C199="","",SUM(R199:AB199)*AK199)</f>
        <v/>
      </c>
      <c r="AH199" s="40" t="str">
        <f t="shared" ref="AH199:AH262" si="62">IF(C199="","",SUM(R199:AB199))</f>
        <v/>
      </c>
      <c r="AI199" s="37" t="str">
        <f t="shared" ref="AI199:AI262" si="63">IF(C199="","",SUM(J199:M199,T199:W199)*AK199)</f>
        <v/>
      </c>
      <c r="AJ199" s="40" t="str">
        <f t="shared" ref="AJ199:AJ262" si="64">IF(C199="","",SUM(J199:M199,T199:W199))</f>
        <v/>
      </c>
      <c r="AK199" s="204" t="str">
        <f>IF(C199="","",IF(E199=FROTA!$AT$18,IF('DEFINA!!!'!$L$6="D-E-F-I-N-A !!!!!!!",0,IF('DEFINA!!!'!$L$6="Opto por Idade Média",SEM!AW199,IF('DEFINA!!!'!$L$6="Opto pelo Valor aplicado ao  Ano de cada Carro",SEM!AX199,0))),IF(E199=FROTA!$AT$17,IF('DEFINA!!!'!$L$6="D-E-F-I-N-A !!!!!!!",0,IF('DEFINA!!!'!$L$6="Opto por Idade Média",SEM!AW199,IF('DEFINA!!!'!$L$6="Opto pelo Valor aplicado ao  Ano de cada Carro",SEM!AX199,0))),IF(E199=FROTA!$AT$16,IF('DEFINA!!!'!$L$6="D-E-F-I-N-A !!!!!!!",0,IF('DEFINA!!!'!$L$6="Opto por Idade Média",SEM!AW199,IF('DEFINA!!!'!$L$6="Opto pelo Valor aplicado ao  Ano de cada Carro",SEM!AX199,0))),IF('DEFINA!!!'!$L$6="D-E-F-I-N-A !!!!!!!",0,IF('DEFINA!!!'!$L$6="Opto por Idade Média",SEM!AU199,IF('DEFINA!!!'!$L$6="Opto pelo Valor aplicado ao  Ano de cada Carro",SEM!AV199,0)))))))</f>
        <v/>
      </c>
      <c r="AL199" s="6"/>
      <c r="AM199" s="79" t="str">
        <f t="shared" ref="AM199:AM262" si="65">IF(C199="","",SUM(H199:AB199))</f>
        <v/>
      </c>
      <c r="AN199" s="12"/>
      <c r="AO199" s="12"/>
      <c r="AP199" s="14"/>
      <c r="AQ199" s="14"/>
      <c r="AR199" s="15"/>
      <c r="AU199" s="198" t="str">
        <f>IF(C199="","",VLOOKUP(FROTA!$AB$2,RECEBÍVEIS!$AA$11:$AB$43,2,0))</f>
        <v/>
      </c>
      <c r="AV199" s="198" t="str">
        <f>IF(C199="","",IF(C199=FROTA!Z199="","",VLOOKUP(FROTA!Z199,RECEBÍVEIS!$AA$11:$AB$43,2,0)))</f>
        <v/>
      </c>
      <c r="AW199" s="198" t="str">
        <f>IF(C199="","",VLOOKUP(FROTA!$AB$2,RECEBÍVEIS!$AA$11:$AC$43,3,0))</f>
        <v/>
      </c>
      <c r="AX199" s="198" t="str">
        <f>IF(C199="","",IF(C199=FROTA!Z199="","",VLOOKUP(FROTA!Z199,RECEBÍVEIS!$AA$11:$AC$43,3,0)))</f>
        <v/>
      </c>
    </row>
    <row r="200" spans="2:50" ht="17.25" customHeight="1" x14ac:dyDescent="0.2">
      <c r="B200" s="6"/>
      <c r="C200" s="49" t="str">
        <f>IF(FROTA!B200="","",FROTA!B200)</f>
        <v/>
      </c>
      <c r="D200" s="220" t="str">
        <f>IF(C200="","",VLOOKUP(SEM!C200,FROTA!$B$5:$C$305,2,0))</f>
        <v/>
      </c>
      <c r="E200" s="24" t="str">
        <f>IF(C200="","",VLOOKUP(C200,FROTA!$B$5:$H$305,7,0))</f>
        <v/>
      </c>
      <c r="F200" s="38" t="str">
        <f t="shared" si="56"/>
        <v/>
      </c>
      <c r="G200" s="71" t="str">
        <f t="shared" si="47"/>
        <v/>
      </c>
      <c r="H200" s="32" t="str">
        <f t="shared" si="53"/>
        <v/>
      </c>
      <c r="I200" s="73" t="str">
        <f t="shared" si="53"/>
        <v/>
      </c>
      <c r="J200" s="73" t="str">
        <f t="shared" si="53"/>
        <v/>
      </c>
      <c r="K200" s="73" t="str">
        <f t="shared" si="54"/>
        <v/>
      </c>
      <c r="L200" s="73" t="str">
        <f t="shared" si="54"/>
        <v/>
      </c>
      <c r="M200" s="73" t="str">
        <f t="shared" si="54"/>
        <v/>
      </c>
      <c r="N200" s="73" t="str">
        <f t="shared" si="54"/>
        <v/>
      </c>
      <c r="O200" s="73" t="str">
        <f t="shared" si="54"/>
        <v/>
      </c>
      <c r="P200" s="73" t="str">
        <f t="shared" si="54"/>
        <v/>
      </c>
      <c r="Q200" s="73" t="str">
        <f t="shared" si="54"/>
        <v/>
      </c>
      <c r="R200" s="73" t="str">
        <f t="shared" si="55"/>
        <v/>
      </c>
      <c r="S200" s="73" t="str">
        <f t="shared" si="55"/>
        <v/>
      </c>
      <c r="T200" s="73" t="str">
        <f t="shared" si="55"/>
        <v/>
      </c>
      <c r="U200" s="73" t="str">
        <f t="shared" si="55"/>
        <v/>
      </c>
      <c r="V200" s="73" t="str">
        <f t="shared" si="55"/>
        <v/>
      </c>
      <c r="W200" s="73" t="str">
        <f t="shared" si="55"/>
        <v/>
      </c>
      <c r="X200" s="73" t="str">
        <f t="shared" si="55"/>
        <v/>
      </c>
      <c r="Y200" s="73" t="str">
        <f t="shared" si="55"/>
        <v/>
      </c>
      <c r="Z200" s="73" t="str">
        <f t="shared" si="55"/>
        <v/>
      </c>
      <c r="AA200" s="73" t="str">
        <f t="shared" si="55"/>
        <v/>
      </c>
      <c r="AB200" s="74" t="str">
        <f t="shared" si="55"/>
        <v/>
      </c>
      <c r="AC200" s="35" t="str">
        <f t="shared" si="57"/>
        <v/>
      </c>
      <c r="AD200" s="40" t="str">
        <f t="shared" si="58"/>
        <v/>
      </c>
      <c r="AE200" s="37" t="str">
        <f t="shared" si="59"/>
        <v/>
      </c>
      <c r="AF200" s="40" t="str">
        <f t="shared" si="60"/>
        <v/>
      </c>
      <c r="AG200" s="37" t="str">
        <f t="shared" si="61"/>
        <v/>
      </c>
      <c r="AH200" s="40" t="str">
        <f t="shared" si="62"/>
        <v/>
      </c>
      <c r="AI200" s="37" t="str">
        <f t="shared" si="63"/>
        <v/>
      </c>
      <c r="AJ200" s="40" t="str">
        <f t="shared" si="64"/>
        <v/>
      </c>
      <c r="AK200" s="204" t="str">
        <f>IF(C200="","",IF(E200=FROTA!$AT$18,IF('DEFINA!!!'!$L$6="D-E-F-I-N-A !!!!!!!",0,IF('DEFINA!!!'!$L$6="Opto por Idade Média",SEM!AW200,IF('DEFINA!!!'!$L$6="Opto pelo Valor aplicado ao  Ano de cada Carro",SEM!AX200,0))),IF(E200=FROTA!$AT$17,IF('DEFINA!!!'!$L$6="D-E-F-I-N-A !!!!!!!",0,IF('DEFINA!!!'!$L$6="Opto por Idade Média",SEM!AW200,IF('DEFINA!!!'!$L$6="Opto pelo Valor aplicado ao  Ano de cada Carro",SEM!AX200,0))),IF(E200=FROTA!$AT$16,IF('DEFINA!!!'!$L$6="D-E-F-I-N-A !!!!!!!",0,IF('DEFINA!!!'!$L$6="Opto por Idade Média",SEM!AW200,IF('DEFINA!!!'!$L$6="Opto pelo Valor aplicado ao  Ano de cada Carro",SEM!AX200,0))),IF('DEFINA!!!'!$L$6="D-E-F-I-N-A !!!!!!!",0,IF('DEFINA!!!'!$L$6="Opto por Idade Média",SEM!AU200,IF('DEFINA!!!'!$L$6="Opto pelo Valor aplicado ao  Ano de cada Carro",SEM!AV200,0)))))))</f>
        <v/>
      </c>
      <c r="AL200" s="6"/>
      <c r="AM200" s="79" t="str">
        <f t="shared" si="65"/>
        <v/>
      </c>
      <c r="AN200" s="12"/>
      <c r="AO200" s="12"/>
      <c r="AP200" s="14"/>
      <c r="AQ200" s="14"/>
      <c r="AR200" s="15"/>
      <c r="AU200" s="198" t="str">
        <f>IF(C200="","",VLOOKUP(FROTA!$AB$2,RECEBÍVEIS!$AA$11:$AB$43,2,0))</f>
        <v/>
      </c>
      <c r="AV200" s="198" t="str">
        <f>IF(C200="","",IF(C200=FROTA!Z200="","",VLOOKUP(FROTA!Z200,RECEBÍVEIS!$AA$11:$AB$43,2,0)))</f>
        <v/>
      </c>
      <c r="AW200" s="198" t="str">
        <f>IF(C200="","",VLOOKUP(FROTA!$AB$2,RECEBÍVEIS!$AA$11:$AC$43,3,0))</f>
        <v/>
      </c>
      <c r="AX200" s="198" t="str">
        <f>IF(C200="","",IF(C200=FROTA!Z200="","",VLOOKUP(FROTA!Z200,RECEBÍVEIS!$AA$11:$AC$43,3,0)))</f>
        <v/>
      </c>
    </row>
    <row r="201" spans="2:50" ht="17.25" customHeight="1" x14ac:dyDescent="0.2">
      <c r="B201" s="6"/>
      <c r="C201" s="49" t="str">
        <f>IF(FROTA!B201="","",FROTA!B201)</f>
        <v/>
      </c>
      <c r="D201" s="220" t="str">
        <f>IF(C201="","",VLOOKUP(SEM!C201,FROTA!$B$5:$C$305,2,0))</f>
        <v/>
      </c>
      <c r="E201" s="24" t="str">
        <f>IF(C201="","",VLOOKUP(C201,FROTA!$B$5:$H$305,7,0))</f>
        <v/>
      </c>
      <c r="F201" s="38" t="str">
        <f t="shared" si="56"/>
        <v/>
      </c>
      <c r="G201" s="71" t="str">
        <f t="shared" ref="G201:G264" si="66">IF(C201="","",F201/$F$307)</f>
        <v/>
      </c>
      <c r="H201" s="32" t="str">
        <f t="shared" si="53"/>
        <v/>
      </c>
      <c r="I201" s="73" t="str">
        <f t="shared" si="53"/>
        <v/>
      </c>
      <c r="J201" s="73" t="str">
        <f t="shared" si="53"/>
        <v/>
      </c>
      <c r="K201" s="73" t="str">
        <f t="shared" si="54"/>
        <v/>
      </c>
      <c r="L201" s="73" t="str">
        <f t="shared" si="54"/>
        <v/>
      </c>
      <c r="M201" s="73" t="str">
        <f t="shared" si="54"/>
        <v/>
      </c>
      <c r="N201" s="73" t="str">
        <f t="shared" si="54"/>
        <v/>
      </c>
      <c r="O201" s="73" t="str">
        <f t="shared" si="54"/>
        <v/>
      </c>
      <c r="P201" s="73" t="str">
        <f t="shared" si="54"/>
        <v/>
      </c>
      <c r="Q201" s="73" t="str">
        <f t="shared" si="54"/>
        <v/>
      </c>
      <c r="R201" s="73" t="str">
        <f t="shared" si="55"/>
        <v/>
      </c>
      <c r="S201" s="73" t="str">
        <f t="shared" si="55"/>
        <v/>
      </c>
      <c r="T201" s="73" t="str">
        <f t="shared" si="55"/>
        <v/>
      </c>
      <c r="U201" s="73" t="str">
        <f t="shared" si="55"/>
        <v/>
      </c>
      <c r="V201" s="73" t="str">
        <f t="shared" si="55"/>
        <v/>
      </c>
      <c r="W201" s="73" t="str">
        <f t="shared" si="55"/>
        <v/>
      </c>
      <c r="X201" s="73" t="str">
        <f t="shared" si="55"/>
        <v/>
      </c>
      <c r="Y201" s="73" t="str">
        <f t="shared" si="55"/>
        <v/>
      </c>
      <c r="Z201" s="73" t="str">
        <f t="shared" si="55"/>
        <v/>
      </c>
      <c r="AA201" s="73" t="str">
        <f t="shared" si="55"/>
        <v/>
      </c>
      <c r="AB201" s="74" t="str">
        <f t="shared" si="55"/>
        <v/>
      </c>
      <c r="AC201" s="35" t="str">
        <f t="shared" si="57"/>
        <v/>
      </c>
      <c r="AD201" s="40" t="str">
        <f t="shared" si="58"/>
        <v/>
      </c>
      <c r="AE201" s="37" t="str">
        <f t="shared" si="59"/>
        <v/>
      </c>
      <c r="AF201" s="40" t="str">
        <f t="shared" si="60"/>
        <v/>
      </c>
      <c r="AG201" s="37" t="str">
        <f t="shared" si="61"/>
        <v/>
      </c>
      <c r="AH201" s="40" t="str">
        <f t="shared" si="62"/>
        <v/>
      </c>
      <c r="AI201" s="37" t="str">
        <f t="shared" si="63"/>
        <v/>
      </c>
      <c r="AJ201" s="40" t="str">
        <f t="shared" si="64"/>
        <v/>
      </c>
      <c r="AK201" s="204" t="str">
        <f>IF(C201="","",IF(E201=FROTA!$AT$18,IF('DEFINA!!!'!$L$6="D-E-F-I-N-A !!!!!!!",0,IF('DEFINA!!!'!$L$6="Opto por Idade Média",SEM!AW201,IF('DEFINA!!!'!$L$6="Opto pelo Valor aplicado ao  Ano de cada Carro",SEM!AX201,0))),IF(E201=FROTA!$AT$17,IF('DEFINA!!!'!$L$6="D-E-F-I-N-A !!!!!!!",0,IF('DEFINA!!!'!$L$6="Opto por Idade Média",SEM!AW201,IF('DEFINA!!!'!$L$6="Opto pelo Valor aplicado ao  Ano de cada Carro",SEM!AX201,0))),IF(E201=FROTA!$AT$16,IF('DEFINA!!!'!$L$6="D-E-F-I-N-A !!!!!!!",0,IF('DEFINA!!!'!$L$6="Opto por Idade Média",SEM!AW201,IF('DEFINA!!!'!$L$6="Opto pelo Valor aplicado ao  Ano de cada Carro",SEM!AX201,0))),IF('DEFINA!!!'!$L$6="D-E-F-I-N-A !!!!!!!",0,IF('DEFINA!!!'!$L$6="Opto por Idade Média",SEM!AU201,IF('DEFINA!!!'!$L$6="Opto pelo Valor aplicado ao  Ano de cada Carro",SEM!AV201,0)))))))</f>
        <v/>
      </c>
      <c r="AL201" s="6"/>
      <c r="AM201" s="79" t="str">
        <f t="shared" si="65"/>
        <v/>
      </c>
      <c r="AN201" s="12"/>
      <c r="AO201" s="12"/>
      <c r="AP201" s="14"/>
      <c r="AQ201" s="14"/>
      <c r="AR201" s="15"/>
      <c r="AU201" s="198" t="str">
        <f>IF(C201="","",VLOOKUP(FROTA!$AB$2,RECEBÍVEIS!$AA$11:$AB$43,2,0))</f>
        <v/>
      </c>
      <c r="AV201" s="198" t="str">
        <f>IF(C201="","",IF(C201=FROTA!Z201="","",VLOOKUP(FROTA!Z201,RECEBÍVEIS!$AA$11:$AB$43,2,0)))</f>
        <v/>
      </c>
      <c r="AW201" s="198" t="str">
        <f>IF(C201="","",VLOOKUP(FROTA!$AB$2,RECEBÍVEIS!$AA$11:$AC$43,3,0))</f>
        <v/>
      </c>
      <c r="AX201" s="198" t="str">
        <f>IF(C201="","",IF(C201=FROTA!Z201="","",VLOOKUP(FROTA!Z201,RECEBÍVEIS!$AA$11:$AC$43,3,0)))</f>
        <v/>
      </c>
    </row>
    <row r="202" spans="2:50" ht="17.25" customHeight="1" x14ac:dyDescent="0.2">
      <c r="B202" s="6"/>
      <c r="C202" s="49" t="str">
        <f>IF(FROTA!B202="","",FROTA!B202)</f>
        <v/>
      </c>
      <c r="D202" s="220" t="str">
        <f>IF(C202="","",VLOOKUP(SEM!C202,FROTA!$B$5:$C$305,2,0))</f>
        <v/>
      </c>
      <c r="E202" s="24" t="str">
        <f>IF(C202="","",VLOOKUP(C202,FROTA!$B$5:$H$305,7,0))</f>
        <v/>
      </c>
      <c r="F202" s="38" t="str">
        <f t="shared" si="56"/>
        <v/>
      </c>
      <c r="G202" s="71" t="str">
        <f t="shared" si="66"/>
        <v/>
      </c>
      <c r="H202" s="32" t="str">
        <f t="shared" si="53"/>
        <v/>
      </c>
      <c r="I202" s="73" t="str">
        <f t="shared" si="53"/>
        <v/>
      </c>
      <c r="J202" s="73" t="str">
        <f t="shared" si="53"/>
        <v/>
      </c>
      <c r="K202" s="73" t="str">
        <f t="shared" si="54"/>
        <v/>
      </c>
      <c r="L202" s="73" t="str">
        <f t="shared" si="54"/>
        <v/>
      </c>
      <c r="M202" s="73" t="str">
        <f t="shared" si="54"/>
        <v/>
      </c>
      <c r="N202" s="73" t="str">
        <f t="shared" si="54"/>
        <v/>
      </c>
      <c r="O202" s="73" t="str">
        <f t="shared" si="54"/>
        <v/>
      </c>
      <c r="P202" s="73" t="str">
        <f t="shared" si="54"/>
        <v/>
      </c>
      <c r="Q202" s="73" t="str">
        <f t="shared" si="54"/>
        <v/>
      </c>
      <c r="R202" s="73" t="str">
        <f t="shared" si="55"/>
        <v/>
      </c>
      <c r="S202" s="73" t="str">
        <f t="shared" si="55"/>
        <v/>
      </c>
      <c r="T202" s="73" t="str">
        <f t="shared" si="55"/>
        <v/>
      </c>
      <c r="U202" s="73" t="str">
        <f t="shared" si="55"/>
        <v/>
      </c>
      <c r="V202" s="73" t="str">
        <f t="shared" si="55"/>
        <v/>
      </c>
      <c r="W202" s="73" t="str">
        <f t="shared" si="55"/>
        <v/>
      </c>
      <c r="X202" s="73" t="str">
        <f t="shared" si="55"/>
        <v/>
      </c>
      <c r="Y202" s="73" t="str">
        <f t="shared" si="55"/>
        <v/>
      </c>
      <c r="Z202" s="73" t="str">
        <f t="shared" si="55"/>
        <v/>
      </c>
      <c r="AA202" s="73" t="str">
        <f t="shared" si="55"/>
        <v/>
      </c>
      <c r="AB202" s="74" t="str">
        <f t="shared" si="55"/>
        <v/>
      </c>
      <c r="AC202" s="35" t="str">
        <f t="shared" si="57"/>
        <v/>
      </c>
      <c r="AD202" s="40" t="str">
        <f t="shared" si="58"/>
        <v/>
      </c>
      <c r="AE202" s="37" t="str">
        <f t="shared" si="59"/>
        <v/>
      </c>
      <c r="AF202" s="40" t="str">
        <f t="shared" si="60"/>
        <v/>
      </c>
      <c r="AG202" s="37" t="str">
        <f t="shared" si="61"/>
        <v/>
      </c>
      <c r="AH202" s="40" t="str">
        <f t="shared" si="62"/>
        <v/>
      </c>
      <c r="AI202" s="37" t="str">
        <f t="shared" si="63"/>
        <v/>
      </c>
      <c r="AJ202" s="40" t="str">
        <f t="shared" si="64"/>
        <v/>
      </c>
      <c r="AK202" s="204" t="str">
        <f>IF(C202="","",IF(E202=FROTA!$AT$18,IF('DEFINA!!!'!$L$6="D-E-F-I-N-A !!!!!!!",0,IF('DEFINA!!!'!$L$6="Opto por Idade Média",SEM!AW202,IF('DEFINA!!!'!$L$6="Opto pelo Valor aplicado ao  Ano de cada Carro",SEM!AX202,0))),IF(E202=FROTA!$AT$17,IF('DEFINA!!!'!$L$6="D-E-F-I-N-A !!!!!!!",0,IF('DEFINA!!!'!$L$6="Opto por Idade Média",SEM!AW202,IF('DEFINA!!!'!$L$6="Opto pelo Valor aplicado ao  Ano de cada Carro",SEM!AX202,0))),IF(E202=FROTA!$AT$16,IF('DEFINA!!!'!$L$6="D-E-F-I-N-A !!!!!!!",0,IF('DEFINA!!!'!$L$6="Opto por Idade Média",SEM!AW202,IF('DEFINA!!!'!$L$6="Opto pelo Valor aplicado ao  Ano de cada Carro",SEM!AX202,0))),IF('DEFINA!!!'!$L$6="D-E-F-I-N-A !!!!!!!",0,IF('DEFINA!!!'!$L$6="Opto por Idade Média",SEM!AU202,IF('DEFINA!!!'!$L$6="Opto pelo Valor aplicado ao  Ano de cada Carro",SEM!AV202,0)))))))</f>
        <v/>
      </c>
      <c r="AL202" s="6"/>
      <c r="AM202" s="79" t="str">
        <f t="shared" si="65"/>
        <v/>
      </c>
      <c r="AN202" s="12"/>
      <c r="AO202" s="12"/>
      <c r="AP202" s="14"/>
      <c r="AQ202" s="14"/>
      <c r="AR202" s="15"/>
      <c r="AU202" s="198" t="str">
        <f>IF(C202="","",VLOOKUP(FROTA!$AB$2,RECEBÍVEIS!$AA$11:$AB$43,2,0))</f>
        <v/>
      </c>
      <c r="AV202" s="198" t="str">
        <f>IF(C202="","",IF(C202=FROTA!Z202="","",VLOOKUP(FROTA!Z202,RECEBÍVEIS!$AA$11:$AB$43,2,0)))</f>
        <v/>
      </c>
      <c r="AW202" s="198" t="str">
        <f>IF(C202="","",VLOOKUP(FROTA!$AB$2,RECEBÍVEIS!$AA$11:$AC$43,3,0))</f>
        <v/>
      </c>
      <c r="AX202" s="198" t="str">
        <f>IF(C202="","",IF(C202=FROTA!Z202="","",VLOOKUP(FROTA!Z202,RECEBÍVEIS!$AA$11:$AC$43,3,0)))</f>
        <v/>
      </c>
    </row>
    <row r="203" spans="2:50" ht="17.25" customHeight="1" x14ac:dyDescent="0.2">
      <c r="B203" s="6"/>
      <c r="C203" s="49" t="str">
        <f>IF(FROTA!B203="","",FROTA!B203)</f>
        <v/>
      </c>
      <c r="D203" s="220" t="str">
        <f>IF(C203="","",VLOOKUP(SEM!C203,FROTA!$B$5:$C$305,2,0))</f>
        <v/>
      </c>
      <c r="E203" s="24" t="str">
        <f>IF(C203="","",VLOOKUP(C203,FROTA!$B$5:$H$305,7,0))</f>
        <v/>
      </c>
      <c r="F203" s="38" t="str">
        <f t="shared" si="56"/>
        <v/>
      </c>
      <c r="G203" s="71" t="str">
        <f t="shared" si="66"/>
        <v/>
      </c>
      <c r="H203" s="32" t="str">
        <f t="shared" si="53"/>
        <v/>
      </c>
      <c r="I203" s="73" t="str">
        <f t="shared" si="53"/>
        <v/>
      </c>
      <c r="J203" s="73" t="str">
        <f t="shared" si="53"/>
        <v/>
      </c>
      <c r="K203" s="73" t="str">
        <f t="shared" si="54"/>
        <v/>
      </c>
      <c r="L203" s="73" t="str">
        <f t="shared" si="54"/>
        <v/>
      </c>
      <c r="M203" s="73" t="str">
        <f t="shared" si="54"/>
        <v/>
      </c>
      <c r="N203" s="73" t="str">
        <f t="shared" si="54"/>
        <v/>
      </c>
      <c r="O203" s="73" t="str">
        <f t="shared" si="54"/>
        <v/>
      </c>
      <c r="P203" s="73" t="str">
        <f t="shared" si="54"/>
        <v/>
      </c>
      <c r="Q203" s="73" t="str">
        <f t="shared" si="54"/>
        <v/>
      </c>
      <c r="R203" s="73" t="str">
        <f t="shared" si="55"/>
        <v/>
      </c>
      <c r="S203" s="73" t="str">
        <f t="shared" si="55"/>
        <v/>
      </c>
      <c r="T203" s="73" t="str">
        <f t="shared" si="55"/>
        <v/>
      </c>
      <c r="U203" s="73" t="str">
        <f t="shared" si="55"/>
        <v/>
      </c>
      <c r="V203" s="73" t="str">
        <f t="shared" si="55"/>
        <v/>
      </c>
      <c r="W203" s="73" t="str">
        <f t="shared" si="55"/>
        <v/>
      </c>
      <c r="X203" s="73" t="str">
        <f t="shared" si="55"/>
        <v/>
      </c>
      <c r="Y203" s="73" t="str">
        <f t="shared" si="55"/>
        <v/>
      </c>
      <c r="Z203" s="73" t="str">
        <f t="shared" si="55"/>
        <v/>
      </c>
      <c r="AA203" s="73" t="str">
        <f t="shared" si="55"/>
        <v/>
      </c>
      <c r="AB203" s="74" t="str">
        <f t="shared" si="55"/>
        <v/>
      </c>
      <c r="AC203" s="35" t="str">
        <f t="shared" si="57"/>
        <v/>
      </c>
      <c r="AD203" s="40" t="str">
        <f t="shared" si="58"/>
        <v/>
      </c>
      <c r="AE203" s="37" t="str">
        <f t="shared" si="59"/>
        <v/>
      </c>
      <c r="AF203" s="40" t="str">
        <f t="shared" si="60"/>
        <v/>
      </c>
      <c r="AG203" s="37" t="str">
        <f t="shared" si="61"/>
        <v/>
      </c>
      <c r="AH203" s="40" t="str">
        <f t="shared" si="62"/>
        <v/>
      </c>
      <c r="AI203" s="37" t="str">
        <f t="shared" si="63"/>
        <v/>
      </c>
      <c r="AJ203" s="40" t="str">
        <f t="shared" si="64"/>
        <v/>
      </c>
      <c r="AK203" s="204" t="str">
        <f>IF(C203="","",IF(E203=FROTA!$AT$18,IF('DEFINA!!!'!$L$6="D-E-F-I-N-A !!!!!!!",0,IF('DEFINA!!!'!$L$6="Opto por Idade Média",SEM!AW203,IF('DEFINA!!!'!$L$6="Opto pelo Valor aplicado ao  Ano de cada Carro",SEM!AX203,0))),IF(E203=FROTA!$AT$17,IF('DEFINA!!!'!$L$6="D-E-F-I-N-A !!!!!!!",0,IF('DEFINA!!!'!$L$6="Opto por Idade Média",SEM!AW203,IF('DEFINA!!!'!$L$6="Opto pelo Valor aplicado ao  Ano de cada Carro",SEM!AX203,0))),IF(E203=FROTA!$AT$16,IF('DEFINA!!!'!$L$6="D-E-F-I-N-A !!!!!!!",0,IF('DEFINA!!!'!$L$6="Opto por Idade Média",SEM!AW203,IF('DEFINA!!!'!$L$6="Opto pelo Valor aplicado ao  Ano de cada Carro",SEM!AX203,0))),IF('DEFINA!!!'!$L$6="D-E-F-I-N-A !!!!!!!",0,IF('DEFINA!!!'!$L$6="Opto por Idade Média",SEM!AU203,IF('DEFINA!!!'!$L$6="Opto pelo Valor aplicado ao  Ano de cada Carro",SEM!AV203,0)))))))</f>
        <v/>
      </c>
      <c r="AL203" s="6"/>
      <c r="AM203" s="79" t="str">
        <f t="shared" si="65"/>
        <v/>
      </c>
      <c r="AN203" s="12"/>
      <c r="AO203" s="12"/>
      <c r="AP203" s="14"/>
      <c r="AQ203" s="14"/>
      <c r="AR203" s="15"/>
      <c r="AU203" s="198" t="str">
        <f>IF(C203="","",VLOOKUP(FROTA!$AB$2,RECEBÍVEIS!$AA$11:$AB$43,2,0))</f>
        <v/>
      </c>
      <c r="AV203" s="198" t="str">
        <f>IF(C203="","",IF(C203=FROTA!Z203="","",VLOOKUP(FROTA!Z203,RECEBÍVEIS!$AA$11:$AB$43,2,0)))</f>
        <v/>
      </c>
      <c r="AW203" s="198" t="str">
        <f>IF(C203="","",VLOOKUP(FROTA!$AB$2,RECEBÍVEIS!$AA$11:$AC$43,3,0))</f>
        <v/>
      </c>
      <c r="AX203" s="198" t="str">
        <f>IF(C203="","",IF(C203=FROTA!Z203="","",VLOOKUP(FROTA!Z203,RECEBÍVEIS!$AA$11:$AC$43,3,0)))</f>
        <v/>
      </c>
    </row>
    <row r="204" spans="2:50" ht="17.25" customHeight="1" x14ac:dyDescent="0.2">
      <c r="B204" s="6"/>
      <c r="C204" s="49" t="str">
        <f>IF(FROTA!B204="","",FROTA!B204)</f>
        <v/>
      </c>
      <c r="D204" s="220" t="str">
        <f>IF(C204="","",VLOOKUP(SEM!C204,FROTA!$B$5:$C$305,2,0))</f>
        <v/>
      </c>
      <c r="E204" s="24" t="str">
        <f>IF(C204="","",VLOOKUP(C204,FROTA!$B$5:$H$305,7,0))</f>
        <v/>
      </c>
      <c r="F204" s="38" t="str">
        <f t="shared" si="56"/>
        <v/>
      </c>
      <c r="G204" s="71" t="str">
        <f t="shared" si="66"/>
        <v/>
      </c>
      <c r="H204" s="32" t="str">
        <f t="shared" si="53"/>
        <v/>
      </c>
      <c r="I204" s="73" t="str">
        <f t="shared" si="53"/>
        <v/>
      </c>
      <c r="J204" s="73" t="str">
        <f t="shared" si="53"/>
        <v/>
      </c>
      <c r="K204" s="73" t="str">
        <f t="shared" si="54"/>
        <v/>
      </c>
      <c r="L204" s="73" t="str">
        <f t="shared" si="54"/>
        <v/>
      </c>
      <c r="M204" s="73" t="str">
        <f t="shared" si="54"/>
        <v/>
      </c>
      <c r="N204" s="73" t="str">
        <f t="shared" si="54"/>
        <v/>
      </c>
      <c r="O204" s="73" t="str">
        <f t="shared" si="54"/>
        <v/>
      </c>
      <c r="P204" s="73" t="str">
        <f t="shared" si="54"/>
        <v/>
      </c>
      <c r="Q204" s="73" t="str">
        <f t="shared" si="54"/>
        <v/>
      </c>
      <c r="R204" s="73" t="str">
        <f t="shared" si="55"/>
        <v/>
      </c>
      <c r="S204" s="73" t="str">
        <f t="shared" si="55"/>
        <v/>
      </c>
      <c r="T204" s="73" t="str">
        <f t="shared" si="55"/>
        <v/>
      </c>
      <c r="U204" s="73" t="str">
        <f t="shared" si="55"/>
        <v/>
      </c>
      <c r="V204" s="73" t="str">
        <f t="shared" si="55"/>
        <v/>
      </c>
      <c r="W204" s="73" t="str">
        <f t="shared" si="55"/>
        <v/>
      </c>
      <c r="X204" s="73" t="str">
        <f t="shared" si="55"/>
        <v/>
      </c>
      <c r="Y204" s="73" t="str">
        <f t="shared" si="55"/>
        <v/>
      </c>
      <c r="Z204" s="73" t="str">
        <f t="shared" si="55"/>
        <v/>
      </c>
      <c r="AA204" s="73" t="str">
        <f t="shared" si="55"/>
        <v/>
      </c>
      <c r="AB204" s="74" t="str">
        <f t="shared" si="55"/>
        <v/>
      </c>
      <c r="AC204" s="35" t="str">
        <f t="shared" si="57"/>
        <v/>
      </c>
      <c r="AD204" s="40" t="str">
        <f t="shared" si="58"/>
        <v/>
      </c>
      <c r="AE204" s="37" t="str">
        <f t="shared" si="59"/>
        <v/>
      </c>
      <c r="AF204" s="40" t="str">
        <f t="shared" si="60"/>
        <v/>
      </c>
      <c r="AG204" s="37" t="str">
        <f t="shared" si="61"/>
        <v/>
      </c>
      <c r="AH204" s="40" t="str">
        <f t="shared" si="62"/>
        <v/>
      </c>
      <c r="AI204" s="37" t="str">
        <f t="shared" si="63"/>
        <v/>
      </c>
      <c r="AJ204" s="40" t="str">
        <f t="shared" si="64"/>
        <v/>
      </c>
      <c r="AK204" s="204" t="str">
        <f>IF(C204="","",IF(E204=FROTA!$AT$18,IF('DEFINA!!!'!$L$6="D-E-F-I-N-A !!!!!!!",0,IF('DEFINA!!!'!$L$6="Opto por Idade Média",SEM!AW204,IF('DEFINA!!!'!$L$6="Opto pelo Valor aplicado ao  Ano de cada Carro",SEM!AX204,0))),IF(E204=FROTA!$AT$17,IF('DEFINA!!!'!$L$6="D-E-F-I-N-A !!!!!!!",0,IF('DEFINA!!!'!$L$6="Opto por Idade Média",SEM!AW204,IF('DEFINA!!!'!$L$6="Opto pelo Valor aplicado ao  Ano de cada Carro",SEM!AX204,0))),IF(E204=FROTA!$AT$16,IF('DEFINA!!!'!$L$6="D-E-F-I-N-A !!!!!!!",0,IF('DEFINA!!!'!$L$6="Opto por Idade Média",SEM!AW204,IF('DEFINA!!!'!$L$6="Opto pelo Valor aplicado ao  Ano de cada Carro",SEM!AX204,0))),IF('DEFINA!!!'!$L$6="D-E-F-I-N-A !!!!!!!",0,IF('DEFINA!!!'!$L$6="Opto por Idade Média",SEM!AU204,IF('DEFINA!!!'!$L$6="Opto pelo Valor aplicado ao  Ano de cada Carro",SEM!AV204,0)))))))</f>
        <v/>
      </c>
      <c r="AL204" s="6"/>
      <c r="AM204" s="79" t="str">
        <f t="shared" si="65"/>
        <v/>
      </c>
      <c r="AR204" s="5"/>
      <c r="AU204" s="198" t="str">
        <f>IF(C204="","",VLOOKUP(FROTA!$AB$2,RECEBÍVEIS!$AA$11:$AB$43,2,0))</f>
        <v/>
      </c>
      <c r="AV204" s="198" t="str">
        <f>IF(C204="","",IF(C204=FROTA!Z204="","",VLOOKUP(FROTA!Z204,RECEBÍVEIS!$AA$11:$AB$43,2,0)))</f>
        <v/>
      </c>
      <c r="AW204" s="198" t="str">
        <f>IF(C204="","",VLOOKUP(FROTA!$AB$2,RECEBÍVEIS!$AA$11:$AC$43,3,0))</f>
        <v/>
      </c>
      <c r="AX204" s="198" t="str">
        <f>IF(C204="","",IF(C204=FROTA!Z204="","",VLOOKUP(FROTA!Z204,RECEBÍVEIS!$AA$11:$AC$43,3,0)))</f>
        <v/>
      </c>
    </row>
    <row r="205" spans="2:50" ht="17.25" customHeight="1" x14ac:dyDescent="0.2">
      <c r="B205" s="6"/>
      <c r="C205" s="49" t="str">
        <f>IF(FROTA!B205="","",FROTA!B205)</f>
        <v/>
      </c>
      <c r="D205" s="220" t="str">
        <f>IF(C205="","",VLOOKUP(SEM!C205,FROTA!$B$5:$C$305,2,0))</f>
        <v/>
      </c>
      <c r="E205" s="24" t="str">
        <f>IF(C205="","",VLOOKUP(C205,FROTA!$B$5:$H$305,7,0))</f>
        <v/>
      </c>
      <c r="F205" s="38" t="str">
        <f t="shared" si="56"/>
        <v/>
      </c>
      <c r="G205" s="71" t="str">
        <f t="shared" si="66"/>
        <v/>
      </c>
      <c r="H205" s="32" t="str">
        <f t="shared" si="53"/>
        <v/>
      </c>
      <c r="I205" s="73" t="str">
        <f t="shared" si="53"/>
        <v/>
      </c>
      <c r="J205" s="73" t="str">
        <f t="shared" si="53"/>
        <v/>
      </c>
      <c r="K205" s="73" t="str">
        <f t="shared" si="54"/>
        <v/>
      </c>
      <c r="L205" s="73" t="str">
        <f t="shared" si="54"/>
        <v/>
      </c>
      <c r="M205" s="73" t="str">
        <f t="shared" si="54"/>
        <v/>
      </c>
      <c r="N205" s="73" t="str">
        <f t="shared" si="54"/>
        <v/>
      </c>
      <c r="O205" s="73" t="str">
        <f t="shared" si="54"/>
        <v/>
      </c>
      <c r="P205" s="73" t="str">
        <f t="shared" si="54"/>
        <v/>
      </c>
      <c r="Q205" s="73" t="str">
        <f t="shared" si="54"/>
        <v/>
      </c>
      <c r="R205" s="73" t="str">
        <f t="shared" si="55"/>
        <v/>
      </c>
      <c r="S205" s="73" t="str">
        <f t="shared" si="55"/>
        <v/>
      </c>
      <c r="T205" s="73" t="str">
        <f t="shared" si="55"/>
        <v/>
      </c>
      <c r="U205" s="73" t="str">
        <f t="shared" si="55"/>
        <v/>
      </c>
      <c r="V205" s="73" t="str">
        <f t="shared" si="55"/>
        <v/>
      </c>
      <c r="W205" s="73" t="str">
        <f t="shared" si="55"/>
        <v/>
      </c>
      <c r="X205" s="73" t="str">
        <f t="shared" si="55"/>
        <v/>
      </c>
      <c r="Y205" s="73" t="str">
        <f t="shared" si="55"/>
        <v/>
      </c>
      <c r="Z205" s="73" t="str">
        <f t="shared" si="55"/>
        <v/>
      </c>
      <c r="AA205" s="73" t="str">
        <f t="shared" si="55"/>
        <v/>
      </c>
      <c r="AB205" s="74" t="str">
        <f t="shared" si="55"/>
        <v/>
      </c>
      <c r="AC205" s="35" t="str">
        <f t="shared" si="57"/>
        <v/>
      </c>
      <c r="AD205" s="40" t="str">
        <f t="shared" si="58"/>
        <v/>
      </c>
      <c r="AE205" s="37" t="str">
        <f t="shared" si="59"/>
        <v/>
      </c>
      <c r="AF205" s="40" t="str">
        <f t="shared" si="60"/>
        <v/>
      </c>
      <c r="AG205" s="37" t="str">
        <f t="shared" si="61"/>
        <v/>
      </c>
      <c r="AH205" s="40" t="str">
        <f t="shared" si="62"/>
        <v/>
      </c>
      <c r="AI205" s="37" t="str">
        <f t="shared" si="63"/>
        <v/>
      </c>
      <c r="AJ205" s="40" t="str">
        <f t="shared" si="64"/>
        <v/>
      </c>
      <c r="AK205" s="204" t="str">
        <f>IF(C205="","",IF(E205=FROTA!$AT$18,IF('DEFINA!!!'!$L$6="D-E-F-I-N-A !!!!!!!",0,IF('DEFINA!!!'!$L$6="Opto por Idade Média",SEM!AW205,IF('DEFINA!!!'!$L$6="Opto pelo Valor aplicado ao  Ano de cada Carro",SEM!AX205,0))),IF(E205=FROTA!$AT$17,IF('DEFINA!!!'!$L$6="D-E-F-I-N-A !!!!!!!",0,IF('DEFINA!!!'!$L$6="Opto por Idade Média",SEM!AW205,IF('DEFINA!!!'!$L$6="Opto pelo Valor aplicado ao  Ano de cada Carro",SEM!AX205,0))),IF(E205=FROTA!$AT$16,IF('DEFINA!!!'!$L$6="D-E-F-I-N-A !!!!!!!",0,IF('DEFINA!!!'!$L$6="Opto por Idade Média",SEM!AW205,IF('DEFINA!!!'!$L$6="Opto pelo Valor aplicado ao  Ano de cada Carro",SEM!AX205,0))),IF('DEFINA!!!'!$L$6="D-E-F-I-N-A !!!!!!!",0,IF('DEFINA!!!'!$L$6="Opto por Idade Média",SEM!AU205,IF('DEFINA!!!'!$L$6="Opto pelo Valor aplicado ao  Ano de cada Carro",SEM!AV205,0)))))))</f>
        <v/>
      </c>
      <c r="AL205" s="6"/>
      <c r="AM205" s="79" t="str">
        <f t="shared" si="65"/>
        <v/>
      </c>
      <c r="AR205" s="5"/>
      <c r="AU205" s="198" t="str">
        <f>IF(C205="","",VLOOKUP(FROTA!$AB$2,RECEBÍVEIS!$AA$11:$AB$43,2,0))</f>
        <v/>
      </c>
      <c r="AV205" s="198" t="str">
        <f>IF(C205="","",IF(C205=FROTA!Z205="","",VLOOKUP(FROTA!Z205,RECEBÍVEIS!$AA$11:$AB$43,2,0)))</f>
        <v/>
      </c>
      <c r="AW205" s="198" t="str">
        <f>IF(C205="","",VLOOKUP(FROTA!$AB$2,RECEBÍVEIS!$AA$11:$AC$43,3,0))</f>
        <v/>
      </c>
      <c r="AX205" s="198" t="str">
        <f>IF(C205="","",IF(C205=FROTA!Z205="","",VLOOKUP(FROTA!Z205,RECEBÍVEIS!$AA$11:$AC$43,3,0)))</f>
        <v/>
      </c>
    </row>
    <row r="206" spans="2:50" ht="17.25" customHeight="1" x14ac:dyDescent="0.2">
      <c r="B206" s="6"/>
      <c r="C206" s="49" t="str">
        <f>IF(FROTA!B206="","",FROTA!B206)</f>
        <v/>
      </c>
      <c r="D206" s="220" t="str">
        <f>IF(C206="","",VLOOKUP(SEM!C206,FROTA!$B$5:$C$305,2,0))</f>
        <v/>
      </c>
      <c r="E206" s="24" t="str">
        <f>IF(C206="","",VLOOKUP(C206,FROTA!$B$5:$H$305,7,0))</f>
        <v/>
      </c>
      <c r="F206" s="38" t="str">
        <f t="shared" si="56"/>
        <v/>
      </c>
      <c r="G206" s="71" t="str">
        <f t="shared" si="66"/>
        <v/>
      </c>
      <c r="H206" s="32" t="str">
        <f t="shared" si="53"/>
        <v/>
      </c>
      <c r="I206" s="73" t="str">
        <f t="shared" si="53"/>
        <v/>
      </c>
      <c r="J206" s="73" t="str">
        <f t="shared" si="53"/>
        <v/>
      </c>
      <c r="K206" s="73" t="str">
        <f t="shared" si="54"/>
        <v/>
      </c>
      <c r="L206" s="73" t="str">
        <f t="shared" si="54"/>
        <v/>
      </c>
      <c r="M206" s="73" t="str">
        <f t="shared" si="54"/>
        <v/>
      </c>
      <c r="N206" s="73" t="str">
        <f t="shared" si="54"/>
        <v/>
      </c>
      <c r="O206" s="73" t="str">
        <f t="shared" si="54"/>
        <v/>
      </c>
      <c r="P206" s="73" t="str">
        <f t="shared" si="54"/>
        <v/>
      </c>
      <c r="Q206" s="73" t="str">
        <f t="shared" si="54"/>
        <v/>
      </c>
      <c r="R206" s="73" t="str">
        <f t="shared" si="55"/>
        <v/>
      </c>
      <c r="S206" s="73" t="str">
        <f t="shared" si="55"/>
        <v/>
      </c>
      <c r="T206" s="73" t="str">
        <f t="shared" si="55"/>
        <v/>
      </c>
      <c r="U206" s="73" t="str">
        <f t="shared" si="55"/>
        <v/>
      </c>
      <c r="V206" s="73" t="str">
        <f t="shared" si="55"/>
        <v/>
      </c>
      <c r="W206" s="73" t="str">
        <f t="shared" si="55"/>
        <v/>
      </c>
      <c r="X206" s="73" t="str">
        <f t="shared" si="55"/>
        <v/>
      </c>
      <c r="Y206" s="73" t="str">
        <f t="shared" si="55"/>
        <v/>
      </c>
      <c r="Z206" s="73" t="str">
        <f t="shared" si="55"/>
        <v/>
      </c>
      <c r="AA206" s="73" t="str">
        <f t="shared" si="55"/>
        <v/>
      </c>
      <c r="AB206" s="74" t="str">
        <f t="shared" si="55"/>
        <v/>
      </c>
      <c r="AC206" s="35" t="str">
        <f t="shared" si="57"/>
        <v/>
      </c>
      <c r="AD206" s="40" t="str">
        <f t="shared" si="58"/>
        <v/>
      </c>
      <c r="AE206" s="37" t="str">
        <f t="shared" si="59"/>
        <v/>
      </c>
      <c r="AF206" s="40" t="str">
        <f t="shared" si="60"/>
        <v/>
      </c>
      <c r="AG206" s="37" t="str">
        <f t="shared" si="61"/>
        <v/>
      </c>
      <c r="AH206" s="40" t="str">
        <f t="shared" si="62"/>
        <v/>
      </c>
      <c r="AI206" s="37" t="str">
        <f t="shared" si="63"/>
        <v/>
      </c>
      <c r="AJ206" s="40" t="str">
        <f t="shared" si="64"/>
        <v/>
      </c>
      <c r="AK206" s="204" t="str">
        <f>IF(C206="","",IF(E206=FROTA!$AT$18,IF('DEFINA!!!'!$L$6="D-E-F-I-N-A !!!!!!!",0,IF('DEFINA!!!'!$L$6="Opto por Idade Média",SEM!AW206,IF('DEFINA!!!'!$L$6="Opto pelo Valor aplicado ao  Ano de cada Carro",SEM!AX206,0))),IF(E206=FROTA!$AT$17,IF('DEFINA!!!'!$L$6="D-E-F-I-N-A !!!!!!!",0,IF('DEFINA!!!'!$L$6="Opto por Idade Média",SEM!AW206,IF('DEFINA!!!'!$L$6="Opto pelo Valor aplicado ao  Ano de cada Carro",SEM!AX206,0))),IF(E206=FROTA!$AT$16,IF('DEFINA!!!'!$L$6="D-E-F-I-N-A !!!!!!!",0,IF('DEFINA!!!'!$L$6="Opto por Idade Média",SEM!AW206,IF('DEFINA!!!'!$L$6="Opto pelo Valor aplicado ao  Ano de cada Carro",SEM!AX206,0))),IF('DEFINA!!!'!$L$6="D-E-F-I-N-A !!!!!!!",0,IF('DEFINA!!!'!$L$6="Opto por Idade Média",SEM!AU206,IF('DEFINA!!!'!$L$6="Opto pelo Valor aplicado ao  Ano de cada Carro",SEM!AV206,0)))))))</f>
        <v/>
      </c>
      <c r="AL206" s="6"/>
      <c r="AM206" s="79" t="str">
        <f t="shared" si="65"/>
        <v/>
      </c>
      <c r="AR206" s="5"/>
      <c r="AU206" s="198" t="str">
        <f>IF(C206="","",VLOOKUP(FROTA!$AB$2,RECEBÍVEIS!$AA$11:$AB$43,2,0))</f>
        <v/>
      </c>
      <c r="AV206" s="198" t="str">
        <f>IF(C206="","",IF(C206=FROTA!Z206="","",VLOOKUP(FROTA!Z206,RECEBÍVEIS!$AA$11:$AB$43,2,0)))</f>
        <v/>
      </c>
      <c r="AW206" s="198" t="str">
        <f>IF(C206="","",VLOOKUP(FROTA!$AB$2,RECEBÍVEIS!$AA$11:$AC$43,3,0))</f>
        <v/>
      </c>
      <c r="AX206" s="198" t="str">
        <f>IF(C206="","",IF(C206=FROTA!Z206="","",VLOOKUP(FROTA!Z206,RECEBÍVEIS!$AA$11:$AC$43,3,0)))</f>
        <v/>
      </c>
    </row>
    <row r="207" spans="2:50" ht="17.25" customHeight="1" x14ac:dyDescent="0.2">
      <c r="B207" s="6"/>
      <c r="C207" s="49" t="str">
        <f>IF(FROTA!B207="","",FROTA!B207)</f>
        <v/>
      </c>
      <c r="D207" s="220" t="str">
        <f>IF(C207="","",VLOOKUP(SEM!C207,FROTA!$B$5:$C$305,2,0))</f>
        <v/>
      </c>
      <c r="E207" s="24" t="str">
        <f>IF(C207="","",VLOOKUP(C207,FROTA!$B$5:$H$305,7,0))</f>
        <v/>
      </c>
      <c r="F207" s="38" t="str">
        <f t="shared" si="56"/>
        <v/>
      </c>
      <c r="G207" s="71" t="str">
        <f t="shared" si="66"/>
        <v/>
      </c>
      <c r="H207" s="32" t="str">
        <f t="shared" si="53"/>
        <v/>
      </c>
      <c r="I207" s="73" t="str">
        <f t="shared" si="53"/>
        <v/>
      </c>
      <c r="J207" s="73" t="str">
        <f t="shared" si="53"/>
        <v/>
      </c>
      <c r="K207" s="73" t="str">
        <f t="shared" si="54"/>
        <v/>
      </c>
      <c r="L207" s="73" t="str">
        <f t="shared" si="54"/>
        <v/>
      </c>
      <c r="M207" s="73" t="str">
        <f t="shared" si="54"/>
        <v/>
      </c>
      <c r="N207" s="73" t="str">
        <f t="shared" si="54"/>
        <v/>
      </c>
      <c r="O207" s="73" t="str">
        <f t="shared" si="54"/>
        <v/>
      </c>
      <c r="P207" s="73" t="str">
        <f t="shared" si="54"/>
        <v/>
      </c>
      <c r="Q207" s="73" t="str">
        <f t="shared" si="54"/>
        <v/>
      </c>
      <c r="R207" s="73" t="str">
        <f t="shared" si="55"/>
        <v/>
      </c>
      <c r="S207" s="73" t="str">
        <f t="shared" si="55"/>
        <v/>
      </c>
      <c r="T207" s="73" t="str">
        <f t="shared" si="55"/>
        <v/>
      </c>
      <c r="U207" s="73" t="str">
        <f t="shared" si="55"/>
        <v/>
      </c>
      <c r="V207" s="73" t="str">
        <f t="shared" si="55"/>
        <v/>
      </c>
      <c r="W207" s="73" t="str">
        <f t="shared" si="55"/>
        <v/>
      </c>
      <c r="X207" s="73" t="str">
        <f t="shared" si="55"/>
        <v/>
      </c>
      <c r="Y207" s="73" t="str">
        <f t="shared" si="55"/>
        <v/>
      </c>
      <c r="Z207" s="73" t="str">
        <f t="shared" si="55"/>
        <v/>
      </c>
      <c r="AA207" s="73" t="str">
        <f t="shared" si="55"/>
        <v/>
      </c>
      <c r="AB207" s="74" t="str">
        <f t="shared" si="55"/>
        <v/>
      </c>
      <c r="AC207" s="35" t="str">
        <f t="shared" si="57"/>
        <v/>
      </c>
      <c r="AD207" s="40" t="str">
        <f t="shared" si="58"/>
        <v/>
      </c>
      <c r="AE207" s="37" t="str">
        <f t="shared" si="59"/>
        <v/>
      </c>
      <c r="AF207" s="40" t="str">
        <f t="shared" si="60"/>
        <v/>
      </c>
      <c r="AG207" s="37" t="str">
        <f t="shared" si="61"/>
        <v/>
      </c>
      <c r="AH207" s="40" t="str">
        <f t="shared" si="62"/>
        <v/>
      </c>
      <c r="AI207" s="37" t="str">
        <f t="shared" si="63"/>
        <v/>
      </c>
      <c r="AJ207" s="40" t="str">
        <f t="shared" si="64"/>
        <v/>
      </c>
      <c r="AK207" s="204" t="str">
        <f>IF(C207="","",IF(E207=FROTA!$AT$18,IF('DEFINA!!!'!$L$6="D-E-F-I-N-A !!!!!!!",0,IF('DEFINA!!!'!$L$6="Opto por Idade Média",SEM!AW207,IF('DEFINA!!!'!$L$6="Opto pelo Valor aplicado ao  Ano de cada Carro",SEM!AX207,0))),IF(E207=FROTA!$AT$17,IF('DEFINA!!!'!$L$6="D-E-F-I-N-A !!!!!!!",0,IF('DEFINA!!!'!$L$6="Opto por Idade Média",SEM!AW207,IF('DEFINA!!!'!$L$6="Opto pelo Valor aplicado ao  Ano de cada Carro",SEM!AX207,0))),IF(E207=FROTA!$AT$16,IF('DEFINA!!!'!$L$6="D-E-F-I-N-A !!!!!!!",0,IF('DEFINA!!!'!$L$6="Opto por Idade Média",SEM!AW207,IF('DEFINA!!!'!$L$6="Opto pelo Valor aplicado ao  Ano de cada Carro",SEM!AX207,0))),IF('DEFINA!!!'!$L$6="D-E-F-I-N-A !!!!!!!",0,IF('DEFINA!!!'!$L$6="Opto por Idade Média",SEM!AU207,IF('DEFINA!!!'!$L$6="Opto pelo Valor aplicado ao  Ano de cada Carro",SEM!AV207,0)))))))</f>
        <v/>
      </c>
      <c r="AL207" s="6"/>
      <c r="AM207" s="79" t="str">
        <f t="shared" si="65"/>
        <v/>
      </c>
      <c r="AR207" s="5"/>
      <c r="AU207" s="198" t="str">
        <f>IF(C207="","",VLOOKUP(FROTA!$AB$2,RECEBÍVEIS!$AA$11:$AB$43,2,0))</f>
        <v/>
      </c>
      <c r="AV207" s="198" t="str">
        <f>IF(C207="","",IF(C207=FROTA!Z207="","",VLOOKUP(FROTA!Z207,RECEBÍVEIS!$AA$11:$AB$43,2,0)))</f>
        <v/>
      </c>
      <c r="AW207" s="198" t="str">
        <f>IF(C207="","",VLOOKUP(FROTA!$AB$2,RECEBÍVEIS!$AA$11:$AC$43,3,0))</f>
        <v/>
      </c>
      <c r="AX207" s="198" t="str">
        <f>IF(C207="","",IF(C207=FROTA!Z207="","",VLOOKUP(FROTA!Z207,RECEBÍVEIS!$AA$11:$AC$43,3,0)))</f>
        <v/>
      </c>
    </row>
    <row r="208" spans="2:50" ht="17.25" customHeight="1" x14ac:dyDescent="0.2">
      <c r="B208" s="6"/>
      <c r="C208" s="49" t="str">
        <f>IF(FROTA!B208="","",FROTA!B208)</f>
        <v/>
      </c>
      <c r="D208" s="220" t="str">
        <f>IF(C208="","",VLOOKUP(SEM!C208,FROTA!$B$5:$C$305,2,0))</f>
        <v/>
      </c>
      <c r="E208" s="24" t="str">
        <f>IF(C208="","",VLOOKUP(C208,FROTA!$B$5:$H$305,7,0))</f>
        <v/>
      </c>
      <c r="F208" s="38" t="str">
        <f t="shared" si="56"/>
        <v/>
      </c>
      <c r="G208" s="71" t="str">
        <f t="shared" si="66"/>
        <v/>
      </c>
      <c r="H208" s="32" t="str">
        <f t="shared" si="53"/>
        <v/>
      </c>
      <c r="I208" s="73" t="str">
        <f t="shared" si="53"/>
        <v/>
      </c>
      <c r="J208" s="73" t="str">
        <f t="shared" si="53"/>
        <v/>
      </c>
      <c r="K208" s="73" t="str">
        <f t="shared" si="54"/>
        <v/>
      </c>
      <c r="L208" s="73" t="str">
        <f t="shared" si="54"/>
        <v/>
      </c>
      <c r="M208" s="73" t="str">
        <f t="shared" si="54"/>
        <v/>
      </c>
      <c r="N208" s="73" t="str">
        <f t="shared" si="54"/>
        <v/>
      </c>
      <c r="O208" s="73" t="str">
        <f t="shared" si="54"/>
        <v/>
      </c>
      <c r="P208" s="73" t="str">
        <f t="shared" si="54"/>
        <v/>
      </c>
      <c r="Q208" s="73" t="str">
        <f t="shared" si="54"/>
        <v/>
      </c>
      <c r="R208" s="73" t="str">
        <f t="shared" si="54"/>
        <v/>
      </c>
      <c r="S208" s="73" t="str">
        <f t="shared" si="54"/>
        <v/>
      </c>
      <c r="T208" s="73" t="str">
        <f t="shared" si="54"/>
        <v/>
      </c>
      <c r="U208" s="73" t="str">
        <f t="shared" si="54"/>
        <v/>
      </c>
      <c r="V208" s="73" t="str">
        <f t="shared" si="54"/>
        <v/>
      </c>
      <c r="W208" s="73" t="str">
        <f t="shared" si="54"/>
        <v/>
      </c>
      <c r="X208" s="73" t="str">
        <f t="shared" si="54"/>
        <v/>
      </c>
      <c r="Y208" s="73" t="str">
        <f t="shared" si="54"/>
        <v/>
      </c>
      <c r="Z208" s="73" t="str">
        <f t="shared" si="54"/>
        <v/>
      </c>
      <c r="AA208" s="73" t="str">
        <f t="shared" ref="R208:AB231" si="67">IF($C208="","",IF(SUM(AA$307*$G208)&gt;$F208,$F208,SUM(AA$307*$G208)))</f>
        <v/>
      </c>
      <c r="AB208" s="74" t="str">
        <f t="shared" si="67"/>
        <v/>
      </c>
      <c r="AC208" s="35" t="str">
        <f t="shared" si="57"/>
        <v/>
      </c>
      <c r="AD208" s="40" t="str">
        <f t="shared" si="58"/>
        <v/>
      </c>
      <c r="AE208" s="37" t="str">
        <f t="shared" si="59"/>
        <v/>
      </c>
      <c r="AF208" s="40" t="str">
        <f t="shared" si="60"/>
        <v/>
      </c>
      <c r="AG208" s="37" t="str">
        <f t="shared" si="61"/>
        <v/>
      </c>
      <c r="AH208" s="40" t="str">
        <f t="shared" si="62"/>
        <v/>
      </c>
      <c r="AI208" s="37" t="str">
        <f t="shared" si="63"/>
        <v/>
      </c>
      <c r="AJ208" s="40" t="str">
        <f t="shared" si="64"/>
        <v/>
      </c>
      <c r="AK208" s="204" t="str">
        <f>IF(C208="","",IF(E208=FROTA!$AT$18,IF('DEFINA!!!'!$L$6="D-E-F-I-N-A !!!!!!!",0,IF('DEFINA!!!'!$L$6="Opto por Idade Média",SEM!AW208,IF('DEFINA!!!'!$L$6="Opto pelo Valor aplicado ao  Ano de cada Carro",SEM!AX208,0))),IF(E208=FROTA!$AT$17,IF('DEFINA!!!'!$L$6="D-E-F-I-N-A !!!!!!!",0,IF('DEFINA!!!'!$L$6="Opto por Idade Média",SEM!AW208,IF('DEFINA!!!'!$L$6="Opto pelo Valor aplicado ao  Ano de cada Carro",SEM!AX208,0))),IF(E208=FROTA!$AT$16,IF('DEFINA!!!'!$L$6="D-E-F-I-N-A !!!!!!!",0,IF('DEFINA!!!'!$L$6="Opto por Idade Média",SEM!AW208,IF('DEFINA!!!'!$L$6="Opto pelo Valor aplicado ao  Ano de cada Carro",SEM!AX208,0))),IF('DEFINA!!!'!$L$6="D-E-F-I-N-A !!!!!!!",0,IF('DEFINA!!!'!$L$6="Opto por Idade Média",SEM!AU208,IF('DEFINA!!!'!$L$6="Opto pelo Valor aplicado ao  Ano de cada Carro",SEM!AV208,0)))))))</f>
        <v/>
      </c>
      <c r="AL208" s="6"/>
      <c r="AM208" s="79" t="str">
        <f t="shared" si="65"/>
        <v/>
      </c>
      <c r="AR208" s="5"/>
      <c r="AU208" s="198" t="str">
        <f>IF(C208="","",VLOOKUP(FROTA!$AB$2,RECEBÍVEIS!$AA$11:$AB$43,2,0))</f>
        <v/>
      </c>
      <c r="AV208" s="198" t="str">
        <f>IF(C208="","",IF(C208=FROTA!Z208="","",VLOOKUP(FROTA!Z208,RECEBÍVEIS!$AA$11:$AB$43,2,0)))</f>
        <v/>
      </c>
      <c r="AW208" s="198" t="str">
        <f>IF(C208="","",VLOOKUP(FROTA!$AB$2,RECEBÍVEIS!$AA$11:$AC$43,3,0))</f>
        <v/>
      </c>
      <c r="AX208" s="198" t="str">
        <f>IF(C208="","",IF(C208=FROTA!Z208="","",VLOOKUP(FROTA!Z208,RECEBÍVEIS!$AA$11:$AC$43,3,0)))</f>
        <v/>
      </c>
    </row>
    <row r="209" spans="2:50" ht="17.25" customHeight="1" x14ac:dyDescent="0.2">
      <c r="B209" s="6"/>
      <c r="C209" s="49" t="str">
        <f>IF(FROTA!B209="","",FROTA!B209)</f>
        <v/>
      </c>
      <c r="D209" s="220" t="str">
        <f>IF(C209="","",VLOOKUP(SEM!C209,FROTA!$B$5:$C$305,2,0))</f>
        <v/>
      </c>
      <c r="E209" s="24" t="str">
        <f>IF(C209="","",VLOOKUP(C209,FROTA!$B$5:$H$305,7,0))</f>
        <v/>
      </c>
      <c r="F209" s="38" t="str">
        <f t="shared" si="56"/>
        <v/>
      </c>
      <c r="G209" s="71" t="str">
        <f t="shared" si="66"/>
        <v/>
      </c>
      <c r="H209" s="32" t="str">
        <f t="shared" si="53"/>
        <v/>
      </c>
      <c r="I209" s="73" t="str">
        <f t="shared" si="53"/>
        <v/>
      </c>
      <c r="J209" s="73" t="str">
        <f t="shared" si="53"/>
        <v/>
      </c>
      <c r="K209" s="73" t="str">
        <f t="shared" si="54"/>
        <v/>
      </c>
      <c r="L209" s="73" t="str">
        <f t="shared" si="54"/>
        <v/>
      </c>
      <c r="M209" s="73" t="str">
        <f t="shared" si="54"/>
        <v/>
      </c>
      <c r="N209" s="73" t="str">
        <f t="shared" si="54"/>
        <v/>
      </c>
      <c r="O209" s="73" t="str">
        <f t="shared" si="54"/>
        <v/>
      </c>
      <c r="P209" s="73" t="str">
        <f t="shared" si="54"/>
        <v/>
      </c>
      <c r="Q209" s="73" t="str">
        <f t="shared" si="54"/>
        <v/>
      </c>
      <c r="R209" s="73" t="str">
        <f t="shared" si="67"/>
        <v/>
      </c>
      <c r="S209" s="73" t="str">
        <f t="shared" si="67"/>
        <v/>
      </c>
      <c r="T209" s="73" t="str">
        <f t="shared" si="67"/>
        <v/>
      </c>
      <c r="U209" s="73" t="str">
        <f t="shared" si="67"/>
        <v/>
      </c>
      <c r="V209" s="73" t="str">
        <f t="shared" si="67"/>
        <v/>
      </c>
      <c r="W209" s="73" t="str">
        <f t="shared" si="67"/>
        <v/>
      </c>
      <c r="X209" s="73" t="str">
        <f t="shared" si="67"/>
        <v/>
      </c>
      <c r="Y209" s="73" t="str">
        <f t="shared" si="67"/>
        <v/>
      </c>
      <c r="Z209" s="73" t="str">
        <f t="shared" si="67"/>
        <v/>
      </c>
      <c r="AA209" s="73" t="str">
        <f t="shared" si="67"/>
        <v/>
      </c>
      <c r="AB209" s="74" t="str">
        <f t="shared" si="67"/>
        <v/>
      </c>
      <c r="AC209" s="35" t="str">
        <f t="shared" si="57"/>
        <v/>
      </c>
      <c r="AD209" s="40" t="str">
        <f t="shared" si="58"/>
        <v/>
      </c>
      <c r="AE209" s="37" t="str">
        <f t="shared" si="59"/>
        <v/>
      </c>
      <c r="AF209" s="40" t="str">
        <f t="shared" si="60"/>
        <v/>
      </c>
      <c r="AG209" s="37" t="str">
        <f t="shared" si="61"/>
        <v/>
      </c>
      <c r="AH209" s="40" t="str">
        <f t="shared" si="62"/>
        <v/>
      </c>
      <c r="AI209" s="37" t="str">
        <f t="shared" si="63"/>
        <v/>
      </c>
      <c r="AJ209" s="40" t="str">
        <f t="shared" si="64"/>
        <v/>
      </c>
      <c r="AK209" s="204" t="str">
        <f>IF(C209="","",IF(E209=FROTA!$AT$18,IF('DEFINA!!!'!$L$6="D-E-F-I-N-A !!!!!!!",0,IF('DEFINA!!!'!$L$6="Opto por Idade Média",SEM!AW209,IF('DEFINA!!!'!$L$6="Opto pelo Valor aplicado ao  Ano de cada Carro",SEM!AX209,0))),IF(E209=FROTA!$AT$17,IF('DEFINA!!!'!$L$6="D-E-F-I-N-A !!!!!!!",0,IF('DEFINA!!!'!$L$6="Opto por Idade Média",SEM!AW209,IF('DEFINA!!!'!$L$6="Opto pelo Valor aplicado ao  Ano de cada Carro",SEM!AX209,0))),IF(E209=FROTA!$AT$16,IF('DEFINA!!!'!$L$6="D-E-F-I-N-A !!!!!!!",0,IF('DEFINA!!!'!$L$6="Opto por Idade Média",SEM!AW209,IF('DEFINA!!!'!$L$6="Opto pelo Valor aplicado ao  Ano de cada Carro",SEM!AX209,0))),IF('DEFINA!!!'!$L$6="D-E-F-I-N-A !!!!!!!",0,IF('DEFINA!!!'!$L$6="Opto por Idade Média",SEM!AU209,IF('DEFINA!!!'!$L$6="Opto pelo Valor aplicado ao  Ano de cada Carro",SEM!AV209,0)))))))</f>
        <v/>
      </c>
      <c r="AL209" s="6"/>
      <c r="AM209" s="79" t="str">
        <f t="shared" si="65"/>
        <v/>
      </c>
      <c r="AR209" s="5"/>
      <c r="AU209" s="198" t="str">
        <f>IF(C209="","",VLOOKUP(FROTA!$AB$2,RECEBÍVEIS!$AA$11:$AB$43,2,0))</f>
        <v/>
      </c>
      <c r="AV209" s="198" t="str">
        <f>IF(C209="","",IF(C209=FROTA!Z209="","",VLOOKUP(FROTA!Z209,RECEBÍVEIS!$AA$11:$AB$43,2,0)))</f>
        <v/>
      </c>
      <c r="AW209" s="198" t="str">
        <f>IF(C209="","",VLOOKUP(FROTA!$AB$2,RECEBÍVEIS!$AA$11:$AC$43,3,0))</f>
        <v/>
      </c>
      <c r="AX209" s="198" t="str">
        <f>IF(C209="","",IF(C209=FROTA!Z209="","",VLOOKUP(FROTA!Z209,RECEBÍVEIS!$AA$11:$AC$43,3,0)))</f>
        <v/>
      </c>
    </row>
    <row r="210" spans="2:50" ht="17.25" customHeight="1" x14ac:dyDescent="0.2">
      <c r="B210" s="6"/>
      <c r="C210" s="49" t="str">
        <f>IF(FROTA!B210="","",FROTA!B210)</f>
        <v/>
      </c>
      <c r="D210" s="220" t="str">
        <f>IF(C210="","",VLOOKUP(SEM!C210,FROTA!$B$5:$C$305,2,0))</f>
        <v/>
      </c>
      <c r="E210" s="24" t="str">
        <f>IF(C210="","",VLOOKUP(C210,FROTA!$B$5:$H$305,7,0))</f>
        <v/>
      </c>
      <c r="F210" s="38" t="str">
        <f t="shared" si="56"/>
        <v/>
      </c>
      <c r="G210" s="71" t="str">
        <f t="shared" si="66"/>
        <v/>
      </c>
      <c r="H210" s="32" t="str">
        <f t="shared" si="53"/>
        <v/>
      </c>
      <c r="I210" s="73" t="str">
        <f t="shared" si="53"/>
        <v/>
      </c>
      <c r="J210" s="73" t="str">
        <f t="shared" si="53"/>
        <v/>
      </c>
      <c r="K210" s="73" t="str">
        <f t="shared" si="54"/>
        <v/>
      </c>
      <c r="L210" s="73" t="str">
        <f t="shared" si="54"/>
        <v/>
      </c>
      <c r="M210" s="73" t="str">
        <f t="shared" si="54"/>
        <v/>
      </c>
      <c r="N210" s="73" t="str">
        <f t="shared" si="54"/>
        <v/>
      </c>
      <c r="O210" s="73" t="str">
        <f t="shared" si="54"/>
        <v/>
      </c>
      <c r="P210" s="73" t="str">
        <f t="shared" si="54"/>
        <v/>
      </c>
      <c r="Q210" s="73" t="str">
        <f t="shared" si="54"/>
        <v/>
      </c>
      <c r="R210" s="73" t="str">
        <f t="shared" si="67"/>
        <v/>
      </c>
      <c r="S210" s="73" t="str">
        <f t="shared" si="67"/>
        <v/>
      </c>
      <c r="T210" s="73" t="str">
        <f t="shared" si="67"/>
        <v/>
      </c>
      <c r="U210" s="73" t="str">
        <f t="shared" si="67"/>
        <v/>
      </c>
      <c r="V210" s="73" t="str">
        <f t="shared" si="67"/>
        <v/>
      </c>
      <c r="W210" s="73" t="str">
        <f t="shared" si="67"/>
        <v/>
      </c>
      <c r="X210" s="73" t="str">
        <f t="shared" si="67"/>
        <v/>
      </c>
      <c r="Y210" s="73" t="str">
        <f t="shared" si="67"/>
        <v/>
      </c>
      <c r="Z210" s="73" t="str">
        <f t="shared" si="67"/>
        <v/>
      </c>
      <c r="AA210" s="73" t="str">
        <f t="shared" si="67"/>
        <v/>
      </c>
      <c r="AB210" s="74" t="str">
        <f t="shared" si="67"/>
        <v/>
      </c>
      <c r="AC210" s="35" t="str">
        <f t="shared" si="57"/>
        <v/>
      </c>
      <c r="AD210" s="40" t="str">
        <f t="shared" si="58"/>
        <v/>
      </c>
      <c r="AE210" s="37" t="str">
        <f t="shared" si="59"/>
        <v/>
      </c>
      <c r="AF210" s="40" t="str">
        <f t="shared" si="60"/>
        <v/>
      </c>
      <c r="AG210" s="37" t="str">
        <f t="shared" si="61"/>
        <v/>
      </c>
      <c r="AH210" s="40" t="str">
        <f t="shared" si="62"/>
        <v/>
      </c>
      <c r="AI210" s="37" t="str">
        <f t="shared" si="63"/>
        <v/>
      </c>
      <c r="AJ210" s="40" t="str">
        <f t="shared" si="64"/>
        <v/>
      </c>
      <c r="AK210" s="204" t="str">
        <f>IF(C210="","",IF(E210=FROTA!$AT$18,IF('DEFINA!!!'!$L$6="D-E-F-I-N-A !!!!!!!",0,IF('DEFINA!!!'!$L$6="Opto por Idade Média",SEM!AW210,IF('DEFINA!!!'!$L$6="Opto pelo Valor aplicado ao  Ano de cada Carro",SEM!AX210,0))),IF(E210=FROTA!$AT$17,IF('DEFINA!!!'!$L$6="D-E-F-I-N-A !!!!!!!",0,IF('DEFINA!!!'!$L$6="Opto por Idade Média",SEM!AW210,IF('DEFINA!!!'!$L$6="Opto pelo Valor aplicado ao  Ano de cada Carro",SEM!AX210,0))),IF(E210=FROTA!$AT$16,IF('DEFINA!!!'!$L$6="D-E-F-I-N-A !!!!!!!",0,IF('DEFINA!!!'!$L$6="Opto por Idade Média",SEM!AW210,IF('DEFINA!!!'!$L$6="Opto pelo Valor aplicado ao  Ano de cada Carro",SEM!AX210,0))),IF('DEFINA!!!'!$L$6="D-E-F-I-N-A !!!!!!!",0,IF('DEFINA!!!'!$L$6="Opto por Idade Média",SEM!AU210,IF('DEFINA!!!'!$L$6="Opto pelo Valor aplicado ao  Ano de cada Carro",SEM!AV210,0)))))))</f>
        <v/>
      </c>
      <c r="AL210" s="6"/>
      <c r="AM210" s="79" t="str">
        <f t="shared" si="65"/>
        <v/>
      </c>
      <c r="AR210" s="5"/>
      <c r="AU210" s="198" t="str">
        <f>IF(C210="","",VLOOKUP(FROTA!$AB$2,RECEBÍVEIS!$AA$11:$AB$43,2,0))</f>
        <v/>
      </c>
      <c r="AV210" s="198" t="str">
        <f>IF(C210="","",IF(C210=FROTA!Z210="","",VLOOKUP(FROTA!Z210,RECEBÍVEIS!$AA$11:$AB$43,2,0)))</f>
        <v/>
      </c>
      <c r="AW210" s="198" t="str">
        <f>IF(C210="","",VLOOKUP(FROTA!$AB$2,RECEBÍVEIS!$AA$11:$AC$43,3,0))</f>
        <v/>
      </c>
      <c r="AX210" s="198" t="str">
        <f>IF(C210="","",IF(C210=FROTA!Z210="","",VLOOKUP(FROTA!Z210,RECEBÍVEIS!$AA$11:$AC$43,3,0)))</f>
        <v/>
      </c>
    </row>
    <row r="211" spans="2:50" ht="17.25" customHeight="1" x14ac:dyDescent="0.2">
      <c r="B211" s="6"/>
      <c r="C211" s="49" t="str">
        <f>IF(FROTA!B211="","",FROTA!B211)</f>
        <v/>
      </c>
      <c r="D211" s="220" t="str">
        <f>IF(C211="","",VLOOKUP(SEM!C211,FROTA!$B$5:$C$305,2,0))</f>
        <v/>
      </c>
      <c r="E211" s="24" t="str">
        <f>IF(C211="","",VLOOKUP(C211,FROTA!$B$5:$H$305,7,0))</f>
        <v/>
      </c>
      <c r="F211" s="38" t="str">
        <f t="shared" si="56"/>
        <v/>
      </c>
      <c r="G211" s="71" t="str">
        <f t="shared" si="66"/>
        <v/>
      </c>
      <c r="H211" s="32" t="str">
        <f t="shared" si="53"/>
        <v/>
      </c>
      <c r="I211" s="73" t="str">
        <f t="shared" si="53"/>
        <v/>
      </c>
      <c r="J211" s="73" t="str">
        <f t="shared" si="53"/>
        <v/>
      </c>
      <c r="K211" s="73" t="str">
        <f t="shared" si="54"/>
        <v/>
      </c>
      <c r="L211" s="73" t="str">
        <f t="shared" si="54"/>
        <v/>
      </c>
      <c r="M211" s="73" t="str">
        <f t="shared" si="54"/>
        <v/>
      </c>
      <c r="N211" s="73" t="str">
        <f t="shared" si="54"/>
        <v/>
      </c>
      <c r="O211" s="73" t="str">
        <f t="shared" si="54"/>
        <v/>
      </c>
      <c r="P211" s="73" t="str">
        <f t="shared" si="54"/>
        <v/>
      </c>
      <c r="Q211" s="73" t="str">
        <f t="shared" si="54"/>
        <v/>
      </c>
      <c r="R211" s="73" t="str">
        <f t="shared" si="67"/>
        <v/>
      </c>
      <c r="S211" s="73" t="str">
        <f t="shared" si="67"/>
        <v/>
      </c>
      <c r="T211" s="73" t="str">
        <f t="shared" si="67"/>
        <v/>
      </c>
      <c r="U211" s="73" t="str">
        <f t="shared" si="67"/>
        <v/>
      </c>
      <c r="V211" s="73" t="str">
        <f t="shared" si="67"/>
        <v/>
      </c>
      <c r="W211" s="73" t="str">
        <f t="shared" si="67"/>
        <v/>
      </c>
      <c r="X211" s="73" t="str">
        <f t="shared" si="67"/>
        <v/>
      </c>
      <c r="Y211" s="73" t="str">
        <f t="shared" si="67"/>
        <v/>
      </c>
      <c r="Z211" s="73" t="str">
        <f t="shared" si="67"/>
        <v/>
      </c>
      <c r="AA211" s="73" t="str">
        <f t="shared" si="67"/>
        <v/>
      </c>
      <c r="AB211" s="74" t="str">
        <f t="shared" si="67"/>
        <v/>
      </c>
      <c r="AC211" s="35" t="str">
        <f t="shared" si="57"/>
        <v/>
      </c>
      <c r="AD211" s="40" t="str">
        <f t="shared" si="58"/>
        <v/>
      </c>
      <c r="AE211" s="37" t="str">
        <f t="shared" si="59"/>
        <v/>
      </c>
      <c r="AF211" s="40" t="str">
        <f t="shared" si="60"/>
        <v/>
      </c>
      <c r="AG211" s="37" t="str">
        <f t="shared" si="61"/>
        <v/>
      </c>
      <c r="AH211" s="40" t="str">
        <f t="shared" si="62"/>
        <v/>
      </c>
      <c r="AI211" s="37" t="str">
        <f t="shared" si="63"/>
        <v/>
      </c>
      <c r="AJ211" s="40" t="str">
        <f t="shared" si="64"/>
        <v/>
      </c>
      <c r="AK211" s="204" t="str">
        <f>IF(C211="","",IF(E211=FROTA!$AT$18,IF('DEFINA!!!'!$L$6="D-E-F-I-N-A !!!!!!!",0,IF('DEFINA!!!'!$L$6="Opto por Idade Média",SEM!AW211,IF('DEFINA!!!'!$L$6="Opto pelo Valor aplicado ao  Ano de cada Carro",SEM!AX211,0))),IF(E211=FROTA!$AT$17,IF('DEFINA!!!'!$L$6="D-E-F-I-N-A !!!!!!!",0,IF('DEFINA!!!'!$L$6="Opto por Idade Média",SEM!AW211,IF('DEFINA!!!'!$L$6="Opto pelo Valor aplicado ao  Ano de cada Carro",SEM!AX211,0))),IF(E211=FROTA!$AT$16,IF('DEFINA!!!'!$L$6="D-E-F-I-N-A !!!!!!!",0,IF('DEFINA!!!'!$L$6="Opto por Idade Média",SEM!AW211,IF('DEFINA!!!'!$L$6="Opto pelo Valor aplicado ao  Ano de cada Carro",SEM!AX211,0))),IF('DEFINA!!!'!$L$6="D-E-F-I-N-A !!!!!!!",0,IF('DEFINA!!!'!$L$6="Opto por Idade Média",SEM!AU211,IF('DEFINA!!!'!$L$6="Opto pelo Valor aplicado ao  Ano de cada Carro",SEM!AV211,0)))))))</f>
        <v/>
      </c>
      <c r="AL211" s="6"/>
      <c r="AM211" s="79" t="str">
        <f t="shared" si="65"/>
        <v/>
      </c>
      <c r="AR211" s="5"/>
      <c r="AU211" s="198" t="str">
        <f>IF(C211="","",VLOOKUP(FROTA!$AB$2,RECEBÍVEIS!$AA$11:$AB$43,2,0))</f>
        <v/>
      </c>
      <c r="AV211" s="198" t="str">
        <f>IF(C211="","",IF(C211=FROTA!Z211="","",VLOOKUP(FROTA!Z211,RECEBÍVEIS!$AA$11:$AB$43,2,0)))</f>
        <v/>
      </c>
      <c r="AW211" s="198" t="str">
        <f>IF(C211="","",VLOOKUP(FROTA!$AB$2,RECEBÍVEIS!$AA$11:$AC$43,3,0))</f>
        <v/>
      </c>
      <c r="AX211" s="198" t="str">
        <f>IF(C211="","",IF(C211=FROTA!Z211="","",VLOOKUP(FROTA!Z211,RECEBÍVEIS!$AA$11:$AC$43,3,0)))</f>
        <v/>
      </c>
    </row>
    <row r="212" spans="2:50" ht="17.25" customHeight="1" x14ac:dyDescent="0.2">
      <c r="B212" s="6"/>
      <c r="C212" s="49" t="str">
        <f>IF(FROTA!B212="","",FROTA!B212)</f>
        <v/>
      </c>
      <c r="D212" s="220" t="str">
        <f>IF(C212="","",VLOOKUP(SEM!C212,FROTA!$B$5:$C$305,2,0))</f>
        <v/>
      </c>
      <c r="E212" s="24" t="str">
        <f>IF(C212="","",VLOOKUP(C212,FROTA!$B$5:$H$305,7,0))</f>
        <v/>
      </c>
      <c r="F212" s="38" t="str">
        <f t="shared" si="56"/>
        <v/>
      </c>
      <c r="G212" s="71" t="str">
        <f t="shared" si="66"/>
        <v/>
      </c>
      <c r="H212" s="32" t="str">
        <f t="shared" si="53"/>
        <v/>
      </c>
      <c r="I212" s="73" t="str">
        <f t="shared" si="53"/>
        <v/>
      </c>
      <c r="J212" s="73" t="str">
        <f t="shared" si="53"/>
        <v/>
      </c>
      <c r="K212" s="73" t="str">
        <f t="shared" si="54"/>
        <v/>
      </c>
      <c r="L212" s="73" t="str">
        <f t="shared" si="54"/>
        <v/>
      </c>
      <c r="M212" s="73" t="str">
        <f t="shared" si="54"/>
        <v/>
      </c>
      <c r="N212" s="73" t="str">
        <f t="shared" si="54"/>
        <v/>
      </c>
      <c r="O212" s="73" t="str">
        <f t="shared" si="54"/>
        <v/>
      </c>
      <c r="P212" s="73" t="str">
        <f t="shared" si="54"/>
        <v/>
      </c>
      <c r="Q212" s="73" t="str">
        <f t="shared" si="54"/>
        <v/>
      </c>
      <c r="R212" s="73" t="str">
        <f t="shared" si="67"/>
        <v/>
      </c>
      <c r="S212" s="73" t="str">
        <f t="shared" si="67"/>
        <v/>
      </c>
      <c r="T212" s="73" t="str">
        <f t="shared" si="67"/>
        <v/>
      </c>
      <c r="U212" s="73" t="str">
        <f t="shared" si="67"/>
        <v/>
      </c>
      <c r="V212" s="73" t="str">
        <f t="shared" si="67"/>
        <v/>
      </c>
      <c r="W212" s="73" t="str">
        <f t="shared" si="67"/>
        <v/>
      </c>
      <c r="X212" s="73" t="str">
        <f t="shared" si="67"/>
        <v/>
      </c>
      <c r="Y212" s="73" t="str">
        <f t="shared" si="67"/>
        <v/>
      </c>
      <c r="Z212" s="73" t="str">
        <f t="shared" si="67"/>
        <v/>
      </c>
      <c r="AA212" s="73" t="str">
        <f t="shared" si="67"/>
        <v/>
      </c>
      <c r="AB212" s="74" t="str">
        <f t="shared" si="67"/>
        <v/>
      </c>
      <c r="AC212" s="35" t="str">
        <f t="shared" si="57"/>
        <v/>
      </c>
      <c r="AD212" s="40" t="str">
        <f t="shared" si="58"/>
        <v/>
      </c>
      <c r="AE212" s="37" t="str">
        <f t="shared" si="59"/>
        <v/>
      </c>
      <c r="AF212" s="40" t="str">
        <f t="shared" si="60"/>
        <v/>
      </c>
      <c r="AG212" s="37" t="str">
        <f t="shared" si="61"/>
        <v/>
      </c>
      <c r="AH212" s="40" t="str">
        <f t="shared" si="62"/>
        <v/>
      </c>
      <c r="AI212" s="37" t="str">
        <f t="shared" si="63"/>
        <v/>
      </c>
      <c r="AJ212" s="40" t="str">
        <f t="shared" si="64"/>
        <v/>
      </c>
      <c r="AK212" s="204" t="str">
        <f>IF(C212="","",IF(E212=FROTA!$AT$18,IF('DEFINA!!!'!$L$6="D-E-F-I-N-A !!!!!!!",0,IF('DEFINA!!!'!$L$6="Opto por Idade Média",SEM!AW212,IF('DEFINA!!!'!$L$6="Opto pelo Valor aplicado ao  Ano de cada Carro",SEM!AX212,0))),IF(E212=FROTA!$AT$17,IF('DEFINA!!!'!$L$6="D-E-F-I-N-A !!!!!!!",0,IF('DEFINA!!!'!$L$6="Opto por Idade Média",SEM!AW212,IF('DEFINA!!!'!$L$6="Opto pelo Valor aplicado ao  Ano de cada Carro",SEM!AX212,0))),IF(E212=FROTA!$AT$16,IF('DEFINA!!!'!$L$6="D-E-F-I-N-A !!!!!!!",0,IF('DEFINA!!!'!$L$6="Opto por Idade Média",SEM!AW212,IF('DEFINA!!!'!$L$6="Opto pelo Valor aplicado ao  Ano de cada Carro",SEM!AX212,0))),IF('DEFINA!!!'!$L$6="D-E-F-I-N-A !!!!!!!",0,IF('DEFINA!!!'!$L$6="Opto por Idade Média",SEM!AU212,IF('DEFINA!!!'!$L$6="Opto pelo Valor aplicado ao  Ano de cada Carro",SEM!AV212,0)))))))</f>
        <v/>
      </c>
      <c r="AL212" s="6"/>
      <c r="AM212" s="79" t="str">
        <f t="shared" si="65"/>
        <v/>
      </c>
      <c r="AR212" s="5"/>
      <c r="AU212" s="198" t="str">
        <f>IF(C212="","",VLOOKUP(FROTA!$AB$2,RECEBÍVEIS!$AA$11:$AB$43,2,0))</f>
        <v/>
      </c>
      <c r="AV212" s="198" t="str">
        <f>IF(C212="","",IF(C212=FROTA!Z212="","",VLOOKUP(FROTA!Z212,RECEBÍVEIS!$AA$11:$AB$43,2,0)))</f>
        <v/>
      </c>
      <c r="AW212" s="198" t="str">
        <f>IF(C212="","",VLOOKUP(FROTA!$AB$2,RECEBÍVEIS!$AA$11:$AC$43,3,0))</f>
        <v/>
      </c>
      <c r="AX212" s="198" t="str">
        <f>IF(C212="","",IF(C212=FROTA!Z212="","",VLOOKUP(FROTA!Z212,RECEBÍVEIS!$AA$11:$AC$43,3,0)))</f>
        <v/>
      </c>
    </row>
    <row r="213" spans="2:50" ht="17.25" customHeight="1" x14ac:dyDescent="0.2">
      <c r="B213" s="6"/>
      <c r="C213" s="49" t="str">
        <f>IF(FROTA!B213="","",FROTA!B213)</f>
        <v/>
      </c>
      <c r="D213" s="220" t="str">
        <f>IF(C213="","",VLOOKUP(SEM!C213,FROTA!$B$5:$C$305,2,0))</f>
        <v/>
      </c>
      <c r="E213" s="24" t="str">
        <f>IF(C213="","",VLOOKUP(C213,FROTA!$B$5:$H$305,7,0))</f>
        <v/>
      </c>
      <c r="F213" s="38" t="str">
        <f t="shared" si="56"/>
        <v/>
      </c>
      <c r="G213" s="71" t="str">
        <f t="shared" si="66"/>
        <v/>
      </c>
      <c r="H213" s="32" t="str">
        <f t="shared" si="53"/>
        <v/>
      </c>
      <c r="I213" s="73" t="str">
        <f t="shared" si="53"/>
        <v/>
      </c>
      <c r="J213" s="73" t="str">
        <f t="shared" si="53"/>
        <v/>
      </c>
      <c r="K213" s="73" t="str">
        <f t="shared" si="54"/>
        <v/>
      </c>
      <c r="L213" s="73" t="str">
        <f t="shared" si="54"/>
        <v/>
      </c>
      <c r="M213" s="73" t="str">
        <f t="shared" si="54"/>
        <v/>
      </c>
      <c r="N213" s="73" t="str">
        <f t="shared" si="54"/>
        <v/>
      </c>
      <c r="O213" s="73" t="str">
        <f t="shared" si="54"/>
        <v/>
      </c>
      <c r="P213" s="73" t="str">
        <f t="shared" si="54"/>
        <v/>
      </c>
      <c r="Q213" s="73" t="str">
        <f t="shared" si="54"/>
        <v/>
      </c>
      <c r="R213" s="73" t="str">
        <f t="shared" si="67"/>
        <v/>
      </c>
      <c r="S213" s="73" t="str">
        <f t="shared" si="67"/>
        <v/>
      </c>
      <c r="T213" s="73" t="str">
        <f t="shared" si="67"/>
        <v/>
      </c>
      <c r="U213" s="73" t="str">
        <f t="shared" si="67"/>
        <v/>
      </c>
      <c r="V213" s="73" t="str">
        <f t="shared" si="67"/>
        <v/>
      </c>
      <c r="W213" s="73" t="str">
        <f t="shared" si="67"/>
        <v/>
      </c>
      <c r="X213" s="73" t="str">
        <f t="shared" si="67"/>
        <v/>
      </c>
      <c r="Y213" s="73" t="str">
        <f t="shared" si="67"/>
        <v/>
      </c>
      <c r="Z213" s="73" t="str">
        <f t="shared" si="67"/>
        <v/>
      </c>
      <c r="AA213" s="73" t="str">
        <f t="shared" si="67"/>
        <v/>
      </c>
      <c r="AB213" s="74" t="str">
        <f t="shared" si="67"/>
        <v/>
      </c>
      <c r="AC213" s="35" t="str">
        <f t="shared" si="57"/>
        <v/>
      </c>
      <c r="AD213" s="40" t="str">
        <f t="shared" si="58"/>
        <v/>
      </c>
      <c r="AE213" s="37" t="str">
        <f t="shared" si="59"/>
        <v/>
      </c>
      <c r="AF213" s="40" t="str">
        <f t="shared" si="60"/>
        <v/>
      </c>
      <c r="AG213" s="37" t="str">
        <f t="shared" si="61"/>
        <v/>
      </c>
      <c r="AH213" s="40" t="str">
        <f t="shared" si="62"/>
        <v/>
      </c>
      <c r="AI213" s="37" t="str">
        <f t="shared" si="63"/>
        <v/>
      </c>
      <c r="AJ213" s="40" t="str">
        <f t="shared" si="64"/>
        <v/>
      </c>
      <c r="AK213" s="204" t="str">
        <f>IF(C213="","",IF(E213=FROTA!$AT$18,IF('DEFINA!!!'!$L$6="D-E-F-I-N-A !!!!!!!",0,IF('DEFINA!!!'!$L$6="Opto por Idade Média",SEM!AW213,IF('DEFINA!!!'!$L$6="Opto pelo Valor aplicado ao  Ano de cada Carro",SEM!AX213,0))),IF(E213=FROTA!$AT$17,IF('DEFINA!!!'!$L$6="D-E-F-I-N-A !!!!!!!",0,IF('DEFINA!!!'!$L$6="Opto por Idade Média",SEM!AW213,IF('DEFINA!!!'!$L$6="Opto pelo Valor aplicado ao  Ano de cada Carro",SEM!AX213,0))),IF(E213=FROTA!$AT$16,IF('DEFINA!!!'!$L$6="D-E-F-I-N-A !!!!!!!",0,IF('DEFINA!!!'!$L$6="Opto por Idade Média",SEM!AW213,IF('DEFINA!!!'!$L$6="Opto pelo Valor aplicado ao  Ano de cada Carro",SEM!AX213,0))),IF('DEFINA!!!'!$L$6="D-E-F-I-N-A !!!!!!!",0,IF('DEFINA!!!'!$L$6="Opto por Idade Média",SEM!AU213,IF('DEFINA!!!'!$L$6="Opto pelo Valor aplicado ao  Ano de cada Carro",SEM!AV213,0)))))))</f>
        <v/>
      </c>
      <c r="AL213" s="6"/>
      <c r="AM213" s="79" t="str">
        <f t="shared" si="65"/>
        <v/>
      </c>
      <c r="AR213" s="5"/>
      <c r="AU213" s="198" t="str">
        <f>IF(C213="","",VLOOKUP(FROTA!$AB$2,RECEBÍVEIS!$AA$11:$AB$43,2,0))</f>
        <v/>
      </c>
      <c r="AV213" s="198" t="str">
        <f>IF(C213="","",IF(C213=FROTA!Z213="","",VLOOKUP(FROTA!Z213,RECEBÍVEIS!$AA$11:$AB$43,2,0)))</f>
        <v/>
      </c>
      <c r="AW213" s="198" t="str">
        <f>IF(C213="","",VLOOKUP(FROTA!$AB$2,RECEBÍVEIS!$AA$11:$AC$43,3,0))</f>
        <v/>
      </c>
      <c r="AX213" s="198" t="str">
        <f>IF(C213="","",IF(C213=FROTA!Z213="","",VLOOKUP(FROTA!Z213,RECEBÍVEIS!$AA$11:$AC$43,3,0)))</f>
        <v/>
      </c>
    </row>
    <row r="214" spans="2:50" ht="17.25" customHeight="1" x14ac:dyDescent="0.2">
      <c r="B214" s="6"/>
      <c r="C214" s="49" t="str">
        <f>IF(FROTA!B214="","",FROTA!B214)</f>
        <v/>
      </c>
      <c r="D214" s="220" t="str">
        <f>IF(C214="","",VLOOKUP(SEM!C214,FROTA!$B$5:$C$305,2,0))</f>
        <v/>
      </c>
      <c r="E214" s="24" t="str">
        <f>IF(C214="","",VLOOKUP(C214,FROTA!$B$5:$H$305,7,0))</f>
        <v/>
      </c>
      <c r="F214" s="38" t="str">
        <f t="shared" si="56"/>
        <v/>
      </c>
      <c r="G214" s="71" t="str">
        <f t="shared" si="66"/>
        <v/>
      </c>
      <c r="H214" s="32" t="str">
        <f t="shared" si="53"/>
        <v/>
      </c>
      <c r="I214" s="73" t="str">
        <f t="shared" si="53"/>
        <v/>
      </c>
      <c r="J214" s="73" t="str">
        <f t="shared" si="53"/>
        <v/>
      </c>
      <c r="K214" s="73" t="str">
        <f t="shared" si="54"/>
        <v/>
      </c>
      <c r="L214" s="73" t="str">
        <f t="shared" si="54"/>
        <v/>
      </c>
      <c r="M214" s="73" t="str">
        <f t="shared" si="54"/>
        <v/>
      </c>
      <c r="N214" s="73" t="str">
        <f t="shared" si="54"/>
        <v/>
      </c>
      <c r="O214" s="73" t="str">
        <f t="shared" si="54"/>
        <v/>
      </c>
      <c r="P214" s="73" t="str">
        <f t="shared" si="54"/>
        <v/>
      </c>
      <c r="Q214" s="73" t="str">
        <f t="shared" si="54"/>
        <v/>
      </c>
      <c r="R214" s="73" t="str">
        <f t="shared" si="67"/>
        <v/>
      </c>
      <c r="S214" s="73" t="str">
        <f t="shared" si="67"/>
        <v/>
      </c>
      <c r="T214" s="73" t="str">
        <f t="shared" si="67"/>
        <v/>
      </c>
      <c r="U214" s="73" t="str">
        <f t="shared" si="67"/>
        <v/>
      </c>
      <c r="V214" s="73" t="str">
        <f t="shared" si="67"/>
        <v/>
      </c>
      <c r="W214" s="73" t="str">
        <f t="shared" si="67"/>
        <v/>
      </c>
      <c r="X214" s="73" t="str">
        <f t="shared" si="67"/>
        <v/>
      </c>
      <c r="Y214" s="73" t="str">
        <f t="shared" si="67"/>
        <v/>
      </c>
      <c r="Z214" s="73" t="str">
        <f t="shared" si="67"/>
        <v/>
      </c>
      <c r="AA214" s="73" t="str">
        <f t="shared" si="67"/>
        <v/>
      </c>
      <c r="AB214" s="74" t="str">
        <f t="shared" si="67"/>
        <v/>
      </c>
      <c r="AC214" s="35" t="str">
        <f t="shared" si="57"/>
        <v/>
      </c>
      <c r="AD214" s="40" t="str">
        <f t="shared" si="58"/>
        <v/>
      </c>
      <c r="AE214" s="37" t="str">
        <f t="shared" si="59"/>
        <v/>
      </c>
      <c r="AF214" s="40" t="str">
        <f t="shared" si="60"/>
        <v/>
      </c>
      <c r="AG214" s="37" t="str">
        <f t="shared" si="61"/>
        <v/>
      </c>
      <c r="AH214" s="40" t="str">
        <f t="shared" si="62"/>
        <v/>
      </c>
      <c r="AI214" s="37" t="str">
        <f t="shared" si="63"/>
        <v/>
      </c>
      <c r="AJ214" s="40" t="str">
        <f t="shared" si="64"/>
        <v/>
      </c>
      <c r="AK214" s="204" t="str">
        <f>IF(C214="","",IF(E214=FROTA!$AT$18,IF('DEFINA!!!'!$L$6="D-E-F-I-N-A !!!!!!!",0,IF('DEFINA!!!'!$L$6="Opto por Idade Média",SEM!AW214,IF('DEFINA!!!'!$L$6="Opto pelo Valor aplicado ao  Ano de cada Carro",SEM!AX214,0))),IF(E214=FROTA!$AT$17,IF('DEFINA!!!'!$L$6="D-E-F-I-N-A !!!!!!!",0,IF('DEFINA!!!'!$L$6="Opto por Idade Média",SEM!AW214,IF('DEFINA!!!'!$L$6="Opto pelo Valor aplicado ao  Ano de cada Carro",SEM!AX214,0))),IF(E214=FROTA!$AT$16,IF('DEFINA!!!'!$L$6="D-E-F-I-N-A !!!!!!!",0,IF('DEFINA!!!'!$L$6="Opto por Idade Média",SEM!AW214,IF('DEFINA!!!'!$L$6="Opto pelo Valor aplicado ao  Ano de cada Carro",SEM!AX214,0))),IF('DEFINA!!!'!$L$6="D-E-F-I-N-A !!!!!!!",0,IF('DEFINA!!!'!$L$6="Opto por Idade Média",SEM!AU214,IF('DEFINA!!!'!$L$6="Opto pelo Valor aplicado ao  Ano de cada Carro",SEM!AV214,0)))))))</f>
        <v/>
      </c>
      <c r="AL214" s="6"/>
      <c r="AM214" s="79" t="str">
        <f t="shared" si="65"/>
        <v/>
      </c>
      <c r="AR214" s="5"/>
      <c r="AU214" s="198" t="str">
        <f>IF(C214="","",VLOOKUP(FROTA!$AB$2,RECEBÍVEIS!$AA$11:$AB$43,2,0))</f>
        <v/>
      </c>
      <c r="AV214" s="198" t="str">
        <f>IF(C214="","",IF(C214=FROTA!Z214="","",VLOOKUP(FROTA!Z214,RECEBÍVEIS!$AA$11:$AB$43,2,0)))</f>
        <v/>
      </c>
      <c r="AW214" s="198" t="str">
        <f>IF(C214="","",VLOOKUP(FROTA!$AB$2,RECEBÍVEIS!$AA$11:$AC$43,3,0))</f>
        <v/>
      </c>
      <c r="AX214" s="198" t="str">
        <f>IF(C214="","",IF(C214=FROTA!Z214="","",VLOOKUP(FROTA!Z214,RECEBÍVEIS!$AA$11:$AC$43,3,0)))</f>
        <v/>
      </c>
    </row>
    <row r="215" spans="2:50" ht="17.25" customHeight="1" x14ac:dyDescent="0.2">
      <c r="B215" s="6"/>
      <c r="C215" s="49" t="str">
        <f>IF(FROTA!B215="","",FROTA!B215)</f>
        <v/>
      </c>
      <c r="D215" s="220" t="str">
        <f>IF(C215="","",VLOOKUP(SEM!C215,FROTA!$B$5:$C$305,2,0))</f>
        <v/>
      </c>
      <c r="E215" s="24" t="str">
        <f>IF(C215="","",VLOOKUP(C215,FROTA!$B$5:$H$305,7,0))</f>
        <v/>
      </c>
      <c r="F215" s="38" t="str">
        <f t="shared" si="56"/>
        <v/>
      </c>
      <c r="G215" s="71" t="str">
        <f t="shared" si="66"/>
        <v/>
      </c>
      <c r="H215" s="32" t="str">
        <f t="shared" si="53"/>
        <v/>
      </c>
      <c r="I215" s="73" t="str">
        <f t="shared" si="53"/>
        <v/>
      </c>
      <c r="J215" s="73" t="str">
        <f t="shared" si="53"/>
        <v/>
      </c>
      <c r="K215" s="73" t="str">
        <f t="shared" si="54"/>
        <v/>
      </c>
      <c r="L215" s="73" t="str">
        <f t="shared" si="54"/>
        <v/>
      </c>
      <c r="M215" s="73" t="str">
        <f t="shared" si="54"/>
        <v/>
      </c>
      <c r="N215" s="73" t="str">
        <f t="shared" si="54"/>
        <v/>
      </c>
      <c r="O215" s="73" t="str">
        <f t="shared" si="54"/>
        <v/>
      </c>
      <c r="P215" s="73" t="str">
        <f t="shared" si="54"/>
        <v/>
      </c>
      <c r="Q215" s="73" t="str">
        <f t="shared" si="54"/>
        <v/>
      </c>
      <c r="R215" s="73" t="str">
        <f t="shared" si="67"/>
        <v/>
      </c>
      <c r="S215" s="73" t="str">
        <f t="shared" si="67"/>
        <v/>
      </c>
      <c r="T215" s="73" t="str">
        <f t="shared" si="67"/>
        <v/>
      </c>
      <c r="U215" s="73" t="str">
        <f t="shared" si="67"/>
        <v/>
      </c>
      <c r="V215" s="73" t="str">
        <f t="shared" si="67"/>
        <v/>
      </c>
      <c r="W215" s="73" t="str">
        <f t="shared" si="67"/>
        <v/>
      </c>
      <c r="X215" s="73" t="str">
        <f t="shared" si="67"/>
        <v/>
      </c>
      <c r="Y215" s="73" t="str">
        <f t="shared" si="67"/>
        <v/>
      </c>
      <c r="Z215" s="73" t="str">
        <f t="shared" si="67"/>
        <v/>
      </c>
      <c r="AA215" s="73" t="str">
        <f t="shared" si="67"/>
        <v/>
      </c>
      <c r="AB215" s="74" t="str">
        <f t="shared" si="67"/>
        <v/>
      </c>
      <c r="AC215" s="35" t="str">
        <f t="shared" si="57"/>
        <v/>
      </c>
      <c r="AD215" s="40" t="str">
        <f t="shared" si="58"/>
        <v/>
      </c>
      <c r="AE215" s="37" t="str">
        <f t="shared" si="59"/>
        <v/>
      </c>
      <c r="AF215" s="40" t="str">
        <f t="shared" si="60"/>
        <v/>
      </c>
      <c r="AG215" s="37" t="str">
        <f t="shared" si="61"/>
        <v/>
      </c>
      <c r="AH215" s="40" t="str">
        <f t="shared" si="62"/>
        <v/>
      </c>
      <c r="AI215" s="37" t="str">
        <f t="shared" si="63"/>
        <v/>
      </c>
      <c r="AJ215" s="40" t="str">
        <f t="shared" si="64"/>
        <v/>
      </c>
      <c r="AK215" s="204" t="str">
        <f>IF(C215="","",IF(E215=FROTA!$AT$18,IF('DEFINA!!!'!$L$6="D-E-F-I-N-A !!!!!!!",0,IF('DEFINA!!!'!$L$6="Opto por Idade Média",SEM!AW215,IF('DEFINA!!!'!$L$6="Opto pelo Valor aplicado ao  Ano de cada Carro",SEM!AX215,0))),IF(E215=FROTA!$AT$17,IF('DEFINA!!!'!$L$6="D-E-F-I-N-A !!!!!!!",0,IF('DEFINA!!!'!$L$6="Opto por Idade Média",SEM!AW215,IF('DEFINA!!!'!$L$6="Opto pelo Valor aplicado ao  Ano de cada Carro",SEM!AX215,0))),IF(E215=FROTA!$AT$16,IF('DEFINA!!!'!$L$6="D-E-F-I-N-A !!!!!!!",0,IF('DEFINA!!!'!$L$6="Opto por Idade Média",SEM!AW215,IF('DEFINA!!!'!$L$6="Opto pelo Valor aplicado ao  Ano de cada Carro",SEM!AX215,0))),IF('DEFINA!!!'!$L$6="D-E-F-I-N-A !!!!!!!",0,IF('DEFINA!!!'!$L$6="Opto por Idade Média",SEM!AU215,IF('DEFINA!!!'!$L$6="Opto pelo Valor aplicado ao  Ano de cada Carro",SEM!AV215,0)))))))</f>
        <v/>
      </c>
      <c r="AL215" s="6"/>
      <c r="AM215" s="79" t="str">
        <f t="shared" si="65"/>
        <v/>
      </c>
      <c r="AR215" s="5"/>
      <c r="AU215" s="198" t="str">
        <f>IF(C215="","",VLOOKUP(FROTA!$AB$2,RECEBÍVEIS!$AA$11:$AB$43,2,0))</f>
        <v/>
      </c>
      <c r="AV215" s="198" t="str">
        <f>IF(C215="","",IF(C215=FROTA!Z215="","",VLOOKUP(FROTA!Z215,RECEBÍVEIS!$AA$11:$AB$43,2,0)))</f>
        <v/>
      </c>
      <c r="AW215" s="198" t="str">
        <f>IF(C215="","",VLOOKUP(FROTA!$AB$2,RECEBÍVEIS!$AA$11:$AC$43,3,0))</f>
        <v/>
      </c>
      <c r="AX215" s="198" t="str">
        <f>IF(C215="","",IF(C215=FROTA!Z215="","",VLOOKUP(FROTA!Z215,RECEBÍVEIS!$AA$11:$AC$43,3,0)))</f>
        <v/>
      </c>
    </row>
    <row r="216" spans="2:50" ht="17.25" customHeight="1" x14ac:dyDescent="0.2">
      <c r="B216" s="6"/>
      <c r="C216" s="49" t="str">
        <f>IF(FROTA!B216="","",FROTA!B216)</f>
        <v/>
      </c>
      <c r="D216" s="220" t="str">
        <f>IF(C216="","",VLOOKUP(SEM!C216,FROTA!$B$5:$C$305,2,0))</f>
        <v/>
      </c>
      <c r="E216" s="24" t="str">
        <f>IF(C216="","",VLOOKUP(C216,FROTA!$B$5:$H$305,7,0))</f>
        <v/>
      </c>
      <c r="F216" s="38" t="str">
        <f t="shared" si="56"/>
        <v/>
      </c>
      <c r="G216" s="71" t="str">
        <f t="shared" si="66"/>
        <v/>
      </c>
      <c r="H216" s="32" t="str">
        <f t="shared" si="53"/>
        <v/>
      </c>
      <c r="I216" s="73" t="str">
        <f t="shared" si="53"/>
        <v/>
      </c>
      <c r="J216" s="73" t="str">
        <f t="shared" si="53"/>
        <v/>
      </c>
      <c r="K216" s="73" t="str">
        <f t="shared" si="54"/>
        <v/>
      </c>
      <c r="L216" s="73" t="str">
        <f t="shared" si="54"/>
        <v/>
      </c>
      <c r="M216" s="73" t="str">
        <f t="shared" si="54"/>
        <v/>
      </c>
      <c r="N216" s="73" t="str">
        <f t="shared" si="54"/>
        <v/>
      </c>
      <c r="O216" s="73" t="str">
        <f t="shared" si="54"/>
        <v/>
      </c>
      <c r="P216" s="73" t="str">
        <f t="shared" si="54"/>
        <v/>
      </c>
      <c r="Q216" s="73" t="str">
        <f t="shared" si="54"/>
        <v/>
      </c>
      <c r="R216" s="73" t="str">
        <f t="shared" si="67"/>
        <v/>
      </c>
      <c r="S216" s="73" t="str">
        <f t="shared" si="67"/>
        <v/>
      </c>
      <c r="T216" s="73" t="str">
        <f t="shared" si="67"/>
        <v/>
      </c>
      <c r="U216" s="73" t="str">
        <f t="shared" si="67"/>
        <v/>
      </c>
      <c r="V216" s="73" t="str">
        <f t="shared" si="67"/>
        <v/>
      </c>
      <c r="W216" s="73" t="str">
        <f t="shared" si="67"/>
        <v/>
      </c>
      <c r="X216" s="73" t="str">
        <f t="shared" si="67"/>
        <v/>
      </c>
      <c r="Y216" s="73" t="str">
        <f t="shared" si="67"/>
        <v/>
      </c>
      <c r="Z216" s="73" t="str">
        <f t="shared" si="67"/>
        <v/>
      </c>
      <c r="AA216" s="73" t="str">
        <f t="shared" si="67"/>
        <v/>
      </c>
      <c r="AB216" s="74" t="str">
        <f t="shared" si="67"/>
        <v/>
      </c>
      <c r="AC216" s="35" t="str">
        <f t="shared" si="57"/>
        <v/>
      </c>
      <c r="AD216" s="40" t="str">
        <f t="shared" si="58"/>
        <v/>
      </c>
      <c r="AE216" s="37" t="str">
        <f t="shared" si="59"/>
        <v/>
      </c>
      <c r="AF216" s="40" t="str">
        <f t="shared" si="60"/>
        <v/>
      </c>
      <c r="AG216" s="37" t="str">
        <f t="shared" si="61"/>
        <v/>
      </c>
      <c r="AH216" s="40" t="str">
        <f t="shared" si="62"/>
        <v/>
      </c>
      <c r="AI216" s="37" t="str">
        <f t="shared" si="63"/>
        <v/>
      </c>
      <c r="AJ216" s="40" t="str">
        <f t="shared" si="64"/>
        <v/>
      </c>
      <c r="AK216" s="204" t="str">
        <f>IF(C216="","",IF(E216=FROTA!$AT$18,IF('DEFINA!!!'!$L$6="D-E-F-I-N-A !!!!!!!",0,IF('DEFINA!!!'!$L$6="Opto por Idade Média",SEM!AW216,IF('DEFINA!!!'!$L$6="Opto pelo Valor aplicado ao  Ano de cada Carro",SEM!AX216,0))),IF(E216=FROTA!$AT$17,IF('DEFINA!!!'!$L$6="D-E-F-I-N-A !!!!!!!",0,IF('DEFINA!!!'!$L$6="Opto por Idade Média",SEM!AW216,IF('DEFINA!!!'!$L$6="Opto pelo Valor aplicado ao  Ano de cada Carro",SEM!AX216,0))),IF(E216=FROTA!$AT$16,IF('DEFINA!!!'!$L$6="D-E-F-I-N-A !!!!!!!",0,IF('DEFINA!!!'!$L$6="Opto por Idade Média",SEM!AW216,IF('DEFINA!!!'!$L$6="Opto pelo Valor aplicado ao  Ano de cada Carro",SEM!AX216,0))),IF('DEFINA!!!'!$L$6="D-E-F-I-N-A !!!!!!!",0,IF('DEFINA!!!'!$L$6="Opto por Idade Média",SEM!AU216,IF('DEFINA!!!'!$L$6="Opto pelo Valor aplicado ao  Ano de cada Carro",SEM!AV216,0)))))))</f>
        <v/>
      </c>
      <c r="AL216" s="6"/>
      <c r="AM216" s="79" t="str">
        <f t="shared" si="65"/>
        <v/>
      </c>
      <c r="AR216" s="5"/>
      <c r="AU216" s="198" t="str">
        <f>IF(C216="","",VLOOKUP(FROTA!$AB$2,RECEBÍVEIS!$AA$11:$AB$43,2,0))</f>
        <v/>
      </c>
      <c r="AV216" s="198" t="str">
        <f>IF(C216="","",IF(C216=FROTA!Z216="","",VLOOKUP(FROTA!Z216,RECEBÍVEIS!$AA$11:$AB$43,2,0)))</f>
        <v/>
      </c>
      <c r="AW216" s="198" t="str">
        <f>IF(C216="","",VLOOKUP(FROTA!$AB$2,RECEBÍVEIS!$AA$11:$AC$43,3,0))</f>
        <v/>
      </c>
      <c r="AX216" s="198" t="str">
        <f>IF(C216="","",IF(C216=FROTA!Z216="","",VLOOKUP(FROTA!Z216,RECEBÍVEIS!$AA$11:$AC$43,3,0)))</f>
        <v/>
      </c>
    </row>
    <row r="217" spans="2:50" ht="17.25" customHeight="1" x14ac:dyDescent="0.2">
      <c r="B217" s="6"/>
      <c r="C217" s="49" t="str">
        <f>IF(FROTA!B217="","",FROTA!B217)</f>
        <v/>
      </c>
      <c r="D217" s="220" t="str">
        <f>IF(C217="","",VLOOKUP(SEM!C217,FROTA!$B$5:$C$305,2,0))</f>
        <v/>
      </c>
      <c r="E217" s="24" t="str">
        <f>IF(C217="","",VLOOKUP(C217,FROTA!$B$5:$H$305,7,0))</f>
        <v/>
      </c>
      <c r="F217" s="38" t="str">
        <f t="shared" si="56"/>
        <v/>
      </c>
      <c r="G217" s="71" t="str">
        <f t="shared" si="66"/>
        <v/>
      </c>
      <c r="H217" s="32" t="str">
        <f t="shared" si="53"/>
        <v/>
      </c>
      <c r="I217" s="73" t="str">
        <f t="shared" si="53"/>
        <v/>
      </c>
      <c r="J217" s="73" t="str">
        <f t="shared" si="53"/>
        <v/>
      </c>
      <c r="K217" s="73" t="str">
        <f t="shared" si="54"/>
        <v/>
      </c>
      <c r="L217" s="73" t="str">
        <f t="shared" si="54"/>
        <v/>
      </c>
      <c r="M217" s="73" t="str">
        <f t="shared" si="54"/>
        <v/>
      </c>
      <c r="N217" s="73" t="str">
        <f t="shared" si="54"/>
        <v/>
      </c>
      <c r="O217" s="73" t="str">
        <f t="shared" si="54"/>
        <v/>
      </c>
      <c r="P217" s="73" t="str">
        <f t="shared" si="54"/>
        <v/>
      </c>
      <c r="Q217" s="73" t="str">
        <f t="shared" ref="K217:Z252" si="68">IF($C217="","",IF(SUM(Q$307*$G217)&gt;$F217,$F217,SUM(Q$307*$G217)))</f>
        <v/>
      </c>
      <c r="R217" s="73" t="str">
        <f t="shared" si="67"/>
        <v/>
      </c>
      <c r="S217" s="73" t="str">
        <f t="shared" si="67"/>
        <v/>
      </c>
      <c r="T217" s="73" t="str">
        <f t="shared" si="67"/>
        <v/>
      </c>
      <c r="U217" s="73" t="str">
        <f t="shared" si="67"/>
        <v/>
      </c>
      <c r="V217" s="73" t="str">
        <f t="shared" si="67"/>
        <v/>
      </c>
      <c r="W217" s="73" t="str">
        <f t="shared" si="67"/>
        <v/>
      </c>
      <c r="X217" s="73" t="str">
        <f t="shared" si="67"/>
        <v/>
      </c>
      <c r="Y217" s="73" t="str">
        <f t="shared" si="67"/>
        <v/>
      </c>
      <c r="Z217" s="73" t="str">
        <f t="shared" si="67"/>
        <v/>
      </c>
      <c r="AA217" s="73" t="str">
        <f t="shared" si="67"/>
        <v/>
      </c>
      <c r="AB217" s="74" t="str">
        <f t="shared" si="67"/>
        <v/>
      </c>
      <c r="AC217" s="35" t="str">
        <f t="shared" si="57"/>
        <v/>
      </c>
      <c r="AD217" s="40" t="str">
        <f t="shared" si="58"/>
        <v/>
      </c>
      <c r="AE217" s="37" t="str">
        <f t="shared" si="59"/>
        <v/>
      </c>
      <c r="AF217" s="40" t="str">
        <f t="shared" si="60"/>
        <v/>
      </c>
      <c r="AG217" s="37" t="str">
        <f t="shared" si="61"/>
        <v/>
      </c>
      <c r="AH217" s="40" t="str">
        <f t="shared" si="62"/>
        <v/>
      </c>
      <c r="AI217" s="37" t="str">
        <f t="shared" si="63"/>
        <v/>
      </c>
      <c r="AJ217" s="40" t="str">
        <f t="shared" si="64"/>
        <v/>
      </c>
      <c r="AK217" s="204" t="str">
        <f>IF(C217="","",IF(E217=FROTA!$AT$18,IF('DEFINA!!!'!$L$6="D-E-F-I-N-A !!!!!!!",0,IF('DEFINA!!!'!$L$6="Opto por Idade Média",SEM!AW217,IF('DEFINA!!!'!$L$6="Opto pelo Valor aplicado ao  Ano de cada Carro",SEM!AX217,0))),IF(E217=FROTA!$AT$17,IF('DEFINA!!!'!$L$6="D-E-F-I-N-A !!!!!!!",0,IF('DEFINA!!!'!$L$6="Opto por Idade Média",SEM!AW217,IF('DEFINA!!!'!$L$6="Opto pelo Valor aplicado ao  Ano de cada Carro",SEM!AX217,0))),IF(E217=FROTA!$AT$16,IF('DEFINA!!!'!$L$6="D-E-F-I-N-A !!!!!!!",0,IF('DEFINA!!!'!$L$6="Opto por Idade Média",SEM!AW217,IF('DEFINA!!!'!$L$6="Opto pelo Valor aplicado ao  Ano de cada Carro",SEM!AX217,0))),IF('DEFINA!!!'!$L$6="D-E-F-I-N-A !!!!!!!",0,IF('DEFINA!!!'!$L$6="Opto por Idade Média",SEM!AU217,IF('DEFINA!!!'!$L$6="Opto pelo Valor aplicado ao  Ano de cada Carro",SEM!AV217,0)))))))</f>
        <v/>
      </c>
      <c r="AL217" s="6"/>
      <c r="AM217" s="79" t="str">
        <f t="shared" si="65"/>
        <v/>
      </c>
      <c r="AR217" s="5"/>
      <c r="AU217" s="198" t="str">
        <f>IF(C217="","",VLOOKUP(FROTA!$AB$2,RECEBÍVEIS!$AA$11:$AB$43,2,0))</f>
        <v/>
      </c>
      <c r="AV217" s="198" t="str">
        <f>IF(C217="","",IF(C217=FROTA!Z217="","",VLOOKUP(FROTA!Z217,RECEBÍVEIS!$AA$11:$AB$43,2,0)))</f>
        <v/>
      </c>
      <c r="AW217" s="198" t="str">
        <f>IF(C217="","",VLOOKUP(FROTA!$AB$2,RECEBÍVEIS!$AA$11:$AC$43,3,0))</f>
        <v/>
      </c>
      <c r="AX217" s="198" t="str">
        <f>IF(C217="","",IF(C217=FROTA!Z217="","",VLOOKUP(FROTA!Z217,RECEBÍVEIS!$AA$11:$AC$43,3,0)))</f>
        <v/>
      </c>
    </row>
    <row r="218" spans="2:50" ht="17.25" customHeight="1" x14ac:dyDescent="0.2">
      <c r="B218" s="6"/>
      <c r="C218" s="49" t="str">
        <f>IF(FROTA!B218="","",FROTA!B218)</f>
        <v/>
      </c>
      <c r="D218" s="220" t="str">
        <f>IF(C218="","",VLOOKUP(SEM!C218,FROTA!$B$5:$C$305,2,0))</f>
        <v/>
      </c>
      <c r="E218" s="24" t="str">
        <f>IF(C218="","",VLOOKUP(C218,FROTA!$B$5:$H$305,7,0))</f>
        <v/>
      </c>
      <c r="F218" s="38" t="str">
        <f t="shared" si="56"/>
        <v/>
      </c>
      <c r="G218" s="71" t="str">
        <f t="shared" si="66"/>
        <v/>
      </c>
      <c r="H218" s="32" t="str">
        <f t="shared" si="53"/>
        <v/>
      </c>
      <c r="I218" s="73" t="str">
        <f t="shared" si="53"/>
        <v/>
      </c>
      <c r="J218" s="73" t="str">
        <f t="shared" si="53"/>
        <v/>
      </c>
      <c r="K218" s="73" t="str">
        <f t="shared" si="68"/>
        <v/>
      </c>
      <c r="L218" s="73" t="str">
        <f t="shared" si="68"/>
        <v/>
      </c>
      <c r="M218" s="73" t="str">
        <f t="shared" si="68"/>
        <v/>
      </c>
      <c r="N218" s="73" t="str">
        <f t="shared" si="68"/>
        <v/>
      </c>
      <c r="O218" s="73" t="str">
        <f t="shared" si="68"/>
        <v/>
      </c>
      <c r="P218" s="73" t="str">
        <f t="shared" si="68"/>
        <v/>
      </c>
      <c r="Q218" s="73" t="str">
        <f t="shared" si="68"/>
        <v/>
      </c>
      <c r="R218" s="73" t="str">
        <f t="shared" si="67"/>
        <v/>
      </c>
      <c r="S218" s="73" t="str">
        <f t="shared" si="67"/>
        <v/>
      </c>
      <c r="T218" s="73" t="str">
        <f t="shared" si="67"/>
        <v/>
      </c>
      <c r="U218" s="73" t="str">
        <f t="shared" si="67"/>
        <v/>
      </c>
      <c r="V218" s="73" t="str">
        <f t="shared" si="67"/>
        <v/>
      </c>
      <c r="W218" s="73" t="str">
        <f t="shared" si="67"/>
        <v/>
      </c>
      <c r="X218" s="73" t="str">
        <f t="shared" si="67"/>
        <v/>
      </c>
      <c r="Y218" s="73" t="str">
        <f t="shared" si="67"/>
        <v/>
      </c>
      <c r="Z218" s="73" t="str">
        <f t="shared" si="67"/>
        <v/>
      </c>
      <c r="AA218" s="73" t="str">
        <f t="shared" si="67"/>
        <v/>
      </c>
      <c r="AB218" s="74" t="str">
        <f t="shared" si="67"/>
        <v/>
      </c>
      <c r="AC218" s="35" t="str">
        <f t="shared" si="57"/>
        <v/>
      </c>
      <c r="AD218" s="40" t="str">
        <f t="shared" si="58"/>
        <v/>
      </c>
      <c r="AE218" s="37" t="str">
        <f t="shared" si="59"/>
        <v/>
      </c>
      <c r="AF218" s="40" t="str">
        <f t="shared" si="60"/>
        <v/>
      </c>
      <c r="AG218" s="37" t="str">
        <f t="shared" si="61"/>
        <v/>
      </c>
      <c r="AH218" s="40" t="str">
        <f t="shared" si="62"/>
        <v/>
      </c>
      <c r="AI218" s="37" t="str">
        <f t="shared" si="63"/>
        <v/>
      </c>
      <c r="AJ218" s="40" t="str">
        <f t="shared" si="64"/>
        <v/>
      </c>
      <c r="AK218" s="204" t="str">
        <f>IF(C218="","",IF(E218=FROTA!$AT$18,IF('DEFINA!!!'!$L$6="D-E-F-I-N-A !!!!!!!",0,IF('DEFINA!!!'!$L$6="Opto por Idade Média",SEM!AW218,IF('DEFINA!!!'!$L$6="Opto pelo Valor aplicado ao  Ano de cada Carro",SEM!AX218,0))),IF(E218=FROTA!$AT$17,IF('DEFINA!!!'!$L$6="D-E-F-I-N-A !!!!!!!",0,IF('DEFINA!!!'!$L$6="Opto por Idade Média",SEM!AW218,IF('DEFINA!!!'!$L$6="Opto pelo Valor aplicado ao  Ano de cada Carro",SEM!AX218,0))),IF(E218=FROTA!$AT$16,IF('DEFINA!!!'!$L$6="D-E-F-I-N-A !!!!!!!",0,IF('DEFINA!!!'!$L$6="Opto por Idade Média",SEM!AW218,IF('DEFINA!!!'!$L$6="Opto pelo Valor aplicado ao  Ano de cada Carro",SEM!AX218,0))),IF('DEFINA!!!'!$L$6="D-E-F-I-N-A !!!!!!!",0,IF('DEFINA!!!'!$L$6="Opto por Idade Média",SEM!AU218,IF('DEFINA!!!'!$L$6="Opto pelo Valor aplicado ao  Ano de cada Carro",SEM!AV218,0)))))))</f>
        <v/>
      </c>
      <c r="AL218" s="6"/>
      <c r="AM218" s="79" t="str">
        <f t="shared" si="65"/>
        <v/>
      </c>
      <c r="AR218" s="5"/>
      <c r="AU218" s="198" t="str">
        <f>IF(C218="","",VLOOKUP(FROTA!$AB$2,RECEBÍVEIS!$AA$11:$AB$43,2,0))</f>
        <v/>
      </c>
      <c r="AV218" s="198" t="str">
        <f>IF(C218="","",IF(C218=FROTA!Z218="","",VLOOKUP(FROTA!Z218,RECEBÍVEIS!$AA$11:$AB$43,2,0)))</f>
        <v/>
      </c>
      <c r="AW218" s="198" t="str">
        <f>IF(C218="","",VLOOKUP(FROTA!$AB$2,RECEBÍVEIS!$AA$11:$AC$43,3,0))</f>
        <v/>
      </c>
      <c r="AX218" s="198" t="str">
        <f>IF(C218="","",IF(C218=FROTA!Z218="","",VLOOKUP(FROTA!Z218,RECEBÍVEIS!$AA$11:$AC$43,3,0)))</f>
        <v/>
      </c>
    </row>
    <row r="219" spans="2:50" ht="17.25" customHeight="1" x14ac:dyDescent="0.2">
      <c r="B219" s="6"/>
      <c r="C219" s="49" t="str">
        <f>IF(FROTA!B219="","",FROTA!B219)</f>
        <v/>
      </c>
      <c r="D219" s="220" t="str">
        <f>IF(C219="","",VLOOKUP(SEM!C219,FROTA!$B$5:$C$305,2,0))</f>
        <v/>
      </c>
      <c r="E219" s="24" t="str">
        <f>IF(C219="","",VLOOKUP(C219,FROTA!$B$5:$H$305,7,0))</f>
        <v/>
      </c>
      <c r="F219" s="38" t="str">
        <f t="shared" si="56"/>
        <v/>
      </c>
      <c r="G219" s="71" t="str">
        <f t="shared" si="66"/>
        <v/>
      </c>
      <c r="H219" s="32" t="str">
        <f t="shared" si="53"/>
        <v/>
      </c>
      <c r="I219" s="73" t="str">
        <f t="shared" si="53"/>
        <v/>
      </c>
      <c r="J219" s="73" t="str">
        <f t="shared" si="53"/>
        <v/>
      </c>
      <c r="K219" s="73" t="str">
        <f t="shared" si="68"/>
        <v/>
      </c>
      <c r="L219" s="73" t="str">
        <f t="shared" si="68"/>
        <v/>
      </c>
      <c r="M219" s="73" t="str">
        <f t="shared" si="68"/>
        <v/>
      </c>
      <c r="N219" s="73" t="str">
        <f t="shared" si="68"/>
        <v/>
      </c>
      <c r="O219" s="73" t="str">
        <f t="shared" si="68"/>
        <v/>
      </c>
      <c r="P219" s="73" t="str">
        <f t="shared" si="68"/>
        <v/>
      </c>
      <c r="Q219" s="73" t="str">
        <f t="shared" si="68"/>
        <v/>
      </c>
      <c r="R219" s="73" t="str">
        <f t="shared" si="67"/>
        <v/>
      </c>
      <c r="S219" s="73" t="str">
        <f t="shared" si="67"/>
        <v/>
      </c>
      <c r="T219" s="73" t="str">
        <f t="shared" si="67"/>
        <v/>
      </c>
      <c r="U219" s="73" t="str">
        <f t="shared" si="67"/>
        <v/>
      </c>
      <c r="V219" s="73" t="str">
        <f t="shared" si="67"/>
        <v/>
      </c>
      <c r="W219" s="73" t="str">
        <f t="shared" si="67"/>
        <v/>
      </c>
      <c r="X219" s="73" t="str">
        <f t="shared" si="67"/>
        <v/>
      </c>
      <c r="Y219" s="73" t="str">
        <f t="shared" si="67"/>
        <v/>
      </c>
      <c r="Z219" s="73" t="str">
        <f t="shared" si="67"/>
        <v/>
      </c>
      <c r="AA219" s="73" t="str">
        <f t="shared" si="67"/>
        <v/>
      </c>
      <c r="AB219" s="74" t="str">
        <f t="shared" si="67"/>
        <v/>
      </c>
      <c r="AC219" s="35" t="str">
        <f t="shared" si="57"/>
        <v/>
      </c>
      <c r="AD219" s="40" t="str">
        <f t="shared" si="58"/>
        <v/>
      </c>
      <c r="AE219" s="37" t="str">
        <f t="shared" si="59"/>
        <v/>
      </c>
      <c r="AF219" s="40" t="str">
        <f t="shared" si="60"/>
        <v/>
      </c>
      <c r="AG219" s="37" t="str">
        <f t="shared" si="61"/>
        <v/>
      </c>
      <c r="AH219" s="40" t="str">
        <f t="shared" si="62"/>
        <v/>
      </c>
      <c r="AI219" s="37" t="str">
        <f t="shared" si="63"/>
        <v/>
      </c>
      <c r="AJ219" s="40" t="str">
        <f t="shared" si="64"/>
        <v/>
      </c>
      <c r="AK219" s="204" t="str">
        <f>IF(C219="","",IF(E219=FROTA!$AT$18,IF('DEFINA!!!'!$L$6="D-E-F-I-N-A !!!!!!!",0,IF('DEFINA!!!'!$L$6="Opto por Idade Média",SEM!AW219,IF('DEFINA!!!'!$L$6="Opto pelo Valor aplicado ao  Ano de cada Carro",SEM!AX219,0))),IF(E219=FROTA!$AT$17,IF('DEFINA!!!'!$L$6="D-E-F-I-N-A !!!!!!!",0,IF('DEFINA!!!'!$L$6="Opto por Idade Média",SEM!AW219,IF('DEFINA!!!'!$L$6="Opto pelo Valor aplicado ao  Ano de cada Carro",SEM!AX219,0))),IF(E219=FROTA!$AT$16,IF('DEFINA!!!'!$L$6="D-E-F-I-N-A !!!!!!!",0,IF('DEFINA!!!'!$L$6="Opto por Idade Média",SEM!AW219,IF('DEFINA!!!'!$L$6="Opto pelo Valor aplicado ao  Ano de cada Carro",SEM!AX219,0))),IF('DEFINA!!!'!$L$6="D-E-F-I-N-A !!!!!!!",0,IF('DEFINA!!!'!$L$6="Opto por Idade Média",SEM!AU219,IF('DEFINA!!!'!$L$6="Opto pelo Valor aplicado ao  Ano de cada Carro",SEM!AV219,0)))))))</f>
        <v/>
      </c>
      <c r="AL219" s="6"/>
      <c r="AM219" s="79" t="str">
        <f t="shared" si="65"/>
        <v/>
      </c>
      <c r="AR219" s="5"/>
      <c r="AU219" s="198" t="str">
        <f>IF(C219="","",VLOOKUP(FROTA!$AB$2,RECEBÍVEIS!$AA$11:$AB$43,2,0))</f>
        <v/>
      </c>
      <c r="AV219" s="198" t="str">
        <f>IF(C219="","",IF(C219=FROTA!Z219="","",VLOOKUP(FROTA!Z219,RECEBÍVEIS!$AA$11:$AB$43,2,0)))</f>
        <v/>
      </c>
      <c r="AW219" s="198" t="str">
        <f>IF(C219="","",VLOOKUP(FROTA!$AB$2,RECEBÍVEIS!$AA$11:$AC$43,3,0))</f>
        <v/>
      </c>
      <c r="AX219" s="198" t="str">
        <f>IF(C219="","",IF(C219=FROTA!Z219="","",VLOOKUP(FROTA!Z219,RECEBÍVEIS!$AA$11:$AC$43,3,0)))</f>
        <v/>
      </c>
    </row>
    <row r="220" spans="2:50" ht="17.25" customHeight="1" x14ac:dyDescent="0.2">
      <c r="B220" s="6"/>
      <c r="C220" s="49" t="str">
        <f>IF(FROTA!B220="","",FROTA!B220)</f>
        <v/>
      </c>
      <c r="D220" s="220" t="str">
        <f>IF(C220="","",VLOOKUP(SEM!C220,FROTA!$B$5:$C$305,2,0))</f>
        <v/>
      </c>
      <c r="E220" s="24" t="str">
        <f>IF(C220="","",VLOOKUP(C220,FROTA!$B$5:$H$305,7,0))</f>
        <v/>
      </c>
      <c r="F220" s="38" t="str">
        <f t="shared" si="56"/>
        <v/>
      </c>
      <c r="G220" s="71" t="str">
        <f t="shared" si="66"/>
        <v/>
      </c>
      <c r="H220" s="32" t="str">
        <f t="shared" si="53"/>
        <v/>
      </c>
      <c r="I220" s="73" t="str">
        <f t="shared" si="53"/>
        <v/>
      </c>
      <c r="J220" s="73" t="str">
        <f t="shared" si="53"/>
        <v/>
      </c>
      <c r="K220" s="73" t="str">
        <f t="shared" si="68"/>
        <v/>
      </c>
      <c r="L220" s="73" t="str">
        <f t="shared" si="68"/>
        <v/>
      </c>
      <c r="M220" s="73" t="str">
        <f t="shared" si="68"/>
        <v/>
      </c>
      <c r="N220" s="73" t="str">
        <f t="shared" si="68"/>
        <v/>
      </c>
      <c r="O220" s="73" t="str">
        <f t="shared" si="68"/>
        <v/>
      </c>
      <c r="P220" s="73" t="str">
        <f t="shared" si="68"/>
        <v/>
      </c>
      <c r="Q220" s="73" t="str">
        <f t="shared" si="68"/>
        <v/>
      </c>
      <c r="R220" s="73" t="str">
        <f t="shared" si="67"/>
        <v/>
      </c>
      <c r="S220" s="73" t="str">
        <f t="shared" si="67"/>
        <v/>
      </c>
      <c r="T220" s="73" t="str">
        <f t="shared" si="67"/>
        <v/>
      </c>
      <c r="U220" s="73" t="str">
        <f t="shared" si="67"/>
        <v/>
      </c>
      <c r="V220" s="73" t="str">
        <f t="shared" si="67"/>
        <v/>
      </c>
      <c r="W220" s="73" t="str">
        <f t="shared" si="67"/>
        <v/>
      </c>
      <c r="X220" s="73" t="str">
        <f t="shared" si="67"/>
        <v/>
      </c>
      <c r="Y220" s="73" t="str">
        <f t="shared" si="67"/>
        <v/>
      </c>
      <c r="Z220" s="73" t="str">
        <f t="shared" si="67"/>
        <v/>
      </c>
      <c r="AA220" s="73" t="str">
        <f t="shared" si="67"/>
        <v/>
      </c>
      <c r="AB220" s="74" t="str">
        <f t="shared" si="67"/>
        <v/>
      </c>
      <c r="AC220" s="35" t="str">
        <f t="shared" si="57"/>
        <v/>
      </c>
      <c r="AD220" s="40" t="str">
        <f t="shared" si="58"/>
        <v/>
      </c>
      <c r="AE220" s="37" t="str">
        <f t="shared" si="59"/>
        <v/>
      </c>
      <c r="AF220" s="40" t="str">
        <f t="shared" si="60"/>
        <v/>
      </c>
      <c r="AG220" s="37" t="str">
        <f t="shared" si="61"/>
        <v/>
      </c>
      <c r="AH220" s="40" t="str">
        <f t="shared" si="62"/>
        <v/>
      </c>
      <c r="AI220" s="37" t="str">
        <f t="shared" si="63"/>
        <v/>
      </c>
      <c r="AJ220" s="40" t="str">
        <f t="shared" si="64"/>
        <v/>
      </c>
      <c r="AK220" s="204" t="str">
        <f>IF(C220="","",IF(E220=FROTA!$AT$18,IF('DEFINA!!!'!$L$6="D-E-F-I-N-A !!!!!!!",0,IF('DEFINA!!!'!$L$6="Opto por Idade Média",SEM!AW220,IF('DEFINA!!!'!$L$6="Opto pelo Valor aplicado ao  Ano de cada Carro",SEM!AX220,0))),IF(E220=FROTA!$AT$17,IF('DEFINA!!!'!$L$6="D-E-F-I-N-A !!!!!!!",0,IF('DEFINA!!!'!$L$6="Opto por Idade Média",SEM!AW220,IF('DEFINA!!!'!$L$6="Opto pelo Valor aplicado ao  Ano de cada Carro",SEM!AX220,0))),IF(E220=FROTA!$AT$16,IF('DEFINA!!!'!$L$6="D-E-F-I-N-A !!!!!!!",0,IF('DEFINA!!!'!$L$6="Opto por Idade Média",SEM!AW220,IF('DEFINA!!!'!$L$6="Opto pelo Valor aplicado ao  Ano de cada Carro",SEM!AX220,0))),IF('DEFINA!!!'!$L$6="D-E-F-I-N-A !!!!!!!",0,IF('DEFINA!!!'!$L$6="Opto por Idade Média",SEM!AU220,IF('DEFINA!!!'!$L$6="Opto pelo Valor aplicado ao  Ano de cada Carro",SEM!AV220,0)))))))</f>
        <v/>
      </c>
      <c r="AL220" s="6"/>
      <c r="AM220" s="79" t="str">
        <f t="shared" si="65"/>
        <v/>
      </c>
      <c r="AR220" s="5"/>
      <c r="AU220" s="198" t="str">
        <f>IF(C220="","",VLOOKUP(FROTA!$AB$2,RECEBÍVEIS!$AA$11:$AB$43,2,0))</f>
        <v/>
      </c>
      <c r="AV220" s="198" t="str">
        <f>IF(C220="","",IF(C220=FROTA!Z220="","",VLOOKUP(FROTA!Z220,RECEBÍVEIS!$AA$11:$AB$43,2,0)))</f>
        <v/>
      </c>
      <c r="AW220" s="198" t="str">
        <f>IF(C220="","",VLOOKUP(FROTA!$AB$2,RECEBÍVEIS!$AA$11:$AC$43,3,0))</f>
        <v/>
      </c>
      <c r="AX220" s="198" t="str">
        <f>IF(C220="","",IF(C220=FROTA!Z220="","",VLOOKUP(FROTA!Z220,RECEBÍVEIS!$AA$11:$AC$43,3,0)))</f>
        <v/>
      </c>
    </row>
    <row r="221" spans="2:50" ht="17.25" customHeight="1" x14ac:dyDescent="0.2">
      <c r="B221" s="6"/>
      <c r="C221" s="49" t="str">
        <f>IF(FROTA!B221="","",FROTA!B221)</f>
        <v/>
      </c>
      <c r="D221" s="220" t="str">
        <f>IF(C221="","",VLOOKUP(SEM!C221,FROTA!$B$5:$C$305,2,0))</f>
        <v/>
      </c>
      <c r="E221" s="24" t="str">
        <f>IF(C221="","",VLOOKUP(C221,FROTA!$B$5:$H$305,7,0))</f>
        <v/>
      </c>
      <c r="F221" s="38" t="str">
        <f t="shared" si="56"/>
        <v/>
      </c>
      <c r="G221" s="71" t="str">
        <f t="shared" si="66"/>
        <v/>
      </c>
      <c r="H221" s="32" t="str">
        <f t="shared" si="53"/>
        <v/>
      </c>
      <c r="I221" s="73" t="str">
        <f t="shared" si="53"/>
        <v/>
      </c>
      <c r="J221" s="73" t="str">
        <f t="shared" si="53"/>
        <v/>
      </c>
      <c r="K221" s="73" t="str">
        <f t="shared" si="68"/>
        <v/>
      </c>
      <c r="L221" s="73" t="str">
        <f t="shared" si="68"/>
        <v/>
      </c>
      <c r="M221" s="73" t="str">
        <f t="shared" si="68"/>
        <v/>
      </c>
      <c r="N221" s="73" t="str">
        <f t="shared" si="68"/>
        <v/>
      </c>
      <c r="O221" s="73" t="str">
        <f t="shared" si="68"/>
        <v/>
      </c>
      <c r="P221" s="73" t="str">
        <f t="shared" si="68"/>
        <v/>
      </c>
      <c r="Q221" s="73" t="str">
        <f t="shared" si="68"/>
        <v/>
      </c>
      <c r="R221" s="73" t="str">
        <f t="shared" si="67"/>
        <v/>
      </c>
      <c r="S221" s="73" t="str">
        <f t="shared" si="67"/>
        <v/>
      </c>
      <c r="T221" s="73" t="str">
        <f t="shared" si="67"/>
        <v/>
      </c>
      <c r="U221" s="73" t="str">
        <f t="shared" si="67"/>
        <v/>
      </c>
      <c r="V221" s="73" t="str">
        <f t="shared" si="67"/>
        <v/>
      </c>
      <c r="W221" s="73" t="str">
        <f t="shared" si="67"/>
        <v/>
      </c>
      <c r="X221" s="73" t="str">
        <f t="shared" si="67"/>
        <v/>
      </c>
      <c r="Y221" s="73" t="str">
        <f t="shared" si="67"/>
        <v/>
      </c>
      <c r="Z221" s="73" t="str">
        <f t="shared" si="67"/>
        <v/>
      </c>
      <c r="AA221" s="73" t="str">
        <f t="shared" si="67"/>
        <v/>
      </c>
      <c r="AB221" s="74" t="str">
        <f t="shared" si="67"/>
        <v/>
      </c>
      <c r="AC221" s="35" t="str">
        <f t="shared" si="57"/>
        <v/>
      </c>
      <c r="AD221" s="40" t="str">
        <f t="shared" si="58"/>
        <v/>
      </c>
      <c r="AE221" s="37" t="str">
        <f t="shared" si="59"/>
        <v/>
      </c>
      <c r="AF221" s="40" t="str">
        <f t="shared" si="60"/>
        <v/>
      </c>
      <c r="AG221" s="37" t="str">
        <f t="shared" si="61"/>
        <v/>
      </c>
      <c r="AH221" s="40" t="str">
        <f t="shared" si="62"/>
        <v/>
      </c>
      <c r="AI221" s="37" t="str">
        <f t="shared" si="63"/>
        <v/>
      </c>
      <c r="AJ221" s="40" t="str">
        <f t="shared" si="64"/>
        <v/>
      </c>
      <c r="AK221" s="204" t="str">
        <f>IF(C221="","",IF(E221=FROTA!$AT$18,IF('DEFINA!!!'!$L$6="D-E-F-I-N-A !!!!!!!",0,IF('DEFINA!!!'!$L$6="Opto por Idade Média",SEM!AW221,IF('DEFINA!!!'!$L$6="Opto pelo Valor aplicado ao  Ano de cada Carro",SEM!AX221,0))),IF(E221=FROTA!$AT$17,IF('DEFINA!!!'!$L$6="D-E-F-I-N-A !!!!!!!",0,IF('DEFINA!!!'!$L$6="Opto por Idade Média",SEM!AW221,IF('DEFINA!!!'!$L$6="Opto pelo Valor aplicado ao  Ano de cada Carro",SEM!AX221,0))),IF(E221=FROTA!$AT$16,IF('DEFINA!!!'!$L$6="D-E-F-I-N-A !!!!!!!",0,IF('DEFINA!!!'!$L$6="Opto por Idade Média",SEM!AW221,IF('DEFINA!!!'!$L$6="Opto pelo Valor aplicado ao  Ano de cada Carro",SEM!AX221,0))),IF('DEFINA!!!'!$L$6="D-E-F-I-N-A !!!!!!!",0,IF('DEFINA!!!'!$L$6="Opto por Idade Média",SEM!AU221,IF('DEFINA!!!'!$L$6="Opto pelo Valor aplicado ao  Ano de cada Carro",SEM!AV221,0)))))))</f>
        <v/>
      </c>
      <c r="AL221" s="6"/>
      <c r="AM221" s="79" t="str">
        <f t="shared" si="65"/>
        <v/>
      </c>
      <c r="AR221" s="5"/>
      <c r="AU221" s="198" t="str">
        <f>IF(C221="","",VLOOKUP(FROTA!$AB$2,RECEBÍVEIS!$AA$11:$AB$43,2,0))</f>
        <v/>
      </c>
      <c r="AV221" s="198" t="str">
        <f>IF(C221="","",IF(C221=FROTA!Z221="","",VLOOKUP(FROTA!Z221,RECEBÍVEIS!$AA$11:$AB$43,2,0)))</f>
        <v/>
      </c>
      <c r="AW221" s="198" t="str">
        <f>IF(C221="","",VLOOKUP(FROTA!$AB$2,RECEBÍVEIS!$AA$11:$AC$43,3,0))</f>
        <v/>
      </c>
      <c r="AX221" s="198" t="str">
        <f>IF(C221="","",IF(C221=FROTA!Z221="","",VLOOKUP(FROTA!Z221,RECEBÍVEIS!$AA$11:$AC$43,3,0)))</f>
        <v/>
      </c>
    </row>
    <row r="222" spans="2:50" ht="17.25" customHeight="1" x14ac:dyDescent="0.2">
      <c r="B222" s="6"/>
      <c r="C222" s="49" t="str">
        <f>IF(FROTA!B222="","",FROTA!B222)</f>
        <v/>
      </c>
      <c r="D222" s="220" t="str">
        <f>IF(C222="","",VLOOKUP(SEM!C222,FROTA!$B$5:$C$305,2,0))</f>
        <v/>
      </c>
      <c r="E222" s="24" t="str">
        <f>IF(C222="","",VLOOKUP(C222,FROTA!$B$5:$H$305,7,0))</f>
        <v/>
      </c>
      <c r="F222" s="38" t="str">
        <f t="shared" si="56"/>
        <v/>
      </c>
      <c r="G222" s="71" t="str">
        <f t="shared" si="66"/>
        <v/>
      </c>
      <c r="H222" s="32" t="str">
        <f t="shared" si="53"/>
        <v/>
      </c>
      <c r="I222" s="73" t="str">
        <f t="shared" si="53"/>
        <v/>
      </c>
      <c r="J222" s="73" t="str">
        <f t="shared" si="53"/>
        <v/>
      </c>
      <c r="K222" s="73" t="str">
        <f t="shared" si="68"/>
        <v/>
      </c>
      <c r="L222" s="73" t="str">
        <f t="shared" si="68"/>
        <v/>
      </c>
      <c r="M222" s="73" t="str">
        <f t="shared" si="68"/>
        <v/>
      </c>
      <c r="N222" s="73" t="str">
        <f t="shared" si="68"/>
        <v/>
      </c>
      <c r="O222" s="73" t="str">
        <f t="shared" si="68"/>
        <v/>
      </c>
      <c r="P222" s="73" t="str">
        <f t="shared" si="68"/>
        <v/>
      </c>
      <c r="Q222" s="73" t="str">
        <f t="shared" si="68"/>
        <v/>
      </c>
      <c r="R222" s="73" t="str">
        <f t="shared" si="67"/>
        <v/>
      </c>
      <c r="S222" s="73" t="str">
        <f t="shared" si="67"/>
        <v/>
      </c>
      <c r="T222" s="73" t="str">
        <f t="shared" si="67"/>
        <v/>
      </c>
      <c r="U222" s="73" t="str">
        <f t="shared" si="67"/>
        <v/>
      </c>
      <c r="V222" s="73" t="str">
        <f t="shared" si="67"/>
        <v/>
      </c>
      <c r="W222" s="73" t="str">
        <f t="shared" si="67"/>
        <v/>
      </c>
      <c r="X222" s="73" t="str">
        <f t="shared" si="67"/>
        <v/>
      </c>
      <c r="Y222" s="73" t="str">
        <f t="shared" si="67"/>
        <v/>
      </c>
      <c r="Z222" s="73" t="str">
        <f t="shared" si="67"/>
        <v/>
      </c>
      <c r="AA222" s="73" t="str">
        <f t="shared" si="67"/>
        <v/>
      </c>
      <c r="AB222" s="74" t="str">
        <f t="shared" si="67"/>
        <v/>
      </c>
      <c r="AC222" s="35" t="str">
        <f t="shared" si="57"/>
        <v/>
      </c>
      <c r="AD222" s="40" t="str">
        <f t="shared" si="58"/>
        <v/>
      </c>
      <c r="AE222" s="37" t="str">
        <f t="shared" si="59"/>
        <v/>
      </c>
      <c r="AF222" s="40" t="str">
        <f t="shared" si="60"/>
        <v/>
      </c>
      <c r="AG222" s="37" t="str">
        <f t="shared" si="61"/>
        <v/>
      </c>
      <c r="AH222" s="40" t="str">
        <f t="shared" si="62"/>
        <v/>
      </c>
      <c r="AI222" s="37" t="str">
        <f t="shared" si="63"/>
        <v/>
      </c>
      <c r="AJ222" s="40" t="str">
        <f t="shared" si="64"/>
        <v/>
      </c>
      <c r="AK222" s="204" t="str">
        <f>IF(C222="","",IF(E222=FROTA!$AT$18,IF('DEFINA!!!'!$L$6="D-E-F-I-N-A !!!!!!!",0,IF('DEFINA!!!'!$L$6="Opto por Idade Média",SEM!AW222,IF('DEFINA!!!'!$L$6="Opto pelo Valor aplicado ao  Ano de cada Carro",SEM!AX222,0))),IF(E222=FROTA!$AT$17,IF('DEFINA!!!'!$L$6="D-E-F-I-N-A !!!!!!!",0,IF('DEFINA!!!'!$L$6="Opto por Idade Média",SEM!AW222,IF('DEFINA!!!'!$L$6="Opto pelo Valor aplicado ao  Ano de cada Carro",SEM!AX222,0))),IF(E222=FROTA!$AT$16,IF('DEFINA!!!'!$L$6="D-E-F-I-N-A !!!!!!!",0,IF('DEFINA!!!'!$L$6="Opto por Idade Média",SEM!AW222,IF('DEFINA!!!'!$L$6="Opto pelo Valor aplicado ao  Ano de cada Carro",SEM!AX222,0))),IF('DEFINA!!!'!$L$6="D-E-F-I-N-A !!!!!!!",0,IF('DEFINA!!!'!$L$6="Opto por Idade Média",SEM!AU222,IF('DEFINA!!!'!$L$6="Opto pelo Valor aplicado ao  Ano de cada Carro",SEM!AV222,0)))))))</f>
        <v/>
      </c>
      <c r="AL222" s="6"/>
      <c r="AM222" s="79" t="str">
        <f t="shared" si="65"/>
        <v/>
      </c>
      <c r="AR222" s="5"/>
      <c r="AU222" s="198" t="str">
        <f>IF(C222="","",VLOOKUP(FROTA!$AB$2,RECEBÍVEIS!$AA$11:$AB$43,2,0))</f>
        <v/>
      </c>
      <c r="AV222" s="198" t="str">
        <f>IF(C222="","",IF(C222=FROTA!Z222="","",VLOOKUP(FROTA!Z222,RECEBÍVEIS!$AA$11:$AB$43,2,0)))</f>
        <v/>
      </c>
      <c r="AW222" s="198" t="str">
        <f>IF(C222="","",VLOOKUP(FROTA!$AB$2,RECEBÍVEIS!$AA$11:$AC$43,3,0))</f>
        <v/>
      </c>
      <c r="AX222" s="198" t="str">
        <f>IF(C222="","",IF(C222=FROTA!Z222="","",VLOOKUP(FROTA!Z222,RECEBÍVEIS!$AA$11:$AC$43,3,0)))</f>
        <v/>
      </c>
    </row>
    <row r="223" spans="2:50" ht="17.25" customHeight="1" x14ac:dyDescent="0.2">
      <c r="B223" s="6"/>
      <c r="C223" s="49" t="str">
        <f>IF(FROTA!B223="","",FROTA!B223)</f>
        <v/>
      </c>
      <c r="D223" s="220" t="str">
        <f>IF(C223="","",VLOOKUP(SEM!C223,FROTA!$B$5:$C$305,2,0))</f>
        <v/>
      </c>
      <c r="E223" s="24" t="str">
        <f>IF(C223="","",VLOOKUP(C223,FROTA!$B$5:$H$305,7,0))</f>
        <v/>
      </c>
      <c r="F223" s="38" t="str">
        <f t="shared" si="56"/>
        <v/>
      </c>
      <c r="G223" s="71" t="str">
        <f t="shared" si="66"/>
        <v/>
      </c>
      <c r="H223" s="32" t="str">
        <f t="shared" si="53"/>
        <v/>
      </c>
      <c r="I223" s="73" t="str">
        <f t="shared" si="53"/>
        <v/>
      </c>
      <c r="J223" s="73" t="str">
        <f t="shared" si="53"/>
        <v/>
      </c>
      <c r="K223" s="73" t="str">
        <f t="shared" si="68"/>
        <v/>
      </c>
      <c r="L223" s="73" t="str">
        <f t="shared" si="68"/>
        <v/>
      </c>
      <c r="M223" s="73" t="str">
        <f t="shared" si="68"/>
        <v/>
      </c>
      <c r="N223" s="73" t="str">
        <f t="shared" si="68"/>
        <v/>
      </c>
      <c r="O223" s="73" t="str">
        <f t="shared" si="68"/>
        <v/>
      </c>
      <c r="P223" s="73" t="str">
        <f t="shared" si="68"/>
        <v/>
      </c>
      <c r="Q223" s="73" t="str">
        <f t="shared" si="68"/>
        <v/>
      </c>
      <c r="R223" s="73" t="str">
        <f t="shared" si="67"/>
        <v/>
      </c>
      <c r="S223" s="73" t="str">
        <f t="shared" si="67"/>
        <v/>
      </c>
      <c r="T223" s="73" t="str">
        <f t="shared" si="67"/>
        <v/>
      </c>
      <c r="U223" s="73" t="str">
        <f t="shared" si="67"/>
        <v/>
      </c>
      <c r="V223" s="73" t="str">
        <f t="shared" si="67"/>
        <v/>
      </c>
      <c r="W223" s="73" t="str">
        <f t="shared" si="67"/>
        <v/>
      </c>
      <c r="X223" s="73" t="str">
        <f t="shared" si="67"/>
        <v/>
      </c>
      <c r="Y223" s="73" t="str">
        <f t="shared" si="67"/>
        <v/>
      </c>
      <c r="Z223" s="73" t="str">
        <f t="shared" si="67"/>
        <v/>
      </c>
      <c r="AA223" s="73" t="str">
        <f t="shared" si="67"/>
        <v/>
      </c>
      <c r="AB223" s="74" t="str">
        <f t="shared" si="67"/>
        <v/>
      </c>
      <c r="AC223" s="35" t="str">
        <f t="shared" si="57"/>
        <v/>
      </c>
      <c r="AD223" s="40" t="str">
        <f t="shared" si="58"/>
        <v/>
      </c>
      <c r="AE223" s="37" t="str">
        <f t="shared" si="59"/>
        <v/>
      </c>
      <c r="AF223" s="40" t="str">
        <f t="shared" si="60"/>
        <v/>
      </c>
      <c r="AG223" s="37" t="str">
        <f t="shared" si="61"/>
        <v/>
      </c>
      <c r="AH223" s="40" t="str">
        <f t="shared" si="62"/>
        <v/>
      </c>
      <c r="AI223" s="37" t="str">
        <f t="shared" si="63"/>
        <v/>
      </c>
      <c r="AJ223" s="40" t="str">
        <f t="shared" si="64"/>
        <v/>
      </c>
      <c r="AK223" s="204" t="str">
        <f>IF(C223="","",IF(E223=FROTA!$AT$18,IF('DEFINA!!!'!$L$6="D-E-F-I-N-A !!!!!!!",0,IF('DEFINA!!!'!$L$6="Opto por Idade Média",SEM!AW223,IF('DEFINA!!!'!$L$6="Opto pelo Valor aplicado ao  Ano de cada Carro",SEM!AX223,0))),IF(E223=FROTA!$AT$17,IF('DEFINA!!!'!$L$6="D-E-F-I-N-A !!!!!!!",0,IF('DEFINA!!!'!$L$6="Opto por Idade Média",SEM!AW223,IF('DEFINA!!!'!$L$6="Opto pelo Valor aplicado ao  Ano de cada Carro",SEM!AX223,0))),IF(E223=FROTA!$AT$16,IF('DEFINA!!!'!$L$6="D-E-F-I-N-A !!!!!!!",0,IF('DEFINA!!!'!$L$6="Opto por Idade Média",SEM!AW223,IF('DEFINA!!!'!$L$6="Opto pelo Valor aplicado ao  Ano de cada Carro",SEM!AX223,0))),IF('DEFINA!!!'!$L$6="D-E-F-I-N-A !!!!!!!",0,IF('DEFINA!!!'!$L$6="Opto por Idade Média",SEM!AU223,IF('DEFINA!!!'!$L$6="Opto pelo Valor aplicado ao  Ano de cada Carro",SEM!AV223,0)))))))</f>
        <v/>
      </c>
      <c r="AL223" s="6"/>
      <c r="AM223" s="79" t="str">
        <f t="shared" si="65"/>
        <v/>
      </c>
      <c r="AR223" s="5"/>
      <c r="AU223" s="198" t="str">
        <f>IF(C223="","",VLOOKUP(FROTA!$AB$2,RECEBÍVEIS!$AA$11:$AB$43,2,0))</f>
        <v/>
      </c>
      <c r="AV223" s="198" t="str">
        <f>IF(C223="","",IF(C223=FROTA!Z223="","",VLOOKUP(FROTA!Z223,RECEBÍVEIS!$AA$11:$AB$43,2,0)))</f>
        <v/>
      </c>
      <c r="AW223" s="198" t="str">
        <f>IF(C223="","",VLOOKUP(FROTA!$AB$2,RECEBÍVEIS!$AA$11:$AC$43,3,0))</f>
        <v/>
      </c>
      <c r="AX223" s="198" t="str">
        <f>IF(C223="","",IF(C223=FROTA!Z223="","",VLOOKUP(FROTA!Z223,RECEBÍVEIS!$AA$11:$AC$43,3,0)))</f>
        <v/>
      </c>
    </row>
    <row r="224" spans="2:50" ht="17.25" customHeight="1" x14ac:dyDescent="0.2">
      <c r="B224" s="6"/>
      <c r="C224" s="49" t="str">
        <f>IF(FROTA!B224="","",FROTA!B224)</f>
        <v/>
      </c>
      <c r="D224" s="220" t="str">
        <f>IF(C224="","",VLOOKUP(SEM!C224,FROTA!$B$5:$C$305,2,0))</f>
        <v/>
      </c>
      <c r="E224" s="24" t="str">
        <f>IF(C224="","",VLOOKUP(C224,FROTA!$B$5:$H$305,7,0))</f>
        <v/>
      </c>
      <c r="F224" s="38" t="str">
        <f t="shared" si="56"/>
        <v/>
      </c>
      <c r="G224" s="71" t="str">
        <f t="shared" si="66"/>
        <v/>
      </c>
      <c r="H224" s="32" t="str">
        <f t="shared" si="53"/>
        <v/>
      </c>
      <c r="I224" s="73" t="str">
        <f t="shared" si="53"/>
        <v/>
      </c>
      <c r="J224" s="73" t="str">
        <f t="shared" si="53"/>
        <v/>
      </c>
      <c r="K224" s="73" t="str">
        <f t="shared" si="68"/>
        <v/>
      </c>
      <c r="L224" s="73" t="str">
        <f t="shared" si="68"/>
        <v/>
      </c>
      <c r="M224" s="73" t="str">
        <f t="shared" si="68"/>
        <v/>
      </c>
      <c r="N224" s="73" t="str">
        <f t="shared" si="68"/>
        <v/>
      </c>
      <c r="O224" s="73" t="str">
        <f t="shared" si="68"/>
        <v/>
      </c>
      <c r="P224" s="73" t="str">
        <f t="shared" si="68"/>
        <v/>
      </c>
      <c r="Q224" s="73" t="str">
        <f t="shared" si="68"/>
        <v/>
      </c>
      <c r="R224" s="73" t="str">
        <f t="shared" si="67"/>
        <v/>
      </c>
      <c r="S224" s="73" t="str">
        <f t="shared" si="67"/>
        <v/>
      </c>
      <c r="T224" s="73" t="str">
        <f t="shared" si="67"/>
        <v/>
      </c>
      <c r="U224" s="73" t="str">
        <f t="shared" si="67"/>
        <v/>
      </c>
      <c r="V224" s="73" t="str">
        <f t="shared" si="67"/>
        <v/>
      </c>
      <c r="W224" s="73" t="str">
        <f t="shared" si="67"/>
        <v/>
      </c>
      <c r="X224" s="73" t="str">
        <f t="shared" si="67"/>
        <v/>
      </c>
      <c r="Y224" s="73" t="str">
        <f t="shared" si="67"/>
        <v/>
      </c>
      <c r="Z224" s="73" t="str">
        <f t="shared" si="67"/>
        <v/>
      </c>
      <c r="AA224" s="73" t="str">
        <f t="shared" si="67"/>
        <v/>
      </c>
      <c r="AB224" s="74" t="str">
        <f t="shared" si="67"/>
        <v/>
      </c>
      <c r="AC224" s="35" t="str">
        <f t="shared" si="57"/>
        <v/>
      </c>
      <c r="AD224" s="40" t="str">
        <f t="shared" si="58"/>
        <v/>
      </c>
      <c r="AE224" s="37" t="str">
        <f t="shared" si="59"/>
        <v/>
      </c>
      <c r="AF224" s="40" t="str">
        <f t="shared" si="60"/>
        <v/>
      </c>
      <c r="AG224" s="37" t="str">
        <f t="shared" si="61"/>
        <v/>
      </c>
      <c r="AH224" s="40" t="str">
        <f t="shared" si="62"/>
        <v/>
      </c>
      <c r="AI224" s="37" t="str">
        <f t="shared" si="63"/>
        <v/>
      </c>
      <c r="AJ224" s="40" t="str">
        <f t="shared" si="64"/>
        <v/>
      </c>
      <c r="AK224" s="204" t="str">
        <f>IF(C224="","",IF(E224=FROTA!$AT$18,IF('DEFINA!!!'!$L$6="D-E-F-I-N-A !!!!!!!",0,IF('DEFINA!!!'!$L$6="Opto por Idade Média",SEM!AW224,IF('DEFINA!!!'!$L$6="Opto pelo Valor aplicado ao  Ano de cada Carro",SEM!AX224,0))),IF(E224=FROTA!$AT$17,IF('DEFINA!!!'!$L$6="D-E-F-I-N-A !!!!!!!",0,IF('DEFINA!!!'!$L$6="Opto por Idade Média",SEM!AW224,IF('DEFINA!!!'!$L$6="Opto pelo Valor aplicado ao  Ano de cada Carro",SEM!AX224,0))),IF(E224=FROTA!$AT$16,IF('DEFINA!!!'!$L$6="D-E-F-I-N-A !!!!!!!",0,IF('DEFINA!!!'!$L$6="Opto por Idade Média",SEM!AW224,IF('DEFINA!!!'!$L$6="Opto pelo Valor aplicado ao  Ano de cada Carro",SEM!AX224,0))),IF('DEFINA!!!'!$L$6="D-E-F-I-N-A !!!!!!!",0,IF('DEFINA!!!'!$L$6="Opto por Idade Média",SEM!AU224,IF('DEFINA!!!'!$L$6="Opto pelo Valor aplicado ao  Ano de cada Carro",SEM!AV224,0)))))))</f>
        <v/>
      </c>
      <c r="AL224" s="6"/>
      <c r="AM224" s="79" t="str">
        <f t="shared" si="65"/>
        <v/>
      </c>
      <c r="AR224" s="5"/>
      <c r="AU224" s="198" t="str">
        <f>IF(C224="","",VLOOKUP(FROTA!$AB$2,RECEBÍVEIS!$AA$11:$AB$43,2,0))</f>
        <v/>
      </c>
      <c r="AV224" s="198" t="str">
        <f>IF(C224="","",IF(C224=FROTA!Z224="","",VLOOKUP(FROTA!Z224,RECEBÍVEIS!$AA$11:$AB$43,2,0)))</f>
        <v/>
      </c>
      <c r="AW224" s="198" t="str">
        <f>IF(C224="","",VLOOKUP(FROTA!$AB$2,RECEBÍVEIS!$AA$11:$AC$43,3,0))</f>
        <v/>
      </c>
      <c r="AX224" s="198" t="str">
        <f>IF(C224="","",IF(C224=FROTA!Z224="","",VLOOKUP(FROTA!Z224,RECEBÍVEIS!$AA$11:$AC$43,3,0)))</f>
        <v/>
      </c>
    </row>
    <row r="225" spans="2:50" ht="17.25" customHeight="1" x14ac:dyDescent="0.2">
      <c r="B225" s="6"/>
      <c r="C225" s="49" t="str">
        <f>IF(FROTA!B225="","",FROTA!B225)</f>
        <v/>
      </c>
      <c r="D225" s="220" t="str">
        <f>IF(C225="","",VLOOKUP(SEM!C225,FROTA!$B$5:$C$305,2,0))</f>
        <v/>
      </c>
      <c r="E225" s="24" t="str">
        <f>IF(C225="","",VLOOKUP(C225,FROTA!$B$5:$H$305,7,0))</f>
        <v/>
      </c>
      <c r="F225" s="38" t="str">
        <f t="shared" si="56"/>
        <v/>
      </c>
      <c r="G225" s="71" t="str">
        <f t="shared" si="66"/>
        <v/>
      </c>
      <c r="H225" s="32" t="str">
        <f t="shared" si="53"/>
        <v/>
      </c>
      <c r="I225" s="73" t="str">
        <f t="shared" si="53"/>
        <v/>
      </c>
      <c r="J225" s="73" t="str">
        <f t="shared" si="53"/>
        <v/>
      </c>
      <c r="K225" s="73" t="str">
        <f t="shared" si="68"/>
        <v/>
      </c>
      <c r="L225" s="73" t="str">
        <f t="shared" si="68"/>
        <v/>
      </c>
      <c r="M225" s="73" t="str">
        <f t="shared" si="68"/>
        <v/>
      </c>
      <c r="N225" s="73" t="str">
        <f t="shared" si="68"/>
        <v/>
      </c>
      <c r="O225" s="73" t="str">
        <f t="shared" si="68"/>
        <v/>
      </c>
      <c r="P225" s="73" t="str">
        <f t="shared" si="68"/>
        <v/>
      </c>
      <c r="Q225" s="73" t="str">
        <f t="shared" si="68"/>
        <v/>
      </c>
      <c r="R225" s="73" t="str">
        <f t="shared" si="67"/>
        <v/>
      </c>
      <c r="S225" s="73" t="str">
        <f t="shared" si="67"/>
        <v/>
      </c>
      <c r="T225" s="73" t="str">
        <f t="shared" si="67"/>
        <v/>
      </c>
      <c r="U225" s="73" t="str">
        <f t="shared" si="67"/>
        <v/>
      </c>
      <c r="V225" s="73" t="str">
        <f t="shared" si="67"/>
        <v/>
      </c>
      <c r="W225" s="73" t="str">
        <f t="shared" si="67"/>
        <v/>
      </c>
      <c r="X225" s="73" t="str">
        <f t="shared" si="67"/>
        <v/>
      </c>
      <c r="Y225" s="73" t="str">
        <f t="shared" si="67"/>
        <v/>
      </c>
      <c r="Z225" s="73" t="str">
        <f t="shared" si="67"/>
        <v/>
      </c>
      <c r="AA225" s="73" t="str">
        <f t="shared" si="67"/>
        <v/>
      </c>
      <c r="AB225" s="74" t="str">
        <f t="shared" si="67"/>
        <v/>
      </c>
      <c r="AC225" s="35" t="str">
        <f t="shared" si="57"/>
        <v/>
      </c>
      <c r="AD225" s="40" t="str">
        <f t="shared" si="58"/>
        <v/>
      </c>
      <c r="AE225" s="37" t="str">
        <f t="shared" si="59"/>
        <v/>
      </c>
      <c r="AF225" s="40" t="str">
        <f t="shared" si="60"/>
        <v/>
      </c>
      <c r="AG225" s="37" t="str">
        <f t="shared" si="61"/>
        <v/>
      </c>
      <c r="AH225" s="40" t="str">
        <f t="shared" si="62"/>
        <v/>
      </c>
      <c r="AI225" s="37" t="str">
        <f t="shared" si="63"/>
        <v/>
      </c>
      <c r="AJ225" s="40" t="str">
        <f t="shared" si="64"/>
        <v/>
      </c>
      <c r="AK225" s="204" t="str">
        <f>IF(C225="","",IF(E225=FROTA!$AT$18,IF('DEFINA!!!'!$L$6="D-E-F-I-N-A !!!!!!!",0,IF('DEFINA!!!'!$L$6="Opto por Idade Média",SEM!AW225,IF('DEFINA!!!'!$L$6="Opto pelo Valor aplicado ao  Ano de cada Carro",SEM!AX225,0))),IF(E225=FROTA!$AT$17,IF('DEFINA!!!'!$L$6="D-E-F-I-N-A !!!!!!!",0,IF('DEFINA!!!'!$L$6="Opto por Idade Média",SEM!AW225,IF('DEFINA!!!'!$L$6="Opto pelo Valor aplicado ao  Ano de cada Carro",SEM!AX225,0))),IF(E225=FROTA!$AT$16,IF('DEFINA!!!'!$L$6="D-E-F-I-N-A !!!!!!!",0,IF('DEFINA!!!'!$L$6="Opto por Idade Média",SEM!AW225,IF('DEFINA!!!'!$L$6="Opto pelo Valor aplicado ao  Ano de cada Carro",SEM!AX225,0))),IF('DEFINA!!!'!$L$6="D-E-F-I-N-A !!!!!!!",0,IF('DEFINA!!!'!$L$6="Opto por Idade Média",SEM!AU225,IF('DEFINA!!!'!$L$6="Opto pelo Valor aplicado ao  Ano de cada Carro",SEM!AV225,0)))))))</f>
        <v/>
      </c>
      <c r="AL225" s="6"/>
      <c r="AM225" s="79" t="str">
        <f t="shared" si="65"/>
        <v/>
      </c>
      <c r="AR225" s="5"/>
      <c r="AU225" s="198" t="str">
        <f>IF(C225="","",VLOOKUP(FROTA!$AB$2,RECEBÍVEIS!$AA$11:$AB$43,2,0))</f>
        <v/>
      </c>
      <c r="AV225" s="198" t="str">
        <f>IF(C225="","",IF(C225=FROTA!Z225="","",VLOOKUP(FROTA!Z225,RECEBÍVEIS!$AA$11:$AB$43,2,0)))</f>
        <v/>
      </c>
      <c r="AW225" s="198" t="str">
        <f>IF(C225="","",VLOOKUP(FROTA!$AB$2,RECEBÍVEIS!$AA$11:$AC$43,3,0))</f>
        <v/>
      </c>
      <c r="AX225" s="198" t="str">
        <f>IF(C225="","",IF(C225=FROTA!Z225="","",VLOOKUP(FROTA!Z225,RECEBÍVEIS!$AA$11:$AC$43,3,0)))</f>
        <v/>
      </c>
    </row>
    <row r="226" spans="2:50" ht="17.25" customHeight="1" x14ac:dyDescent="0.2">
      <c r="B226" s="6"/>
      <c r="C226" s="49" t="str">
        <f>IF(FROTA!B226="","",FROTA!B226)</f>
        <v/>
      </c>
      <c r="D226" s="220" t="str">
        <f>IF(C226="","",VLOOKUP(SEM!C226,FROTA!$B$5:$C$305,2,0))</f>
        <v/>
      </c>
      <c r="E226" s="24" t="str">
        <f>IF(C226="","",VLOOKUP(C226,FROTA!$B$5:$H$305,7,0))</f>
        <v/>
      </c>
      <c r="F226" s="38" t="str">
        <f t="shared" si="56"/>
        <v/>
      </c>
      <c r="G226" s="71" t="str">
        <f t="shared" si="66"/>
        <v/>
      </c>
      <c r="H226" s="32" t="str">
        <f t="shared" si="53"/>
        <v/>
      </c>
      <c r="I226" s="73" t="str">
        <f t="shared" si="53"/>
        <v/>
      </c>
      <c r="J226" s="73" t="str">
        <f t="shared" si="53"/>
        <v/>
      </c>
      <c r="K226" s="73" t="str">
        <f t="shared" si="68"/>
        <v/>
      </c>
      <c r="L226" s="73" t="str">
        <f t="shared" si="68"/>
        <v/>
      </c>
      <c r="M226" s="73" t="str">
        <f t="shared" si="68"/>
        <v/>
      </c>
      <c r="N226" s="73" t="str">
        <f t="shared" si="68"/>
        <v/>
      </c>
      <c r="O226" s="73" t="str">
        <f t="shared" si="68"/>
        <v/>
      </c>
      <c r="P226" s="73" t="str">
        <f t="shared" si="68"/>
        <v/>
      </c>
      <c r="Q226" s="73" t="str">
        <f t="shared" si="68"/>
        <v/>
      </c>
      <c r="R226" s="73" t="str">
        <f t="shared" si="67"/>
        <v/>
      </c>
      <c r="S226" s="73" t="str">
        <f t="shared" si="67"/>
        <v/>
      </c>
      <c r="T226" s="73" t="str">
        <f t="shared" si="67"/>
        <v/>
      </c>
      <c r="U226" s="73" t="str">
        <f t="shared" si="67"/>
        <v/>
      </c>
      <c r="V226" s="73" t="str">
        <f t="shared" si="67"/>
        <v/>
      </c>
      <c r="W226" s="73" t="str">
        <f t="shared" si="67"/>
        <v/>
      </c>
      <c r="X226" s="73" t="str">
        <f t="shared" si="67"/>
        <v/>
      </c>
      <c r="Y226" s="73" t="str">
        <f t="shared" si="67"/>
        <v/>
      </c>
      <c r="Z226" s="73" t="str">
        <f t="shared" si="67"/>
        <v/>
      </c>
      <c r="AA226" s="73" t="str">
        <f t="shared" si="67"/>
        <v/>
      </c>
      <c r="AB226" s="74" t="str">
        <f t="shared" si="67"/>
        <v/>
      </c>
      <c r="AC226" s="35" t="str">
        <f t="shared" si="57"/>
        <v/>
      </c>
      <c r="AD226" s="40" t="str">
        <f t="shared" si="58"/>
        <v/>
      </c>
      <c r="AE226" s="37" t="str">
        <f t="shared" si="59"/>
        <v/>
      </c>
      <c r="AF226" s="40" t="str">
        <f t="shared" si="60"/>
        <v/>
      </c>
      <c r="AG226" s="37" t="str">
        <f t="shared" si="61"/>
        <v/>
      </c>
      <c r="AH226" s="40" t="str">
        <f t="shared" si="62"/>
        <v/>
      </c>
      <c r="AI226" s="37" t="str">
        <f t="shared" si="63"/>
        <v/>
      </c>
      <c r="AJ226" s="40" t="str">
        <f t="shared" si="64"/>
        <v/>
      </c>
      <c r="AK226" s="204" t="str">
        <f>IF(C226="","",IF(E226=FROTA!$AT$18,IF('DEFINA!!!'!$L$6="D-E-F-I-N-A !!!!!!!",0,IF('DEFINA!!!'!$L$6="Opto por Idade Média",SEM!AW226,IF('DEFINA!!!'!$L$6="Opto pelo Valor aplicado ao  Ano de cada Carro",SEM!AX226,0))),IF(E226=FROTA!$AT$17,IF('DEFINA!!!'!$L$6="D-E-F-I-N-A !!!!!!!",0,IF('DEFINA!!!'!$L$6="Opto por Idade Média",SEM!AW226,IF('DEFINA!!!'!$L$6="Opto pelo Valor aplicado ao  Ano de cada Carro",SEM!AX226,0))),IF(E226=FROTA!$AT$16,IF('DEFINA!!!'!$L$6="D-E-F-I-N-A !!!!!!!",0,IF('DEFINA!!!'!$L$6="Opto por Idade Média",SEM!AW226,IF('DEFINA!!!'!$L$6="Opto pelo Valor aplicado ao  Ano de cada Carro",SEM!AX226,0))),IF('DEFINA!!!'!$L$6="D-E-F-I-N-A !!!!!!!",0,IF('DEFINA!!!'!$L$6="Opto por Idade Média",SEM!AU226,IF('DEFINA!!!'!$L$6="Opto pelo Valor aplicado ao  Ano de cada Carro",SEM!AV226,0)))))))</f>
        <v/>
      </c>
      <c r="AL226" s="6"/>
      <c r="AM226" s="79" t="str">
        <f t="shared" si="65"/>
        <v/>
      </c>
      <c r="AR226" s="5"/>
      <c r="AU226" s="198" t="str">
        <f>IF(C226="","",VLOOKUP(FROTA!$AB$2,RECEBÍVEIS!$AA$11:$AB$43,2,0))</f>
        <v/>
      </c>
      <c r="AV226" s="198" t="str">
        <f>IF(C226="","",IF(C226=FROTA!Z226="","",VLOOKUP(FROTA!Z226,RECEBÍVEIS!$AA$11:$AB$43,2,0)))</f>
        <v/>
      </c>
      <c r="AW226" s="198" t="str">
        <f>IF(C226="","",VLOOKUP(FROTA!$AB$2,RECEBÍVEIS!$AA$11:$AC$43,3,0))</f>
        <v/>
      </c>
      <c r="AX226" s="198" t="str">
        <f>IF(C226="","",IF(C226=FROTA!Z226="","",VLOOKUP(FROTA!Z226,RECEBÍVEIS!$AA$11:$AC$43,3,0)))</f>
        <v/>
      </c>
    </row>
    <row r="227" spans="2:50" ht="17.25" customHeight="1" x14ac:dyDescent="0.2">
      <c r="B227" s="6"/>
      <c r="C227" s="49" t="str">
        <f>IF(FROTA!B227="","",FROTA!B227)</f>
        <v/>
      </c>
      <c r="D227" s="220" t="str">
        <f>IF(C227="","",VLOOKUP(SEM!C227,FROTA!$B$5:$C$305,2,0))</f>
        <v/>
      </c>
      <c r="E227" s="24" t="str">
        <f>IF(C227="","",VLOOKUP(C227,FROTA!$B$5:$H$305,7,0))</f>
        <v/>
      </c>
      <c r="F227" s="38" t="str">
        <f t="shared" si="56"/>
        <v/>
      </c>
      <c r="G227" s="71" t="str">
        <f t="shared" si="66"/>
        <v/>
      </c>
      <c r="H227" s="32" t="str">
        <f t="shared" si="53"/>
        <v/>
      </c>
      <c r="I227" s="73" t="str">
        <f t="shared" si="53"/>
        <v/>
      </c>
      <c r="J227" s="73" t="str">
        <f t="shared" si="53"/>
        <v/>
      </c>
      <c r="K227" s="73" t="str">
        <f t="shared" si="68"/>
        <v/>
      </c>
      <c r="L227" s="73" t="str">
        <f t="shared" si="68"/>
        <v/>
      </c>
      <c r="M227" s="73" t="str">
        <f t="shared" si="68"/>
        <v/>
      </c>
      <c r="N227" s="73" t="str">
        <f t="shared" si="68"/>
        <v/>
      </c>
      <c r="O227" s="73" t="str">
        <f t="shared" si="68"/>
        <v/>
      </c>
      <c r="P227" s="73" t="str">
        <f t="shared" si="68"/>
        <v/>
      </c>
      <c r="Q227" s="73" t="str">
        <f t="shared" si="68"/>
        <v/>
      </c>
      <c r="R227" s="73" t="str">
        <f t="shared" si="67"/>
        <v/>
      </c>
      <c r="S227" s="73" t="str">
        <f t="shared" si="67"/>
        <v/>
      </c>
      <c r="T227" s="73" t="str">
        <f t="shared" si="67"/>
        <v/>
      </c>
      <c r="U227" s="73" t="str">
        <f t="shared" si="67"/>
        <v/>
      </c>
      <c r="V227" s="73" t="str">
        <f t="shared" si="67"/>
        <v/>
      </c>
      <c r="W227" s="73" t="str">
        <f t="shared" si="67"/>
        <v/>
      </c>
      <c r="X227" s="73" t="str">
        <f t="shared" si="67"/>
        <v/>
      </c>
      <c r="Y227" s="73" t="str">
        <f t="shared" si="67"/>
        <v/>
      </c>
      <c r="Z227" s="73" t="str">
        <f t="shared" si="67"/>
        <v/>
      </c>
      <c r="AA227" s="73" t="str">
        <f t="shared" si="67"/>
        <v/>
      </c>
      <c r="AB227" s="74" t="str">
        <f t="shared" si="67"/>
        <v/>
      </c>
      <c r="AC227" s="35" t="str">
        <f t="shared" si="57"/>
        <v/>
      </c>
      <c r="AD227" s="40" t="str">
        <f t="shared" si="58"/>
        <v/>
      </c>
      <c r="AE227" s="37" t="str">
        <f t="shared" si="59"/>
        <v/>
      </c>
      <c r="AF227" s="40" t="str">
        <f t="shared" si="60"/>
        <v/>
      </c>
      <c r="AG227" s="37" t="str">
        <f t="shared" si="61"/>
        <v/>
      </c>
      <c r="AH227" s="40" t="str">
        <f t="shared" si="62"/>
        <v/>
      </c>
      <c r="AI227" s="37" t="str">
        <f t="shared" si="63"/>
        <v/>
      </c>
      <c r="AJ227" s="40" t="str">
        <f t="shared" si="64"/>
        <v/>
      </c>
      <c r="AK227" s="204" t="str">
        <f>IF(C227="","",IF(E227=FROTA!$AT$18,IF('DEFINA!!!'!$L$6="D-E-F-I-N-A !!!!!!!",0,IF('DEFINA!!!'!$L$6="Opto por Idade Média",SEM!AW227,IF('DEFINA!!!'!$L$6="Opto pelo Valor aplicado ao  Ano de cada Carro",SEM!AX227,0))),IF(E227=FROTA!$AT$17,IF('DEFINA!!!'!$L$6="D-E-F-I-N-A !!!!!!!",0,IF('DEFINA!!!'!$L$6="Opto por Idade Média",SEM!AW227,IF('DEFINA!!!'!$L$6="Opto pelo Valor aplicado ao  Ano de cada Carro",SEM!AX227,0))),IF(E227=FROTA!$AT$16,IF('DEFINA!!!'!$L$6="D-E-F-I-N-A !!!!!!!",0,IF('DEFINA!!!'!$L$6="Opto por Idade Média",SEM!AW227,IF('DEFINA!!!'!$L$6="Opto pelo Valor aplicado ao  Ano de cada Carro",SEM!AX227,0))),IF('DEFINA!!!'!$L$6="D-E-F-I-N-A !!!!!!!",0,IF('DEFINA!!!'!$L$6="Opto por Idade Média",SEM!AU227,IF('DEFINA!!!'!$L$6="Opto pelo Valor aplicado ao  Ano de cada Carro",SEM!AV227,0)))))))</f>
        <v/>
      </c>
      <c r="AL227" s="6"/>
      <c r="AM227" s="79" t="str">
        <f t="shared" si="65"/>
        <v/>
      </c>
      <c r="AR227" s="5"/>
      <c r="AU227" s="198" t="str">
        <f>IF(C227="","",VLOOKUP(FROTA!$AB$2,RECEBÍVEIS!$AA$11:$AB$43,2,0))</f>
        <v/>
      </c>
      <c r="AV227" s="198" t="str">
        <f>IF(C227="","",IF(C227=FROTA!Z227="","",VLOOKUP(FROTA!Z227,RECEBÍVEIS!$AA$11:$AB$43,2,0)))</f>
        <v/>
      </c>
      <c r="AW227" s="198" t="str">
        <f>IF(C227="","",VLOOKUP(FROTA!$AB$2,RECEBÍVEIS!$AA$11:$AC$43,3,0))</f>
        <v/>
      </c>
      <c r="AX227" s="198" t="str">
        <f>IF(C227="","",IF(C227=FROTA!Z227="","",VLOOKUP(FROTA!Z227,RECEBÍVEIS!$AA$11:$AC$43,3,0)))</f>
        <v/>
      </c>
    </row>
    <row r="228" spans="2:50" ht="17.25" customHeight="1" x14ac:dyDescent="0.2">
      <c r="B228" s="6"/>
      <c r="C228" s="49" t="str">
        <f>IF(FROTA!B228="","",FROTA!B228)</f>
        <v/>
      </c>
      <c r="D228" s="220" t="str">
        <f>IF(C228="","",VLOOKUP(SEM!C228,FROTA!$B$5:$C$305,2,0))</f>
        <v/>
      </c>
      <c r="E228" s="24" t="str">
        <f>IF(C228="","",VLOOKUP(C228,FROTA!$B$5:$H$305,7,0))</f>
        <v/>
      </c>
      <c r="F228" s="38" t="str">
        <f t="shared" si="56"/>
        <v/>
      </c>
      <c r="G228" s="71" t="str">
        <f t="shared" si="66"/>
        <v/>
      </c>
      <c r="H228" s="32" t="str">
        <f t="shared" si="53"/>
        <v/>
      </c>
      <c r="I228" s="73" t="str">
        <f t="shared" si="53"/>
        <v/>
      </c>
      <c r="J228" s="73" t="str">
        <f t="shared" si="53"/>
        <v/>
      </c>
      <c r="K228" s="73" t="str">
        <f t="shared" si="68"/>
        <v/>
      </c>
      <c r="L228" s="73" t="str">
        <f t="shared" si="68"/>
        <v/>
      </c>
      <c r="M228" s="73" t="str">
        <f t="shared" si="68"/>
        <v/>
      </c>
      <c r="N228" s="73" t="str">
        <f t="shared" si="68"/>
        <v/>
      </c>
      <c r="O228" s="73" t="str">
        <f t="shared" si="68"/>
        <v/>
      </c>
      <c r="P228" s="73" t="str">
        <f t="shared" si="68"/>
        <v/>
      </c>
      <c r="Q228" s="73" t="str">
        <f t="shared" si="68"/>
        <v/>
      </c>
      <c r="R228" s="73" t="str">
        <f t="shared" si="67"/>
        <v/>
      </c>
      <c r="S228" s="73" t="str">
        <f t="shared" si="67"/>
        <v/>
      </c>
      <c r="T228" s="73" t="str">
        <f t="shared" si="67"/>
        <v/>
      </c>
      <c r="U228" s="73" t="str">
        <f t="shared" si="67"/>
        <v/>
      </c>
      <c r="V228" s="73" t="str">
        <f t="shared" si="67"/>
        <v/>
      </c>
      <c r="W228" s="73" t="str">
        <f t="shared" si="67"/>
        <v/>
      </c>
      <c r="X228" s="73" t="str">
        <f t="shared" si="67"/>
        <v/>
      </c>
      <c r="Y228" s="73" t="str">
        <f t="shared" si="67"/>
        <v/>
      </c>
      <c r="Z228" s="73" t="str">
        <f t="shared" si="67"/>
        <v/>
      </c>
      <c r="AA228" s="73" t="str">
        <f t="shared" si="67"/>
        <v/>
      </c>
      <c r="AB228" s="74" t="str">
        <f t="shared" si="67"/>
        <v/>
      </c>
      <c r="AC228" s="35" t="str">
        <f t="shared" si="57"/>
        <v/>
      </c>
      <c r="AD228" s="40" t="str">
        <f t="shared" si="58"/>
        <v/>
      </c>
      <c r="AE228" s="37" t="str">
        <f t="shared" si="59"/>
        <v/>
      </c>
      <c r="AF228" s="40" t="str">
        <f t="shared" si="60"/>
        <v/>
      </c>
      <c r="AG228" s="37" t="str">
        <f t="shared" si="61"/>
        <v/>
      </c>
      <c r="AH228" s="40" t="str">
        <f t="shared" si="62"/>
        <v/>
      </c>
      <c r="AI228" s="37" t="str">
        <f t="shared" si="63"/>
        <v/>
      </c>
      <c r="AJ228" s="40" t="str">
        <f t="shared" si="64"/>
        <v/>
      </c>
      <c r="AK228" s="204" t="str">
        <f>IF(C228="","",IF(E228=FROTA!$AT$18,IF('DEFINA!!!'!$L$6="D-E-F-I-N-A !!!!!!!",0,IF('DEFINA!!!'!$L$6="Opto por Idade Média",SEM!AW228,IF('DEFINA!!!'!$L$6="Opto pelo Valor aplicado ao  Ano de cada Carro",SEM!AX228,0))),IF(E228=FROTA!$AT$17,IF('DEFINA!!!'!$L$6="D-E-F-I-N-A !!!!!!!",0,IF('DEFINA!!!'!$L$6="Opto por Idade Média",SEM!AW228,IF('DEFINA!!!'!$L$6="Opto pelo Valor aplicado ao  Ano de cada Carro",SEM!AX228,0))),IF(E228=FROTA!$AT$16,IF('DEFINA!!!'!$L$6="D-E-F-I-N-A !!!!!!!",0,IF('DEFINA!!!'!$L$6="Opto por Idade Média",SEM!AW228,IF('DEFINA!!!'!$L$6="Opto pelo Valor aplicado ao  Ano de cada Carro",SEM!AX228,0))),IF('DEFINA!!!'!$L$6="D-E-F-I-N-A !!!!!!!",0,IF('DEFINA!!!'!$L$6="Opto por Idade Média",SEM!AU228,IF('DEFINA!!!'!$L$6="Opto pelo Valor aplicado ao  Ano de cada Carro",SEM!AV228,0)))))))</f>
        <v/>
      </c>
      <c r="AL228" s="6"/>
      <c r="AM228" s="79" t="str">
        <f t="shared" si="65"/>
        <v/>
      </c>
      <c r="AR228" s="5"/>
      <c r="AU228" s="198" t="str">
        <f>IF(C228="","",VLOOKUP(FROTA!$AB$2,RECEBÍVEIS!$AA$11:$AB$43,2,0))</f>
        <v/>
      </c>
      <c r="AV228" s="198" t="str">
        <f>IF(C228="","",IF(C228=FROTA!Z228="","",VLOOKUP(FROTA!Z228,RECEBÍVEIS!$AA$11:$AB$43,2,0)))</f>
        <v/>
      </c>
      <c r="AW228" s="198" t="str">
        <f>IF(C228="","",VLOOKUP(FROTA!$AB$2,RECEBÍVEIS!$AA$11:$AC$43,3,0))</f>
        <v/>
      </c>
      <c r="AX228" s="198" t="str">
        <f>IF(C228="","",IF(C228=FROTA!Z228="","",VLOOKUP(FROTA!Z228,RECEBÍVEIS!$AA$11:$AC$43,3,0)))</f>
        <v/>
      </c>
    </row>
    <row r="229" spans="2:50" ht="17.25" customHeight="1" x14ac:dyDescent="0.2">
      <c r="B229" s="6"/>
      <c r="C229" s="49" t="str">
        <f>IF(FROTA!B229="","",FROTA!B229)</f>
        <v/>
      </c>
      <c r="D229" s="220" t="str">
        <f>IF(C229="","",VLOOKUP(SEM!C229,FROTA!$B$5:$C$305,2,0))</f>
        <v/>
      </c>
      <c r="E229" s="24" t="str">
        <f>IF(C229="","",VLOOKUP(C229,FROTA!$B$5:$H$305,7,0))</f>
        <v/>
      </c>
      <c r="F229" s="38" t="str">
        <f t="shared" si="56"/>
        <v/>
      </c>
      <c r="G229" s="71" t="str">
        <f t="shared" si="66"/>
        <v/>
      </c>
      <c r="H229" s="32" t="str">
        <f t="shared" si="53"/>
        <v/>
      </c>
      <c r="I229" s="73" t="str">
        <f t="shared" si="53"/>
        <v/>
      </c>
      <c r="J229" s="73" t="str">
        <f t="shared" si="53"/>
        <v/>
      </c>
      <c r="K229" s="73" t="str">
        <f t="shared" si="68"/>
        <v/>
      </c>
      <c r="L229" s="73" t="str">
        <f t="shared" si="68"/>
        <v/>
      </c>
      <c r="M229" s="73" t="str">
        <f t="shared" si="68"/>
        <v/>
      </c>
      <c r="N229" s="73" t="str">
        <f t="shared" si="68"/>
        <v/>
      </c>
      <c r="O229" s="73" t="str">
        <f t="shared" si="68"/>
        <v/>
      </c>
      <c r="P229" s="73" t="str">
        <f t="shared" si="68"/>
        <v/>
      </c>
      <c r="Q229" s="73" t="str">
        <f t="shared" si="68"/>
        <v/>
      </c>
      <c r="R229" s="73" t="str">
        <f t="shared" si="67"/>
        <v/>
      </c>
      <c r="S229" s="73" t="str">
        <f t="shared" si="67"/>
        <v/>
      </c>
      <c r="T229" s="73" t="str">
        <f t="shared" si="67"/>
        <v/>
      </c>
      <c r="U229" s="73" t="str">
        <f t="shared" si="67"/>
        <v/>
      </c>
      <c r="V229" s="73" t="str">
        <f t="shared" si="67"/>
        <v/>
      </c>
      <c r="W229" s="73" t="str">
        <f t="shared" si="67"/>
        <v/>
      </c>
      <c r="X229" s="73" t="str">
        <f t="shared" si="67"/>
        <v/>
      </c>
      <c r="Y229" s="73" t="str">
        <f t="shared" si="67"/>
        <v/>
      </c>
      <c r="Z229" s="73" t="str">
        <f t="shared" si="67"/>
        <v/>
      </c>
      <c r="AA229" s="73" t="str">
        <f t="shared" si="67"/>
        <v/>
      </c>
      <c r="AB229" s="74" t="str">
        <f t="shared" si="67"/>
        <v/>
      </c>
      <c r="AC229" s="35" t="str">
        <f t="shared" si="57"/>
        <v/>
      </c>
      <c r="AD229" s="40" t="str">
        <f t="shared" si="58"/>
        <v/>
      </c>
      <c r="AE229" s="37" t="str">
        <f t="shared" si="59"/>
        <v/>
      </c>
      <c r="AF229" s="40" t="str">
        <f t="shared" si="60"/>
        <v/>
      </c>
      <c r="AG229" s="37" t="str">
        <f t="shared" si="61"/>
        <v/>
      </c>
      <c r="AH229" s="40" t="str">
        <f t="shared" si="62"/>
        <v/>
      </c>
      <c r="AI229" s="37" t="str">
        <f t="shared" si="63"/>
        <v/>
      </c>
      <c r="AJ229" s="40" t="str">
        <f t="shared" si="64"/>
        <v/>
      </c>
      <c r="AK229" s="204" t="str">
        <f>IF(C229="","",IF(E229=FROTA!$AT$18,IF('DEFINA!!!'!$L$6="D-E-F-I-N-A !!!!!!!",0,IF('DEFINA!!!'!$L$6="Opto por Idade Média",SEM!AW229,IF('DEFINA!!!'!$L$6="Opto pelo Valor aplicado ao  Ano de cada Carro",SEM!AX229,0))),IF(E229=FROTA!$AT$17,IF('DEFINA!!!'!$L$6="D-E-F-I-N-A !!!!!!!",0,IF('DEFINA!!!'!$L$6="Opto por Idade Média",SEM!AW229,IF('DEFINA!!!'!$L$6="Opto pelo Valor aplicado ao  Ano de cada Carro",SEM!AX229,0))),IF(E229=FROTA!$AT$16,IF('DEFINA!!!'!$L$6="D-E-F-I-N-A !!!!!!!",0,IF('DEFINA!!!'!$L$6="Opto por Idade Média",SEM!AW229,IF('DEFINA!!!'!$L$6="Opto pelo Valor aplicado ao  Ano de cada Carro",SEM!AX229,0))),IF('DEFINA!!!'!$L$6="D-E-F-I-N-A !!!!!!!",0,IF('DEFINA!!!'!$L$6="Opto por Idade Média",SEM!AU229,IF('DEFINA!!!'!$L$6="Opto pelo Valor aplicado ao  Ano de cada Carro",SEM!AV229,0)))))))</f>
        <v/>
      </c>
      <c r="AL229" s="6"/>
      <c r="AM229" s="79" t="str">
        <f t="shared" si="65"/>
        <v/>
      </c>
      <c r="AR229" s="5"/>
      <c r="AU229" s="198" t="str">
        <f>IF(C229="","",VLOOKUP(FROTA!$AB$2,RECEBÍVEIS!$AA$11:$AB$43,2,0))</f>
        <v/>
      </c>
      <c r="AV229" s="198" t="str">
        <f>IF(C229="","",IF(C229=FROTA!Z229="","",VLOOKUP(FROTA!Z229,RECEBÍVEIS!$AA$11:$AB$43,2,0)))</f>
        <v/>
      </c>
      <c r="AW229" s="198" t="str">
        <f>IF(C229="","",VLOOKUP(FROTA!$AB$2,RECEBÍVEIS!$AA$11:$AC$43,3,0))</f>
        <v/>
      </c>
      <c r="AX229" s="198" t="str">
        <f>IF(C229="","",IF(C229=FROTA!Z229="","",VLOOKUP(FROTA!Z229,RECEBÍVEIS!$AA$11:$AC$43,3,0)))</f>
        <v/>
      </c>
    </row>
    <row r="230" spans="2:50" ht="17.25" customHeight="1" x14ac:dyDescent="0.2">
      <c r="B230" s="6"/>
      <c r="C230" s="49" t="str">
        <f>IF(FROTA!B230="","",FROTA!B230)</f>
        <v/>
      </c>
      <c r="D230" s="220" t="str">
        <f>IF(C230="","",VLOOKUP(SEM!C230,FROTA!$B$5:$C$305,2,0))</f>
        <v/>
      </c>
      <c r="E230" s="24" t="str">
        <f>IF(C230="","",VLOOKUP(C230,FROTA!$B$5:$H$305,7,0))</f>
        <v/>
      </c>
      <c r="F230" s="38" t="str">
        <f t="shared" si="56"/>
        <v/>
      </c>
      <c r="G230" s="71" t="str">
        <f t="shared" si="66"/>
        <v/>
      </c>
      <c r="H230" s="32" t="str">
        <f t="shared" si="53"/>
        <v/>
      </c>
      <c r="I230" s="73" t="str">
        <f t="shared" si="53"/>
        <v/>
      </c>
      <c r="J230" s="73" t="str">
        <f t="shared" si="53"/>
        <v/>
      </c>
      <c r="K230" s="73" t="str">
        <f t="shared" si="68"/>
        <v/>
      </c>
      <c r="L230" s="73" t="str">
        <f t="shared" si="68"/>
        <v/>
      </c>
      <c r="M230" s="73" t="str">
        <f t="shared" si="68"/>
        <v/>
      </c>
      <c r="N230" s="73" t="str">
        <f t="shared" si="68"/>
        <v/>
      </c>
      <c r="O230" s="73" t="str">
        <f t="shared" si="68"/>
        <v/>
      </c>
      <c r="P230" s="73" t="str">
        <f t="shared" si="68"/>
        <v/>
      </c>
      <c r="Q230" s="73" t="str">
        <f t="shared" si="68"/>
        <v/>
      </c>
      <c r="R230" s="73" t="str">
        <f t="shared" si="67"/>
        <v/>
      </c>
      <c r="S230" s="73" t="str">
        <f t="shared" si="67"/>
        <v/>
      </c>
      <c r="T230" s="73" t="str">
        <f t="shared" si="67"/>
        <v/>
      </c>
      <c r="U230" s="73" t="str">
        <f t="shared" si="67"/>
        <v/>
      </c>
      <c r="V230" s="73" t="str">
        <f t="shared" si="67"/>
        <v/>
      </c>
      <c r="W230" s="73" t="str">
        <f t="shared" si="67"/>
        <v/>
      </c>
      <c r="X230" s="73" t="str">
        <f t="shared" si="67"/>
        <v/>
      </c>
      <c r="Y230" s="73" t="str">
        <f t="shared" si="67"/>
        <v/>
      </c>
      <c r="Z230" s="73" t="str">
        <f t="shared" si="67"/>
        <v/>
      </c>
      <c r="AA230" s="73" t="str">
        <f t="shared" si="67"/>
        <v/>
      </c>
      <c r="AB230" s="74" t="str">
        <f t="shared" si="67"/>
        <v/>
      </c>
      <c r="AC230" s="35" t="str">
        <f t="shared" si="57"/>
        <v/>
      </c>
      <c r="AD230" s="40" t="str">
        <f t="shared" si="58"/>
        <v/>
      </c>
      <c r="AE230" s="37" t="str">
        <f t="shared" si="59"/>
        <v/>
      </c>
      <c r="AF230" s="40" t="str">
        <f t="shared" si="60"/>
        <v/>
      </c>
      <c r="AG230" s="37" t="str">
        <f t="shared" si="61"/>
        <v/>
      </c>
      <c r="AH230" s="40" t="str">
        <f t="shared" si="62"/>
        <v/>
      </c>
      <c r="AI230" s="37" t="str">
        <f t="shared" si="63"/>
        <v/>
      </c>
      <c r="AJ230" s="40" t="str">
        <f t="shared" si="64"/>
        <v/>
      </c>
      <c r="AK230" s="204" t="str">
        <f>IF(C230="","",IF(E230=FROTA!$AT$18,IF('DEFINA!!!'!$L$6="D-E-F-I-N-A !!!!!!!",0,IF('DEFINA!!!'!$L$6="Opto por Idade Média",SEM!AW230,IF('DEFINA!!!'!$L$6="Opto pelo Valor aplicado ao  Ano de cada Carro",SEM!AX230,0))),IF(E230=FROTA!$AT$17,IF('DEFINA!!!'!$L$6="D-E-F-I-N-A !!!!!!!",0,IF('DEFINA!!!'!$L$6="Opto por Idade Média",SEM!AW230,IF('DEFINA!!!'!$L$6="Opto pelo Valor aplicado ao  Ano de cada Carro",SEM!AX230,0))),IF(E230=FROTA!$AT$16,IF('DEFINA!!!'!$L$6="D-E-F-I-N-A !!!!!!!",0,IF('DEFINA!!!'!$L$6="Opto por Idade Média",SEM!AW230,IF('DEFINA!!!'!$L$6="Opto pelo Valor aplicado ao  Ano de cada Carro",SEM!AX230,0))),IF('DEFINA!!!'!$L$6="D-E-F-I-N-A !!!!!!!",0,IF('DEFINA!!!'!$L$6="Opto por Idade Média",SEM!AU230,IF('DEFINA!!!'!$L$6="Opto pelo Valor aplicado ao  Ano de cada Carro",SEM!AV230,0)))))))</f>
        <v/>
      </c>
      <c r="AL230" s="6"/>
      <c r="AM230" s="79" t="str">
        <f t="shared" si="65"/>
        <v/>
      </c>
      <c r="AR230" s="5"/>
      <c r="AU230" s="198" t="str">
        <f>IF(C230="","",VLOOKUP(FROTA!$AB$2,RECEBÍVEIS!$AA$11:$AB$43,2,0))</f>
        <v/>
      </c>
      <c r="AV230" s="198" t="str">
        <f>IF(C230="","",IF(C230=FROTA!Z230="","",VLOOKUP(FROTA!Z230,RECEBÍVEIS!$AA$11:$AB$43,2,0)))</f>
        <v/>
      </c>
      <c r="AW230" s="198" t="str">
        <f>IF(C230="","",VLOOKUP(FROTA!$AB$2,RECEBÍVEIS!$AA$11:$AC$43,3,0))</f>
        <v/>
      </c>
      <c r="AX230" s="198" t="str">
        <f>IF(C230="","",IF(C230=FROTA!Z230="","",VLOOKUP(FROTA!Z230,RECEBÍVEIS!$AA$11:$AC$43,3,0)))</f>
        <v/>
      </c>
    </row>
    <row r="231" spans="2:50" ht="17.25" customHeight="1" x14ac:dyDescent="0.2">
      <c r="B231" s="6"/>
      <c r="C231" s="49" t="str">
        <f>IF(FROTA!B231="","",FROTA!B231)</f>
        <v/>
      </c>
      <c r="D231" s="220" t="str">
        <f>IF(C231="","",VLOOKUP(SEM!C231,FROTA!$B$5:$C$305,2,0))</f>
        <v/>
      </c>
      <c r="E231" s="24" t="str">
        <f>IF(C231="","",VLOOKUP(C231,FROTA!$B$5:$H$305,7,0))</f>
        <v/>
      </c>
      <c r="F231" s="38" t="str">
        <f t="shared" si="56"/>
        <v/>
      </c>
      <c r="G231" s="71" t="str">
        <f t="shared" si="66"/>
        <v/>
      </c>
      <c r="H231" s="32" t="str">
        <f t="shared" si="53"/>
        <v/>
      </c>
      <c r="I231" s="73" t="str">
        <f t="shared" si="53"/>
        <v/>
      </c>
      <c r="J231" s="73" t="str">
        <f t="shared" si="53"/>
        <v/>
      </c>
      <c r="K231" s="73" t="str">
        <f t="shared" si="68"/>
        <v/>
      </c>
      <c r="L231" s="73" t="str">
        <f t="shared" si="68"/>
        <v/>
      </c>
      <c r="M231" s="73" t="str">
        <f t="shared" si="68"/>
        <v/>
      </c>
      <c r="N231" s="73" t="str">
        <f t="shared" si="68"/>
        <v/>
      </c>
      <c r="O231" s="73" t="str">
        <f t="shared" si="68"/>
        <v/>
      </c>
      <c r="P231" s="73" t="str">
        <f t="shared" si="68"/>
        <v/>
      </c>
      <c r="Q231" s="73" t="str">
        <f t="shared" si="68"/>
        <v/>
      </c>
      <c r="R231" s="73" t="str">
        <f t="shared" si="67"/>
        <v/>
      </c>
      <c r="S231" s="73" t="str">
        <f t="shared" si="67"/>
        <v/>
      </c>
      <c r="T231" s="73" t="str">
        <f t="shared" si="67"/>
        <v/>
      </c>
      <c r="U231" s="73" t="str">
        <f t="shared" si="67"/>
        <v/>
      </c>
      <c r="V231" s="73" t="str">
        <f t="shared" si="67"/>
        <v/>
      </c>
      <c r="W231" s="73" t="str">
        <f t="shared" si="67"/>
        <v/>
      </c>
      <c r="X231" s="73" t="str">
        <f t="shared" si="67"/>
        <v/>
      </c>
      <c r="Y231" s="73" t="str">
        <f t="shared" si="67"/>
        <v/>
      </c>
      <c r="Z231" s="73" t="str">
        <f t="shared" si="67"/>
        <v/>
      </c>
      <c r="AA231" s="73" t="str">
        <f t="shared" si="67"/>
        <v/>
      </c>
      <c r="AB231" s="74" t="str">
        <f t="shared" si="67"/>
        <v/>
      </c>
      <c r="AC231" s="35" t="str">
        <f t="shared" si="57"/>
        <v/>
      </c>
      <c r="AD231" s="40" t="str">
        <f t="shared" si="58"/>
        <v/>
      </c>
      <c r="AE231" s="37" t="str">
        <f t="shared" si="59"/>
        <v/>
      </c>
      <c r="AF231" s="40" t="str">
        <f t="shared" si="60"/>
        <v/>
      </c>
      <c r="AG231" s="37" t="str">
        <f t="shared" si="61"/>
        <v/>
      </c>
      <c r="AH231" s="40" t="str">
        <f t="shared" si="62"/>
        <v/>
      </c>
      <c r="AI231" s="37" t="str">
        <f t="shared" si="63"/>
        <v/>
      </c>
      <c r="AJ231" s="40" t="str">
        <f t="shared" si="64"/>
        <v/>
      </c>
      <c r="AK231" s="204" t="str">
        <f>IF(C231="","",IF(E231=FROTA!$AT$18,IF('DEFINA!!!'!$L$6="D-E-F-I-N-A !!!!!!!",0,IF('DEFINA!!!'!$L$6="Opto por Idade Média",SEM!AW231,IF('DEFINA!!!'!$L$6="Opto pelo Valor aplicado ao  Ano de cada Carro",SEM!AX231,0))),IF(E231=FROTA!$AT$17,IF('DEFINA!!!'!$L$6="D-E-F-I-N-A !!!!!!!",0,IF('DEFINA!!!'!$L$6="Opto por Idade Média",SEM!AW231,IF('DEFINA!!!'!$L$6="Opto pelo Valor aplicado ao  Ano de cada Carro",SEM!AX231,0))),IF(E231=FROTA!$AT$16,IF('DEFINA!!!'!$L$6="D-E-F-I-N-A !!!!!!!",0,IF('DEFINA!!!'!$L$6="Opto por Idade Média",SEM!AW231,IF('DEFINA!!!'!$L$6="Opto pelo Valor aplicado ao  Ano de cada Carro",SEM!AX231,0))),IF('DEFINA!!!'!$L$6="D-E-F-I-N-A !!!!!!!",0,IF('DEFINA!!!'!$L$6="Opto por Idade Média",SEM!AU231,IF('DEFINA!!!'!$L$6="Opto pelo Valor aplicado ao  Ano de cada Carro",SEM!AV231,0)))))))</f>
        <v/>
      </c>
      <c r="AL231" s="6"/>
      <c r="AM231" s="79" t="str">
        <f t="shared" si="65"/>
        <v/>
      </c>
      <c r="AR231" s="5"/>
      <c r="AU231" s="198" t="str">
        <f>IF(C231="","",VLOOKUP(FROTA!$AB$2,RECEBÍVEIS!$AA$11:$AB$43,2,0))</f>
        <v/>
      </c>
      <c r="AV231" s="198" t="str">
        <f>IF(C231="","",IF(C231=FROTA!Z231="","",VLOOKUP(FROTA!Z231,RECEBÍVEIS!$AA$11:$AB$43,2,0)))</f>
        <v/>
      </c>
      <c r="AW231" s="198" t="str">
        <f>IF(C231="","",VLOOKUP(FROTA!$AB$2,RECEBÍVEIS!$AA$11:$AC$43,3,0))</f>
        <v/>
      </c>
      <c r="AX231" s="198" t="str">
        <f>IF(C231="","",IF(C231=FROTA!Z231="","",VLOOKUP(FROTA!Z231,RECEBÍVEIS!$AA$11:$AC$43,3,0)))</f>
        <v/>
      </c>
    </row>
    <row r="232" spans="2:50" ht="17.25" customHeight="1" x14ac:dyDescent="0.2">
      <c r="B232" s="6"/>
      <c r="C232" s="49" t="str">
        <f>IF(FROTA!B232="","",FROTA!B232)</f>
        <v/>
      </c>
      <c r="D232" s="220" t="str">
        <f>IF(C232="","",VLOOKUP(SEM!C232,FROTA!$B$5:$C$305,2,0))</f>
        <v/>
      </c>
      <c r="E232" s="24" t="str">
        <f>IF(C232="","",VLOOKUP(C232,FROTA!$B$5:$H$305,7,0))</f>
        <v/>
      </c>
      <c r="F232" s="38" t="str">
        <f t="shared" si="56"/>
        <v/>
      </c>
      <c r="G232" s="71" t="str">
        <f t="shared" si="66"/>
        <v/>
      </c>
      <c r="H232" s="32" t="str">
        <f t="shared" si="53"/>
        <v/>
      </c>
      <c r="I232" s="73" t="str">
        <f t="shared" si="53"/>
        <v/>
      </c>
      <c r="J232" s="73" t="str">
        <f t="shared" si="53"/>
        <v/>
      </c>
      <c r="K232" s="73" t="str">
        <f t="shared" si="68"/>
        <v/>
      </c>
      <c r="L232" s="73" t="str">
        <f t="shared" si="68"/>
        <v/>
      </c>
      <c r="M232" s="73" t="str">
        <f t="shared" si="68"/>
        <v/>
      </c>
      <c r="N232" s="73" t="str">
        <f t="shared" si="68"/>
        <v/>
      </c>
      <c r="O232" s="73" t="str">
        <f t="shared" si="68"/>
        <v/>
      </c>
      <c r="P232" s="73" t="str">
        <f t="shared" si="68"/>
        <v/>
      </c>
      <c r="Q232" s="73" t="str">
        <f t="shared" si="68"/>
        <v/>
      </c>
      <c r="R232" s="73" t="str">
        <f t="shared" si="68"/>
        <v/>
      </c>
      <c r="S232" s="73" t="str">
        <f t="shared" si="68"/>
        <v/>
      </c>
      <c r="T232" s="73" t="str">
        <f t="shared" si="68"/>
        <v/>
      </c>
      <c r="U232" s="73" t="str">
        <f t="shared" si="68"/>
        <v/>
      </c>
      <c r="V232" s="73" t="str">
        <f t="shared" si="68"/>
        <v/>
      </c>
      <c r="W232" s="73" t="str">
        <f t="shared" si="68"/>
        <v/>
      </c>
      <c r="X232" s="73" t="str">
        <f t="shared" si="68"/>
        <v/>
      </c>
      <c r="Y232" s="73" t="str">
        <f t="shared" si="68"/>
        <v/>
      </c>
      <c r="Z232" s="73" t="str">
        <f t="shared" si="68"/>
        <v/>
      </c>
      <c r="AA232" s="73" t="str">
        <f t="shared" ref="R232:AB255" si="69">IF($C232="","",IF(SUM(AA$307*$G232)&gt;$F232,$F232,SUM(AA$307*$G232)))</f>
        <v/>
      </c>
      <c r="AB232" s="74" t="str">
        <f t="shared" si="69"/>
        <v/>
      </c>
      <c r="AC232" s="35" t="str">
        <f t="shared" si="57"/>
        <v/>
      </c>
      <c r="AD232" s="40" t="str">
        <f t="shared" si="58"/>
        <v/>
      </c>
      <c r="AE232" s="37" t="str">
        <f t="shared" si="59"/>
        <v/>
      </c>
      <c r="AF232" s="40" t="str">
        <f t="shared" si="60"/>
        <v/>
      </c>
      <c r="AG232" s="37" t="str">
        <f t="shared" si="61"/>
        <v/>
      </c>
      <c r="AH232" s="40" t="str">
        <f t="shared" si="62"/>
        <v/>
      </c>
      <c r="AI232" s="37" t="str">
        <f t="shared" si="63"/>
        <v/>
      </c>
      <c r="AJ232" s="40" t="str">
        <f t="shared" si="64"/>
        <v/>
      </c>
      <c r="AK232" s="204" t="str">
        <f>IF(C232="","",IF(E232=FROTA!$AT$18,IF('DEFINA!!!'!$L$6="D-E-F-I-N-A !!!!!!!",0,IF('DEFINA!!!'!$L$6="Opto por Idade Média",SEM!AW232,IF('DEFINA!!!'!$L$6="Opto pelo Valor aplicado ao  Ano de cada Carro",SEM!AX232,0))),IF(E232=FROTA!$AT$17,IF('DEFINA!!!'!$L$6="D-E-F-I-N-A !!!!!!!",0,IF('DEFINA!!!'!$L$6="Opto por Idade Média",SEM!AW232,IF('DEFINA!!!'!$L$6="Opto pelo Valor aplicado ao  Ano de cada Carro",SEM!AX232,0))),IF(E232=FROTA!$AT$16,IF('DEFINA!!!'!$L$6="D-E-F-I-N-A !!!!!!!",0,IF('DEFINA!!!'!$L$6="Opto por Idade Média",SEM!AW232,IF('DEFINA!!!'!$L$6="Opto pelo Valor aplicado ao  Ano de cada Carro",SEM!AX232,0))),IF('DEFINA!!!'!$L$6="D-E-F-I-N-A !!!!!!!",0,IF('DEFINA!!!'!$L$6="Opto por Idade Média",SEM!AU232,IF('DEFINA!!!'!$L$6="Opto pelo Valor aplicado ao  Ano de cada Carro",SEM!AV232,0)))))))</f>
        <v/>
      </c>
      <c r="AL232" s="6"/>
      <c r="AM232" s="79" t="str">
        <f t="shared" si="65"/>
        <v/>
      </c>
      <c r="AR232" s="5"/>
      <c r="AU232" s="198" t="str">
        <f>IF(C232="","",VLOOKUP(FROTA!$AB$2,RECEBÍVEIS!$AA$11:$AB$43,2,0))</f>
        <v/>
      </c>
      <c r="AV232" s="198" t="str">
        <f>IF(C232="","",IF(C232=FROTA!Z232="","",VLOOKUP(FROTA!Z232,RECEBÍVEIS!$AA$11:$AB$43,2,0)))</f>
        <v/>
      </c>
      <c r="AW232" s="198" t="str">
        <f>IF(C232="","",VLOOKUP(FROTA!$AB$2,RECEBÍVEIS!$AA$11:$AC$43,3,0))</f>
        <v/>
      </c>
      <c r="AX232" s="198" t="str">
        <f>IF(C232="","",IF(C232=FROTA!Z232="","",VLOOKUP(FROTA!Z232,RECEBÍVEIS!$AA$11:$AC$43,3,0)))</f>
        <v/>
      </c>
    </row>
    <row r="233" spans="2:50" ht="17.25" customHeight="1" x14ac:dyDescent="0.2">
      <c r="B233" s="6"/>
      <c r="C233" s="49" t="str">
        <f>IF(FROTA!B233="","",FROTA!B233)</f>
        <v/>
      </c>
      <c r="D233" s="220" t="str">
        <f>IF(C233="","",VLOOKUP(SEM!C233,FROTA!$B$5:$C$305,2,0))</f>
        <v/>
      </c>
      <c r="E233" s="24" t="str">
        <f>IF(C233="","",VLOOKUP(C233,FROTA!$B$5:$H$305,7,0))</f>
        <v/>
      </c>
      <c r="F233" s="38" t="str">
        <f t="shared" si="56"/>
        <v/>
      </c>
      <c r="G233" s="71" t="str">
        <f t="shared" si="66"/>
        <v/>
      </c>
      <c r="H233" s="32" t="str">
        <f t="shared" si="53"/>
        <v/>
      </c>
      <c r="I233" s="73" t="str">
        <f t="shared" si="53"/>
        <v/>
      </c>
      <c r="J233" s="73" t="str">
        <f t="shared" si="53"/>
        <v/>
      </c>
      <c r="K233" s="73" t="str">
        <f t="shared" si="68"/>
        <v/>
      </c>
      <c r="L233" s="73" t="str">
        <f t="shared" si="68"/>
        <v/>
      </c>
      <c r="M233" s="73" t="str">
        <f t="shared" si="68"/>
        <v/>
      </c>
      <c r="N233" s="73" t="str">
        <f t="shared" si="68"/>
        <v/>
      </c>
      <c r="O233" s="73" t="str">
        <f t="shared" si="68"/>
        <v/>
      </c>
      <c r="P233" s="73" t="str">
        <f t="shared" si="68"/>
        <v/>
      </c>
      <c r="Q233" s="73" t="str">
        <f t="shared" si="68"/>
        <v/>
      </c>
      <c r="R233" s="73" t="str">
        <f t="shared" si="69"/>
        <v/>
      </c>
      <c r="S233" s="73" t="str">
        <f t="shared" si="69"/>
        <v/>
      </c>
      <c r="T233" s="73" t="str">
        <f t="shared" si="69"/>
        <v/>
      </c>
      <c r="U233" s="73" t="str">
        <f t="shared" si="69"/>
        <v/>
      </c>
      <c r="V233" s="73" t="str">
        <f t="shared" si="69"/>
        <v/>
      </c>
      <c r="W233" s="73" t="str">
        <f t="shared" si="69"/>
        <v/>
      </c>
      <c r="X233" s="73" t="str">
        <f t="shared" si="69"/>
        <v/>
      </c>
      <c r="Y233" s="73" t="str">
        <f t="shared" si="69"/>
        <v/>
      </c>
      <c r="Z233" s="73" t="str">
        <f t="shared" si="69"/>
        <v/>
      </c>
      <c r="AA233" s="73" t="str">
        <f t="shared" si="69"/>
        <v/>
      </c>
      <c r="AB233" s="74" t="str">
        <f t="shared" si="69"/>
        <v/>
      </c>
      <c r="AC233" s="35" t="str">
        <f t="shared" si="57"/>
        <v/>
      </c>
      <c r="AD233" s="40" t="str">
        <f t="shared" si="58"/>
        <v/>
      </c>
      <c r="AE233" s="37" t="str">
        <f t="shared" si="59"/>
        <v/>
      </c>
      <c r="AF233" s="40" t="str">
        <f t="shared" si="60"/>
        <v/>
      </c>
      <c r="AG233" s="37" t="str">
        <f t="shared" si="61"/>
        <v/>
      </c>
      <c r="AH233" s="40" t="str">
        <f t="shared" si="62"/>
        <v/>
      </c>
      <c r="AI233" s="37" t="str">
        <f t="shared" si="63"/>
        <v/>
      </c>
      <c r="AJ233" s="40" t="str">
        <f t="shared" si="64"/>
        <v/>
      </c>
      <c r="AK233" s="204" t="str">
        <f>IF(C233="","",IF(E233=FROTA!$AT$18,IF('DEFINA!!!'!$L$6="D-E-F-I-N-A !!!!!!!",0,IF('DEFINA!!!'!$L$6="Opto por Idade Média",SEM!AW233,IF('DEFINA!!!'!$L$6="Opto pelo Valor aplicado ao  Ano de cada Carro",SEM!AX233,0))),IF(E233=FROTA!$AT$17,IF('DEFINA!!!'!$L$6="D-E-F-I-N-A !!!!!!!",0,IF('DEFINA!!!'!$L$6="Opto por Idade Média",SEM!AW233,IF('DEFINA!!!'!$L$6="Opto pelo Valor aplicado ao  Ano de cada Carro",SEM!AX233,0))),IF(E233=FROTA!$AT$16,IF('DEFINA!!!'!$L$6="D-E-F-I-N-A !!!!!!!",0,IF('DEFINA!!!'!$L$6="Opto por Idade Média",SEM!AW233,IF('DEFINA!!!'!$L$6="Opto pelo Valor aplicado ao  Ano de cada Carro",SEM!AX233,0))),IF('DEFINA!!!'!$L$6="D-E-F-I-N-A !!!!!!!",0,IF('DEFINA!!!'!$L$6="Opto por Idade Média",SEM!AU233,IF('DEFINA!!!'!$L$6="Opto pelo Valor aplicado ao  Ano de cada Carro",SEM!AV233,0)))))))</f>
        <v/>
      </c>
      <c r="AL233" s="6"/>
      <c r="AM233" s="79" t="str">
        <f t="shared" si="65"/>
        <v/>
      </c>
      <c r="AR233" s="5"/>
      <c r="AU233" s="198" t="str">
        <f>IF(C233="","",VLOOKUP(FROTA!$AB$2,RECEBÍVEIS!$AA$11:$AB$43,2,0))</f>
        <v/>
      </c>
      <c r="AV233" s="198" t="str">
        <f>IF(C233="","",IF(C233=FROTA!Z233="","",VLOOKUP(FROTA!Z233,RECEBÍVEIS!$AA$11:$AB$43,2,0)))</f>
        <v/>
      </c>
      <c r="AW233" s="198" t="str">
        <f>IF(C233="","",VLOOKUP(FROTA!$AB$2,RECEBÍVEIS!$AA$11:$AC$43,3,0))</f>
        <v/>
      </c>
      <c r="AX233" s="198" t="str">
        <f>IF(C233="","",IF(C233=FROTA!Z233="","",VLOOKUP(FROTA!Z233,RECEBÍVEIS!$AA$11:$AC$43,3,0)))</f>
        <v/>
      </c>
    </row>
    <row r="234" spans="2:50" ht="17.25" customHeight="1" x14ac:dyDescent="0.2">
      <c r="B234" s="6"/>
      <c r="C234" s="49" t="str">
        <f>IF(FROTA!B234="","",FROTA!B234)</f>
        <v/>
      </c>
      <c r="D234" s="220" t="str">
        <f>IF(C234="","",VLOOKUP(SEM!C234,FROTA!$B$5:$C$305,2,0))</f>
        <v/>
      </c>
      <c r="E234" s="24" t="str">
        <f>IF(C234="","",VLOOKUP(C234,FROTA!$B$5:$H$305,7,0))</f>
        <v/>
      </c>
      <c r="F234" s="38" t="str">
        <f t="shared" si="56"/>
        <v/>
      </c>
      <c r="G234" s="71" t="str">
        <f t="shared" si="66"/>
        <v/>
      </c>
      <c r="H234" s="32" t="str">
        <f t="shared" si="53"/>
        <v/>
      </c>
      <c r="I234" s="73" t="str">
        <f t="shared" si="53"/>
        <v/>
      </c>
      <c r="J234" s="73" t="str">
        <f t="shared" si="53"/>
        <v/>
      </c>
      <c r="K234" s="73" t="str">
        <f t="shared" si="68"/>
        <v/>
      </c>
      <c r="L234" s="73" t="str">
        <f t="shared" si="68"/>
        <v/>
      </c>
      <c r="M234" s="73" t="str">
        <f t="shared" si="68"/>
        <v/>
      </c>
      <c r="N234" s="73" t="str">
        <f t="shared" si="68"/>
        <v/>
      </c>
      <c r="O234" s="73" t="str">
        <f t="shared" si="68"/>
        <v/>
      </c>
      <c r="P234" s="73" t="str">
        <f t="shared" si="68"/>
        <v/>
      </c>
      <c r="Q234" s="73" t="str">
        <f t="shared" si="68"/>
        <v/>
      </c>
      <c r="R234" s="73" t="str">
        <f t="shared" si="69"/>
        <v/>
      </c>
      <c r="S234" s="73" t="str">
        <f t="shared" si="69"/>
        <v/>
      </c>
      <c r="T234" s="73" t="str">
        <f t="shared" si="69"/>
        <v/>
      </c>
      <c r="U234" s="73" t="str">
        <f t="shared" si="69"/>
        <v/>
      </c>
      <c r="V234" s="73" t="str">
        <f t="shared" si="69"/>
        <v/>
      </c>
      <c r="W234" s="73" t="str">
        <f t="shared" si="69"/>
        <v/>
      </c>
      <c r="X234" s="73" t="str">
        <f t="shared" si="69"/>
        <v/>
      </c>
      <c r="Y234" s="73" t="str">
        <f t="shared" si="69"/>
        <v/>
      </c>
      <c r="Z234" s="73" t="str">
        <f t="shared" si="69"/>
        <v/>
      </c>
      <c r="AA234" s="73" t="str">
        <f t="shared" si="69"/>
        <v/>
      </c>
      <c r="AB234" s="74" t="str">
        <f t="shared" si="69"/>
        <v/>
      </c>
      <c r="AC234" s="35" t="str">
        <f t="shared" si="57"/>
        <v/>
      </c>
      <c r="AD234" s="40" t="str">
        <f t="shared" si="58"/>
        <v/>
      </c>
      <c r="AE234" s="37" t="str">
        <f t="shared" si="59"/>
        <v/>
      </c>
      <c r="AF234" s="40" t="str">
        <f t="shared" si="60"/>
        <v/>
      </c>
      <c r="AG234" s="37" t="str">
        <f t="shared" si="61"/>
        <v/>
      </c>
      <c r="AH234" s="40" t="str">
        <f t="shared" si="62"/>
        <v/>
      </c>
      <c r="AI234" s="37" t="str">
        <f t="shared" si="63"/>
        <v/>
      </c>
      <c r="AJ234" s="40" t="str">
        <f t="shared" si="64"/>
        <v/>
      </c>
      <c r="AK234" s="204" t="str">
        <f>IF(C234="","",IF(E234=FROTA!$AT$18,IF('DEFINA!!!'!$L$6="D-E-F-I-N-A !!!!!!!",0,IF('DEFINA!!!'!$L$6="Opto por Idade Média",SEM!AW234,IF('DEFINA!!!'!$L$6="Opto pelo Valor aplicado ao  Ano de cada Carro",SEM!AX234,0))),IF(E234=FROTA!$AT$17,IF('DEFINA!!!'!$L$6="D-E-F-I-N-A !!!!!!!",0,IF('DEFINA!!!'!$L$6="Opto por Idade Média",SEM!AW234,IF('DEFINA!!!'!$L$6="Opto pelo Valor aplicado ao  Ano de cada Carro",SEM!AX234,0))),IF(E234=FROTA!$AT$16,IF('DEFINA!!!'!$L$6="D-E-F-I-N-A !!!!!!!",0,IF('DEFINA!!!'!$L$6="Opto por Idade Média",SEM!AW234,IF('DEFINA!!!'!$L$6="Opto pelo Valor aplicado ao  Ano de cada Carro",SEM!AX234,0))),IF('DEFINA!!!'!$L$6="D-E-F-I-N-A !!!!!!!",0,IF('DEFINA!!!'!$L$6="Opto por Idade Média",SEM!AU234,IF('DEFINA!!!'!$L$6="Opto pelo Valor aplicado ao  Ano de cada Carro",SEM!AV234,0)))))))</f>
        <v/>
      </c>
      <c r="AL234" s="6"/>
      <c r="AM234" s="79" t="str">
        <f t="shared" si="65"/>
        <v/>
      </c>
      <c r="AR234" s="5"/>
      <c r="AU234" s="198" t="str">
        <f>IF(C234="","",VLOOKUP(FROTA!$AB$2,RECEBÍVEIS!$AA$11:$AB$43,2,0))</f>
        <v/>
      </c>
      <c r="AV234" s="198" t="str">
        <f>IF(C234="","",IF(C234=FROTA!Z234="","",VLOOKUP(FROTA!Z234,RECEBÍVEIS!$AA$11:$AB$43,2,0)))</f>
        <v/>
      </c>
      <c r="AW234" s="198" t="str">
        <f>IF(C234="","",VLOOKUP(FROTA!$AB$2,RECEBÍVEIS!$AA$11:$AC$43,3,0))</f>
        <v/>
      </c>
      <c r="AX234" s="198" t="str">
        <f>IF(C234="","",IF(C234=FROTA!Z234="","",VLOOKUP(FROTA!Z234,RECEBÍVEIS!$AA$11:$AC$43,3,0)))</f>
        <v/>
      </c>
    </row>
    <row r="235" spans="2:50" ht="17.25" customHeight="1" x14ac:dyDescent="0.2">
      <c r="B235" s="6"/>
      <c r="C235" s="49" t="str">
        <f>IF(FROTA!B235="","",FROTA!B235)</f>
        <v/>
      </c>
      <c r="D235" s="220" t="str">
        <f>IF(C235="","",VLOOKUP(SEM!C235,FROTA!$B$5:$C$305,2,0))</f>
        <v/>
      </c>
      <c r="E235" s="24" t="str">
        <f>IF(C235="","",VLOOKUP(C235,FROTA!$B$5:$H$305,7,0))</f>
        <v/>
      </c>
      <c r="F235" s="38" t="str">
        <f t="shared" si="56"/>
        <v/>
      </c>
      <c r="G235" s="71" t="str">
        <f t="shared" si="66"/>
        <v/>
      </c>
      <c r="H235" s="32" t="str">
        <f t="shared" si="53"/>
        <v/>
      </c>
      <c r="I235" s="73" t="str">
        <f t="shared" si="53"/>
        <v/>
      </c>
      <c r="J235" s="73" t="str">
        <f t="shared" si="53"/>
        <v/>
      </c>
      <c r="K235" s="73" t="str">
        <f t="shared" si="68"/>
        <v/>
      </c>
      <c r="L235" s="73" t="str">
        <f t="shared" si="68"/>
        <v/>
      </c>
      <c r="M235" s="73" t="str">
        <f t="shared" si="68"/>
        <v/>
      </c>
      <c r="N235" s="73" t="str">
        <f t="shared" si="68"/>
        <v/>
      </c>
      <c r="O235" s="73" t="str">
        <f t="shared" si="68"/>
        <v/>
      </c>
      <c r="P235" s="73" t="str">
        <f t="shared" si="68"/>
        <v/>
      </c>
      <c r="Q235" s="73" t="str">
        <f t="shared" si="68"/>
        <v/>
      </c>
      <c r="R235" s="73" t="str">
        <f t="shared" si="69"/>
        <v/>
      </c>
      <c r="S235" s="73" t="str">
        <f t="shared" si="69"/>
        <v/>
      </c>
      <c r="T235" s="73" t="str">
        <f t="shared" si="69"/>
        <v/>
      </c>
      <c r="U235" s="73" t="str">
        <f t="shared" si="69"/>
        <v/>
      </c>
      <c r="V235" s="73" t="str">
        <f t="shared" si="69"/>
        <v/>
      </c>
      <c r="W235" s="73" t="str">
        <f t="shared" si="69"/>
        <v/>
      </c>
      <c r="X235" s="73" t="str">
        <f t="shared" si="69"/>
        <v/>
      </c>
      <c r="Y235" s="73" t="str">
        <f t="shared" si="69"/>
        <v/>
      </c>
      <c r="Z235" s="73" t="str">
        <f t="shared" si="69"/>
        <v/>
      </c>
      <c r="AA235" s="73" t="str">
        <f t="shared" si="69"/>
        <v/>
      </c>
      <c r="AB235" s="74" t="str">
        <f t="shared" si="69"/>
        <v/>
      </c>
      <c r="AC235" s="35" t="str">
        <f t="shared" si="57"/>
        <v/>
      </c>
      <c r="AD235" s="40" t="str">
        <f t="shared" si="58"/>
        <v/>
      </c>
      <c r="AE235" s="37" t="str">
        <f t="shared" si="59"/>
        <v/>
      </c>
      <c r="AF235" s="40" t="str">
        <f t="shared" si="60"/>
        <v/>
      </c>
      <c r="AG235" s="37" t="str">
        <f t="shared" si="61"/>
        <v/>
      </c>
      <c r="AH235" s="40" t="str">
        <f t="shared" si="62"/>
        <v/>
      </c>
      <c r="AI235" s="37" t="str">
        <f t="shared" si="63"/>
        <v/>
      </c>
      <c r="AJ235" s="40" t="str">
        <f t="shared" si="64"/>
        <v/>
      </c>
      <c r="AK235" s="204" t="str">
        <f>IF(C235="","",IF(E235=FROTA!$AT$18,IF('DEFINA!!!'!$L$6="D-E-F-I-N-A !!!!!!!",0,IF('DEFINA!!!'!$L$6="Opto por Idade Média",SEM!AW235,IF('DEFINA!!!'!$L$6="Opto pelo Valor aplicado ao  Ano de cada Carro",SEM!AX235,0))),IF(E235=FROTA!$AT$17,IF('DEFINA!!!'!$L$6="D-E-F-I-N-A !!!!!!!",0,IF('DEFINA!!!'!$L$6="Opto por Idade Média",SEM!AW235,IF('DEFINA!!!'!$L$6="Opto pelo Valor aplicado ao  Ano de cada Carro",SEM!AX235,0))),IF(E235=FROTA!$AT$16,IF('DEFINA!!!'!$L$6="D-E-F-I-N-A !!!!!!!",0,IF('DEFINA!!!'!$L$6="Opto por Idade Média",SEM!AW235,IF('DEFINA!!!'!$L$6="Opto pelo Valor aplicado ao  Ano de cada Carro",SEM!AX235,0))),IF('DEFINA!!!'!$L$6="D-E-F-I-N-A !!!!!!!",0,IF('DEFINA!!!'!$L$6="Opto por Idade Média",SEM!AU235,IF('DEFINA!!!'!$L$6="Opto pelo Valor aplicado ao  Ano de cada Carro",SEM!AV235,0)))))))</f>
        <v/>
      </c>
      <c r="AL235" s="6"/>
      <c r="AM235" s="79" t="str">
        <f t="shared" si="65"/>
        <v/>
      </c>
      <c r="AR235" s="5"/>
      <c r="AU235" s="198" t="str">
        <f>IF(C235="","",VLOOKUP(FROTA!$AB$2,RECEBÍVEIS!$AA$11:$AB$43,2,0))</f>
        <v/>
      </c>
      <c r="AV235" s="198" t="str">
        <f>IF(C235="","",IF(C235=FROTA!Z235="","",VLOOKUP(FROTA!Z235,RECEBÍVEIS!$AA$11:$AB$43,2,0)))</f>
        <v/>
      </c>
      <c r="AW235" s="198" t="str">
        <f>IF(C235="","",VLOOKUP(FROTA!$AB$2,RECEBÍVEIS!$AA$11:$AC$43,3,0))</f>
        <v/>
      </c>
      <c r="AX235" s="198" t="str">
        <f>IF(C235="","",IF(C235=FROTA!Z235="","",VLOOKUP(FROTA!Z235,RECEBÍVEIS!$AA$11:$AC$43,3,0)))</f>
        <v/>
      </c>
    </row>
    <row r="236" spans="2:50" ht="17.25" customHeight="1" x14ac:dyDescent="0.2">
      <c r="B236" s="6"/>
      <c r="C236" s="49" t="str">
        <f>IF(FROTA!B236="","",FROTA!B236)</f>
        <v/>
      </c>
      <c r="D236" s="220" t="str">
        <f>IF(C236="","",VLOOKUP(SEM!C236,FROTA!$B$5:$C$305,2,0))</f>
        <v/>
      </c>
      <c r="E236" s="24" t="str">
        <f>IF(C236="","",VLOOKUP(C236,FROTA!$B$5:$H$305,7,0))</f>
        <v/>
      </c>
      <c r="F236" s="38" t="str">
        <f t="shared" si="56"/>
        <v/>
      </c>
      <c r="G236" s="71" t="str">
        <f t="shared" si="66"/>
        <v/>
      </c>
      <c r="H236" s="32" t="str">
        <f t="shared" si="53"/>
        <v/>
      </c>
      <c r="I236" s="73" t="str">
        <f t="shared" si="53"/>
        <v/>
      </c>
      <c r="J236" s="73" t="str">
        <f t="shared" si="53"/>
        <v/>
      </c>
      <c r="K236" s="73" t="str">
        <f t="shared" si="68"/>
        <v/>
      </c>
      <c r="L236" s="73" t="str">
        <f t="shared" si="68"/>
        <v/>
      </c>
      <c r="M236" s="73" t="str">
        <f t="shared" si="68"/>
        <v/>
      </c>
      <c r="N236" s="73" t="str">
        <f t="shared" si="68"/>
        <v/>
      </c>
      <c r="O236" s="73" t="str">
        <f t="shared" si="68"/>
        <v/>
      </c>
      <c r="P236" s="73" t="str">
        <f t="shared" si="68"/>
        <v/>
      </c>
      <c r="Q236" s="73" t="str">
        <f t="shared" si="68"/>
        <v/>
      </c>
      <c r="R236" s="73" t="str">
        <f t="shared" si="69"/>
        <v/>
      </c>
      <c r="S236" s="73" t="str">
        <f t="shared" si="69"/>
        <v/>
      </c>
      <c r="T236" s="73" t="str">
        <f t="shared" si="69"/>
        <v/>
      </c>
      <c r="U236" s="73" t="str">
        <f t="shared" si="69"/>
        <v/>
      </c>
      <c r="V236" s="73" t="str">
        <f t="shared" si="69"/>
        <v/>
      </c>
      <c r="W236" s="73" t="str">
        <f t="shared" si="69"/>
        <v/>
      </c>
      <c r="X236" s="73" t="str">
        <f t="shared" si="69"/>
        <v/>
      </c>
      <c r="Y236" s="73" t="str">
        <f t="shared" si="69"/>
        <v/>
      </c>
      <c r="Z236" s="73" t="str">
        <f t="shared" si="69"/>
        <v/>
      </c>
      <c r="AA236" s="73" t="str">
        <f t="shared" si="69"/>
        <v/>
      </c>
      <c r="AB236" s="74" t="str">
        <f t="shared" si="69"/>
        <v/>
      </c>
      <c r="AC236" s="35" t="str">
        <f t="shared" si="57"/>
        <v/>
      </c>
      <c r="AD236" s="40" t="str">
        <f t="shared" si="58"/>
        <v/>
      </c>
      <c r="AE236" s="37" t="str">
        <f t="shared" si="59"/>
        <v/>
      </c>
      <c r="AF236" s="40" t="str">
        <f t="shared" si="60"/>
        <v/>
      </c>
      <c r="AG236" s="37" t="str">
        <f t="shared" si="61"/>
        <v/>
      </c>
      <c r="AH236" s="40" t="str">
        <f t="shared" si="62"/>
        <v/>
      </c>
      <c r="AI236" s="37" t="str">
        <f t="shared" si="63"/>
        <v/>
      </c>
      <c r="AJ236" s="40" t="str">
        <f t="shared" si="64"/>
        <v/>
      </c>
      <c r="AK236" s="204" t="str">
        <f>IF(C236="","",IF(E236=FROTA!$AT$18,IF('DEFINA!!!'!$L$6="D-E-F-I-N-A !!!!!!!",0,IF('DEFINA!!!'!$L$6="Opto por Idade Média",SEM!AW236,IF('DEFINA!!!'!$L$6="Opto pelo Valor aplicado ao  Ano de cada Carro",SEM!AX236,0))),IF(E236=FROTA!$AT$17,IF('DEFINA!!!'!$L$6="D-E-F-I-N-A !!!!!!!",0,IF('DEFINA!!!'!$L$6="Opto por Idade Média",SEM!AW236,IF('DEFINA!!!'!$L$6="Opto pelo Valor aplicado ao  Ano de cada Carro",SEM!AX236,0))),IF(E236=FROTA!$AT$16,IF('DEFINA!!!'!$L$6="D-E-F-I-N-A !!!!!!!",0,IF('DEFINA!!!'!$L$6="Opto por Idade Média",SEM!AW236,IF('DEFINA!!!'!$L$6="Opto pelo Valor aplicado ao  Ano de cada Carro",SEM!AX236,0))),IF('DEFINA!!!'!$L$6="D-E-F-I-N-A !!!!!!!",0,IF('DEFINA!!!'!$L$6="Opto por Idade Média",SEM!AU236,IF('DEFINA!!!'!$L$6="Opto pelo Valor aplicado ao  Ano de cada Carro",SEM!AV236,0)))))))</f>
        <v/>
      </c>
      <c r="AL236" s="6"/>
      <c r="AM236" s="79" t="str">
        <f t="shared" si="65"/>
        <v/>
      </c>
      <c r="AR236" s="5"/>
      <c r="AU236" s="198" t="str">
        <f>IF(C236="","",VLOOKUP(FROTA!$AB$2,RECEBÍVEIS!$AA$11:$AB$43,2,0))</f>
        <v/>
      </c>
      <c r="AV236" s="198" t="str">
        <f>IF(C236="","",IF(C236=FROTA!Z236="","",VLOOKUP(FROTA!Z236,RECEBÍVEIS!$AA$11:$AB$43,2,0)))</f>
        <v/>
      </c>
      <c r="AW236" s="198" t="str">
        <f>IF(C236="","",VLOOKUP(FROTA!$AB$2,RECEBÍVEIS!$AA$11:$AC$43,3,0))</f>
        <v/>
      </c>
      <c r="AX236" s="198" t="str">
        <f>IF(C236="","",IF(C236=FROTA!Z236="","",VLOOKUP(FROTA!Z236,RECEBÍVEIS!$AA$11:$AC$43,3,0)))</f>
        <v/>
      </c>
    </row>
    <row r="237" spans="2:50" ht="17.25" customHeight="1" x14ac:dyDescent="0.2">
      <c r="B237" s="6"/>
      <c r="C237" s="49" t="str">
        <f>IF(FROTA!B237="","",FROTA!B237)</f>
        <v/>
      </c>
      <c r="D237" s="220" t="str">
        <f>IF(C237="","",VLOOKUP(SEM!C237,FROTA!$B$5:$C$305,2,0))</f>
        <v/>
      </c>
      <c r="E237" s="24" t="str">
        <f>IF(C237="","",VLOOKUP(C237,FROTA!$B$5:$H$305,7,0))</f>
        <v/>
      </c>
      <c r="F237" s="38" t="str">
        <f t="shared" si="56"/>
        <v/>
      </c>
      <c r="G237" s="71" t="str">
        <f t="shared" si="66"/>
        <v/>
      </c>
      <c r="H237" s="32" t="str">
        <f t="shared" si="53"/>
        <v/>
      </c>
      <c r="I237" s="73" t="str">
        <f t="shared" si="53"/>
        <v/>
      </c>
      <c r="J237" s="73" t="str">
        <f t="shared" si="53"/>
        <v/>
      </c>
      <c r="K237" s="73" t="str">
        <f t="shared" si="68"/>
        <v/>
      </c>
      <c r="L237" s="73" t="str">
        <f t="shared" si="68"/>
        <v/>
      </c>
      <c r="M237" s="73" t="str">
        <f t="shared" si="68"/>
        <v/>
      </c>
      <c r="N237" s="73" t="str">
        <f t="shared" si="68"/>
        <v/>
      </c>
      <c r="O237" s="73" t="str">
        <f t="shared" si="68"/>
        <v/>
      </c>
      <c r="P237" s="73" t="str">
        <f t="shared" si="68"/>
        <v/>
      </c>
      <c r="Q237" s="73" t="str">
        <f t="shared" si="68"/>
        <v/>
      </c>
      <c r="R237" s="73" t="str">
        <f t="shared" si="69"/>
        <v/>
      </c>
      <c r="S237" s="73" t="str">
        <f t="shared" si="69"/>
        <v/>
      </c>
      <c r="T237" s="73" t="str">
        <f t="shared" si="69"/>
        <v/>
      </c>
      <c r="U237" s="73" t="str">
        <f t="shared" si="69"/>
        <v/>
      </c>
      <c r="V237" s="73" t="str">
        <f t="shared" si="69"/>
        <v/>
      </c>
      <c r="W237" s="73" t="str">
        <f t="shared" si="69"/>
        <v/>
      </c>
      <c r="X237" s="73" t="str">
        <f t="shared" si="69"/>
        <v/>
      </c>
      <c r="Y237" s="73" t="str">
        <f t="shared" si="69"/>
        <v/>
      </c>
      <c r="Z237" s="73" t="str">
        <f t="shared" si="69"/>
        <v/>
      </c>
      <c r="AA237" s="73" t="str">
        <f t="shared" si="69"/>
        <v/>
      </c>
      <c r="AB237" s="74" t="str">
        <f t="shared" si="69"/>
        <v/>
      </c>
      <c r="AC237" s="35" t="str">
        <f t="shared" si="57"/>
        <v/>
      </c>
      <c r="AD237" s="40" t="str">
        <f t="shared" si="58"/>
        <v/>
      </c>
      <c r="AE237" s="37" t="str">
        <f t="shared" si="59"/>
        <v/>
      </c>
      <c r="AF237" s="40" t="str">
        <f t="shared" si="60"/>
        <v/>
      </c>
      <c r="AG237" s="37" t="str">
        <f t="shared" si="61"/>
        <v/>
      </c>
      <c r="AH237" s="40" t="str">
        <f t="shared" si="62"/>
        <v/>
      </c>
      <c r="AI237" s="37" t="str">
        <f t="shared" si="63"/>
        <v/>
      </c>
      <c r="AJ237" s="40" t="str">
        <f t="shared" si="64"/>
        <v/>
      </c>
      <c r="AK237" s="204" t="str">
        <f>IF(C237="","",IF(E237=FROTA!$AT$18,IF('DEFINA!!!'!$L$6="D-E-F-I-N-A !!!!!!!",0,IF('DEFINA!!!'!$L$6="Opto por Idade Média",SEM!AW237,IF('DEFINA!!!'!$L$6="Opto pelo Valor aplicado ao  Ano de cada Carro",SEM!AX237,0))),IF(E237=FROTA!$AT$17,IF('DEFINA!!!'!$L$6="D-E-F-I-N-A !!!!!!!",0,IF('DEFINA!!!'!$L$6="Opto por Idade Média",SEM!AW237,IF('DEFINA!!!'!$L$6="Opto pelo Valor aplicado ao  Ano de cada Carro",SEM!AX237,0))),IF(E237=FROTA!$AT$16,IF('DEFINA!!!'!$L$6="D-E-F-I-N-A !!!!!!!",0,IF('DEFINA!!!'!$L$6="Opto por Idade Média",SEM!AW237,IF('DEFINA!!!'!$L$6="Opto pelo Valor aplicado ao  Ano de cada Carro",SEM!AX237,0))),IF('DEFINA!!!'!$L$6="D-E-F-I-N-A !!!!!!!",0,IF('DEFINA!!!'!$L$6="Opto por Idade Média",SEM!AU237,IF('DEFINA!!!'!$L$6="Opto pelo Valor aplicado ao  Ano de cada Carro",SEM!AV237,0)))))))</f>
        <v/>
      </c>
      <c r="AL237" s="6"/>
      <c r="AM237" s="79" t="str">
        <f t="shared" si="65"/>
        <v/>
      </c>
      <c r="AR237" s="5"/>
      <c r="AU237" s="198" t="str">
        <f>IF(C237="","",VLOOKUP(FROTA!$AB$2,RECEBÍVEIS!$AA$11:$AB$43,2,0))</f>
        <v/>
      </c>
      <c r="AV237" s="198" t="str">
        <f>IF(C237="","",IF(C237=FROTA!Z237="","",VLOOKUP(FROTA!Z237,RECEBÍVEIS!$AA$11:$AB$43,2,0)))</f>
        <v/>
      </c>
      <c r="AW237" s="198" t="str">
        <f>IF(C237="","",VLOOKUP(FROTA!$AB$2,RECEBÍVEIS!$AA$11:$AC$43,3,0))</f>
        <v/>
      </c>
      <c r="AX237" s="198" t="str">
        <f>IF(C237="","",IF(C237=FROTA!Z237="","",VLOOKUP(FROTA!Z237,RECEBÍVEIS!$AA$11:$AC$43,3,0)))</f>
        <v/>
      </c>
    </row>
    <row r="238" spans="2:50" ht="17.25" customHeight="1" x14ac:dyDescent="0.2">
      <c r="B238" s="6"/>
      <c r="C238" s="49" t="str">
        <f>IF(FROTA!B238="","",FROTA!B238)</f>
        <v/>
      </c>
      <c r="D238" s="220" t="str">
        <f>IF(C238="","",VLOOKUP(SEM!C238,FROTA!$B$5:$C$305,2,0))</f>
        <v/>
      </c>
      <c r="E238" s="24" t="str">
        <f>IF(C238="","",VLOOKUP(C238,FROTA!$B$5:$H$305,7,0))</f>
        <v/>
      </c>
      <c r="F238" s="38" t="str">
        <f t="shared" si="56"/>
        <v/>
      </c>
      <c r="G238" s="71" t="str">
        <f t="shared" si="66"/>
        <v/>
      </c>
      <c r="H238" s="32" t="str">
        <f t="shared" si="53"/>
        <v/>
      </c>
      <c r="I238" s="73" t="str">
        <f t="shared" si="53"/>
        <v/>
      </c>
      <c r="J238" s="73" t="str">
        <f t="shared" si="53"/>
        <v/>
      </c>
      <c r="K238" s="73" t="str">
        <f t="shared" si="68"/>
        <v/>
      </c>
      <c r="L238" s="73" t="str">
        <f t="shared" si="68"/>
        <v/>
      </c>
      <c r="M238" s="73" t="str">
        <f t="shared" si="68"/>
        <v/>
      </c>
      <c r="N238" s="73" t="str">
        <f t="shared" si="68"/>
        <v/>
      </c>
      <c r="O238" s="73" t="str">
        <f t="shared" si="68"/>
        <v/>
      </c>
      <c r="P238" s="73" t="str">
        <f t="shared" si="68"/>
        <v/>
      </c>
      <c r="Q238" s="73" t="str">
        <f t="shared" si="68"/>
        <v/>
      </c>
      <c r="R238" s="73" t="str">
        <f t="shared" si="69"/>
        <v/>
      </c>
      <c r="S238" s="73" t="str">
        <f t="shared" si="69"/>
        <v/>
      </c>
      <c r="T238" s="73" t="str">
        <f t="shared" si="69"/>
        <v/>
      </c>
      <c r="U238" s="73" t="str">
        <f t="shared" si="69"/>
        <v/>
      </c>
      <c r="V238" s="73" t="str">
        <f t="shared" si="69"/>
        <v/>
      </c>
      <c r="W238" s="73" t="str">
        <f t="shared" si="69"/>
        <v/>
      </c>
      <c r="X238" s="73" t="str">
        <f t="shared" si="69"/>
        <v/>
      </c>
      <c r="Y238" s="73" t="str">
        <f t="shared" si="69"/>
        <v/>
      </c>
      <c r="Z238" s="73" t="str">
        <f t="shared" si="69"/>
        <v/>
      </c>
      <c r="AA238" s="73" t="str">
        <f t="shared" si="69"/>
        <v/>
      </c>
      <c r="AB238" s="74" t="str">
        <f t="shared" si="69"/>
        <v/>
      </c>
      <c r="AC238" s="35" t="str">
        <f t="shared" si="57"/>
        <v/>
      </c>
      <c r="AD238" s="40" t="str">
        <f t="shared" si="58"/>
        <v/>
      </c>
      <c r="AE238" s="37" t="str">
        <f t="shared" si="59"/>
        <v/>
      </c>
      <c r="AF238" s="40" t="str">
        <f t="shared" si="60"/>
        <v/>
      </c>
      <c r="AG238" s="37" t="str">
        <f t="shared" si="61"/>
        <v/>
      </c>
      <c r="AH238" s="40" t="str">
        <f t="shared" si="62"/>
        <v/>
      </c>
      <c r="AI238" s="37" t="str">
        <f t="shared" si="63"/>
        <v/>
      </c>
      <c r="AJ238" s="40" t="str">
        <f t="shared" si="64"/>
        <v/>
      </c>
      <c r="AK238" s="204" t="str">
        <f>IF(C238="","",IF(E238=FROTA!$AT$18,IF('DEFINA!!!'!$L$6="D-E-F-I-N-A !!!!!!!",0,IF('DEFINA!!!'!$L$6="Opto por Idade Média",SEM!AW238,IF('DEFINA!!!'!$L$6="Opto pelo Valor aplicado ao  Ano de cada Carro",SEM!AX238,0))),IF(E238=FROTA!$AT$17,IF('DEFINA!!!'!$L$6="D-E-F-I-N-A !!!!!!!",0,IF('DEFINA!!!'!$L$6="Opto por Idade Média",SEM!AW238,IF('DEFINA!!!'!$L$6="Opto pelo Valor aplicado ao  Ano de cada Carro",SEM!AX238,0))),IF(E238=FROTA!$AT$16,IF('DEFINA!!!'!$L$6="D-E-F-I-N-A !!!!!!!",0,IF('DEFINA!!!'!$L$6="Opto por Idade Média",SEM!AW238,IF('DEFINA!!!'!$L$6="Opto pelo Valor aplicado ao  Ano de cada Carro",SEM!AX238,0))),IF('DEFINA!!!'!$L$6="D-E-F-I-N-A !!!!!!!",0,IF('DEFINA!!!'!$L$6="Opto por Idade Média",SEM!AU238,IF('DEFINA!!!'!$L$6="Opto pelo Valor aplicado ao  Ano de cada Carro",SEM!AV238,0)))))))</f>
        <v/>
      </c>
      <c r="AL238" s="6"/>
      <c r="AM238" s="79" t="str">
        <f t="shared" si="65"/>
        <v/>
      </c>
      <c r="AR238" s="5"/>
      <c r="AU238" s="198" t="str">
        <f>IF(C238="","",VLOOKUP(FROTA!$AB$2,RECEBÍVEIS!$AA$11:$AB$43,2,0))</f>
        <v/>
      </c>
      <c r="AV238" s="198" t="str">
        <f>IF(C238="","",IF(C238=FROTA!Z238="","",VLOOKUP(FROTA!Z238,RECEBÍVEIS!$AA$11:$AB$43,2,0)))</f>
        <v/>
      </c>
      <c r="AW238" s="198" t="str">
        <f>IF(C238="","",VLOOKUP(FROTA!$AB$2,RECEBÍVEIS!$AA$11:$AC$43,3,0))</f>
        <v/>
      </c>
      <c r="AX238" s="198" t="str">
        <f>IF(C238="","",IF(C238=FROTA!Z238="","",VLOOKUP(FROTA!Z238,RECEBÍVEIS!$AA$11:$AC$43,3,0)))</f>
        <v/>
      </c>
    </row>
    <row r="239" spans="2:50" ht="17.25" customHeight="1" x14ac:dyDescent="0.2">
      <c r="B239" s="6"/>
      <c r="C239" s="49" t="str">
        <f>IF(FROTA!B239="","",FROTA!B239)</f>
        <v/>
      </c>
      <c r="D239" s="220" t="str">
        <f>IF(C239="","",VLOOKUP(SEM!C239,FROTA!$B$5:$C$305,2,0))</f>
        <v/>
      </c>
      <c r="E239" s="24" t="str">
        <f>IF(C239="","",VLOOKUP(C239,FROTA!$B$5:$H$305,7,0))</f>
        <v/>
      </c>
      <c r="F239" s="38" t="str">
        <f t="shared" si="56"/>
        <v/>
      </c>
      <c r="G239" s="71" t="str">
        <f t="shared" si="66"/>
        <v/>
      </c>
      <c r="H239" s="32" t="str">
        <f t="shared" si="53"/>
        <v/>
      </c>
      <c r="I239" s="73" t="str">
        <f t="shared" si="53"/>
        <v/>
      </c>
      <c r="J239" s="73" t="str">
        <f t="shared" si="53"/>
        <v/>
      </c>
      <c r="K239" s="73" t="str">
        <f t="shared" si="68"/>
        <v/>
      </c>
      <c r="L239" s="73" t="str">
        <f t="shared" si="68"/>
        <v/>
      </c>
      <c r="M239" s="73" t="str">
        <f t="shared" si="68"/>
        <v/>
      </c>
      <c r="N239" s="73" t="str">
        <f t="shared" si="68"/>
        <v/>
      </c>
      <c r="O239" s="73" t="str">
        <f t="shared" si="68"/>
        <v/>
      </c>
      <c r="P239" s="73" t="str">
        <f t="shared" si="68"/>
        <v/>
      </c>
      <c r="Q239" s="73" t="str">
        <f t="shared" si="68"/>
        <v/>
      </c>
      <c r="R239" s="73" t="str">
        <f t="shared" si="69"/>
        <v/>
      </c>
      <c r="S239" s="73" t="str">
        <f t="shared" si="69"/>
        <v/>
      </c>
      <c r="T239" s="73" t="str">
        <f t="shared" si="69"/>
        <v/>
      </c>
      <c r="U239" s="73" t="str">
        <f t="shared" si="69"/>
        <v/>
      </c>
      <c r="V239" s="73" t="str">
        <f t="shared" si="69"/>
        <v/>
      </c>
      <c r="W239" s="73" t="str">
        <f t="shared" si="69"/>
        <v/>
      </c>
      <c r="X239" s="73" t="str">
        <f t="shared" si="69"/>
        <v/>
      </c>
      <c r="Y239" s="73" t="str">
        <f t="shared" si="69"/>
        <v/>
      </c>
      <c r="Z239" s="73" t="str">
        <f t="shared" si="69"/>
        <v/>
      </c>
      <c r="AA239" s="73" t="str">
        <f t="shared" si="69"/>
        <v/>
      </c>
      <c r="AB239" s="74" t="str">
        <f t="shared" si="69"/>
        <v/>
      </c>
      <c r="AC239" s="35" t="str">
        <f t="shared" si="57"/>
        <v/>
      </c>
      <c r="AD239" s="40" t="str">
        <f t="shared" si="58"/>
        <v/>
      </c>
      <c r="AE239" s="37" t="str">
        <f t="shared" si="59"/>
        <v/>
      </c>
      <c r="AF239" s="40" t="str">
        <f t="shared" si="60"/>
        <v/>
      </c>
      <c r="AG239" s="37" t="str">
        <f t="shared" si="61"/>
        <v/>
      </c>
      <c r="AH239" s="40" t="str">
        <f t="shared" si="62"/>
        <v/>
      </c>
      <c r="AI239" s="37" t="str">
        <f t="shared" si="63"/>
        <v/>
      </c>
      <c r="AJ239" s="40" t="str">
        <f t="shared" si="64"/>
        <v/>
      </c>
      <c r="AK239" s="204" t="str">
        <f>IF(C239="","",IF(E239=FROTA!$AT$18,IF('DEFINA!!!'!$L$6="D-E-F-I-N-A !!!!!!!",0,IF('DEFINA!!!'!$L$6="Opto por Idade Média",SEM!AW239,IF('DEFINA!!!'!$L$6="Opto pelo Valor aplicado ao  Ano de cada Carro",SEM!AX239,0))),IF(E239=FROTA!$AT$17,IF('DEFINA!!!'!$L$6="D-E-F-I-N-A !!!!!!!",0,IF('DEFINA!!!'!$L$6="Opto por Idade Média",SEM!AW239,IF('DEFINA!!!'!$L$6="Opto pelo Valor aplicado ao  Ano de cada Carro",SEM!AX239,0))),IF(E239=FROTA!$AT$16,IF('DEFINA!!!'!$L$6="D-E-F-I-N-A !!!!!!!",0,IF('DEFINA!!!'!$L$6="Opto por Idade Média",SEM!AW239,IF('DEFINA!!!'!$L$6="Opto pelo Valor aplicado ao  Ano de cada Carro",SEM!AX239,0))),IF('DEFINA!!!'!$L$6="D-E-F-I-N-A !!!!!!!",0,IF('DEFINA!!!'!$L$6="Opto por Idade Média",SEM!AU239,IF('DEFINA!!!'!$L$6="Opto pelo Valor aplicado ao  Ano de cada Carro",SEM!AV239,0)))))))</f>
        <v/>
      </c>
      <c r="AL239" s="6"/>
      <c r="AM239" s="79" t="str">
        <f t="shared" si="65"/>
        <v/>
      </c>
      <c r="AR239" s="5"/>
      <c r="AU239" s="198" t="str">
        <f>IF(C239="","",VLOOKUP(FROTA!$AB$2,RECEBÍVEIS!$AA$11:$AB$43,2,0))</f>
        <v/>
      </c>
      <c r="AV239" s="198" t="str">
        <f>IF(C239="","",IF(C239=FROTA!Z239="","",VLOOKUP(FROTA!Z239,RECEBÍVEIS!$AA$11:$AB$43,2,0)))</f>
        <v/>
      </c>
      <c r="AW239" s="198" t="str">
        <f>IF(C239="","",VLOOKUP(FROTA!$AB$2,RECEBÍVEIS!$AA$11:$AC$43,3,0))</f>
        <v/>
      </c>
      <c r="AX239" s="198" t="str">
        <f>IF(C239="","",IF(C239=FROTA!Z239="","",VLOOKUP(FROTA!Z239,RECEBÍVEIS!$AA$11:$AC$43,3,0)))</f>
        <v/>
      </c>
    </row>
    <row r="240" spans="2:50" ht="17.25" customHeight="1" x14ac:dyDescent="0.2">
      <c r="B240" s="6"/>
      <c r="C240" s="49" t="str">
        <f>IF(FROTA!B240="","",FROTA!B240)</f>
        <v/>
      </c>
      <c r="D240" s="220" t="str">
        <f>IF(C240="","",VLOOKUP(SEM!C240,FROTA!$B$5:$C$305,2,0))</f>
        <v/>
      </c>
      <c r="E240" s="24" t="str">
        <f>IF(C240="","",VLOOKUP(C240,FROTA!$B$5:$H$305,7,0))</f>
        <v/>
      </c>
      <c r="F240" s="38" t="str">
        <f t="shared" si="56"/>
        <v/>
      </c>
      <c r="G240" s="71" t="str">
        <f t="shared" si="66"/>
        <v/>
      </c>
      <c r="H240" s="32" t="str">
        <f t="shared" si="53"/>
        <v/>
      </c>
      <c r="I240" s="73" t="str">
        <f t="shared" si="53"/>
        <v/>
      </c>
      <c r="J240" s="73" t="str">
        <f t="shared" si="53"/>
        <v/>
      </c>
      <c r="K240" s="73" t="str">
        <f t="shared" si="68"/>
        <v/>
      </c>
      <c r="L240" s="73" t="str">
        <f t="shared" si="68"/>
        <v/>
      </c>
      <c r="M240" s="73" t="str">
        <f t="shared" si="68"/>
        <v/>
      </c>
      <c r="N240" s="73" t="str">
        <f t="shared" si="68"/>
        <v/>
      </c>
      <c r="O240" s="73" t="str">
        <f t="shared" si="68"/>
        <v/>
      </c>
      <c r="P240" s="73" t="str">
        <f t="shared" si="68"/>
        <v/>
      </c>
      <c r="Q240" s="73" t="str">
        <f t="shared" si="68"/>
        <v/>
      </c>
      <c r="R240" s="73" t="str">
        <f t="shared" si="69"/>
        <v/>
      </c>
      <c r="S240" s="73" t="str">
        <f t="shared" si="69"/>
        <v/>
      </c>
      <c r="T240" s="73" t="str">
        <f t="shared" si="69"/>
        <v/>
      </c>
      <c r="U240" s="73" t="str">
        <f t="shared" si="69"/>
        <v/>
      </c>
      <c r="V240" s="73" t="str">
        <f t="shared" si="69"/>
        <v/>
      </c>
      <c r="W240" s="73" t="str">
        <f t="shared" si="69"/>
        <v/>
      </c>
      <c r="X240" s="73" t="str">
        <f t="shared" si="69"/>
        <v/>
      </c>
      <c r="Y240" s="73" t="str">
        <f t="shared" si="69"/>
        <v/>
      </c>
      <c r="Z240" s="73" t="str">
        <f t="shared" si="69"/>
        <v/>
      </c>
      <c r="AA240" s="73" t="str">
        <f t="shared" si="69"/>
        <v/>
      </c>
      <c r="AB240" s="74" t="str">
        <f t="shared" si="69"/>
        <v/>
      </c>
      <c r="AC240" s="35" t="str">
        <f t="shared" si="57"/>
        <v/>
      </c>
      <c r="AD240" s="40" t="str">
        <f t="shared" si="58"/>
        <v/>
      </c>
      <c r="AE240" s="37" t="str">
        <f t="shared" si="59"/>
        <v/>
      </c>
      <c r="AF240" s="40" t="str">
        <f t="shared" si="60"/>
        <v/>
      </c>
      <c r="AG240" s="37" t="str">
        <f t="shared" si="61"/>
        <v/>
      </c>
      <c r="AH240" s="40" t="str">
        <f t="shared" si="62"/>
        <v/>
      </c>
      <c r="AI240" s="37" t="str">
        <f t="shared" si="63"/>
        <v/>
      </c>
      <c r="AJ240" s="40" t="str">
        <f t="shared" si="64"/>
        <v/>
      </c>
      <c r="AK240" s="204" t="str">
        <f>IF(C240="","",IF(E240=FROTA!$AT$18,IF('DEFINA!!!'!$L$6="D-E-F-I-N-A !!!!!!!",0,IF('DEFINA!!!'!$L$6="Opto por Idade Média",SEM!AW240,IF('DEFINA!!!'!$L$6="Opto pelo Valor aplicado ao  Ano de cada Carro",SEM!AX240,0))),IF(E240=FROTA!$AT$17,IF('DEFINA!!!'!$L$6="D-E-F-I-N-A !!!!!!!",0,IF('DEFINA!!!'!$L$6="Opto por Idade Média",SEM!AW240,IF('DEFINA!!!'!$L$6="Opto pelo Valor aplicado ao  Ano de cada Carro",SEM!AX240,0))),IF(E240=FROTA!$AT$16,IF('DEFINA!!!'!$L$6="D-E-F-I-N-A !!!!!!!",0,IF('DEFINA!!!'!$L$6="Opto por Idade Média",SEM!AW240,IF('DEFINA!!!'!$L$6="Opto pelo Valor aplicado ao  Ano de cada Carro",SEM!AX240,0))),IF('DEFINA!!!'!$L$6="D-E-F-I-N-A !!!!!!!",0,IF('DEFINA!!!'!$L$6="Opto por Idade Média",SEM!AU240,IF('DEFINA!!!'!$L$6="Opto pelo Valor aplicado ao  Ano de cada Carro",SEM!AV240,0)))))))</f>
        <v/>
      </c>
      <c r="AL240" s="6"/>
      <c r="AM240" s="79" t="str">
        <f t="shared" si="65"/>
        <v/>
      </c>
      <c r="AR240" s="5"/>
      <c r="AU240" s="198" t="str">
        <f>IF(C240="","",VLOOKUP(FROTA!$AB$2,RECEBÍVEIS!$AA$11:$AB$43,2,0))</f>
        <v/>
      </c>
      <c r="AV240" s="198" t="str">
        <f>IF(C240="","",IF(C240=FROTA!Z240="","",VLOOKUP(FROTA!Z240,RECEBÍVEIS!$AA$11:$AB$43,2,0)))</f>
        <v/>
      </c>
      <c r="AW240" s="198" t="str">
        <f>IF(C240="","",VLOOKUP(FROTA!$AB$2,RECEBÍVEIS!$AA$11:$AC$43,3,0))</f>
        <v/>
      </c>
      <c r="AX240" s="198" t="str">
        <f>IF(C240="","",IF(C240=FROTA!Z240="","",VLOOKUP(FROTA!Z240,RECEBÍVEIS!$AA$11:$AC$43,3,0)))</f>
        <v/>
      </c>
    </row>
    <row r="241" spans="2:50" ht="17.25" customHeight="1" x14ac:dyDescent="0.2">
      <c r="B241" s="6"/>
      <c r="C241" s="49" t="str">
        <f>IF(FROTA!B241="","",FROTA!B241)</f>
        <v/>
      </c>
      <c r="D241" s="220" t="str">
        <f>IF(C241="","",VLOOKUP(SEM!C241,FROTA!$B$5:$C$305,2,0))</f>
        <v/>
      </c>
      <c r="E241" s="24" t="str">
        <f>IF(C241="","",VLOOKUP(C241,FROTA!$B$5:$H$305,7,0))</f>
        <v/>
      </c>
      <c r="F241" s="38" t="str">
        <f t="shared" si="56"/>
        <v/>
      </c>
      <c r="G241" s="71" t="str">
        <f t="shared" si="66"/>
        <v/>
      </c>
      <c r="H241" s="32" t="str">
        <f t="shared" si="53"/>
        <v/>
      </c>
      <c r="I241" s="73" t="str">
        <f t="shared" si="53"/>
        <v/>
      </c>
      <c r="J241" s="73" t="str">
        <f t="shared" si="53"/>
        <v/>
      </c>
      <c r="K241" s="73" t="str">
        <f t="shared" si="68"/>
        <v/>
      </c>
      <c r="L241" s="73" t="str">
        <f t="shared" si="68"/>
        <v/>
      </c>
      <c r="M241" s="73" t="str">
        <f t="shared" si="68"/>
        <v/>
      </c>
      <c r="N241" s="73" t="str">
        <f t="shared" si="68"/>
        <v/>
      </c>
      <c r="O241" s="73" t="str">
        <f t="shared" si="68"/>
        <v/>
      </c>
      <c r="P241" s="73" t="str">
        <f t="shared" si="68"/>
        <v/>
      </c>
      <c r="Q241" s="73" t="str">
        <f t="shared" si="68"/>
        <v/>
      </c>
      <c r="R241" s="73" t="str">
        <f t="shared" si="69"/>
        <v/>
      </c>
      <c r="S241" s="73" t="str">
        <f t="shared" si="69"/>
        <v/>
      </c>
      <c r="T241" s="73" t="str">
        <f t="shared" si="69"/>
        <v/>
      </c>
      <c r="U241" s="73" t="str">
        <f t="shared" si="69"/>
        <v/>
      </c>
      <c r="V241" s="73" t="str">
        <f t="shared" si="69"/>
        <v/>
      </c>
      <c r="W241" s="73" t="str">
        <f t="shared" si="69"/>
        <v/>
      </c>
      <c r="X241" s="73" t="str">
        <f t="shared" si="69"/>
        <v/>
      </c>
      <c r="Y241" s="73" t="str">
        <f t="shared" si="69"/>
        <v/>
      </c>
      <c r="Z241" s="73" t="str">
        <f t="shared" si="69"/>
        <v/>
      </c>
      <c r="AA241" s="73" t="str">
        <f t="shared" si="69"/>
        <v/>
      </c>
      <c r="AB241" s="74" t="str">
        <f t="shared" si="69"/>
        <v/>
      </c>
      <c r="AC241" s="35" t="str">
        <f t="shared" si="57"/>
        <v/>
      </c>
      <c r="AD241" s="40" t="str">
        <f t="shared" si="58"/>
        <v/>
      </c>
      <c r="AE241" s="37" t="str">
        <f t="shared" si="59"/>
        <v/>
      </c>
      <c r="AF241" s="40" t="str">
        <f t="shared" si="60"/>
        <v/>
      </c>
      <c r="AG241" s="37" t="str">
        <f t="shared" si="61"/>
        <v/>
      </c>
      <c r="AH241" s="40" t="str">
        <f t="shared" si="62"/>
        <v/>
      </c>
      <c r="AI241" s="37" t="str">
        <f t="shared" si="63"/>
        <v/>
      </c>
      <c r="AJ241" s="40" t="str">
        <f t="shared" si="64"/>
        <v/>
      </c>
      <c r="AK241" s="204" t="str">
        <f>IF(C241="","",IF(E241=FROTA!$AT$18,IF('DEFINA!!!'!$L$6="D-E-F-I-N-A !!!!!!!",0,IF('DEFINA!!!'!$L$6="Opto por Idade Média",SEM!AW241,IF('DEFINA!!!'!$L$6="Opto pelo Valor aplicado ao  Ano de cada Carro",SEM!AX241,0))),IF(E241=FROTA!$AT$17,IF('DEFINA!!!'!$L$6="D-E-F-I-N-A !!!!!!!",0,IF('DEFINA!!!'!$L$6="Opto por Idade Média",SEM!AW241,IF('DEFINA!!!'!$L$6="Opto pelo Valor aplicado ao  Ano de cada Carro",SEM!AX241,0))),IF(E241=FROTA!$AT$16,IF('DEFINA!!!'!$L$6="D-E-F-I-N-A !!!!!!!",0,IF('DEFINA!!!'!$L$6="Opto por Idade Média",SEM!AW241,IF('DEFINA!!!'!$L$6="Opto pelo Valor aplicado ao  Ano de cada Carro",SEM!AX241,0))),IF('DEFINA!!!'!$L$6="D-E-F-I-N-A !!!!!!!",0,IF('DEFINA!!!'!$L$6="Opto por Idade Média",SEM!AU241,IF('DEFINA!!!'!$L$6="Opto pelo Valor aplicado ao  Ano de cada Carro",SEM!AV241,0)))))))</f>
        <v/>
      </c>
      <c r="AL241" s="6"/>
      <c r="AM241" s="79" t="str">
        <f t="shared" si="65"/>
        <v/>
      </c>
      <c r="AR241" s="5"/>
      <c r="AU241" s="198" t="str">
        <f>IF(C241="","",VLOOKUP(FROTA!$AB$2,RECEBÍVEIS!$AA$11:$AB$43,2,0))</f>
        <v/>
      </c>
      <c r="AV241" s="198" t="str">
        <f>IF(C241="","",IF(C241=FROTA!Z241="","",VLOOKUP(FROTA!Z241,RECEBÍVEIS!$AA$11:$AB$43,2,0)))</f>
        <v/>
      </c>
      <c r="AW241" s="198" t="str">
        <f>IF(C241="","",VLOOKUP(FROTA!$AB$2,RECEBÍVEIS!$AA$11:$AC$43,3,0))</f>
        <v/>
      </c>
      <c r="AX241" s="198" t="str">
        <f>IF(C241="","",IF(C241=FROTA!Z241="","",VLOOKUP(FROTA!Z241,RECEBÍVEIS!$AA$11:$AC$43,3,0)))</f>
        <v/>
      </c>
    </row>
    <row r="242" spans="2:50" ht="17.25" customHeight="1" x14ac:dyDescent="0.2">
      <c r="B242" s="6"/>
      <c r="C242" s="49" t="str">
        <f>IF(FROTA!B242="","",FROTA!B242)</f>
        <v/>
      </c>
      <c r="D242" s="220" t="str">
        <f>IF(C242="","",VLOOKUP(SEM!C242,FROTA!$B$5:$C$305,2,0))</f>
        <v/>
      </c>
      <c r="E242" s="24" t="str">
        <f>IF(C242="","",VLOOKUP(C242,FROTA!$B$5:$H$305,7,0))</f>
        <v/>
      </c>
      <c r="F242" s="38" t="str">
        <f t="shared" si="56"/>
        <v/>
      </c>
      <c r="G242" s="71" t="str">
        <f t="shared" si="66"/>
        <v/>
      </c>
      <c r="H242" s="32" t="str">
        <f t="shared" si="53"/>
        <v/>
      </c>
      <c r="I242" s="73" t="str">
        <f t="shared" si="53"/>
        <v/>
      </c>
      <c r="J242" s="73" t="str">
        <f t="shared" si="53"/>
        <v/>
      </c>
      <c r="K242" s="73" t="str">
        <f t="shared" si="68"/>
        <v/>
      </c>
      <c r="L242" s="73" t="str">
        <f t="shared" si="68"/>
        <v/>
      </c>
      <c r="M242" s="73" t="str">
        <f t="shared" si="68"/>
        <v/>
      </c>
      <c r="N242" s="73" t="str">
        <f t="shared" si="68"/>
        <v/>
      </c>
      <c r="O242" s="73" t="str">
        <f t="shared" si="68"/>
        <v/>
      </c>
      <c r="P242" s="73" t="str">
        <f t="shared" si="68"/>
        <v/>
      </c>
      <c r="Q242" s="73" t="str">
        <f t="shared" si="68"/>
        <v/>
      </c>
      <c r="R242" s="73" t="str">
        <f t="shared" si="69"/>
        <v/>
      </c>
      <c r="S242" s="73" t="str">
        <f t="shared" si="69"/>
        <v/>
      </c>
      <c r="T242" s="73" t="str">
        <f t="shared" si="69"/>
        <v/>
      </c>
      <c r="U242" s="73" t="str">
        <f t="shared" si="69"/>
        <v/>
      </c>
      <c r="V242" s="73" t="str">
        <f t="shared" si="69"/>
        <v/>
      </c>
      <c r="W242" s="73" t="str">
        <f t="shared" si="69"/>
        <v/>
      </c>
      <c r="X242" s="73" t="str">
        <f t="shared" si="69"/>
        <v/>
      </c>
      <c r="Y242" s="73" t="str">
        <f t="shared" si="69"/>
        <v/>
      </c>
      <c r="Z242" s="73" t="str">
        <f t="shared" si="69"/>
        <v/>
      </c>
      <c r="AA242" s="73" t="str">
        <f t="shared" si="69"/>
        <v/>
      </c>
      <c r="AB242" s="74" t="str">
        <f t="shared" si="69"/>
        <v/>
      </c>
      <c r="AC242" s="35" t="str">
        <f t="shared" si="57"/>
        <v/>
      </c>
      <c r="AD242" s="40" t="str">
        <f t="shared" si="58"/>
        <v/>
      </c>
      <c r="AE242" s="37" t="str">
        <f t="shared" si="59"/>
        <v/>
      </c>
      <c r="AF242" s="40" t="str">
        <f t="shared" si="60"/>
        <v/>
      </c>
      <c r="AG242" s="37" t="str">
        <f t="shared" si="61"/>
        <v/>
      </c>
      <c r="AH242" s="40" t="str">
        <f t="shared" si="62"/>
        <v/>
      </c>
      <c r="AI242" s="37" t="str">
        <f t="shared" si="63"/>
        <v/>
      </c>
      <c r="AJ242" s="40" t="str">
        <f t="shared" si="64"/>
        <v/>
      </c>
      <c r="AK242" s="204" t="str">
        <f>IF(C242="","",IF(E242=FROTA!$AT$18,IF('DEFINA!!!'!$L$6="D-E-F-I-N-A !!!!!!!",0,IF('DEFINA!!!'!$L$6="Opto por Idade Média",SEM!AW242,IF('DEFINA!!!'!$L$6="Opto pelo Valor aplicado ao  Ano de cada Carro",SEM!AX242,0))),IF(E242=FROTA!$AT$17,IF('DEFINA!!!'!$L$6="D-E-F-I-N-A !!!!!!!",0,IF('DEFINA!!!'!$L$6="Opto por Idade Média",SEM!AW242,IF('DEFINA!!!'!$L$6="Opto pelo Valor aplicado ao  Ano de cada Carro",SEM!AX242,0))),IF(E242=FROTA!$AT$16,IF('DEFINA!!!'!$L$6="D-E-F-I-N-A !!!!!!!",0,IF('DEFINA!!!'!$L$6="Opto por Idade Média",SEM!AW242,IF('DEFINA!!!'!$L$6="Opto pelo Valor aplicado ao  Ano de cada Carro",SEM!AX242,0))),IF('DEFINA!!!'!$L$6="D-E-F-I-N-A !!!!!!!",0,IF('DEFINA!!!'!$L$6="Opto por Idade Média",SEM!AU242,IF('DEFINA!!!'!$L$6="Opto pelo Valor aplicado ao  Ano de cada Carro",SEM!AV242,0)))))))</f>
        <v/>
      </c>
      <c r="AL242" s="6"/>
      <c r="AM242" s="79" t="str">
        <f t="shared" si="65"/>
        <v/>
      </c>
      <c r="AR242" s="5"/>
      <c r="AU242" s="198" t="str">
        <f>IF(C242="","",VLOOKUP(FROTA!$AB$2,RECEBÍVEIS!$AA$11:$AB$43,2,0))</f>
        <v/>
      </c>
      <c r="AV242" s="198" t="str">
        <f>IF(C242="","",IF(C242=FROTA!Z242="","",VLOOKUP(FROTA!Z242,RECEBÍVEIS!$AA$11:$AB$43,2,0)))</f>
        <v/>
      </c>
      <c r="AW242" s="198" t="str">
        <f>IF(C242="","",VLOOKUP(FROTA!$AB$2,RECEBÍVEIS!$AA$11:$AC$43,3,0))</f>
        <v/>
      </c>
      <c r="AX242" s="198" t="str">
        <f>IF(C242="","",IF(C242=FROTA!Z242="","",VLOOKUP(FROTA!Z242,RECEBÍVEIS!$AA$11:$AC$43,3,0)))</f>
        <v/>
      </c>
    </row>
    <row r="243" spans="2:50" ht="17.25" customHeight="1" x14ac:dyDescent="0.2">
      <c r="B243" s="6"/>
      <c r="C243" s="49" t="str">
        <f>IF(FROTA!B243="","",FROTA!B243)</f>
        <v/>
      </c>
      <c r="D243" s="220" t="str">
        <f>IF(C243="","",VLOOKUP(SEM!C243,FROTA!$B$5:$C$305,2,0))</f>
        <v/>
      </c>
      <c r="E243" s="24" t="str">
        <f>IF(C243="","",VLOOKUP(C243,FROTA!$B$5:$H$305,7,0))</f>
        <v/>
      </c>
      <c r="F243" s="38" t="str">
        <f t="shared" si="56"/>
        <v/>
      </c>
      <c r="G243" s="71" t="str">
        <f t="shared" si="66"/>
        <v/>
      </c>
      <c r="H243" s="32" t="str">
        <f t="shared" si="53"/>
        <v/>
      </c>
      <c r="I243" s="73" t="str">
        <f t="shared" si="53"/>
        <v/>
      </c>
      <c r="J243" s="73" t="str">
        <f t="shared" si="53"/>
        <v/>
      </c>
      <c r="K243" s="73" t="str">
        <f t="shared" si="68"/>
        <v/>
      </c>
      <c r="L243" s="73" t="str">
        <f t="shared" si="68"/>
        <v/>
      </c>
      <c r="M243" s="73" t="str">
        <f t="shared" si="68"/>
        <v/>
      </c>
      <c r="N243" s="73" t="str">
        <f t="shared" si="68"/>
        <v/>
      </c>
      <c r="O243" s="73" t="str">
        <f t="shared" si="68"/>
        <v/>
      </c>
      <c r="P243" s="73" t="str">
        <f t="shared" si="68"/>
        <v/>
      </c>
      <c r="Q243" s="73" t="str">
        <f t="shared" si="68"/>
        <v/>
      </c>
      <c r="R243" s="73" t="str">
        <f t="shared" si="69"/>
        <v/>
      </c>
      <c r="S243" s="73" t="str">
        <f t="shared" si="69"/>
        <v/>
      </c>
      <c r="T243" s="73" t="str">
        <f t="shared" si="69"/>
        <v/>
      </c>
      <c r="U243" s="73" t="str">
        <f t="shared" si="69"/>
        <v/>
      </c>
      <c r="V243" s="73" t="str">
        <f t="shared" si="69"/>
        <v/>
      </c>
      <c r="W243" s="73" t="str">
        <f t="shared" si="69"/>
        <v/>
      </c>
      <c r="X243" s="73" t="str">
        <f t="shared" si="69"/>
        <v/>
      </c>
      <c r="Y243" s="73" t="str">
        <f t="shared" si="69"/>
        <v/>
      </c>
      <c r="Z243" s="73" t="str">
        <f t="shared" si="69"/>
        <v/>
      </c>
      <c r="AA243" s="73" t="str">
        <f t="shared" si="69"/>
        <v/>
      </c>
      <c r="AB243" s="74" t="str">
        <f t="shared" si="69"/>
        <v/>
      </c>
      <c r="AC243" s="35" t="str">
        <f t="shared" si="57"/>
        <v/>
      </c>
      <c r="AD243" s="40" t="str">
        <f t="shared" si="58"/>
        <v/>
      </c>
      <c r="AE243" s="37" t="str">
        <f t="shared" si="59"/>
        <v/>
      </c>
      <c r="AF243" s="40" t="str">
        <f t="shared" si="60"/>
        <v/>
      </c>
      <c r="AG243" s="37" t="str">
        <f t="shared" si="61"/>
        <v/>
      </c>
      <c r="AH243" s="40" t="str">
        <f t="shared" si="62"/>
        <v/>
      </c>
      <c r="AI243" s="37" t="str">
        <f t="shared" si="63"/>
        <v/>
      </c>
      <c r="AJ243" s="40" t="str">
        <f t="shared" si="64"/>
        <v/>
      </c>
      <c r="AK243" s="204" t="str">
        <f>IF(C243="","",IF(E243=FROTA!$AT$18,IF('DEFINA!!!'!$L$6="D-E-F-I-N-A !!!!!!!",0,IF('DEFINA!!!'!$L$6="Opto por Idade Média",SEM!AW243,IF('DEFINA!!!'!$L$6="Opto pelo Valor aplicado ao  Ano de cada Carro",SEM!AX243,0))),IF(E243=FROTA!$AT$17,IF('DEFINA!!!'!$L$6="D-E-F-I-N-A !!!!!!!",0,IF('DEFINA!!!'!$L$6="Opto por Idade Média",SEM!AW243,IF('DEFINA!!!'!$L$6="Opto pelo Valor aplicado ao  Ano de cada Carro",SEM!AX243,0))),IF(E243=FROTA!$AT$16,IF('DEFINA!!!'!$L$6="D-E-F-I-N-A !!!!!!!",0,IF('DEFINA!!!'!$L$6="Opto por Idade Média",SEM!AW243,IF('DEFINA!!!'!$L$6="Opto pelo Valor aplicado ao  Ano de cada Carro",SEM!AX243,0))),IF('DEFINA!!!'!$L$6="D-E-F-I-N-A !!!!!!!",0,IF('DEFINA!!!'!$L$6="Opto por Idade Média",SEM!AU243,IF('DEFINA!!!'!$L$6="Opto pelo Valor aplicado ao  Ano de cada Carro",SEM!AV243,0)))))))</f>
        <v/>
      </c>
      <c r="AL243" s="6"/>
      <c r="AM243" s="79" t="str">
        <f t="shared" si="65"/>
        <v/>
      </c>
      <c r="AR243" s="5"/>
      <c r="AU243" s="198" t="str">
        <f>IF(C243="","",VLOOKUP(FROTA!$AB$2,RECEBÍVEIS!$AA$11:$AB$43,2,0))</f>
        <v/>
      </c>
      <c r="AV243" s="198" t="str">
        <f>IF(C243="","",IF(C243=FROTA!Z243="","",VLOOKUP(FROTA!Z243,RECEBÍVEIS!$AA$11:$AB$43,2,0)))</f>
        <v/>
      </c>
      <c r="AW243" s="198" t="str">
        <f>IF(C243="","",VLOOKUP(FROTA!$AB$2,RECEBÍVEIS!$AA$11:$AC$43,3,0))</f>
        <v/>
      </c>
      <c r="AX243" s="198" t="str">
        <f>IF(C243="","",IF(C243=FROTA!Z243="","",VLOOKUP(FROTA!Z243,RECEBÍVEIS!$AA$11:$AC$43,3,0)))</f>
        <v/>
      </c>
    </row>
    <row r="244" spans="2:50" ht="17.25" customHeight="1" x14ac:dyDescent="0.2">
      <c r="B244" s="6"/>
      <c r="C244" s="49" t="str">
        <f>IF(FROTA!B244="","",FROTA!B244)</f>
        <v/>
      </c>
      <c r="D244" s="220" t="str">
        <f>IF(C244="","",VLOOKUP(SEM!C244,FROTA!$B$5:$C$305,2,0))</f>
        <v/>
      </c>
      <c r="E244" s="24" t="str">
        <f>IF(C244="","",VLOOKUP(C244,FROTA!$B$5:$H$305,7,0))</f>
        <v/>
      </c>
      <c r="F244" s="38" t="str">
        <f t="shared" si="56"/>
        <v/>
      </c>
      <c r="G244" s="71" t="str">
        <f t="shared" si="66"/>
        <v/>
      </c>
      <c r="H244" s="32" t="str">
        <f t="shared" si="53"/>
        <v/>
      </c>
      <c r="I244" s="73" t="str">
        <f t="shared" si="53"/>
        <v/>
      </c>
      <c r="J244" s="73" t="str">
        <f t="shared" si="53"/>
        <v/>
      </c>
      <c r="K244" s="73" t="str">
        <f t="shared" si="68"/>
        <v/>
      </c>
      <c r="L244" s="73" t="str">
        <f t="shared" si="68"/>
        <v/>
      </c>
      <c r="M244" s="73" t="str">
        <f t="shared" si="68"/>
        <v/>
      </c>
      <c r="N244" s="73" t="str">
        <f t="shared" si="68"/>
        <v/>
      </c>
      <c r="O244" s="73" t="str">
        <f t="shared" si="68"/>
        <v/>
      </c>
      <c r="P244" s="73" t="str">
        <f t="shared" si="68"/>
        <v/>
      </c>
      <c r="Q244" s="73" t="str">
        <f t="shared" si="68"/>
        <v/>
      </c>
      <c r="R244" s="73" t="str">
        <f t="shared" si="69"/>
        <v/>
      </c>
      <c r="S244" s="73" t="str">
        <f t="shared" si="69"/>
        <v/>
      </c>
      <c r="T244" s="73" t="str">
        <f t="shared" si="69"/>
        <v/>
      </c>
      <c r="U244" s="73" t="str">
        <f t="shared" si="69"/>
        <v/>
      </c>
      <c r="V244" s="73" t="str">
        <f t="shared" si="69"/>
        <v/>
      </c>
      <c r="W244" s="73" t="str">
        <f t="shared" si="69"/>
        <v/>
      </c>
      <c r="X244" s="73" t="str">
        <f t="shared" si="69"/>
        <v/>
      </c>
      <c r="Y244" s="73" t="str">
        <f t="shared" si="69"/>
        <v/>
      </c>
      <c r="Z244" s="73" t="str">
        <f t="shared" si="69"/>
        <v/>
      </c>
      <c r="AA244" s="73" t="str">
        <f t="shared" si="69"/>
        <v/>
      </c>
      <c r="AB244" s="74" t="str">
        <f t="shared" si="69"/>
        <v/>
      </c>
      <c r="AC244" s="35" t="str">
        <f t="shared" si="57"/>
        <v/>
      </c>
      <c r="AD244" s="40" t="str">
        <f t="shared" si="58"/>
        <v/>
      </c>
      <c r="AE244" s="37" t="str">
        <f t="shared" si="59"/>
        <v/>
      </c>
      <c r="AF244" s="40" t="str">
        <f t="shared" si="60"/>
        <v/>
      </c>
      <c r="AG244" s="37" t="str">
        <f t="shared" si="61"/>
        <v/>
      </c>
      <c r="AH244" s="40" t="str">
        <f t="shared" si="62"/>
        <v/>
      </c>
      <c r="AI244" s="37" t="str">
        <f t="shared" si="63"/>
        <v/>
      </c>
      <c r="AJ244" s="40" t="str">
        <f t="shared" si="64"/>
        <v/>
      </c>
      <c r="AK244" s="204" t="str">
        <f>IF(C244="","",IF(E244=FROTA!$AT$18,IF('DEFINA!!!'!$L$6="D-E-F-I-N-A !!!!!!!",0,IF('DEFINA!!!'!$L$6="Opto por Idade Média",SEM!AW244,IF('DEFINA!!!'!$L$6="Opto pelo Valor aplicado ao  Ano de cada Carro",SEM!AX244,0))),IF(E244=FROTA!$AT$17,IF('DEFINA!!!'!$L$6="D-E-F-I-N-A !!!!!!!",0,IF('DEFINA!!!'!$L$6="Opto por Idade Média",SEM!AW244,IF('DEFINA!!!'!$L$6="Opto pelo Valor aplicado ao  Ano de cada Carro",SEM!AX244,0))),IF(E244=FROTA!$AT$16,IF('DEFINA!!!'!$L$6="D-E-F-I-N-A !!!!!!!",0,IF('DEFINA!!!'!$L$6="Opto por Idade Média",SEM!AW244,IF('DEFINA!!!'!$L$6="Opto pelo Valor aplicado ao  Ano de cada Carro",SEM!AX244,0))),IF('DEFINA!!!'!$L$6="D-E-F-I-N-A !!!!!!!",0,IF('DEFINA!!!'!$L$6="Opto por Idade Média",SEM!AU244,IF('DEFINA!!!'!$L$6="Opto pelo Valor aplicado ao  Ano de cada Carro",SEM!AV244,0)))))))</f>
        <v/>
      </c>
      <c r="AL244" s="6"/>
      <c r="AM244" s="79" t="str">
        <f t="shared" si="65"/>
        <v/>
      </c>
      <c r="AR244" s="5"/>
      <c r="AU244" s="198" t="str">
        <f>IF(C244="","",VLOOKUP(FROTA!$AB$2,RECEBÍVEIS!$AA$11:$AB$43,2,0))</f>
        <v/>
      </c>
      <c r="AV244" s="198" t="str">
        <f>IF(C244="","",IF(C244=FROTA!Z244="","",VLOOKUP(FROTA!Z244,RECEBÍVEIS!$AA$11:$AB$43,2,0)))</f>
        <v/>
      </c>
      <c r="AW244" s="198" t="str">
        <f>IF(C244="","",VLOOKUP(FROTA!$AB$2,RECEBÍVEIS!$AA$11:$AC$43,3,0))</f>
        <v/>
      </c>
      <c r="AX244" s="198" t="str">
        <f>IF(C244="","",IF(C244=FROTA!Z244="","",VLOOKUP(FROTA!Z244,RECEBÍVEIS!$AA$11:$AC$43,3,0)))</f>
        <v/>
      </c>
    </row>
    <row r="245" spans="2:50" ht="17.25" customHeight="1" x14ac:dyDescent="0.2">
      <c r="B245" s="6"/>
      <c r="C245" s="49" t="str">
        <f>IF(FROTA!B245="","",FROTA!B245)</f>
        <v/>
      </c>
      <c r="D245" s="220" t="str">
        <f>IF(C245="","",VLOOKUP(SEM!C245,FROTA!$B$5:$C$305,2,0))</f>
        <v/>
      </c>
      <c r="E245" s="24" t="str">
        <f>IF(C245="","",VLOOKUP(C245,FROTA!$B$5:$H$305,7,0))</f>
        <v/>
      </c>
      <c r="F245" s="38" t="str">
        <f t="shared" si="56"/>
        <v/>
      </c>
      <c r="G245" s="71" t="str">
        <f t="shared" si="66"/>
        <v/>
      </c>
      <c r="H245" s="32" t="str">
        <f t="shared" si="53"/>
        <v/>
      </c>
      <c r="I245" s="73" t="str">
        <f t="shared" si="53"/>
        <v/>
      </c>
      <c r="J245" s="73" t="str">
        <f t="shared" si="53"/>
        <v/>
      </c>
      <c r="K245" s="73" t="str">
        <f t="shared" si="68"/>
        <v/>
      </c>
      <c r="L245" s="73" t="str">
        <f t="shared" si="68"/>
        <v/>
      </c>
      <c r="M245" s="73" t="str">
        <f t="shared" si="68"/>
        <v/>
      </c>
      <c r="N245" s="73" t="str">
        <f t="shared" si="68"/>
        <v/>
      </c>
      <c r="O245" s="73" t="str">
        <f t="shared" si="68"/>
        <v/>
      </c>
      <c r="P245" s="73" t="str">
        <f t="shared" si="68"/>
        <v/>
      </c>
      <c r="Q245" s="73" t="str">
        <f t="shared" si="68"/>
        <v/>
      </c>
      <c r="R245" s="73" t="str">
        <f t="shared" si="69"/>
        <v/>
      </c>
      <c r="S245" s="73" t="str">
        <f t="shared" si="69"/>
        <v/>
      </c>
      <c r="T245" s="73" t="str">
        <f t="shared" si="69"/>
        <v/>
      </c>
      <c r="U245" s="73" t="str">
        <f t="shared" si="69"/>
        <v/>
      </c>
      <c r="V245" s="73" t="str">
        <f t="shared" si="69"/>
        <v/>
      </c>
      <c r="W245" s="73" t="str">
        <f t="shared" si="69"/>
        <v/>
      </c>
      <c r="X245" s="73" t="str">
        <f t="shared" si="69"/>
        <v/>
      </c>
      <c r="Y245" s="73" t="str">
        <f t="shared" si="69"/>
        <v/>
      </c>
      <c r="Z245" s="73" t="str">
        <f t="shared" si="69"/>
        <v/>
      </c>
      <c r="AA245" s="73" t="str">
        <f t="shared" si="69"/>
        <v/>
      </c>
      <c r="AB245" s="74" t="str">
        <f t="shared" si="69"/>
        <v/>
      </c>
      <c r="AC245" s="35" t="str">
        <f t="shared" si="57"/>
        <v/>
      </c>
      <c r="AD245" s="40" t="str">
        <f t="shared" si="58"/>
        <v/>
      </c>
      <c r="AE245" s="37" t="str">
        <f t="shared" si="59"/>
        <v/>
      </c>
      <c r="AF245" s="40" t="str">
        <f t="shared" si="60"/>
        <v/>
      </c>
      <c r="AG245" s="37" t="str">
        <f t="shared" si="61"/>
        <v/>
      </c>
      <c r="AH245" s="40" t="str">
        <f t="shared" si="62"/>
        <v/>
      </c>
      <c r="AI245" s="37" t="str">
        <f t="shared" si="63"/>
        <v/>
      </c>
      <c r="AJ245" s="40" t="str">
        <f t="shared" si="64"/>
        <v/>
      </c>
      <c r="AK245" s="204" t="str">
        <f>IF(C245="","",IF(E245=FROTA!$AT$18,IF('DEFINA!!!'!$L$6="D-E-F-I-N-A !!!!!!!",0,IF('DEFINA!!!'!$L$6="Opto por Idade Média",SEM!AW245,IF('DEFINA!!!'!$L$6="Opto pelo Valor aplicado ao  Ano de cada Carro",SEM!AX245,0))),IF(E245=FROTA!$AT$17,IF('DEFINA!!!'!$L$6="D-E-F-I-N-A !!!!!!!",0,IF('DEFINA!!!'!$L$6="Opto por Idade Média",SEM!AW245,IF('DEFINA!!!'!$L$6="Opto pelo Valor aplicado ao  Ano de cada Carro",SEM!AX245,0))),IF(E245=FROTA!$AT$16,IF('DEFINA!!!'!$L$6="D-E-F-I-N-A !!!!!!!",0,IF('DEFINA!!!'!$L$6="Opto por Idade Média",SEM!AW245,IF('DEFINA!!!'!$L$6="Opto pelo Valor aplicado ao  Ano de cada Carro",SEM!AX245,0))),IF('DEFINA!!!'!$L$6="D-E-F-I-N-A !!!!!!!",0,IF('DEFINA!!!'!$L$6="Opto por Idade Média",SEM!AU245,IF('DEFINA!!!'!$L$6="Opto pelo Valor aplicado ao  Ano de cada Carro",SEM!AV245,0)))))))</f>
        <v/>
      </c>
      <c r="AL245" s="6"/>
      <c r="AM245" s="79" t="str">
        <f t="shared" si="65"/>
        <v/>
      </c>
      <c r="AR245" s="5"/>
      <c r="AU245" s="198" t="str">
        <f>IF(C245="","",VLOOKUP(FROTA!$AB$2,RECEBÍVEIS!$AA$11:$AB$43,2,0))</f>
        <v/>
      </c>
      <c r="AV245" s="198" t="str">
        <f>IF(C245="","",IF(C245=FROTA!Z245="","",VLOOKUP(FROTA!Z245,RECEBÍVEIS!$AA$11:$AB$43,2,0)))</f>
        <v/>
      </c>
      <c r="AW245" s="198" t="str">
        <f>IF(C245="","",VLOOKUP(FROTA!$AB$2,RECEBÍVEIS!$AA$11:$AC$43,3,0))</f>
        <v/>
      </c>
      <c r="AX245" s="198" t="str">
        <f>IF(C245="","",IF(C245=FROTA!Z245="","",VLOOKUP(FROTA!Z245,RECEBÍVEIS!$AA$11:$AC$43,3,0)))</f>
        <v/>
      </c>
    </row>
    <row r="246" spans="2:50" ht="17.25" customHeight="1" x14ac:dyDescent="0.2">
      <c r="B246" s="6"/>
      <c r="C246" s="49" t="str">
        <f>IF(FROTA!B246="","",FROTA!B246)</f>
        <v/>
      </c>
      <c r="D246" s="220" t="str">
        <f>IF(C246="","",VLOOKUP(SEM!C246,FROTA!$B$5:$C$305,2,0))</f>
        <v/>
      </c>
      <c r="E246" s="24" t="str">
        <f>IF(C246="","",VLOOKUP(C246,FROTA!$B$5:$H$305,7,0))</f>
        <v/>
      </c>
      <c r="F246" s="38" t="str">
        <f t="shared" si="56"/>
        <v/>
      </c>
      <c r="G246" s="71" t="str">
        <f t="shared" si="66"/>
        <v/>
      </c>
      <c r="H246" s="32" t="str">
        <f t="shared" si="53"/>
        <v/>
      </c>
      <c r="I246" s="73" t="str">
        <f t="shared" si="53"/>
        <v/>
      </c>
      <c r="J246" s="73" t="str">
        <f t="shared" si="53"/>
        <v/>
      </c>
      <c r="K246" s="73" t="str">
        <f t="shared" si="68"/>
        <v/>
      </c>
      <c r="L246" s="73" t="str">
        <f t="shared" si="68"/>
        <v/>
      </c>
      <c r="M246" s="73" t="str">
        <f t="shared" si="68"/>
        <v/>
      </c>
      <c r="N246" s="73" t="str">
        <f t="shared" si="68"/>
        <v/>
      </c>
      <c r="O246" s="73" t="str">
        <f t="shared" si="68"/>
        <v/>
      </c>
      <c r="P246" s="73" t="str">
        <f t="shared" si="68"/>
        <v/>
      </c>
      <c r="Q246" s="73" t="str">
        <f t="shared" si="68"/>
        <v/>
      </c>
      <c r="R246" s="73" t="str">
        <f t="shared" si="69"/>
        <v/>
      </c>
      <c r="S246" s="73" t="str">
        <f t="shared" si="69"/>
        <v/>
      </c>
      <c r="T246" s="73" t="str">
        <f t="shared" si="69"/>
        <v/>
      </c>
      <c r="U246" s="73" t="str">
        <f t="shared" si="69"/>
        <v/>
      </c>
      <c r="V246" s="73" t="str">
        <f t="shared" si="69"/>
        <v/>
      </c>
      <c r="W246" s="73" t="str">
        <f t="shared" si="69"/>
        <v/>
      </c>
      <c r="X246" s="73" t="str">
        <f t="shared" si="69"/>
        <v/>
      </c>
      <c r="Y246" s="73" t="str">
        <f t="shared" si="69"/>
        <v/>
      </c>
      <c r="Z246" s="73" t="str">
        <f t="shared" si="69"/>
        <v/>
      </c>
      <c r="AA246" s="73" t="str">
        <f t="shared" si="69"/>
        <v/>
      </c>
      <c r="AB246" s="74" t="str">
        <f t="shared" si="69"/>
        <v/>
      </c>
      <c r="AC246" s="35" t="str">
        <f t="shared" si="57"/>
        <v/>
      </c>
      <c r="AD246" s="40" t="str">
        <f t="shared" si="58"/>
        <v/>
      </c>
      <c r="AE246" s="37" t="str">
        <f t="shared" si="59"/>
        <v/>
      </c>
      <c r="AF246" s="40" t="str">
        <f t="shared" si="60"/>
        <v/>
      </c>
      <c r="AG246" s="37" t="str">
        <f t="shared" si="61"/>
        <v/>
      </c>
      <c r="AH246" s="40" t="str">
        <f t="shared" si="62"/>
        <v/>
      </c>
      <c r="AI246" s="37" t="str">
        <f t="shared" si="63"/>
        <v/>
      </c>
      <c r="AJ246" s="40" t="str">
        <f t="shared" si="64"/>
        <v/>
      </c>
      <c r="AK246" s="204" t="str">
        <f>IF(C246="","",IF(E246=FROTA!$AT$18,IF('DEFINA!!!'!$L$6="D-E-F-I-N-A !!!!!!!",0,IF('DEFINA!!!'!$L$6="Opto por Idade Média",SEM!AW246,IF('DEFINA!!!'!$L$6="Opto pelo Valor aplicado ao  Ano de cada Carro",SEM!AX246,0))),IF(E246=FROTA!$AT$17,IF('DEFINA!!!'!$L$6="D-E-F-I-N-A !!!!!!!",0,IF('DEFINA!!!'!$L$6="Opto por Idade Média",SEM!AW246,IF('DEFINA!!!'!$L$6="Opto pelo Valor aplicado ao  Ano de cada Carro",SEM!AX246,0))),IF(E246=FROTA!$AT$16,IF('DEFINA!!!'!$L$6="D-E-F-I-N-A !!!!!!!",0,IF('DEFINA!!!'!$L$6="Opto por Idade Média",SEM!AW246,IF('DEFINA!!!'!$L$6="Opto pelo Valor aplicado ao  Ano de cada Carro",SEM!AX246,0))),IF('DEFINA!!!'!$L$6="D-E-F-I-N-A !!!!!!!",0,IF('DEFINA!!!'!$L$6="Opto por Idade Média",SEM!AU246,IF('DEFINA!!!'!$L$6="Opto pelo Valor aplicado ao  Ano de cada Carro",SEM!AV246,0)))))))</f>
        <v/>
      </c>
      <c r="AL246" s="6"/>
      <c r="AM246" s="79" t="str">
        <f t="shared" si="65"/>
        <v/>
      </c>
      <c r="AR246" s="5"/>
      <c r="AU246" s="198" t="str">
        <f>IF(C246="","",VLOOKUP(FROTA!$AB$2,RECEBÍVEIS!$AA$11:$AB$43,2,0))</f>
        <v/>
      </c>
      <c r="AV246" s="198" t="str">
        <f>IF(C246="","",IF(C246=FROTA!Z246="","",VLOOKUP(FROTA!Z246,RECEBÍVEIS!$AA$11:$AB$43,2,0)))</f>
        <v/>
      </c>
      <c r="AW246" s="198" t="str">
        <f>IF(C246="","",VLOOKUP(FROTA!$AB$2,RECEBÍVEIS!$AA$11:$AC$43,3,0))</f>
        <v/>
      </c>
      <c r="AX246" s="198" t="str">
        <f>IF(C246="","",IF(C246=FROTA!Z246="","",VLOOKUP(FROTA!Z246,RECEBÍVEIS!$AA$11:$AC$43,3,0)))</f>
        <v/>
      </c>
    </row>
    <row r="247" spans="2:50" ht="17.25" customHeight="1" x14ac:dyDescent="0.2">
      <c r="B247" s="6"/>
      <c r="C247" s="49" t="str">
        <f>IF(FROTA!B247="","",FROTA!B247)</f>
        <v/>
      </c>
      <c r="D247" s="220" t="str">
        <f>IF(C247="","",VLOOKUP(SEM!C247,FROTA!$B$5:$C$305,2,0))</f>
        <v/>
      </c>
      <c r="E247" s="24" t="str">
        <f>IF(C247="","",VLOOKUP(C247,FROTA!$B$5:$H$305,7,0))</f>
        <v/>
      </c>
      <c r="F247" s="38" t="str">
        <f t="shared" si="56"/>
        <v/>
      </c>
      <c r="G247" s="71" t="str">
        <f t="shared" si="66"/>
        <v/>
      </c>
      <c r="H247" s="32" t="str">
        <f t="shared" si="53"/>
        <v/>
      </c>
      <c r="I247" s="73" t="str">
        <f t="shared" si="53"/>
        <v/>
      </c>
      <c r="J247" s="73" t="str">
        <f t="shared" si="53"/>
        <v/>
      </c>
      <c r="K247" s="73" t="str">
        <f t="shared" si="68"/>
        <v/>
      </c>
      <c r="L247" s="73" t="str">
        <f t="shared" si="68"/>
        <v/>
      </c>
      <c r="M247" s="73" t="str">
        <f t="shared" si="68"/>
        <v/>
      </c>
      <c r="N247" s="73" t="str">
        <f t="shared" si="68"/>
        <v/>
      </c>
      <c r="O247" s="73" t="str">
        <f t="shared" si="68"/>
        <v/>
      </c>
      <c r="P247" s="73" t="str">
        <f t="shared" si="68"/>
        <v/>
      </c>
      <c r="Q247" s="73" t="str">
        <f t="shared" si="68"/>
        <v/>
      </c>
      <c r="R247" s="73" t="str">
        <f t="shared" si="69"/>
        <v/>
      </c>
      <c r="S247" s="73" t="str">
        <f t="shared" si="69"/>
        <v/>
      </c>
      <c r="T247" s="73" t="str">
        <f t="shared" si="69"/>
        <v/>
      </c>
      <c r="U247" s="73" t="str">
        <f t="shared" si="69"/>
        <v/>
      </c>
      <c r="V247" s="73" t="str">
        <f t="shared" si="69"/>
        <v/>
      </c>
      <c r="W247" s="73" t="str">
        <f t="shared" si="69"/>
        <v/>
      </c>
      <c r="X247" s="73" t="str">
        <f t="shared" si="69"/>
        <v/>
      </c>
      <c r="Y247" s="73" t="str">
        <f t="shared" si="69"/>
        <v/>
      </c>
      <c r="Z247" s="73" t="str">
        <f t="shared" si="69"/>
        <v/>
      </c>
      <c r="AA247" s="73" t="str">
        <f t="shared" si="69"/>
        <v/>
      </c>
      <c r="AB247" s="74" t="str">
        <f t="shared" si="69"/>
        <v/>
      </c>
      <c r="AC247" s="35" t="str">
        <f t="shared" si="57"/>
        <v/>
      </c>
      <c r="AD247" s="40" t="str">
        <f t="shared" si="58"/>
        <v/>
      </c>
      <c r="AE247" s="37" t="str">
        <f t="shared" si="59"/>
        <v/>
      </c>
      <c r="AF247" s="40" t="str">
        <f t="shared" si="60"/>
        <v/>
      </c>
      <c r="AG247" s="37" t="str">
        <f t="shared" si="61"/>
        <v/>
      </c>
      <c r="AH247" s="40" t="str">
        <f t="shared" si="62"/>
        <v/>
      </c>
      <c r="AI247" s="37" t="str">
        <f t="shared" si="63"/>
        <v/>
      </c>
      <c r="AJ247" s="40" t="str">
        <f t="shared" si="64"/>
        <v/>
      </c>
      <c r="AK247" s="204" t="str">
        <f>IF(C247="","",IF(E247=FROTA!$AT$18,IF('DEFINA!!!'!$L$6="D-E-F-I-N-A !!!!!!!",0,IF('DEFINA!!!'!$L$6="Opto por Idade Média",SEM!AW247,IF('DEFINA!!!'!$L$6="Opto pelo Valor aplicado ao  Ano de cada Carro",SEM!AX247,0))),IF(E247=FROTA!$AT$17,IF('DEFINA!!!'!$L$6="D-E-F-I-N-A !!!!!!!",0,IF('DEFINA!!!'!$L$6="Opto por Idade Média",SEM!AW247,IF('DEFINA!!!'!$L$6="Opto pelo Valor aplicado ao  Ano de cada Carro",SEM!AX247,0))),IF(E247=FROTA!$AT$16,IF('DEFINA!!!'!$L$6="D-E-F-I-N-A !!!!!!!",0,IF('DEFINA!!!'!$L$6="Opto por Idade Média",SEM!AW247,IF('DEFINA!!!'!$L$6="Opto pelo Valor aplicado ao  Ano de cada Carro",SEM!AX247,0))),IF('DEFINA!!!'!$L$6="D-E-F-I-N-A !!!!!!!",0,IF('DEFINA!!!'!$L$6="Opto por Idade Média",SEM!AU247,IF('DEFINA!!!'!$L$6="Opto pelo Valor aplicado ao  Ano de cada Carro",SEM!AV247,0)))))))</f>
        <v/>
      </c>
      <c r="AL247" s="6"/>
      <c r="AM247" s="79" t="str">
        <f t="shared" si="65"/>
        <v/>
      </c>
      <c r="AR247" s="5"/>
      <c r="AU247" s="198" t="str">
        <f>IF(C247="","",VLOOKUP(FROTA!$AB$2,RECEBÍVEIS!$AA$11:$AB$43,2,0))</f>
        <v/>
      </c>
      <c r="AV247" s="198" t="str">
        <f>IF(C247="","",IF(C247=FROTA!Z247="","",VLOOKUP(FROTA!Z247,RECEBÍVEIS!$AA$11:$AB$43,2,0)))</f>
        <v/>
      </c>
      <c r="AW247" s="198" t="str">
        <f>IF(C247="","",VLOOKUP(FROTA!$AB$2,RECEBÍVEIS!$AA$11:$AC$43,3,0))</f>
        <v/>
      </c>
      <c r="AX247" s="198" t="str">
        <f>IF(C247="","",IF(C247=FROTA!Z247="","",VLOOKUP(FROTA!Z247,RECEBÍVEIS!$AA$11:$AC$43,3,0)))</f>
        <v/>
      </c>
    </row>
    <row r="248" spans="2:50" ht="17.25" customHeight="1" x14ac:dyDescent="0.2">
      <c r="B248" s="6"/>
      <c r="C248" s="49" t="str">
        <f>IF(FROTA!B248="","",FROTA!B248)</f>
        <v/>
      </c>
      <c r="D248" s="220" t="str">
        <f>IF(C248="","",VLOOKUP(SEM!C248,FROTA!$B$5:$C$305,2,0))</f>
        <v/>
      </c>
      <c r="E248" s="24" t="str">
        <f>IF(C248="","",VLOOKUP(C248,FROTA!$B$5:$H$305,7,0))</f>
        <v/>
      </c>
      <c r="F248" s="38" t="str">
        <f t="shared" si="56"/>
        <v/>
      </c>
      <c r="G248" s="71" t="str">
        <f t="shared" si="66"/>
        <v/>
      </c>
      <c r="H248" s="32" t="str">
        <f t="shared" ref="H248:J303" si="70">IF($C248="","",IF(SUM(H$307*$G248)&gt;$F248,$F248,SUM(H$307*$G248)))</f>
        <v/>
      </c>
      <c r="I248" s="73" t="str">
        <f t="shared" si="70"/>
        <v/>
      </c>
      <c r="J248" s="73" t="str">
        <f t="shared" si="70"/>
        <v/>
      </c>
      <c r="K248" s="73" t="str">
        <f t="shared" si="68"/>
        <v/>
      </c>
      <c r="L248" s="73" t="str">
        <f t="shared" si="68"/>
        <v/>
      </c>
      <c r="M248" s="73" t="str">
        <f t="shared" si="68"/>
        <v/>
      </c>
      <c r="N248" s="73" t="str">
        <f t="shared" si="68"/>
        <v/>
      </c>
      <c r="O248" s="73" t="str">
        <f t="shared" si="68"/>
        <v/>
      </c>
      <c r="P248" s="73" t="str">
        <f t="shared" si="68"/>
        <v/>
      </c>
      <c r="Q248" s="73" t="str">
        <f t="shared" si="68"/>
        <v/>
      </c>
      <c r="R248" s="73" t="str">
        <f t="shared" si="69"/>
        <v/>
      </c>
      <c r="S248" s="73" t="str">
        <f t="shared" si="69"/>
        <v/>
      </c>
      <c r="T248" s="73" t="str">
        <f t="shared" si="69"/>
        <v/>
      </c>
      <c r="U248" s="73" t="str">
        <f t="shared" si="69"/>
        <v/>
      </c>
      <c r="V248" s="73" t="str">
        <f t="shared" si="69"/>
        <v/>
      </c>
      <c r="W248" s="73" t="str">
        <f t="shared" si="69"/>
        <v/>
      </c>
      <c r="X248" s="73" t="str">
        <f t="shared" si="69"/>
        <v/>
      </c>
      <c r="Y248" s="73" t="str">
        <f t="shared" si="69"/>
        <v/>
      </c>
      <c r="Z248" s="73" t="str">
        <f t="shared" si="69"/>
        <v/>
      </c>
      <c r="AA248" s="73" t="str">
        <f t="shared" si="69"/>
        <v/>
      </c>
      <c r="AB248" s="74" t="str">
        <f t="shared" si="69"/>
        <v/>
      </c>
      <c r="AC248" s="35" t="str">
        <f t="shared" si="57"/>
        <v/>
      </c>
      <c r="AD248" s="40" t="str">
        <f t="shared" si="58"/>
        <v/>
      </c>
      <c r="AE248" s="37" t="str">
        <f t="shared" si="59"/>
        <v/>
      </c>
      <c r="AF248" s="40" t="str">
        <f t="shared" si="60"/>
        <v/>
      </c>
      <c r="AG248" s="37" t="str">
        <f t="shared" si="61"/>
        <v/>
      </c>
      <c r="AH248" s="40" t="str">
        <f t="shared" si="62"/>
        <v/>
      </c>
      <c r="AI248" s="37" t="str">
        <f t="shared" si="63"/>
        <v/>
      </c>
      <c r="AJ248" s="40" t="str">
        <f t="shared" si="64"/>
        <v/>
      </c>
      <c r="AK248" s="204" t="str">
        <f>IF(C248="","",IF(E248=FROTA!$AT$18,IF('DEFINA!!!'!$L$6="D-E-F-I-N-A !!!!!!!",0,IF('DEFINA!!!'!$L$6="Opto por Idade Média",SEM!AW248,IF('DEFINA!!!'!$L$6="Opto pelo Valor aplicado ao  Ano de cada Carro",SEM!AX248,0))),IF(E248=FROTA!$AT$17,IF('DEFINA!!!'!$L$6="D-E-F-I-N-A !!!!!!!",0,IF('DEFINA!!!'!$L$6="Opto por Idade Média",SEM!AW248,IF('DEFINA!!!'!$L$6="Opto pelo Valor aplicado ao  Ano de cada Carro",SEM!AX248,0))),IF(E248=FROTA!$AT$16,IF('DEFINA!!!'!$L$6="D-E-F-I-N-A !!!!!!!",0,IF('DEFINA!!!'!$L$6="Opto por Idade Média",SEM!AW248,IF('DEFINA!!!'!$L$6="Opto pelo Valor aplicado ao  Ano de cada Carro",SEM!AX248,0))),IF('DEFINA!!!'!$L$6="D-E-F-I-N-A !!!!!!!",0,IF('DEFINA!!!'!$L$6="Opto por Idade Média",SEM!AU248,IF('DEFINA!!!'!$L$6="Opto pelo Valor aplicado ao  Ano de cada Carro",SEM!AV248,0)))))))</f>
        <v/>
      </c>
      <c r="AL248" s="6"/>
      <c r="AM248" s="79" t="str">
        <f t="shared" si="65"/>
        <v/>
      </c>
      <c r="AR248" s="5"/>
      <c r="AU248" s="198" t="str">
        <f>IF(C248="","",VLOOKUP(FROTA!$AB$2,RECEBÍVEIS!$AA$11:$AB$43,2,0))</f>
        <v/>
      </c>
      <c r="AV248" s="198" t="str">
        <f>IF(C248="","",IF(C248=FROTA!Z248="","",VLOOKUP(FROTA!Z248,RECEBÍVEIS!$AA$11:$AB$43,2,0)))</f>
        <v/>
      </c>
      <c r="AW248" s="198" t="str">
        <f>IF(C248="","",VLOOKUP(FROTA!$AB$2,RECEBÍVEIS!$AA$11:$AC$43,3,0))</f>
        <v/>
      </c>
      <c r="AX248" s="198" t="str">
        <f>IF(C248="","",IF(C248=FROTA!Z248="","",VLOOKUP(FROTA!Z248,RECEBÍVEIS!$AA$11:$AC$43,3,0)))</f>
        <v/>
      </c>
    </row>
    <row r="249" spans="2:50" ht="17.25" customHeight="1" x14ac:dyDescent="0.2">
      <c r="B249" s="6"/>
      <c r="C249" s="49" t="str">
        <f>IF(FROTA!B249="","",FROTA!B249)</f>
        <v/>
      </c>
      <c r="D249" s="220" t="str">
        <f>IF(C249="","",VLOOKUP(SEM!C249,FROTA!$B$5:$C$305,2,0))</f>
        <v/>
      </c>
      <c r="E249" s="24" t="str">
        <f>IF(C249="","",VLOOKUP(C249,FROTA!$B$5:$H$305,7,0))</f>
        <v/>
      </c>
      <c r="F249" s="38" t="str">
        <f t="shared" si="56"/>
        <v/>
      </c>
      <c r="G249" s="71" t="str">
        <f t="shared" si="66"/>
        <v/>
      </c>
      <c r="H249" s="32" t="str">
        <f t="shared" si="70"/>
        <v/>
      </c>
      <c r="I249" s="73" t="str">
        <f t="shared" si="70"/>
        <v/>
      </c>
      <c r="J249" s="73" t="str">
        <f t="shared" si="70"/>
        <v/>
      </c>
      <c r="K249" s="73" t="str">
        <f t="shared" si="68"/>
        <v/>
      </c>
      <c r="L249" s="73" t="str">
        <f t="shared" si="68"/>
        <v/>
      </c>
      <c r="M249" s="73" t="str">
        <f t="shared" si="68"/>
        <v/>
      </c>
      <c r="N249" s="73" t="str">
        <f t="shared" si="68"/>
        <v/>
      </c>
      <c r="O249" s="73" t="str">
        <f t="shared" si="68"/>
        <v/>
      </c>
      <c r="P249" s="73" t="str">
        <f t="shared" si="68"/>
        <v/>
      </c>
      <c r="Q249" s="73" t="str">
        <f t="shared" si="68"/>
        <v/>
      </c>
      <c r="R249" s="73" t="str">
        <f t="shared" si="69"/>
        <v/>
      </c>
      <c r="S249" s="73" t="str">
        <f t="shared" si="69"/>
        <v/>
      </c>
      <c r="T249" s="73" t="str">
        <f t="shared" si="69"/>
        <v/>
      </c>
      <c r="U249" s="73" t="str">
        <f t="shared" si="69"/>
        <v/>
      </c>
      <c r="V249" s="73" t="str">
        <f t="shared" si="69"/>
        <v/>
      </c>
      <c r="W249" s="73" t="str">
        <f t="shared" si="69"/>
        <v/>
      </c>
      <c r="X249" s="73" t="str">
        <f t="shared" si="69"/>
        <v/>
      </c>
      <c r="Y249" s="73" t="str">
        <f t="shared" si="69"/>
        <v/>
      </c>
      <c r="Z249" s="73" t="str">
        <f t="shared" si="69"/>
        <v/>
      </c>
      <c r="AA249" s="73" t="str">
        <f t="shared" si="69"/>
        <v/>
      </c>
      <c r="AB249" s="74" t="str">
        <f t="shared" si="69"/>
        <v/>
      </c>
      <c r="AC249" s="35" t="str">
        <f t="shared" si="57"/>
        <v/>
      </c>
      <c r="AD249" s="40" t="str">
        <f t="shared" si="58"/>
        <v/>
      </c>
      <c r="AE249" s="37" t="str">
        <f t="shared" si="59"/>
        <v/>
      </c>
      <c r="AF249" s="40" t="str">
        <f t="shared" si="60"/>
        <v/>
      </c>
      <c r="AG249" s="37" t="str">
        <f t="shared" si="61"/>
        <v/>
      </c>
      <c r="AH249" s="40" t="str">
        <f t="shared" si="62"/>
        <v/>
      </c>
      <c r="AI249" s="37" t="str">
        <f t="shared" si="63"/>
        <v/>
      </c>
      <c r="AJ249" s="40" t="str">
        <f t="shared" si="64"/>
        <v/>
      </c>
      <c r="AK249" s="204" t="str">
        <f>IF(C249="","",IF(E249=FROTA!$AT$18,IF('DEFINA!!!'!$L$6="D-E-F-I-N-A !!!!!!!",0,IF('DEFINA!!!'!$L$6="Opto por Idade Média",SEM!AW249,IF('DEFINA!!!'!$L$6="Opto pelo Valor aplicado ao  Ano de cada Carro",SEM!AX249,0))),IF(E249=FROTA!$AT$17,IF('DEFINA!!!'!$L$6="D-E-F-I-N-A !!!!!!!",0,IF('DEFINA!!!'!$L$6="Opto por Idade Média",SEM!AW249,IF('DEFINA!!!'!$L$6="Opto pelo Valor aplicado ao  Ano de cada Carro",SEM!AX249,0))),IF(E249=FROTA!$AT$16,IF('DEFINA!!!'!$L$6="D-E-F-I-N-A !!!!!!!",0,IF('DEFINA!!!'!$L$6="Opto por Idade Média",SEM!AW249,IF('DEFINA!!!'!$L$6="Opto pelo Valor aplicado ao  Ano de cada Carro",SEM!AX249,0))),IF('DEFINA!!!'!$L$6="D-E-F-I-N-A !!!!!!!",0,IF('DEFINA!!!'!$L$6="Opto por Idade Média",SEM!AU249,IF('DEFINA!!!'!$L$6="Opto pelo Valor aplicado ao  Ano de cada Carro",SEM!AV249,0)))))))</f>
        <v/>
      </c>
      <c r="AL249" s="6"/>
      <c r="AM249" s="79" t="str">
        <f t="shared" si="65"/>
        <v/>
      </c>
      <c r="AR249" s="5"/>
      <c r="AU249" s="198" t="str">
        <f>IF(C249="","",VLOOKUP(FROTA!$AB$2,RECEBÍVEIS!$AA$11:$AB$43,2,0))</f>
        <v/>
      </c>
      <c r="AV249" s="198" t="str">
        <f>IF(C249="","",IF(C249=FROTA!Z249="","",VLOOKUP(FROTA!Z249,RECEBÍVEIS!$AA$11:$AB$43,2,0)))</f>
        <v/>
      </c>
      <c r="AW249" s="198" t="str">
        <f>IF(C249="","",VLOOKUP(FROTA!$AB$2,RECEBÍVEIS!$AA$11:$AC$43,3,0))</f>
        <v/>
      </c>
      <c r="AX249" s="198" t="str">
        <f>IF(C249="","",IF(C249=FROTA!Z249="","",VLOOKUP(FROTA!Z249,RECEBÍVEIS!$AA$11:$AC$43,3,0)))</f>
        <v/>
      </c>
    </row>
    <row r="250" spans="2:50" ht="17.25" customHeight="1" x14ac:dyDescent="0.2">
      <c r="B250" s="6"/>
      <c r="C250" s="49" t="str">
        <f>IF(FROTA!B250="","",FROTA!B250)</f>
        <v/>
      </c>
      <c r="D250" s="220" t="str">
        <f>IF(C250="","",VLOOKUP(SEM!C250,FROTA!$B$5:$C$305,2,0))</f>
        <v/>
      </c>
      <c r="E250" s="24" t="str">
        <f>IF(C250="","",VLOOKUP(C250,FROTA!$B$5:$H$305,7,0))</f>
        <v/>
      </c>
      <c r="F250" s="38" t="str">
        <f t="shared" si="56"/>
        <v/>
      </c>
      <c r="G250" s="71" t="str">
        <f t="shared" si="66"/>
        <v/>
      </c>
      <c r="H250" s="32" t="str">
        <f t="shared" si="70"/>
        <v/>
      </c>
      <c r="I250" s="73" t="str">
        <f t="shared" si="70"/>
        <v/>
      </c>
      <c r="J250" s="73" t="str">
        <f t="shared" si="70"/>
        <v/>
      </c>
      <c r="K250" s="73" t="str">
        <f t="shared" si="68"/>
        <v/>
      </c>
      <c r="L250" s="73" t="str">
        <f t="shared" si="68"/>
        <v/>
      </c>
      <c r="M250" s="73" t="str">
        <f t="shared" si="68"/>
        <v/>
      </c>
      <c r="N250" s="73" t="str">
        <f t="shared" si="68"/>
        <v/>
      </c>
      <c r="O250" s="73" t="str">
        <f t="shared" si="68"/>
        <v/>
      </c>
      <c r="P250" s="73" t="str">
        <f t="shared" si="68"/>
        <v/>
      </c>
      <c r="Q250" s="73" t="str">
        <f t="shared" si="68"/>
        <v/>
      </c>
      <c r="R250" s="73" t="str">
        <f t="shared" si="69"/>
        <v/>
      </c>
      <c r="S250" s="73" t="str">
        <f t="shared" si="69"/>
        <v/>
      </c>
      <c r="T250" s="73" t="str">
        <f t="shared" si="69"/>
        <v/>
      </c>
      <c r="U250" s="73" t="str">
        <f t="shared" si="69"/>
        <v/>
      </c>
      <c r="V250" s="73" t="str">
        <f t="shared" si="69"/>
        <v/>
      </c>
      <c r="W250" s="73" t="str">
        <f t="shared" si="69"/>
        <v/>
      </c>
      <c r="X250" s="73" t="str">
        <f t="shared" si="69"/>
        <v/>
      </c>
      <c r="Y250" s="73" t="str">
        <f t="shared" si="69"/>
        <v/>
      </c>
      <c r="Z250" s="73" t="str">
        <f t="shared" si="69"/>
        <v/>
      </c>
      <c r="AA250" s="73" t="str">
        <f t="shared" si="69"/>
        <v/>
      </c>
      <c r="AB250" s="74" t="str">
        <f t="shared" si="69"/>
        <v/>
      </c>
      <c r="AC250" s="35" t="str">
        <f t="shared" si="57"/>
        <v/>
      </c>
      <c r="AD250" s="40" t="str">
        <f t="shared" si="58"/>
        <v/>
      </c>
      <c r="AE250" s="37" t="str">
        <f t="shared" si="59"/>
        <v/>
      </c>
      <c r="AF250" s="40" t="str">
        <f t="shared" si="60"/>
        <v/>
      </c>
      <c r="AG250" s="37" t="str">
        <f t="shared" si="61"/>
        <v/>
      </c>
      <c r="AH250" s="40" t="str">
        <f t="shared" si="62"/>
        <v/>
      </c>
      <c r="AI250" s="37" t="str">
        <f t="shared" si="63"/>
        <v/>
      </c>
      <c r="AJ250" s="40" t="str">
        <f t="shared" si="64"/>
        <v/>
      </c>
      <c r="AK250" s="204" t="str">
        <f>IF(C250="","",IF(E250=FROTA!$AT$18,IF('DEFINA!!!'!$L$6="D-E-F-I-N-A !!!!!!!",0,IF('DEFINA!!!'!$L$6="Opto por Idade Média",SEM!AW250,IF('DEFINA!!!'!$L$6="Opto pelo Valor aplicado ao  Ano de cada Carro",SEM!AX250,0))),IF(E250=FROTA!$AT$17,IF('DEFINA!!!'!$L$6="D-E-F-I-N-A !!!!!!!",0,IF('DEFINA!!!'!$L$6="Opto por Idade Média",SEM!AW250,IF('DEFINA!!!'!$L$6="Opto pelo Valor aplicado ao  Ano de cada Carro",SEM!AX250,0))),IF(E250=FROTA!$AT$16,IF('DEFINA!!!'!$L$6="D-E-F-I-N-A !!!!!!!",0,IF('DEFINA!!!'!$L$6="Opto por Idade Média",SEM!AW250,IF('DEFINA!!!'!$L$6="Opto pelo Valor aplicado ao  Ano de cada Carro",SEM!AX250,0))),IF('DEFINA!!!'!$L$6="D-E-F-I-N-A !!!!!!!",0,IF('DEFINA!!!'!$L$6="Opto por Idade Média",SEM!AU250,IF('DEFINA!!!'!$L$6="Opto pelo Valor aplicado ao  Ano de cada Carro",SEM!AV250,0)))))))</f>
        <v/>
      </c>
      <c r="AL250" s="6"/>
      <c r="AM250" s="79" t="str">
        <f t="shared" si="65"/>
        <v/>
      </c>
      <c r="AR250" s="5"/>
      <c r="AU250" s="198" t="str">
        <f>IF(C250="","",VLOOKUP(FROTA!$AB$2,RECEBÍVEIS!$AA$11:$AB$43,2,0))</f>
        <v/>
      </c>
      <c r="AV250" s="198" t="str">
        <f>IF(C250="","",IF(C250=FROTA!Z250="","",VLOOKUP(FROTA!Z250,RECEBÍVEIS!$AA$11:$AB$43,2,0)))</f>
        <v/>
      </c>
      <c r="AW250" s="198" t="str">
        <f>IF(C250="","",VLOOKUP(FROTA!$AB$2,RECEBÍVEIS!$AA$11:$AC$43,3,0))</f>
        <v/>
      </c>
      <c r="AX250" s="198" t="str">
        <f>IF(C250="","",IF(C250=FROTA!Z250="","",VLOOKUP(FROTA!Z250,RECEBÍVEIS!$AA$11:$AC$43,3,0)))</f>
        <v/>
      </c>
    </row>
    <row r="251" spans="2:50" ht="17.25" customHeight="1" x14ac:dyDescent="0.2">
      <c r="B251" s="6"/>
      <c r="C251" s="49" t="str">
        <f>IF(FROTA!B251="","",FROTA!B251)</f>
        <v/>
      </c>
      <c r="D251" s="220" t="str">
        <f>IF(C251="","",VLOOKUP(SEM!C251,FROTA!$B$5:$C$305,2,0))</f>
        <v/>
      </c>
      <c r="E251" s="24" t="str">
        <f>IF(C251="","",VLOOKUP(C251,FROTA!$B$5:$H$305,7,0))</f>
        <v/>
      </c>
      <c r="F251" s="38" t="str">
        <f t="shared" si="56"/>
        <v/>
      </c>
      <c r="G251" s="71" t="str">
        <f t="shared" si="66"/>
        <v/>
      </c>
      <c r="H251" s="32" t="str">
        <f t="shared" si="70"/>
        <v/>
      </c>
      <c r="I251" s="73" t="str">
        <f t="shared" si="70"/>
        <v/>
      </c>
      <c r="J251" s="73" t="str">
        <f t="shared" si="70"/>
        <v/>
      </c>
      <c r="K251" s="73" t="str">
        <f t="shared" si="68"/>
        <v/>
      </c>
      <c r="L251" s="73" t="str">
        <f t="shared" si="68"/>
        <v/>
      </c>
      <c r="M251" s="73" t="str">
        <f t="shared" si="68"/>
        <v/>
      </c>
      <c r="N251" s="73" t="str">
        <f t="shared" si="68"/>
        <v/>
      </c>
      <c r="O251" s="73" t="str">
        <f t="shared" si="68"/>
        <v/>
      </c>
      <c r="P251" s="73" t="str">
        <f t="shared" si="68"/>
        <v/>
      </c>
      <c r="Q251" s="73" t="str">
        <f t="shared" si="68"/>
        <v/>
      </c>
      <c r="R251" s="73" t="str">
        <f t="shared" si="69"/>
        <v/>
      </c>
      <c r="S251" s="73" t="str">
        <f t="shared" si="69"/>
        <v/>
      </c>
      <c r="T251" s="73" t="str">
        <f t="shared" si="69"/>
        <v/>
      </c>
      <c r="U251" s="73" t="str">
        <f t="shared" si="69"/>
        <v/>
      </c>
      <c r="V251" s="73" t="str">
        <f t="shared" si="69"/>
        <v/>
      </c>
      <c r="W251" s="73" t="str">
        <f t="shared" si="69"/>
        <v/>
      </c>
      <c r="X251" s="73" t="str">
        <f t="shared" si="69"/>
        <v/>
      </c>
      <c r="Y251" s="73" t="str">
        <f t="shared" si="69"/>
        <v/>
      </c>
      <c r="Z251" s="73" t="str">
        <f t="shared" si="69"/>
        <v/>
      </c>
      <c r="AA251" s="73" t="str">
        <f t="shared" si="69"/>
        <v/>
      </c>
      <c r="AB251" s="74" t="str">
        <f t="shared" si="69"/>
        <v/>
      </c>
      <c r="AC251" s="35" t="str">
        <f t="shared" si="57"/>
        <v/>
      </c>
      <c r="AD251" s="40" t="str">
        <f t="shared" si="58"/>
        <v/>
      </c>
      <c r="AE251" s="37" t="str">
        <f t="shared" si="59"/>
        <v/>
      </c>
      <c r="AF251" s="40" t="str">
        <f t="shared" si="60"/>
        <v/>
      </c>
      <c r="AG251" s="37" t="str">
        <f t="shared" si="61"/>
        <v/>
      </c>
      <c r="AH251" s="40" t="str">
        <f t="shared" si="62"/>
        <v/>
      </c>
      <c r="AI251" s="37" t="str">
        <f t="shared" si="63"/>
        <v/>
      </c>
      <c r="AJ251" s="40" t="str">
        <f t="shared" si="64"/>
        <v/>
      </c>
      <c r="AK251" s="204" t="str">
        <f>IF(C251="","",IF(E251=FROTA!$AT$18,IF('DEFINA!!!'!$L$6="D-E-F-I-N-A !!!!!!!",0,IF('DEFINA!!!'!$L$6="Opto por Idade Média",SEM!AW251,IF('DEFINA!!!'!$L$6="Opto pelo Valor aplicado ao  Ano de cada Carro",SEM!AX251,0))),IF(E251=FROTA!$AT$17,IF('DEFINA!!!'!$L$6="D-E-F-I-N-A !!!!!!!",0,IF('DEFINA!!!'!$L$6="Opto por Idade Média",SEM!AW251,IF('DEFINA!!!'!$L$6="Opto pelo Valor aplicado ao  Ano de cada Carro",SEM!AX251,0))),IF(E251=FROTA!$AT$16,IF('DEFINA!!!'!$L$6="D-E-F-I-N-A !!!!!!!",0,IF('DEFINA!!!'!$L$6="Opto por Idade Média",SEM!AW251,IF('DEFINA!!!'!$L$6="Opto pelo Valor aplicado ao  Ano de cada Carro",SEM!AX251,0))),IF('DEFINA!!!'!$L$6="D-E-F-I-N-A !!!!!!!",0,IF('DEFINA!!!'!$L$6="Opto por Idade Média",SEM!AU251,IF('DEFINA!!!'!$L$6="Opto pelo Valor aplicado ao  Ano de cada Carro",SEM!AV251,0)))))))</f>
        <v/>
      </c>
      <c r="AL251" s="6"/>
      <c r="AM251" s="79" t="str">
        <f t="shared" si="65"/>
        <v/>
      </c>
      <c r="AR251" s="5"/>
      <c r="AU251" s="198" t="str">
        <f>IF(C251="","",VLOOKUP(FROTA!$AB$2,RECEBÍVEIS!$AA$11:$AB$43,2,0))</f>
        <v/>
      </c>
      <c r="AV251" s="198" t="str">
        <f>IF(C251="","",IF(C251=FROTA!Z251="","",VLOOKUP(FROTA!Z251,RECEBÍVEIS!$AA$11:$AB$43,2,0)))</f>
        <v/>
      </c>
      <c r="AW251" s="198" t="str">
        <f>IF(C251="","",VLOOKUP(FROTA!$AB$2,RECEBÍVEIS!$AA$11:$AC$43,3,0))</f>
        <v/>
      </c>
      <c r="AX251" s="198" t="str">
        <f>IF(C251="","",IF(C251=FROTA!Z251="","",VLOOKUP(FROTA!Z251,RECEBÍVEIS!$AA$11:$AC$43,3,0)))</f>
        <v/>
      </c>
    </row>
    <row r="252" spans="2:50" ht="17.25" customHeight="1" x14ac:dyDescent="0.2">
      <c r="B252" s="6"/>
      <c r="C252" s="49" t="str">
        <f>IF(FROTA!B252="","",FROTA!B252)</f>
        <v/>
      </c>
      <c r="D252" s="220" t="str">
        <f>IF(C252="","",VLOOKUP(SEM!C252,FROTA!$B$5:$C$305,2,0))</f>
        <v/>
      </c>
      <c r="E252" s="24" t="str">
        <f>IF(C252="","",VLOOKUP(C252,FROTA!$B$5:$H$305,7,0))</f>
        <v/>
      </c>
      <c r="F252" s="38" t="str">
        <f t="shared" si="56"/>
        <v/>
      </c>
      <c r="G252" s="71" t="str">
        <f t="shared" si="66"/>
        <v/>
      </c>
      <c r="H252" s="32" t="str">
        <f t="shared" si="70"/>
        <v/>
      </c>
      <c r="I252" s="73" t="str">
        <f t="shared" si="70"/>
        <v/>
      </c>
      <c r="J252" s="73" t="str">
        <f t="shared" si="70"/>
        <v/>
      </c>
      <c r="K252" s="73" t="str">
        <f t="shared" si="68"/>
        <v/>
      </c>
      <c r="L252" s="73" t="str">
        <f t="shared" si="68"/>
        <v/>
      </c>
      <c r="M252" s="73" t="str">
        <f t="shared" si="68"/>
        <v/>
      </c>
      <c r="N252" s="73" t="str">
        <f t="shared" si="68"/>
        <v/>
      </c>
      <c r="O252" s="73" t="str">
        <f t="shared" si="68"/>
        <v/>
      </c>
      <c r="P252" s="73" t="str">
        <f t="shared" si="68"/>
        <v/>
      </c>
      <c r="Q252" s="73" t="str">
        <f t="shared" si="68"/>
        <v/>
      </c>
      <c r="R252" s="73" t="str">
        <f t="shared" si="69"/>
        <v/>
      </c>
      <c r="S252" s="73" t="str">
        <f t="shared" si="69"/>
        <v/>
      </c>
      <c r="T252" s="73" t="str">
        <f t="shared" si="69"/>
        <v/>
      </c>
      <c r="U252" s="73" t="str">
        <f t="shared" si="69"/>
        <v/>
      </c>
      <c r="V252" s="73" t="str">
        <f t="shared" si="69"/>
        <v/>
      </c>
      <c r="W252" s="73" t="str">
        <f t="shared" si="69"/>
        <v/>
      </c>
      <c r="X252" s="73" t="str">
        <f t="shared" si="69"/>
        <v/>
      </c>
      <c r="Y252" s="73" t="str">
        <f t="shared" si="69"/>
        <v/>
      </c>
      <c r="Z252" s="73" t="str">
        <f t="shared" si="69"/>
        <v/>
      </c>
      <c r="AA252" s="73" t="str">
        <f t="shared" si="69"/>
        <v/>
      </c>
      <c r="AB252" s="74" t="str">
        <f t="shared" si="69"/>
        <v/>
      </c>
      <c r="AC252" s="35" t="str">
        <f t="shared" si="57"/>
        <v/>
      </c>
      <c r="AD252" s="40" t="str">
        <f t="shared" si="58"/>
        <v/>
      </c>
      <c r="AE252" s="37" t="str">
        <f t="shared" si="59"/>
        <v/>
      </c>
      <c r="AF252" s="40" t="str">
        <f t="shared" si="60"/>
        <v/>
      </c>
      <c r="AG252" s="37" t="str">
        <f t="shared" si="61"/>
        <v/>
      </c>
      <c r="AH252" s="40" t="str">
        <f t="shared" si="62"/>
        <v/>
      </c>
      <c r="AI252" s="37" t="str">
        <f t="shared" si="63"/>
        <v/>
      </c>
      <c r="AJ252" s="40" t="str">
        <f t="shared" si="64"/>
        <v/>
      </c>
      <c r="AK252" s="204" t="str">
        <f>IF(C252="","",IF(E252=FROTA!$AT$18,IF('DEFINA!!!'!$L$6="D-E-F-I-N-A !!!!!!!",0,IF('DEFINA!!!'!$L$6="Opto por Idade Média",SEM!AW252,IF('DEFINA!!!'!$L$6="Opto pelo Valor aplicado ao  Ano de cada Carro",SEM!AX252,0))),IF(E252=FROTA!$AT$17,IF('DEFINA!!!'!$L$6="D-E-F-I-N-A !!!!!!!",0,IF('DEFINA!!!'!$L$6="Opto por Idade Média",SEM!AW252,IF('DEFINA!!!'!$L$6="Opto pelo Valor aplicado ao  Ano de cada Carro",SEM!AX252,0))),IF(E252=FROTA!$AT$16,IF('DEFINA!!!'!$L$6="D-E-F-I-N-A !!!!!!!",0,IF('DEFINA!!!'!$L$6="Opto por Idade Média",SEM!AW252,IF('DEFINA!!!'!$L$6="Opto pelo Valor aplicado ao  Ano de cada Carro",SEM!AX252,0))),IF('DEFINA!!!'!$L$6="D-E-F-I-N-A !!!!!!!",0,IF('DEFINA!!!'!$L$6="Opto por Idade Média",SEM!AU252,IF('DEFINA!!!'!$L$6="Opto pelo Valor aplicado ao  Ano de cada Carro",SEM!AV252,0)))))))</f>
        <v/>
      </c>
      <c r="AL252" s="6"/>
      <c r="AM252" s="79" t="str">
        <f t="shared" si="65"/>
        <v/>
      </c>
      <c r="AR252" s="5"/>
      <c r="AU252" s="198" t="str">
        <f>IF(C252="","",VLOOKUP(FROTA!$AB$2,RECEBÍVEIS!$AA$11:$AB$43,2,0))</f>
        <v/>
      </c>
      <c r="AV252" s="198" t="str">
        <f>IF(C252="","",IF(C252=FROTA!Z252="","",VLOOKUP(FROTA!Z252,RECEBÍVEIS!$AA$11:$AB$43,2,0)))</f>
        <v/>
      </c>
      <c r="AW252" s="198" t="str">
        <f>IF(C252="","",VLOOKUP(FROTA!$AB$2,RECEBÍVEIS!$AA$11:$AC$43,3,0))</f>
        <v/>
      </c>
      <c r="AX252" s="198" t="str">
        <f>IF(C252="","",IF(C252=FROTA!Z252="","",VLOOKUP(FROTA!Z252,RECEBÍVEIS!$AA$11:$AC$43,3,0)))</f>
        <v/>
      </c>
    </row>
    <row r="253" spans="2:50" ht="17.25" customHeight="1" x14ac:dyDescent="0.2">
      <c r="B253" s="6"/>
      <c r="C253" s="49" t="str">
        <f>IF(FROTA!B253="","",FROTA!B253)</f>
        <v/>
      </c>
      <c r="D253" s="220" t="str">
        <f>IF(C253="","",VLOOKUP(SEM!C253,FROTA!$B$5:$C$305,2,0))</f>
        <v/>
      </c>
      <c r="E253" s="24" t="str">
        <f>IF(C253="","",VLOOKUP(C253,FROTA!$B$5:$H$305,7,0))</f>
        <v/>
      </c>
      <c r="F253" s="38" t="str">
        <f t="shared" si="56"/>
        <v/>
      </c>
      <c r="G253" s="71" t="str">
        <f t="shared" si="66"/>
        <v/>
      </c>
      <c r="H253" s="32" t="str">
        <f t="shared" si="70"/>
        <v/>
      </c>
      <c r="I253" s="73" t="str">
        <f t="shared" si="70"/>
        <v/>
      </c>
      <c r="J253" s="73" t="str">
        <f t="shared" si="70"/>
        <v/>
      </c>
      <c r="K253" s="73" t="str">
        <f t="shared" ref="K253:Z286" si="71">IF($C253="","",IF(SUM(K$307*$G253)&gt;$F253,$F253,SUM(K$307*$G253)))</f>
        <v/>
      </c>
      <c r="L253" s="73" t="str">
        <f t="shared" si="71"/>
        <v/>
      </c>
      <c r="M253" s="73" t="str">
        <f t="shared" si="71"/>
        <v/>
      </c>
      <c r="N253" s="73" t="str">
        <f t="shared" si="71"/>
        <v/>
      </c>
      <c r="O253" s="73" t="str">
        <f t="shared" si="71"/>
        <v/>
      </c>
      <c r="P253" s="73" t="str">
        <f t="shared" si="71"/>
        <v/>
      </c>
      <c r="Q253" s="73" t="str">
        <f t="shared" si="71"/>
        <v/>
      </c>
      <c r="R253" s="73" t="str">
        <f t="shared" si="69"/>
        <v/>
      </c>
      <c r="S253" s="73" t="str">
        <f t="shared" si="69"/>
        <v/>
      </c>
      <c r="T253" s="73" t="str">
        <f t="shared" si="69"/>
        <v/>
      </c>
      <c r="U253" s="73" t="str">
        <f t="shared" si="69"/>
        <v/>
      </c>
      <c r="V253" s="73" t="str">
        <f t="shared" si="69"/>
        <v/>
      </c>
      <c r="W253" s="73" t="str">
        <f t="shared" si="69"/>
        <v/>
      </c>
      <c r="X253" s="73" t="str">
        <f t="shared" si="69"/>
        <v/>
      </c>
      <c r="Y253" s="73" t="str">
        <f t="shared" si="69"/>
        <v/>
      </c>
      <c r="Z253" s="73" t="str">
        <f t="shared" si="69"/>
        <v/>
      </c>
      <c r="AA253" s="73" t="str">
        <f t="shared" si="69"/>
        <v/>
      </c>
      <c r="AB253" s="74" t="str">
        <f t="shared" si="69"/>
        <v/>
      </c>
      <c r="AC253" s="35" t="str">
        <f t="shared" si="57"/>
        <v/>
      </c>
      <c r="AD253" s="40" t="str">
        <f t="shared" si="58"/>
        <v/>
      </c>
      <c r="AE253" s="37" t="str">
        <f t="shared" si="59"/>
        <v/>
      </c>
      <c r="AF253" s="40" t="str">
        <f t="shared" si="60"/>
        <v/>
      </c>
      <c r="AG253" s="37" t="str">
        <f t="shared" si="61"/>
        <v/>
      </c>
      <c r="AH253" s="40" t="str">
        <f t="shared" si="62"/>
        <v/>
      </c>
      <c r="AI253" s="37" t="str">
        <f t="shared" si="63"/>
        <v/>
      </c>
      <c r="AJ253" s="40" t="str">
        <f t="shared" si="64"/>
        <v/>
      </c>
      <c r="AK253" s="204" t="str">
        <f>IF(C253="","",IF(E253=FROTA!$AT$18,IF('DEFINA!!!'!$L$6="D-E-F-I-N-A !!!!!!!",0,IF('DEFINA!!!'!$L$6="Opto por Idade Média",SEM!AW253,IF('DEFINA!!!'!$L$6="Opto pelo Valor aplicado ao  Ano de cada Carro",SEM!AX253,0))),IF(E253=FROTA!$AT$17,IF('DEFINA!!!'!$L$6="D-E-F-I-N-A !!!!!!!",0,IF('DEFINA!!!'!$L$6="Opto por Idade Média",SEM!AW253,IF('DEFINA!!!'!$L$6="Opto pelo Valor aplicado ao  Ano de cada Carro",SEM!AX253,0))),IF(E253=FROTA!$AT$16,IF('DEFINA!!!'!$L$6="D-E-F-I-N-A !!!!!!!",0,IF('DEFINA!!!'!$L$6="Opto por Idade Média",SEM!AW253,IF('DEFINA!!!'!$L$6="Opto pelo Valor aplicado ao  Ano de cada Carro",SEM!AX253,0))),IF('DEFINA!!!'!$L$6="D-E-F-I-N-A !!!!!!!",0,IF('DEFINA!!!'!$L$6="Opto por Idade Média",SEM!AU253,IF('DEFINA!!!'!$L$6="Opto pelo Valor aplicado ao  Ano de cada Carro",SEM!AV253,0)))))))</f>
        <v/>
      </c>
      <c r="AL253" s="6"/>
      <c r="AM253" s="79" t="str">
        <f t="shared" si="65"/>
        <v/>
      </c>
      <c r="AR253" s="5"/>
      <c r="AU253" s="198" t="str">
        <f>IF(C253="","",VLOOKUP(FROTA!$AB$2,RECEBÍVEIS!$AA$11:$AB$43,2,0))</f>
        <v/>
      </c>
      <c r="AV253" s="198" t="str">
        <f>IF(C253="","",IF(C253=FROTA!Z253="","",VLOOKUP(FROTA!Z253,RECEBÍVEIS!$AA$11:$AB$43,2,0)))</f>
        <v/>
      </c>
      <c r="AW253" s="198" t="str">
        <f>IF(C253="","",VLOOKUP(FROTA!$AB$2,RECEBÍVEIS!$AA$11:$AC$43,3,0))</f>
        <v/>
      </c>
      <c r="AX253" s="198" t="str">
        <f>IF(C253="","",IF(C253=FROTA!Z253="","",VLOOKUP(FROTA!Z253,RECEBÍVEIS!$AA$11:$AC$43,3,0)))</f>
        <v/>
      </c>
    </row>
    <row r="254" spans="2:50" ht="17.25" customHeight="1" x14ac:dyDescent="0.2">
      <c r="B254" s="6"/>
      <c r="C254" s="49" t="str">
        <f>IF(FROTA!B254="","",FROTA!B254)</f>
        <v/>
      </c>
      <c r="D254" s="220" t="str">
        <f>IF(C254="","",VLOOKUP(SEM!C254,FROTA!$B$5:$C$305,2,0))</f>
        <v/>
      </c>
      <c r="E254" s="24" t="str">
        <f>IF(C254="","",VLOOKUP(C254,FROTA!$B$5:$H$305,7,0))</f>
        <v/>
      </c>
      <c r="F254" s="38" t="str">
        <f t="shared" si="56"/>
        <v/>
      </c>
      <c r="G254" s="71" t="str">
        <f t="shared" si="66"/>
        <v/>
      </c>
      <c r="H254" s="32" t="str">
        <f t="shared" si="70"/>
        <v/>
      </c>
      <c r="I254" s="73" t="str">
        <f t="shared" si="70"/>
        <v/>
      </c>
      <c r="J254" s="73" t="str">
        <f t="shared" si="70"/>
        <v/>
      </c>
      <c r="K254" s="73" t="str">
        <f t="shared" si="71"/>
        <v/>
      </c>
      <c r="L254" s="73" t="str">
        <f t="shared" si="71"/>
        <v/>
      </c>
      <c r="M254" s="73" t="str">
        <f t="shared" si="71"/>
        <v/>
      </c>
      <c r="N254" s="73" t="str">
        <f t="shared" si="71"/>
        <v/>
      </c>
      <c r="O254" s="73" t="str">
        <f t="shared" si="71"/>
        <v/>
      </c>
      <c r="P254" s="73" t="str">
        <f t="shared" si="71"/>
        <v/>
      </c>
      <c r="Q254" s="73" t="str">
        <f t="shared" si="71"/>
        <v/>
      </c>
      <c r="R254" s="73" t="str">
        <f t="shared" si="69"/>
        <v/>
      </c>
      <c r="S254" s="73" t="str">
        <f t="shared" si="69"/>
        <v/>
      </c>
      <c r="T254" s="73" t="str">
        <f t="shared" si="69"/>
        <v/>
      </c>
      <c r="U254" s="73" t="str">
        <f t="shared" si="69"/>
        <v/>
      </c>
      <c r="V254" s="73" t="str">
        <f t="shared" si="69"/>
        <v/>
      </c>
      <c r="W254" s="73" t="str">
        <f t="shared" si="69"/>
        <v/>
      </c>
      <c r="X254" s="73" t="str">
        <f t="shared" si="69"/>
        <v/>
      </c>
      <c r="Y254" s="73" t="str">
        <f t="shared" si="69"/>
        <v/>
      </c>
      <c r="Z254" s="73" t="str">
        <f t="shared" si="69"/>
        <v/>
      </c>
      <c r="AA254" s="73" t="str">
        <f t="shared" si="69"/>
        <v/>
      </c>
      <c r="AB254" s="74" t="str">
        <f t="shared" si="69"/>
        <v/>
      </c>
      <c r="AC254" s="35" t="str">
        <f t="shared" si="57"/>
        <v/>
      </c>
      <c r="AD254" s="40" t="str">
        <f t="shared" si="58"/>
        <v/>
      </c>
      <c r="AE254" s="37" t="str">
        <f t="shared" si="59"/>
        <v/>
      </c>
      <c r="AF254" s="40" t="str">
        <f t="shared" si="60"/>
        <v/>
      </c>
      <c r="AG254" s="37" t="str">
        <f t="shared" si="61"/>
        <v/>
      </c>
      <c r="AH254" s="40" t="str">
        <f t="shared" si="62"/>
        <v/>
      </c>
      <c r="AI254" s="37" t="str">
        <f t="shared" si="63"/>
        <v/>
      </c>
      <c r="AJ254" s="40" t="str">
        <f t="shared" si="64"/>
        <v/>
      </c>
      <c r="AK254" s="204" t="str">
        <f>IF(C254="","",IF(E254=FROTA!$AT$18,IF('DEFINA!!!'!$L$6="D-E-F-I-N-A !!!!!!!",0,IF('DEFINA!!!'!$L$6="Opto por Idade Média",SEM!AW254,IF('DEFINA!!!'!$L$6="Opto pelo Valor aplicado ao  Ano de cada Carro",SEM!AX254,0))),IF(E254=FROTA!$AT$17,IF('DEFINA!!!'!$L$6="D-E-F-I-N-A !!!!!!!",0,IF('DEFINA!!!'!$L$6="Opto por Idade Média",SEM!AW254,IF('DEFINA!!!'!$L$6="Opto pelo Valor aplicado ao  Ano de cada Carro",SEM!AX254,0))),IF(E254=FROTA!$AT$16,IF('DEFINA!!!'!$L$6="D-E-F-I-N-A !!!!!!!",0,IF('DEFINA!!!'!$L$6="Opto por Idade Média",SEM!AW254,IF('DEFINA!!!'!$L$6="Opto pelo Valor aplicado ao  Ano de cada Carro",SEM!AX254,0))),IF('DEFINA!!!'!$L$6="D-E-F-I-N-A !!!!!!!",0,IF('DEFINA!!!'!$L$6="Opto por Idade Média",SEM!AU254,IF('DEFINA!!!'!$L$6="Opto pelo Valor aplicado ao  Ano de cada Carro",SEM!AV254,0)))))))</f>
        <v/>
      </c>
      <c r="AL254" s="6"/>
      <c r="AM254" s="79" t="str">
        <f t="shared" si="65"/>
        <v/>
      </c>
      <c r="AR254" s="5"/>
      <c r="AU254" s="198" t="str">
        <f>IF(C254="","",VLOOKUP(FROTA!$AB$2,RECEBÍVEIS!$AA$11:$AB$43,2,0))</f>
        <v/>
      </c>
      <c r="AV254" s="198" t="str">
        <f>IF(C254="","",IF(C254=FROTA!Z254="","",VLOOKUP(FROTA!Z254,RECEBÍVEIS!$AA$11:$AB$43,2,0)))</f>
        <v/>
      </c>
      <c r="AW254" s="198" t="str">
        <f>IF(C254="","",VLOOKUP(FROTA!$AB$2,RECEBÍVEIS!$AA$11:$AC$43,3,0))</f>
        <v/>
      </c>
      <c r="AX254" s="198" t="str">
        <f>IF(C254="","",IF(C254=FROTA!Z254="","",VLOOKUP(FROTA!Z254,RECEBÍVEIS!$AA$11:$AC$43,3,0)))</f>
        <v/>
      </c>
    </row>
    <row r="255" spans="2:50" ht="17.25" customHeight="1" x14ac:dyDescent="0.2">
      <c r="B255" s="6"/>
      <c r="C255" s="49" t="str">
        <f>IF(FROTA!B255="","",FROTA!B255)</f>
        <v/>
      </c>
      <c r="D255" s="220" t="str">
        <f>IF(C255="","",VLOOKUP(SEM!C255,FROTA!$B$5:$C$305,2,0))</f>
        <v/>
      </c>
      <c r="E255" s="24" t="str">
        <f>IF(C255="","",VLOOKUP(C255,FROTA!$B$5:$H$305,7,0))</f>
        <v/>
      </c>
      <c r="F255" s="38" t="str">
        <f t="shared" si="56"/>
        <v/>
      </c>
      <c r="G255" s="71" t="str">
        <f t="shared" si="66"/>
        <v/>
      </c>
      <c r="H255" s="32" t="str">
        <f t="shared" si="70"/>
        <v/>
      </c>
      <c r="I255" s="73" t="str">
        <f t="shared" si="70"/>
        <v/>
      </c>
      <c r="J255" s="73" t="str">
        <f t="shared" si="70"/>
        <v/>
      </c>
      <c r="K255" s="73" t="str">
        <f t="shared" si="71"/>
        <v/>
      </c>
      <c r="L255" s="73" t="str">
        <f t="shared" si="71"/>
        <v/>
      </c>
      <c r="M255" s="73" t="str">
        <f t="shared" si="71"/>
        <v/>
      </c>
      <c r="N255" s="73" t="str">
        <f t="shared" si="71"/>
        <v/>
      </c>
      <c r="O255" s="73" t="str">
        <f t="shared" si="71"/>
        <v/>
      </c>
      <c r="P255" s="73" t="str">
        <f t="shared" si="71"/>
        <v/>
      </c>
      <c r="Q255" s="73" t="str">
        <f t="shared" si="71"/>
        <v/>
      </c>
      <c r="R255" s="73" t="str">
        <f t="shared" si="69"/>
        <v/>
      </c>
      <c r="S255" s="73" t="str">
        <f t="shared" si="69"/>
        <v/>
      </c>
      <c r="T255" s="73" t="str">
        <f t="shared" si="69"/>
        <v/>
      </c>
      <c r="U255" s="73" t="str">
        <f t="shared" si="69"/>
        <v/>
      </c>
      <c r="V255" s="73" t="str">
        <f t="shared" si="69"/>
        <v/>
      </c>
      <c r="W255" s="73" t="str">
        <f t="shared" si="69"/>
        <v/>
      </c>
      <c r="X255" s="73" t="str">
        <f t="shared" si="69"/>
        <v/>
      </c>
      <c r="Y255" s="73" t="str">
        <f t="shared" si="69"/>
        <v/>
      </c>
      <c r="Z255" s="73" t="str">
        <f t="shared" si="69"/>
        <v/>
      </c>
      <c r="AA255" s="73" t="str">
        <f t="shared" si="69"/>
        <v/>
      </c>
      <c r="AB255" s="74" t="str">
        <f t="shared" si="69"/>
        <v/>
      </c>
      <c r="AC255" s="35" t="str">
        <f t="shared" si="57"/>
        <v/>
      </c>
      <c r="AD255" s="40" t="str">
        <f t="shared" si="58"/>
        <v/>
      </c>
      <c r="AE255" s="37" t="str">
        <f t="shared" si="59"/>
        <v/>
      </c>
      <c r="AF255" s="40" t="str">
        <f t="shared" si="60"/>
        <v/>
      </c>
      <c r="AG255" s="37" t="str">
        <f t="shared" si="61"/>
        <v/>
      </c>
      <c r="AH255" s="40" t="str">
        <f t="shared" si="62"/>
        <v/>
      </c>
      <c r="AI255" s="37" t="str">
        <f t="shared" si="63"/>
        <v/>
      </c>
      <c r="AJ255" s="40" t="str">
        <f t="shared" si="64"/>
        <v/>
      </c>
      <c r="AK255" s="204" t="str">
        <f>IF(C255="","",IF(E255=FROTA!$AT$18,IF('DEFINA!!!'!$L$6="D-E-F-I-N-A !!!!!!!",0,IF('DEFINA!!!'!$L$6="Opto por Idade Média",SEM!AW255,IF('DEFINA!!!'!$L$6="Opto pelo Valor aplicado ao  Ano de cada Carro",SEM!AX255,0))),IF(E255=FROTA!$AT$17,IF('DEFINA!!!'!$L$6="D-E-F-I-N-A !!!!!!!",0,IF('DEFINA!!!'!$L$6="Opto por Idade Média",SEM!AW255,IF('DEFINA!!!'!$L$6="Opto pelo Valor aplicado ao  Ano de cada Carro",SEM!AX255,0))),IF(E255=FROTA!$AT$16,IF('DEFINA!!!'!$L$6="D-E-F-I-N-A !!!!!!!",0,IF('DEFINA!!!'!$L$6="Opto por Idade Média",SEM!AW255,IF('DEFINA!!!'!$L$6="Opto pelo Valor aplicado ao  Ano de cada Carro",SEM!AX255,0))),IF('DEFINA!!!'!$L$6="D-E-F-I-N-A !!!!!!!",0,IF('DEFINA!!!'!$L$6="Opto por Idade Média",SEM!AU255,IF('DEFINA!!!'!$L$6="Opto pelo Valor aplicado ao  Ano de cada Carro",SEM!AV255,0)))))))</f>
        <v/>
      </c>
      <c r="AL255" s="6"/>
      <c r="AM255" s="79" t="str">
        <f t="shared" si="65"/>
        <v/>
      </c>
      <c r="AR255" s="5"/>
      <c r="AU255" s="198" t="str">
        <f>IF(C255="","",VLOOKUP(FROTA!$AB$2,RECEBÍVEIS!$AA$11:$AB$43,2,0))</f>
        <v/>
      </c>
      <c r="AV255" s="198" t="str">
        <f>IF(C255="","",IF(C255=FROTA!Z255="","",VLOOKUP(FROTA!Z255,RECEBÍVEIS!$AA$11:$AB$43,2,0)))</f>
        <v/>
      </c>
      <c r="AW255" s="198" t="str">
        <f>IF(C255="","",VLOOKUP(FROTA!$AB$2,RECEBÍVEIS!$AA$11:$AC$43,3,0))</f>
        <v/>
      </c>
      <c r="AX255" s="198" t="str">
        <f>IF(C255="","",IF(C255=FROTA!Z255="","",VLOOKUP(FROTA!Z255,RECEBÍVEIS!$AA$11:$AC$43,3,0)))</f>
        <v/>
      </c>
    </row>
    <row r="256" spans="2:50" ht="17.25" customHeight="1" x14ac:dyDescent="0.2">
      <c r="B256" s="6"/>
      <c r="C256" s="49" t="str">
        <f>IF(FROTA!B256="","",FROTA!B256)</f>
        <v/>
      </c>
      <c r="D256" s="220" t="str">
        <f>IF(C256="","",VLOOKUP(SEM!C256,FROTA!$B$5:$C$305,2,0))</f>
        <v/>
      </c>
      <c r="E256" s="24" t="str">
        <f>IF(C256="","",VLOOKUP(C256,FROTA!$B$5:$H$305,7,0))</f>
        <v/>
      </c>
      <c r="F256" s="38" t="str">
        <f t="shared" si="56"/>
        <v/>
      </c>
      <c r="G256" s="71" t="str">
        <f t="shared" si="66"/>
        <v/>
      </c>
      <c r="H256" s="32" t="str">
        <f t="shared" si="70"/>
        <v/>
      </c>
      <c r="I256" s="73" t="str">
        <f t="shared" si="70"/>
        <v/>
      </c>
      <c r="J256" s="73" t="str">
        <f t="shared" si="70"/>
        <v/>
      </c>
      <c r="K256" s="73" t="str">
        <f t="shared" si="71"/>
        <v/>
      </c>
      <c r="L256" s="73" t="str">
        <f t="shared" si="71"/>
        <v/>
      </c>
      <c r="M256" s="73" t="str">
        <f t="shared" si="71"/>
        <v/>
      </c>
      <c r="N256" s="73" t="str">
        <f t="shared" si="71"/>
        <v/>
      </c>
      <c r="O256" s="73" t="str">
        <f t="shared" si="71"/>
        <v/>
      </c>
      <c r="P256" s="73" t="str">
        <f t="shared" si="71"/>
        <v/>
      </c>
      <c r="Q256" s="73" t="str">
        <f t="shared" si="71"/>
        <v/>
      </c>
      <c r="R256" s="73" t="str">
        <f t="shared" si="71"/>
        <v/>
      </c>
      <c r="S256" s="73" t="str">
        <f t="shared" si="71"/>
        <v/>
      </c>
      <c r="T256" s="73" t="str">
        <f t="shared" si="71"/>
        <v/>
      </c>
      <c r="U256" s="73" t="str">
        <f t="shared" si="71"/>
        <v/>
      </c>
      <c r="V256" s="73" t="str">
        <f t="shared" si="71"/>
        <v/>
      </c>
      <c r="W256" s="73" t="str">
        <f t="shared" si="71"/>
        <v/>
      </c>
      <c r="X256" s="73" t="str">
        <f t="shared" si="71"/>
        <v/>
      </c>
      <c r="Y256" s="73" t="str">
        <f t="shared" si="71"/>
        <v/>
      </c>
      <c r="Z256" s="73" t="str">
        <f t="shared" si="71"/>
        <v/>
      </c>
      <c r="AA256" s="73" t="str">
        <f t="shared" ref="R256:AB279" si="72">IF($C256="","",IF(SUM(AA$307*$G256)&gt;$F256,$F256,SUM(AA$307*$G256)))</f>
        <v/>
      </c>
      <c r="AB256" s="74" t="str">
        <f t="shared" si="72"/>
        <v/>
      </c>
      <c r="AC256" s="35" t="str">
        <f t="shared" si="57"/>
        <v/>
      </c>
      <c r="AD256" s="40" t="str">
        <f t="shared" si="58"/>
        <v/>
      </c>
      <c r="AE256" s="37" t="str">
        <f t="shared" si="59"/>
        <v/>
      </c>
      <c r="AF256" s="40" t="str">
        <f t="shared" si="60"/>
        <v/>
      </c>
      <c r="AG256" s="37" t="str">
        <f t="shared" si="61"/>
        <v/>
      </c>
      <c r="AH256" s="40" t="str">
        <f t="shared" si="62"/>
        <v/>
      </c>
      <c r="AI256" s="37" t="str">
        <f t="shared" si="63"/>
        <v/>
      </c>
      <c r="AJ256" s="40" t="str">
        <f t="shared" si="64"/>
        <v/>
      </c>
      <c r="AK256" s="204" t="str">
        <f>IF(C256="","",IF(E256=FROTA!$AT$18,IF('DEFINA!!!'!$L$6="D-E-F-I-N-A !!!!!!!",0,IF('DEFINA!!!'!$L$6="Opto por Idade Média",SEM!AW256,IF('DEFINA!!!'!$L$6="Opto pelo Valor aplicado ao  Ano de cada Carro",SEM!AX256,0))),IF(E256=FROTA!$AT$17,IF('DEFINA!!!'!$L$6="D-E-F-I-N-A !!!!!!!",0,IF('DEFINA!!!'!$L$6="Opto por Idade Média",SEM!AW256,IF('DEFINA!!!'!$L$6="Opto pelo Valor aplicado ao  Ano de cada Carro",SEM!AX256,0))),IF(E256=FROTA!$AT$16,IF('DEFINA!!!'!$L$6="D-E-F-I-N-A !!!!!!!",0,IF('DEFINA!!!'!$L$6="Opto por Idade Média",SEM!AW256,IF('DEFINA!!!'!$L$6="Opto pelo Valor aplicado ao  Ano de cada Carro",SEM!AX256,0))),IF('DEFINA!!!'!$L$6="D-E-F-I-N-A !!!!!!!",0,IF('DEFINA!!!'!$L$6="Opto por Idade Média",SEM!AU256,IF('DEFINA!!!'!$L$6="Opto pelo Valor aplicado ao  Ano de cada Carro",SEM!AV256,0)))))))</f>
        <v/>
      </c>
      <c r="AL256" s="6"/>
      <c r="AM256" s="79" t="str">
        <f t="shared" si="65"/>
        <v/>
      </c>
      <c r="AR256" s="5"/>
      <c r="AU256" s="198" t="str">
        <f>IF(C256="","",VLOOKUP(FROTA!$AB$2,RECEBÍVEIS!$AA$11:$AB$43,2,0))</f>
        <v/>
      </c>
      <c r="AV256" s="198" t="str">
        <f>IF(C256="","",IF(C256=FROTA!Z256="","",VLOOKUP(FROTA!Z256,RECEBÍVEIS!$AA$11:$AB$43,2,0)))</f>
        <v/>
      </c>
      <c r="AW256" s="198" t="str">
        <f>IF(C256="","",VLOOKUP(FROTA!$AB$2,RECEBÍVEIS!$AA$11:$AC$43,3,0))</f>
        <v/>
      </c>
      <c r="AX256" s="198" t="str">
        <f>IF(C256="","",IF(C256=FROTA!Z256="","",VLOOKUP(FROTA!Z256,RECEBÍVEIS!$AA$11:$AC$43,3,0)))</f>
        <v/>
      </c>
    </row>
    <row r="257" spans="2:50" ht="17.25" customHeight="1" x14ac:dyDescent="0.2">
      <c r="B257" s="6"/>
      <c r="C257" s="49" t="str">
        <f>IF(FROTA!B257="","",FROTA!B257)</f>
        <v/>
      </c>
      <c r="D257" s="220" t="str">
        <f>IF(C257="","",VLOOKUP(SEM!C257,FROTA!$B$5:$C$305,2,0))</f>
        <v/>
      </c>
      <c r="E257" s="24" t="str">
        <f>IF(C257="","",VLOOKUP(C257,FROTA!$B$5:$H$305,7,0))</f>
        <v/>
      </c>
      <c r="F257" s="38" t="str">
        <f t="shared" si="56"/>
        <v/>
      </c>
      <c r="G257" s="71" t="str">
        <f t="shared" si="66"/>
        <v/>
      </c>
      <c r="H257" s="32" t="str">
        <f t="shared" si="70"/>
        <v/>
      </c>
      <c r="I257" s="73" t="str">
        <f t="shared" si="70"/>
        <v/>
      </c>
      <c r="J257" s="73" t="str">
        <f t="shared" si="70"/>
        <v/>
      </c>
      <c r="K257" s="73" t="str">
        <f t="shared" si="71"/>
        <v/>
      </c>
      <c r="L257" s="73" t="str">
        <f t="shared" si="71"/>
        <v/>
      </c>
      <c r="M257" s="73" t="str">
        <f t="shared" si="71"/>
        <v/>
      </c>
      <c r="N257" s="73" t="str">
        <f t="shared" si="71"/>
        <v/>
      </c>
      <c r="O257" s="73" t="str">
        <f t="shared" si="71"/>
        <v/>
      </c>
      <c r="P257" s="73" t="str">
        <f t="shared" si="71"/>
        <v/>
      </c>
      <c r="Q257" s="73" t="str">
        <f t="shared" si="71"/>
        <v/>
      </c>
      <c r="R257" s="73" t="str">
        <f t="shared" si="72"/>
        <v/>
      </c>
      <c r="S257" s="73" t="str">
        <f t="shared" si="72"/>
        <v/>
      </c>
      <c r="T257" s="73" t="str">
        <f t="shared" si="72"/>
        <v/>
      </c>
      <c r="U257" s="73" t="str">
        <f t="shared" si="72"/>
        <v/>
      </c>
      <c r="V257" s="73" t="str">
        <f t="shared" si="72"/>
        <v/>
      </c>
      <c r="W257" s="73" t="str">
        <f t="shared" si="72"/>
        <v/>
      </c>
      <c r="X257" s="73" t="str">
        <f t="shared" si="72"/>
        <v/>
      </c>
      <c r="Y257" s="73" t="str">
        <f t="shared" si="72"/>
        <v/>
      </c>
      <c r="Z257" s="73" t="str">
        <f t="shared" si="72"/>
        <v/>
      </c>
      <c r="AA257" s="73" t="str">
        <f t="shared" si="72"/>
        <v/>
      </c>
      <c r="AB257" s="74" t="str">
        <f t="shared" si="72"/>
        <v/>
      </c>
      <c r="AC257" s="35" t="str">
        <f t="shared" si="57"/>
        <v/>
      </c>
      <c r="AD257" s="40" t="str">
        <f t="shared" si="58"/>
        <v/>
      </c>
      <c r="AE257" s="37" t="str">
        <f t="shared" si="59"/>
        <v/>
      </c>
      <c r="AF257" s="40" t="str">
        <f t="shared" si="60"/>
        <v/>
      </c>
      <c r="AG257" s="37" t="str">
        <f t="shared" si="61"/>
        <v/>
      </c>
      <c r="AH257" s="40" t="str">
        <f t="shared" si="62"/>
        <v/>
      </c>
      <c r="AI257" s="37" t="str">
        <f t="shared" si="63"/>
        <v/>
      </c>
      <c r="AJ257" s="40" t="str">
        <f t="shared" si="64"/>
        <v/>
      </c>
      <c r="AK257" s="204" t="str">
        <f>IF(C257="","",IF(E257=FROTA!$AT$18,IF('DEFINA!!!'!$L$6="D-E-F-I-N-A !!!!!!!",0,IF('DEFINA!!!'!$L$6="Opto por Idade Média",SEM!AW257,IF('DEFINA!!!'!$L$6="Opto pelo Valor aplicado ao  Ano de cada Carro",SEM!AX257,0))),IF(E257=FROTA!$AT$17,IF('DEFINA!!!'!$L$6="D-E-F-I-N-A !!!!!!!",0,IF('DEFINA!!!'!$L$6="Opto por Idade Média",SEM!AW257,IF('DEFINA!!!'!$L$6="Opto pelo Valor aplicado ao  Ano de cada Carro",SEM!AX257,0))),IF(E257=FROTA!$AT$16,IF('DEFINA!!!'!$L$6="D-E-F-I-N-A !!!!!!!",0,IF('DEFINA!!!'!$L$6="Opto por Idade Média",SEM!AW257,IF('DEFINA!!!'!$L$6="Opto pelo Valor aplicado ao  Ano de cada Carro",SEM!AX257,0))),IF('DEFINA!!!'!$L$6="D-E-F-I-N-A !!!!!!!",0,IF('DEFINA!!!'!$L$6="Opto por Idade Média",SEM!AU257,IF('DEFINA!!!'!$L$6="Opto pelo Valor aplicado ao  Ano de cada Carro",SEM!AV257,0)))))))</f>
        <v/>
      </c>
      <c r="AL257" s="6"/>
      <c r="AM257" s="79" t="str">
        <f t="shared" si="65"/>
        <v/>
      </c>
      <c r="AR257" s="5"/>
      <c r="AU257" s="198" t="str">
        <f>IF(C257="","",VLOOKUP(FROTA!$AB$2,RECEBÍVEIS!$AA$11:$AB$43,2,0))</f>
        <v/>
      </c>
      <c r="AV257" s="198" t="str">
        <f>IF(C257="","",IF(C257=FROTA!Z257="","",VLOOKUP(FROTA!Z257,RECEBÍVEIS!$AA$11:$AB$43,2,0)))</f>
        <v/>
      </c>
      <c r="AW257" s="198" t="str">
        <f>IF(C257="","",VLOOKUP(FROTA!$AB$2,RECEBÍVEIS!$AA$11:$AC$43,3,0))</f>
        <v/>
      </c>
      <c r="AX257" s="198" t="str">
        <f>IF(C257="","",IF(C257=FROTA!Z257="","",VLOOKUP(FROTA!Z257,RECEBÍVEIS!$AA$11:$AC$43,3,0)))</f>
        <v/>
      </c>
    </row>
    <row r="258" spans="2:50" ht="17.25" customHeight="1" x14ac:dyDescent="0.2">
      <c r="B258" s="6"/>
      <c r="C258" s="49" t="str">
        <f>IF(FROTA!B258="","",FROTA!B258)</f>
        <v/>
      </c>
      <c r="D258" s="220" t="str">
        <f>IF(C258="","",VLOOKUP(SEM!C258,FROTA!$B$5:$C$305,2,0))</f>
        <v/>
      </c>
      <c r="E258" s="24" t="str">
        <f>IF(C258="","",VLOOKUP(C258,FROTA!$B$5:$H$305,7,0))</f>
        <v/>
      </c>
      <c r="F258" s="38" t="str">
        <f t="shared" si="56"/>
        <v/>
      </c>
      <c r="G258" s="71" t="str">
        <f t="shared" si="66"/>
        <v/>
      </c>
      <c r="H258" s="32" t="str">
        <f t="shared" si="70"/>
        <v/>
      </c>
      <c r="I258" s="73" t="str">
        <f t="shared" si="70"/>
        <v/>
      </c>
      <c r="J258" s="73" t="str">
        <f t="shared" si="70"/>
        <v/>
      </c>
      <c r="K258" s="73" t="str">
        <f t="shared" si="71"/>
        <v/>
      </c>
      <c r="L258" s="73" t="str">
        <f t="shared" si="71"/>
        <v/>
      </c>
      <c r="M258" s="73" t="str">
        <f t="shared" si="71"/>
        <v/>
      </c>
      <c r="N258" s="73" t="str">
        <f t="shared" si="71"/>
        <v/>
      </c>
      <c r="O258" s="73" t="str">
        <f t="shared" si="71"/>
        <v/>
      </c>
      <c r="P258" s="73" t="str">
        <f t="shared" si="71"/>
        <v/>
      </c>
      <c r="Q258" s="73" t="str">
        <f t="shared" si="71"/>
        <v/>
      </c>
      <c r="R258" s="73" t="str">
        <f t="shared" si="72"/>
        <v/>
      </c>
      <c r="S258" s="73" t="str">
        <f t="shared" si="72"/>
        <v/>
      </c>
      <c r="T258" s="73" t="str">
        <f t="shared" si="72"/>
        <v/>
      </c>
      <c r="U258" s="73" t="str">
        <f t="shared" si="72"/>
        <v/>
      </c>
      <c r="V258" s="73" t="str">
        <f t="shared" si="72"/>
        <v/>
      </c>
      <c r="W258" s="73" t="str">
        <f t="shared" si="72"/>
        <v/>
      </c>
      <c r="X258" s="73" t="str">
        <f t="shared" si="72"/>
        <v/>
      </c>
      <c r="Y258" s="73" t="str">
        <f t="shared" si="72"/>
        <v/>
      </c>
      <c r="Z258" s="73" t="str">
        <f t="shared" si="72"/>
        <v/>
      </c>
      <c r="AA258" s="73" t="str">
        <f t="shared" si="72"/>
        <v/>
      </c>
      <c r="AB258" s="74" t="str">
        <f t="shared" si="72"/>
        <v/>
      </c>
      <c r="AC258" s="35" t="str">
        <f t="shared" si="57"/>
        <v/>
      </c>
      <c r="AD258" s="40" t="str">
        <f t="shared" si="58"/>
        <v/>
      </c>
      <c r="AE258" s="37" t="str">
        <f t="shared" si="59"/>
        <v/>
      </c>
      <c r="AF258" s="40" t="str">
        <f t="shared" si="60"/>
        <v/>
      </c>
      <c r="AG258" s="37" t="str">
        <f t="shared" si="61"/>
        <v/>
      </c>
      <c r="AH258" s="40" t="str">
        <f t="shared" si="62"/>
        <v/>
      </c>
      <c r="AI258" s="37" t="str">
        <f t="shared" si="63"/>
        <v/>
      </c>
      <c r="AJ258" s="40" t="str">
        <f t="shared" si="64"/>
        <v/>
      </c>
      <c r="AK258" s="204" t="str">
        <f>IF(C258="","",IF(E258=FROTA!$AT$18,IF('DEFINA!!!'!$L$6="D-E-F-I-N-A !!!!!!!",0,IF('DEFINA!!!'!$L$6="Opto por Idade Média",SEM!AW258,IF('DEFINA!!!'!$L$6="Opto pelo Valor aplicado ao  Ano de cada Carro",SEM!AX258,0))),IF(E258=FROTA!$AT$17,IF('DEFINA!!!'!$L$6="D-E-F-I-N-A !!!!!!!",0,IF('DEFINA!!!'!$L$6="Opto por Idade Média",SEM!AW258,IF('DEFINA!!!'!$L$6="Opto pelo Valor aplicado ao  Ano de cada Carro",SEM!AX258,0))),IF(E258=FROTA!$AT$16,IF('DEFINA!!!'!$L$6="D-E-F-I-N-A !!!!!!!",0,IF('DEFINA!!!'!$L$6="Opto por Idade Média",SEM!AW258,IF('DEFINA!!!'!$L$6="Opto pelo Valor aplicado ao  Ano de cada Carro",SEM!AX258,0))),IF('DEFINA!!!'!$L$6="D-E-F-I-N-A !!!!!!!",0,IF('DEFINA!!!'!$L$6="Opto por Idade Média",SEM!AU258,IF('DEFINA!!!'!$L$6="Opto pelo Valor aplicado ao  Ano de cada Carro",SEM!AV258,0)))))))</f>
        <v/>
      </c>
      <c r="AL258" s="6"/>
      <c r="AM258" s="79" t="str">
        <f t="shared" si="65"/>
        <v/>
      </c>
      <c r="AR258" s="5"/>
      <c r="AU258" s="198" t="str">
        <f>IF(C258="","",VLOOKUP(FROTA!$AB$2,RECEBÍVEIS!$AA$11:$AB$43,2,0))</f>
        <v/>
      </c>
      <c r="AV258" s="198" t="str">
        <f>IF(C258="","",IF(C258=FROTA!Z258="","",VLOOKUP(FROTA!Z258,RECEBÍVEIS!$AA$11:$AB$43,2,0)))</f>
        <v/>
      </c>
      <c r="AW258" s="198" t="str">
        <f>IF(C258="","",VLOOKUP(FROTA!$AB$2,RECEBÍVEIS!$AA$11:$AC$43,3,0))</f>
        <v/>
      </c>
      <c r="AX258" s="198" t="str">
        <f>IF(C258="","",IF(C258=FROTA!Z258="","",VLOOKUP(FROTA!Z258,RECEBÍVEIS!$AA$11:$AC$43,3,0)))</f>
        <v/>
      </c>
    </row>
    <row r="259" spans="2:50" ht="17.25" customHeight="1" x14ac:dyDescent="0.2">
      <c r="B259" s="6"/>
      <c r="C259" s="49" t="str">
        <f>IF(FROTA!B259="","",FROTA!B259)</f>
        <v/>
      </c>
      <c r="D259" s="220" t="str">
        <f>IF(C259="","",VLOOKUP(SEM!C259,FROTA!$B$5:$C$305,2,0))</f>
        <v/>
      </c>
      <c r="E259" s="24" t="str">
        <f>IF(C259="","",VLOOKUP(C259,FROTA!$B$5:$H$305,7,0))</f>
        <v/>
      </c>
      <c r="F259" s="38" t="str">
        <f t="shared" si="56"/>
        <v/>
      </c>
      <c r="G259" s="71" t="str">
        <f t="shared" si="66"/>
        <v/>
      </c>
      <c r="H259" s="32" t="str">
        <f t="shared" si="70"/>
        <v/>
      </c>
      <c r="I259" s="73" t="str">
        <f t="shared" si="70"/>
        <v/>
      </c>
      <c r="J259" s="73" t="str">
        <f t="shared" si="70"/>
        <v/>
      </c>
      <c r="K259" s="73" t="str">
        <f t="shared" si="71"/>
        <v/>
      </c>
      <c r="L259" s="73" t="str">
        <f t="shared" si="71"/>
        <v/>
      </c>
      <c r="M259" s="73" t="str">
        <f t="shared" si="71"/>
        <v/>
      </c>
      <c r="N259" s="73" t="str">
        <f t="shared" si="71"/>
        <v/>
      </c>
      <c r="O259" s="73" t="str">
        <f t="shared" si="71"/>
        <v/>
      </c>
      <c r="P259" s="73" t="str">
        <f t="shared" si="71"/>
        <v/>
      </c>
      <c r="Q259" s="73" t="str">
        <f t="shared" si="71"/>
        <v/>
      </c>
      <c r="R259" s="73" t="str">
        <f t="shared" si="72"/>
        <v/>
      </c>
      <c r="S259" s="73" t="str">
        <f t="shared" si="72"/>
        <v/>
      </c>
      <c r="T259" s="73" t="str">
        <f t="shared" si="72"/>
        <v/>
      </c>
      <c r="U259" s="73" t="str">
        <f t="shared" si="72"/>
        <v/>
      </c>
      <c r="V259" s="73" t="str">
        <f t="shared" si="72"/>
        <v/>
      </c>
      <c r="W259" s="73" t="str">
        <f t="shared" si="72"/>
        <v/>
      </c>
      <c r="X259" s="73" t="str">
        <f t="shared" si="72"/>
        <v/>
      </c>
      <c r="Y259" s="73" t="str">
        <f t="shared" si="72"/>
        <v/>
      </c>
      <c r="Z259" s="73" t="str">
        <f t="shared" si="72"/>
        <v/>
      </c>
      <c r="AA259" s="73" t="str">
        <f t="shared" si="72"/>
        <v/>
      </c>
      <c r="AB259" s="74" t="str">
        <f t="shared" si="72"/>
        <v/>
      </c>
      <c r="AC259" s="35" t="str">
        <f t="shared" si="57"/>
        <v/>
      </c>
      <c r="AD259" s="40" t="str">
        <f t="shared" si="58"/>
        <v/>
      </c>
      <c r="AE259" s="37" t="str">
        <f t="shared" si="59"/>
        <v/>
      </c>
      <c r="AF259" s="40" t="str">
        <f t="shared" si="60"/>
        <v/>
      </c>
      <c r="AG259" s="37" t="str">
        <f t="shared" si="61"/>
        <v/>
      </c>
      <c r="AH259" s="40" t="str">
        <f t="shared" si="62"/>
        <v/>
      </c>
      <c r="AI259" s="37" t="str">
        <f t="shared" si="63"/>
        <v/>
      </c>
      <c r="AJ259" s="40" t="str">
        <f t="shared" si="64"/>
        <v/>
      </c>
      <c r="AK259" s="204" t="str">
        <f>IF(C259="","",IF(E259=FROTA!$AT$18,IF('DEFINA!!!'!$L$6="D-E-F-I-N-A !!!!!!!",0,IF('DEFINA!!!'!$L$6="Opto por Idade Média",SEM!AW259,IF('DEFINA!!!'!$L$6="Opto pelo Valor aplicado ao  Ano de cada Carro",SEM!AX259,0))),IF(E259=FROTA!$AT$17,IF('DEFINA!!!'!$L$6="D-E-F-I-N-A !!!!!!!",0,IF('DEFINA!!!'!$L$6="Opto por Idade Média",SEM!AW259,IF('DEFINA!!!'!$L$6="Opto pelo Valor aplicado ao  Ano de cada Carro",SEM!AX259,0))),IF(E259=FROTA!$AT$16,IF('DEFINA!!!'!$L$6="D-E-F-I-N-A !!!!!!!",0,IF('DEFINA!!!'!$L$6="Opto por Idade Média",SEM!AW259,IF('DEFINA!!!'!$L$6="Opto pelo Valor aplicado ao  Ano de cada Carro",SEM!AX259,0))),IF('DEFINA!!!'!$L$6="D-E-F-I-N-A !!!!!!!",0,IF('DEFINA!!!'!$L$6="Opto por Idade Média",SEM!AU259,IF('DEFINA!!!'!$L$6="Opto pelo Valor aplicado ao  Ano de cada Carro",SEM!AV259,0)))))))</f>
        <v/>
      </c>
      <c r="AL259" s="6"/>
      <c r="AM259" s="79" t="str">
        <f t="shared" si="65"/>
        <v/>
      </c>
      <c r="AR259" s="5"/>
      <c r="AU259" s="198" t="str">
        <f>IF(C259="","",VLOOKUP(FROTA!$AB$2,RECEBÍVEIS!$AA$11:$AB$43,2,0))</f>
        <v/>
      </c>
      <c r="AV259" s="198" t="str">
        <f>IF(C259="","",IF(C259=FROTA!Z259="","",VLOOKUP(FROTA!Z259,RECEBÍVEIS!$AA$11:$AB$43,2,0)))</f>
        <v/>
      </c>
      <c r="AW259" s="198" t="str">
        <f>IF(C259="","",VLOOKUP(FROTA!$AB$2,RECEBÍVEIS!$AA$11:$AC$43,3,0))</f>
        <v/>
      </c>
      <c r="AX259" s="198" t="str">
        <f>IF(C259="","",IF(C259=FROTA!Z259="","",VLOOKUP(FROTA!Z259,RECEBÍVEIS!$AA$11:$AC$43,3,0)))</f>
        <v/>
      </c>
    </row>
    <row r="260" spans="2:50" ht="17.25" customHeight="1" x14ac:dyDescent="0.2">
      <c r="B260" s="6"/>
      <c r="C260" s="49" t="str">
        <f>IF(FROTA!B260="","",FROTA!B260)</f>
        <v/>
      </c>
      <c r="D260" s="220" t="str">
        <f>IF(C260="","",VLOOKUP(SEM!C260,FROTA!$B$5:$C$305,2,0))</f>
        <v/>
      </c>
      <c r="E260" s="24" t="str">
        <f>IF(C260="","",VLOOKUP(C260,FROTA!$B$5:$H$305,7,0))</f>
        <v/>
      </c>
      <c r="F260" s="38" t="str">
        <f t="shared" si="56"/>
        <v/>
      </c>
      <c r="G260" s="71" t="str">
        <f t="shared" si="66"/>
        <v/>
      </c>
      <c r="H260" s="32" t="str">
        <f t="shared" si="70"/>
        <v/>
      </c>
      <c r="I260" s="73" t="str">
        <f t="shared" si="70"/>
        <v/>
      </c>
      <c r="J260" s="73" t="str">
        <f t="shared" si="70"/>
        <v/>
      </c>
      <c r="K260" s="73" t="str">
        <f t="shared" si="71"/>
        <v/>
      </c>
      <c r="L260" s="73" t="str">
        <f t="shared" si="71"/>
        <v/>
      </c>
      <c r="M260" s="73" t="str">
        <f t="shared" si="71"/>
        <v/>
      </c>
      <c r="N260" s="73" t="str">
        <f t="shared" si="71"/>
        <v/>
      </c>
      <c r="O260" s="73" t="str">
        <f t="shared" si="71"/>
        <v/>
      </c>
      <c r="P260" s="73" t="str">
        <f t="shared" si="71"/>
        <v/>
      </c>
      <c r="Q260" s="73" t="str">
        <f t="shared" si="71"/>
        <v/>
      </c>
      <c r="R260" s="73" t="str">
        <f t="shared" si="72"/>
        <v/>
      </c>
      <c r="S260" s="73" t="str">
        <f t="shared" si="72"/>
        <v/>
      </c>
      <c r="T260" s="73" t="str">
        <f t="shared" si="72"/>
        <v/>
      </c>
      <c r="U260" s="73" t="str">
        <f t="shared" si="72"/>
        <v/>
      </c>
      <c r="V260" s="73" t="str">
        <f t="shared" si="72"/>
        <v/>
      </c>
      <c r="W260" s="73" t="str">
        <f t="shared" si="72"/>
        <v/>
      </c>
      <c r="X260" s="73" t="str">
        <f t="shared" si="72"/>
        <v/>
      </c>
      <c r="Y260" s="73" t="str">
        <f t="shared" si="72"/>
        <v/>
      </c>
      <c r="Z260" s="73" t="str">
        <f t="shared" si="72"/>
        <v/>
      </c>
      <c r="AA260" s="73" t="str">
        <f t="shared" si="72"/>
        <v/>
      </c>
      <c r="AB260" s="74" t="str">
        <f t="shared" si="72"/>
        <v/>
      </c>
      <c r="AC260" s="35" t="str">
        <f t="shared" si="57"/>
        <v/>
      </c>
      <c r="AD260" s="40" t="str">
        <f t="shared" si="58"/>
        <v/>
      </c>
      <c r="AE260" s="37" t="str">
        <f t="shared" si="59"/>
        <v/>
      </c>
      <c r="AF260" s="40" t="str">
        <f t="shared" si="60"/>
        <v/>
      </c>
      <c r="AG260" s="37" t="str">
        <f t="shared" si="61"/>
        <v/>
      </c>
      <c r="AH260" s="40" t="str">
        <f t="shared" si="62"/>
        <v/>
      </c>
      <c r="AI260" s="37" t="str">
        <f t="shared" si="63"/>
        <v/>
      </c>
      <c r="AJ260" s="40" t="str">
        <f t="shared" si="64"/>
        <v/>
      </c>
      <c r="AK260" s="204" t="str">
        <f>IF(C260="","",IF(E260=FROTA!$AT$18,IF('DEFINA!!!'!$L$6="D-E-F-I-N-A !!!!!!!",0,IF('DEFINA!!!'!$L$6="Opto por Idade Média",SEM!AW260,IF('DEFINA!!!'!$L$6="Opto pelo Valor aplicado ao  Ano de cada Carro",SEM!AX260,0))),IF(E260=FROTA!$AT$17,IF('DEFINA!!!'!$L$6="D-E-F-I-N-A !!!!!!!",0,IF('DEFINA!!!'!$L$6="Opto por Idade Média",SEM!AW260,IF('DEFINA!!!'!$L$6="Opto pelo Valor aplicado ao  Ano de cada Carro",SEM!AX260,0))),IF(E260=FROTA!$AT$16,IF('DEFINA!!!'!$L$6="D-E-F-I-N-A !!!!!!!",0,IF('DEFINA!!!'!$L$6="Opto por Idade Média",SEM!AW260,IF('DEFINA!!!'!$L$6="Opto pelo Valor aplicado ao  Ano de cada Carro",SEM!AX260,0))),IF('DEFINA!!!'!$L$6="D-E-F-I-N-A !!!!!!!",0,IF('DEFINA!!!'!$L$6="Opto por Idade Média",SEM!AU260,IF('DEFINA!!!'!$L$6="Opto pelo Valor aplicado ao  Ano de cada Carro",SEM!AV260,0)))))))</f>
        <v/>
      </c>
      <c r="AL260" s="6"/>
      <c r="AM260" s="79" t="str">
        <f t="shared" si="65"/>
        <v/>
      </c>
      <c r="AR260" s="5"/>
      <c r="AU260" s="198" t="str">
        <f>IF(C260="","",VLOOKUP(FROTA!$AB$2,RECEBÍVEIS!$AA$11:$AB$43,2,0))</f>
        <v/>
      </c>
      <c r="AV260" s="198" t="str">
        <f>IF(C260="","",IF(C260=FROTA!Z260="","",VLOOKUP(FROTA!Z260,RECEBÍVEIS!$AA$11:$AB$43,2,0)))</f>
        <v/>
      </c>
      <c r="AW260" s="198" t="str">
        <f>IF(C260="","",VLOOKUP(FROTA!$AB$2,RECEBÍVEIS!$AA$11:$AC$43,3,0))</f>
        <v/>
      </c>
      <c r="AX260" s="198" t="str">
        <f>IF(C260="","",IF(C260=FROTA!Z260="","",VLOOKUP(FROTA!Z260,RECEBÍVEIS!$AA$11:$AC$43,3,0)))</f>
        <v/>
      </c>
    </row>
    <row r="261" spans="2:50" ht="17.25" customHeight="1" x14ac:dyDescent="0.2">
      <c r="B261" s="6"/>
      <c r="C261" s="49" t="str">
        <f>IF(FROTA!B261="","",FROTA!B261)</f>
        <v/>
      </c>
      <c r="D261" s="220" t="str">
        <f>IF(C261="","",VLOOKUP(SEM!C261,FROTA!$B$5:$C$305,2,0))</f>
        <v/>
      </c>
      <c r="E261" s="24" t="str">
        <f>IF(C261="","",VLOOKUP(C261,FROTA!$B$5:$H$305,7,0))</f>
        <v/>
      </c>
      <c r="F261" s="38" t="str">
        <f t="shared" si="56"/>
        <v/>
      </c>
      <c r="G261" s="71" t="str">
        <f t="shared" si="66"/>
        <v/>
      </c>
      <c r="H261" s="32" t="str">
        <f t="shared" si="70"/>
        <v/>
      </c>
      <c r="I261" s="73" t="str">
        <f t="shared" si="70"/>
        <v/>
      </c>
      <c r="J261" s="73" t="str">
        <f t="shared" si="70"/>
        <v/>
      </c>
      <c r="K261" s="73" t="str">
        <f t="shared" si="71"/>
        <v/>
      </c>
      <c r="L261" s="73" t="str">
        <f t="shared" si="71"/>
        <v/>
      </c>
      <c r="M261" s="73" t="str">
        <f t="shared" si="71"/>
        <v/>
      </c>
      <c r="N261" s="73" t="str">
        <f t="shared" si="71"/>
        <v/>
      </c>
      <c r="O261" s="73" t="str">
        <f t="shared" si="71"/>
        <v/>
      </c>
      <c r="P261" s="73" t="str">
        <f t="shared" si="71"/>
        <v/>
      </c>
      <c r="Q261" s="73" t="str">
        <f t="shared" si="71"/>
        <v/>
      </c>
      <c r="R261" s="73" t="str">
        <f t="shared" si="72"/>
        <v/>
      </c>
      <c r="S261" s="73" t="str">
        <f t="shared" si="72"/>
        <v/>
      </c>
      <c r="T261" s="73" t="str">
        <f t="shared" si="72"/>
        <v/>
      </c>
      <c r="U261" s="73" t="str">
        <f t="shared" si="72"/>
        <v/>
      </c>
      <c r="V261" s="73" t="str">
        <f t="shared" si="72"/>
        <v/>
      </c>
      <c r="W261" s="73" t="str">
        <f t="shared" si="72"/>
        <v/>
      </c>
      <c r="X261" s="73" t="str">
        <f t="shared" si="72"/>
        <v/>
      </c>
      <c r="Y261" s="73" t="str">
        <f t="shared" si="72"/>
        <v/>
      </c>
      <c r="Z261" s="73" t="str">
        <f t="shared" si="72"/>
        <v/>
      </c>
      <c r="AA261" s="73" t="str">
        <f t="shared" si="72"/>
        <v/>
      </c>
      <c r="AB261" s="74" t="str">
        <f t="shared" si="72"/>
        <v/>
      </c>
      <c r="AC261" s="35" t="str">
        <f t="shared" si="57"/>
        <v/>
      </c>
      <c r="AD261" s="40" t="str">
        <f t="shared" si="58"/>
        <v/>
      </c>
      <c r="AE261" s="37" t="str">
        <f t="shared" si="59"/>
        <v/>
      </c>
      <c r="AF261" s="40" t="str">
        <f t="shared" si="60"/>
        <v/>
      </c>
      <c r="AG261" s="37" t="str">
        <f t="shared" si="61"/>
        <v/>
      </c>
      <c r="AH261" s="40" t="str">
        <f t="shared" si="62"/>
        <v/>
      </c>
      <c r="AI261" s="37" t="str">
        <f t="shared" si="63"/>
        <v/>
      </c>
      <c r="AJ261" s="40" t="str">
        <f t="shared" si="64"/>
        <v/>
      </c>
      <c r="AK261" s="204" t="str">
        <f>IF(C261="","",IF(E261=FROTA!$AT$18,IF('DEFINA!!!'!$L$6="D-E-F-I-N-A !!!!!!!",0,IF('DEFINA!!!'!$L$6="Opto por Idade Média",SEM!AW261,IF('DEFINA!!!'!$L$6="Opto pelo Valor aplicado ao  Ano de cada Carro",SEM!AX261,0))),IF(E261=FROTA!$AT$17,IF('DEFINA!!!'!$L$6="D-E-F-I-N-A !!!!!!!",0,IF('DEFINA!!!'!$L$6="Opto por Idade Média",SEM!AW261,IF('DEFINA!!!'!$L$6="Opto pelo Valor aplicado ao  Ano de cada Carro",SEM!AX261,0))),IF(E261=FROTA!$AT$16,IF('DEFINA!!!'!$L$6="D-E-F-I-N-A !!!!!!!",0,IF('DEFINA!!!'!$L$6="Opto por Idade Média",SEM!AW261,IF('DEFINA!!!'!$L$6="Opto pelo Valor aplicado ao  Ano de cada Carro",SEM!AX261,0))),IF('DEFINA!!!'!$L$6="D-E-F-I-N-A !!!!!!!",0,IF('DEFINA!!!'!$L$6="Opto por Idade Média",SEM!AU261,IF('DEFINA!!!'!$L$6="Opto pelo Valor aplicado ao  Ano de cada Carro",SEM!AV261,0)))))))</f>
        <v/>
      </c>
      <c r="AL261" s="6"/>
      <c r="AM261" s="79" t="str">
        <f t="shared" si="65"/>
        <v/>
      </c>
      <c r="AR261" s="5"/>
      <c r="AU261" s="198" t="str">
        <f>IF(C261="","",VLOOKUP(FROTA!$AB$2,RECEBÍVEIS!$AA$11:$AB$43,2,0))</f>
        <v/>
      </c>
      <c r="AV261" s="198" t="str">
        <f>IF(C261="","",IF(C261=FROTA!Z261="","",VLOOKUP(FROTA!Z261,RECEBÍVEIS!$AA$11:$AB$43,2,0)))</f>
        <v/>
      </c>
      <c r="AW261" s="198" t="str">
        <f>IF(C261="","",VLOOKUP(FROTA!$AB$2,RECEBÍVEIS!$AA$11:$AC$43,3,0))</f>
        <v/>
      </c>
      <c r="AX261" s="198" t="str">
        <f>IF(C261="","",IF(C261=FROTA!Z261="","",VLOOKUP(FROTA!Z261,RECEBÍVEIS!$AA$11:$AC$43,3,0)))</f>
        <v/>
      </c>
    </row>
    <row r="262" spans="2:50" ht="17.25" customHeight="1" x14ac:dyDescent="0.2">
      <c r="B262" s="6"/>
      <c r="C262" s="49" t="str">
        <f>IF(FROTA!B262="","",FROTA!B262)</f>
        <v/>
      </c>
      <c r="D262" s="220" t="str">
        <f>IF(C262="","",VLOOKUP(SEM!C262,FROTA!$B$5:$C$305,2,0))</f>
        <v/>
      </c>
      <c r="E262" s="24" t="str">
        <f>IF(C262="","",VLOOKUP(C262,FROTA!$B$5:$H$305,7,0))</f>
        <v/>
      </c>
      <c r="F262" s="38" t="str">
        <f t="shared" si="56"/>
        <v/>
      </c>
      <c r="G262" s="71" t="str">
        <f t="shared" si="66"/>
        <v/>
      </c>
      <c r="H262" s="32" t="str">
        <f t="shared" si="70"/>
        <v/>
      </c>
      <c r="I262" s="73" t="str">
        <f t="shared" si="70"/>
        <v/>
      </c>
      <c r="J262" s="73" t="str">
        <f t="shared" si="70"/>
        <v/>
      </c>
      <c r="K262" s="73" t="str">
        <f t="shared" si="71"/>
        <v/>
      </c>
      <c r="L262" s="73" t="str">
        <f t="shared" si="71"/>
        <v/>
      </c>
      <c r="M262" s="73" t="str">
        <f t="shared" si="71"/>
        <v/>
      </c>
      <c r="N262" s="73" t="str">
        <f t="shared" si="71"/>
        <v/>
      </c>
      <c r="O262" s="73" t="str">
        <f t="shared" si="71"/>
        <v/>
      </c>
      <c r="P262" s="73" t="str">
        <f t="shared" si="71"/>
        <v/>
      </c>
      <c r="Q262" s="73" t="str">
        <f t="shared" si="71"/>
        <v/>
      </c>
      <c r="R262" s="73" t="str">
        <f t="shared" si="72"/>
        <v/>
      </c>
      <c r="S262" s="73" t="str">
        <f t="shared" si="72"/>
        <v/>
      </c>
      <c r="T262" s="73" t="str">
        <f t="shared" si="72"/>
        <v/>
      </c>
      <c r="U262" s="73" t="str">
        <f t="shared" si="72"/>
        <v/>
      </c>
      <c r="V262" s="73" t="str">
        <f t="shared" si="72"/>
        <v/>
      </c>
      <c r="W262" s="73" t="str">
        <f t="shared" si="72"/>
        <v/>
      </c>
      <c r="X262" s="73" t="str">
        <f t="shared" si="72"/>
        <v/>
      </c>
      <c r="Y262" s="73" t="str">
        <f t="shared" si="72"/>
        <v/>
      </c>
      <c r="Z262" s="73" t="str">
        <f t="shared" si="72"/>
        <v/>
      </c>
      <c r="AA262" s="73" t="str">
        <f t="shared" si="72"/>
        <v/>
      </c>
      <c r="AB262" s="74" t="str">
        <f t="shared" si="72"/>
        <v/>
      </c>
      <c r="AC262" s="35" t="str">
        <f t="shared" si="57"/>
        <v/>
      </c>
      <c r="AD262" s="40" t="str">
        <f t="shared" si="58"/>
        <v/>
      </c>
      <c r="AE262" s="37" t="str">
        <f t="shared" si="59"/>
        <v/>
      </c>
      <c r="AF262" s="40" t="str">
        <f t="shared" si="60"/>
        <v/>
      </c>
      <c r="AG262" s="37" t="str">
        <f t="shared" si="61"/>
        <v/>
      </c>
      <c r="AH262" s="40" t="str">
        <f t="shared" si="62"/>
        <v/>
      </c>
      <c r="AI262" s="37" t="str">
        <f t="shared" si="63"/>
        <v/>
      </c>
      <c r="AJ262" s="40" t="str">
        <f t="shared" si="64"/>
        <v/>
      </c>
      <c r="AK262" s="204" t="str">
        <f>IF(C262="","",IF(E262=FROTA!$AT$18,IF('DEFINA!!!'!$L$6="D-E-F-I-N-A !!!!!!!",0,IF('DEFINA!!!'!$L$6="Opto por Idade Média",SEM!AW262,IF('DEFINA!!!'!$L$6="Opto pelo Valor aplicado ao  Ano de cada Carro",SEM!AX262,0))),IF(E262=FROTA!$AT$17,IF('DEFINA!!!'!$L$6="D-E-F-I-N-A !!!!!!!",0,IF('DEFINA!!!'!$L$6="Opto por Idade Média",SEM!AW262,IF('DEFINA!!!'!$L$6="Opto pelo Valor aplicado ao  Ano de cada Carro",SEM!AX262,0))),IF(E262=FROTA!$AT$16,IF('DEFINA!!!'!$L$6="D-E-F-I-N-A !!!!!!!",0,IF('DEFINA!!!'!$L$6="Opto por Idade Média",SEM!AW262,IF('DEFINA!!!'!$L$6="Opto pelo Valor aplicado ao  Ano de cada Carro",SEM!AX262,0))),IF('DEFINA!!!'!$L$6="D-E-F-I-N-A !!!!!!!",0,IF('DEFINA!!!'!$L$6="Opto por Idade Média",SEM!AU262,IF('DEFINA!!!'!$L$6="Opto pelo Valor aplicado ao  Ano de cada Carro",SEM!AV262,0)))))))</f>
        <v/>
      </c>
      <c r="AL262" s="6"/>
      <c r="AM262" s="79" t="str">
        <f t="shared" si="65"/>
        <v/>
      </c>
      <c r="AR262" s="5"/>
      <c r="AU262" s="198" t="str">
        <f>IF(C262="","",VLOOKUP(FROTA!$AB$2,RECEBÍVEIS!$AA$11:$AB$43,2,0))</f>
        <v/>
      </c>
      <c r="AV262" s="198" t="str">
        <f>IF(C262="","",IF(C262=FROTA!Z262="","",VLOOKUP(FROTA!Z262,RECEBÍVEIS!$AA$11:$AB$43,2,0)))</f>
        <v/>
      </c>
      <c r="AW262" s="198" t="str">
        <f>IF(C262="","",VLOOKUP(FROTA!$AB$2,RECEBÍVEIS!$AA$11:$AC$43,3,0))</f>
        <v/>
      </c>
      <c r="AX262" s="198" t="str">
        <f>IF(C262="","",IF(C262=FROTA!Z262="","",VLOOKUP(FROTA!Z262,RECEBÍVEIS!$AA$11:$AC$43,3,0)))</f>
        <v/>
      </c>
    </row>
    <row r="263" spans="2:50" ht="17.25" customHeight="1" x14ac:dyDescent="0.2">
      <c r="B263" s="6"/>
      <c r="C263" s="49" t="str">
        <f>IF(FROTA!B263="","",FROTA!B263)</f>
        <v/>
      </c>
      <c r="D263" s="220" t="str">
        <f>IF(C263="","",VLOOKUP(SEM!C263,FROTA!$B$5:$C$305,2,0))</f>
        <v/>
      </c>
      <c r="E263" s="24" t="str">
        <f>IF(C263="","",VLOOKUP(C263,FROTA!$B$5:$H$305,7,0))</f>
        <v/>
      </c>
      <c r="F263" s="38" t="str">
        <f t="shared" ref="F263:F305" si="73">IF(E263="","",VLOOKUP(E263,$AP$5:$AQ$18,2,0))</f>
        <v/>
      </c>
      <c r="G263" s="71" t="str">
        <f t="shared" si="66"/>
        <v/>
      </c>
      <c r="H263" s="32" t="str">
        <f t="shared" si="70"/>
        <v/>
      </c>
      <c r="I263" s="73" t="str">
        <f t="shared" si="70"/>
        <v/>
      </c>
      <c r="J263" s="73" t="str">
        <f t="shared" si="70"/>
        <v/>
      </c>
      <c r="K263" s="73" t="str">
        <f t="shared" si="71"/>
        <v/>
      </c>
      <c r="L263" s="73" t="str">
        <f t="shared" si="71"/>
        <v/>
      </c>
      <c r="M263" s="73" t="str">
        <f t="shared" si="71"/>
        <v/>
      </c>
      <c r="N263" s="73" t="str">
        <f t="shared" si="71"/>
        <v/>
      </c>
      <c r="O263" s="73" t="str">
        <f t="shared" si="71"/>
        <v/>
      </c>
      <c r="P263" s="73" t="str">
        <f t="shared" si="71"/>
        <v/>
      </c>
      <c r="Q263" s="73" t="str">
        <f t="shared" si="71"/>
        <v/>
      </c>
      <c r="R263" s="73" t="str">
        <f t="shared" si="72"/>
        <v/>
      </c>
      <c r="S263" s="73" t="str">
        <f t="shared" si="72"/>
        <v/>
      </c>
      <c r="T263" s="73" t="str">
        <f t="shared" si="72"/>
        <v/>
      </c>
      <c r="U263" s="73" t="str">
        <f t="shared" si="72"/>
        <v/>
      </c>
      <c r="V263" s="73" t="str">
        <f t="shared" si="72"/>
        <v/>
      </c>
      <c r="W263" s="73" t="str">
        <f t="shared" si="72"/>
        <v/>
      </c>
      <c r="X263" s="73" t="str">
        <f t="shared" si="72"/>
        <v/>
      </c>
      <c r="Y263" s="73" t="str">
        <f t="shared" si="72"/>
        <v/>
      </c>
      <c r="Z263" s="73" t="str">
        <f t="shared" si="72"/>
        <v/>
      </c>
      <c r="AA263" s="73" t="str">
        <f t="shared" si="72"/>
        <v/>
      </c>
      <c r="AB263" s="74" t="str">
        <f t="shared" si="72"/>
        <v/>
      </c>
      <c r="AC263" s="35" t="str">
        <f t="shared" ref="AC263:AC303" si="74">IF(C263="","",SUM(H263:AB263)*AK263)</f>
        <v/>
      </c>
      <c r="AD263" s="40" t="str">
        <f t="shared" ref="AD263:AD303" si="75">IF(C263="","",SUM(H263:AB263))</f>
        <v/>
      </c>
      <c r="AE263" s="37" t="str">
        <f t="shared" ref="AE263:AE303" si="76">IF(C263="","",SUM(H263:R263)*AK263)</f>
        <v/>
      </c>
      <c r="AF263" s="40" t="str">
        <f t="shared" ref="AF263:AF303" si="77">IF(C263="","",SUM(H263:Q263))</f>
        <v/>
      </c>
      <c r="AG263" s="37" t="str">
        <f t="shared" ref="AG263:AG303" si="78">IF(C263="","",SUM(R263:AB263)*AK263)</f>
        <v/>
      </c>
      <c r="AH263" s="40" t="str">
        <f t="shared" ref="AH263:AH303" si="79">IF(C263="","",SUM(R263:AB263))</f>
        <v/>
      </c>
      <c r="AI263" s="37" t="str">
        <f t="shared" ref="AI263:AI303" si="80">IF(C263="","",SUM(J263:M263,T263:W263)*AK263)</f>
        <v/>
      </c>
      <c r="AJ263" s="40" t="str">
        <f t="shared" ref="AJ263:AJ303" si="81">IF(C263="","",SUM(J263:M263,T263:W263))</f>
        <v/>
      </c>
      <c r="AK263" s="204" t="str">
        <f>IF(C263="","",IF(E263=FROTA!$AT$18,IF('DEFINA!!!'!$L$6="D-E-F-I-N-A !!!!!!!",0,IF('DEFINA!!!'!$L$6="Opto por Idade Média",SEM!AW263,IF('DEFINA!!!'!$L$6="Opto pelo Valor aplicado ao  Ano de cada Carro",SEM!AX263,0))),IF(E263=FROTA!$AT$17,IF('DEFINA!!!'!$L$6="D-E-F-I-N-A !!!!!!!",0,IF('DEFINA!!!'!$L$6="Opto por Idade Média",SEM!AW263,IF('DEFINA!!!'!$L$6="Opto pelo Valor aplicado ao  Ano de cada Carro",SEM!AX263,0))),IF(E263=FROTA!$AT$16,IF('DEFINA!!!'!$L$6="D-E-F-I-N-A !!!!!!!",0,IF('DEFINA!!!'!$L$6="Opto por Idade Média",SEM!AW263,IF('DEFINA!!!'!$L$6="Opto pelo Valor aplicado ao  Ano de cada Carro",SEM!AX263,0))),IF('DEFINA!!!'!$L$6="D-E-F-I-N-A !!!!!!!",0,IF('DEFINA!!!'!$L$6="Opto por Idade Média",SEM!AU263,IF('DEFINA!!!'!$L$6="Opto pelo Valor aplicado ao  Ano de cada Carro",SEM!AV263,0)))))))</f>
        <v/>
      </c>
      <c r="AL263" s="6"/>
      <c r="AM263" s="79" t="str">
        <f t="shared" ref="AM263:AM305" si="82">IF(C263="","",SUM(H263:AB263))</f>
        <v/>
      </c>
      <c r="AR263" s="5"/>
      <c r="AU263" s="198" t="str">
        <f>IF(C263="","",VLOOKUP(FROTA!$AB$2,RECEBÍVEIS!$AA$11:$AB$43,2,0))</f>
        <v/>
      </c>
      <c r="AV263" s="198" t="str">
        <f>IF(C263="","",IF(C263=FROTA!Z263="","",VLOOKUP(FROTA!Z263,RECEBÍVEIS!$AA$11:$AB$43,2,0)))</f>
        <v/>
      </c>
      <c r="AW263" s="198" t="str">
        <f>IF(C263="","",VLOOKUP(FROTA!$AB$2,RECEBÍVEIS!$AA$11:$AC$43,3,0))</f>
        <v/>
      </c>
      <c r="AX263" s="198" t="str">
        <f>IF(C263="","",IF(C263=FROTA!Z263="","",VLOOKUP(FROTA!Z263,RECEBÍVEIS!$AA$11:$AC$43,3,0)))</f>
        <v/>
      </c>
    </row>
    <row r="264" spans="2:50" ht="17.25" customHeight="1" x14ac:dyDescent="0.2">
      <c r="B264" s="6"/>
      <c r="C264" s="49" t="str">
        <f>IF(FROTA!B264="","",FROTA!B264)</f>
        <v/>
      </c>
      <c r="D264" s="220" t="str">
        <f>IF(C264="","",VLOOKUP(SEM!C264,FROTA!$B$5:$C$305,2,0))</f>
        <v/>
      </c>
      <c r="E264" s="24" t="str">
        <f>IF(C264="","",VLOOKUP(C264,FROTA!$B$5:$H$305,7,0))</f>
        <v/>
      </c>
      <c r="F264" s="38" t="str">
        <f t="shared" si="73"/>
        <v/>
      </c>
      <c r="G264" s="71" t="str">
        <f t="shared" si="66"/>
        <v/>
      </c>
      <c r="H264" s="32" t="str">
        <f t="shared" si="70"/>
        <v/>
      </c>
      <c r="I264" s="73" t="str">
        <f t="shared" si="70"/>
        <v/>
      </c>
      <c r="J264" s="73" t="str">
        <f t="shared" si="70"/>
        <v/>
      </c>
      <c r="K264" s="73" t="str">
        <f t="shared" si="71"/>
        <v/>
      </c>
      <c r="L264" s="73" t="str">
        <f t="shared" si="71"/>
        <v/>
      </c>
      <c r="M264" s="73" t="str">
        <f t="shared" si="71"/>
        <v/>
      </c>
      <c r="N264" s="73" t="str">
        <f t="shared" si="71"/>
        <v/>
      </c>
      <c r="O264" s="73" t="str">
        <f t="shared" si="71"/>
        <v/>
      </c>
      <c r="P264" s="73" t="str">
        <f t="shared" si="71"/>
        <v/>
      </c>
      <c r="Q264" s="73" t="str">
        <f t="shared" si="71"/>
        <v/>
      </c>
      <c r="R264" s="73" t="str">
        <f t="shared" si="72"/>
        <v/>
      </c>
      <c r="S264" s="73" t="str">
        <f t="shared" si="72"/>
        <v/>
      </c>
      <c r="T264" s="73" t="str">
        <f t="shared" si="72"/>
        <v/>
      </c>
      <c r="U264" s="73" t="str">
        <f t="shared" si="72"/>
        <v/>
      </c>
      <c r="V264" s="73" t="str">
        <f t="shared" si="72"/>
        <v/>
      </c>
      <c r="W264" s="73" t="str">
        <f t="shared" si="72"/>
        <v/>
      </c>
      <c r="X264" s="73" t="str">
        <f t="shared" si="72"/>
        <v/>
      </c>
      <c r="Y264" s="73" t="str">
        <f t="shared" si="72"/>
        <v/>
      </c>
      <c r="Z264" s="73" t="str">
        <f t="shared" si="72"/>
        <v/>
      </c>
      <c r="AA264" s="73" t="str">
        <f t="shared" si="72"/>
        <v/>
      </c>
      <c r="AB264" s="74" t="str">
        <f t="shared" si="72"/>
        <v/>
      </c>
      <c r="AC264" s="35" t="str">
        <f t="shared" si="74"/>
        <v/>
      </c>
      <c r="AD264" s="40" t="str">
        <f t="shared" si="75"/>
        <v/>
      </c>
      <c r="AE264" s="37" t="str">
        <f t="shared" si="76"/>
        <v/>
      </c>
      <c r="AF264" s="40" t="str">
        <f t="shared" si="77"/>
        <v/>
      </c>
      <c r="AG264" s="37" t="str">
        <f t="shared" si="78"/>
        <v/>
      </c>
      <c r="AH264" s="40" t="str">
        <f t="shared" si="79"/>
        <v/>
      </c>
      <c r="AI264" s="37" t="str">
        <f t="shared" si="80"/>
        <v/>
      </c>
      <c r="AJ264" s="40" t="str">
        <f t="shared" si="81"/>
        <v/>
      </c>
      <c r="AK264" s="204" t="str">
        <f>IF(C264="","",IF(E264=FROTA!$AT$18,IF('DEFINA!!!'!$L$6="D-E-F-I-N-A !!!!!!!",0,IF('DEFINA!!!'!$L$6="Opto por Idade Média",SEM!AW264,IF('DEFINA!!!'!$L$6="Opto pelo Valor aplicado ao  Ano de cada Carro",SEM!AX264,0))),IF(E264=FROTA!$AT$17,IF('DEFINA!!!'!$L$6="D-E-F-I-N-A !!!!!!!",0,IF('DEFINA!!!'!$L$6="Opto por Idade Média",SEM!AW264,IF('DEFINA!!!'!$L$6="Opto pelo Valor aplicado ao  Ano de cada Carro",SEM!AX264,0))),IF(E264=FROTA!$AT$16,IF('DEFINA!!!'!$L$6="D-E-F-I-N-A !!!!!!!",0,IF('DEFINA!!!'!$L$6="Opto por Idade Média",SEM!AW264,IF('DEFINA!!!'!$L$6="Opto pelo Valor aplicado ao  Ano de cada Carro",SEM!AX264,0))),IF('DEFINA!!!'!$L$6="D-E-F-I-N-A !!!!!!!",0,IF('DEFINA!!!'!$L$6="Opto por Idade Média",SEM!AU264,IF('DEFINA!!!'!$L$6="Opto pelo Valor aplicado ao  Ano de cada Carro",SEM!AV264,0)))))))</f>
        <v/>
      </c>
      <c r="AL264" s="6"/>
      <c r="AM264" s="79" t="str">
        <f t="shared" si="82"/>
        <v/>
      </c>
      <c r="AR264" s="5"/>
      <c r="AU264" s="198" t="str">
        <f>IF(C264="","",VLOOKUP(FROTA!$AB$2,RECEBÍVEIS!$AA$11:$AB$43,2,0))</f>
        <v/>
      </c>
      <c r="AV264" s="198" t="str">
        <f>IF(C264="","",IF(C264=FROTA!Z264="","",VLOOKUP(FROTA!Z264,RECEBÍVEIS!$AA$11:$AB$43,2,0)))</f>
        <v/>
      </c>
      <c r="AW264" s="198" t="str">
        <f>IF(C264="","",VLOOKUP(FROTA!$AB$2,RECEBÍVEIS!$AA$11:$AC$43,3,0))</f>
        <v/>
      </c>
      <c r="AX264" s="198" t="str">
        <f>IF(C264="","",IF(C264=FROTA!Z264="","",VLOOKUP(FROTA!Z264,RECEBÍVEIS!$AA$11:$AC$43,3,0)))</f>
        <v/>
      </c>
    </row>
    <row r="265" spans="2:50" ht="17.25" customHeight="1" x14ac:dyDescent="0.2">
      <c r="B265" s="6"/>
      <c r="C265" s="49" t="str">
        <f>IF(FROTA!B265="","",FROTA!B265)</f>
        <v/>
      </c>
      <c r="D265" s="220" t="str">
        <f>IF(C265="","",VLOOKUP(SEM!C265,FROTA!$B$5:$C$305,2,0))</f>
        <v/>
      </c>
      <c r="E265" s="24" t="str">
        <f>IF(C265="","",VLOOKUP(C265,FROTA!$B$5:$H$305,7,0))</f>
        <v/>
      </c>
      <c r="F265" s="38" t="str">
        <f t="shared" si="73"/>
        <v/>
      </c>
      <c r="G265" s="71" t="str">
        <f t="shared" ref="G265:G303" si="83">IF(C265="","",F265/$F$307)</f>
        <v/>
      </c>
      <c r="H265" s="32" t="str">
        <f t="shared" si="70"/>
        <v/>
      </c>
      <c r="I265" s="73" t="str">
        <f t="shared" si="70"/>
        <v/>
      </c>
      <c r="J265" s="73" t="str">
        <f t="shared" si="70"/>
        <v/>
      </c>
      <c r="K265" s="73" t="str">
        <f t="shared" si="71"/>
        <v/>
      </c>
      <c r="L265" s="73" t="str">
        <f t="shared" si="71"/>
        <v/>
      </c>
      <c r="M265" s="73" t="str">
        <f t="shared" si="71"/>
        <v/>
      </c>
      <c r="N265" s="73" t="str">
        <f t="shared" si="71"/>
        <v/>
      </c>
      <c r="O265" s="73" t="str">
        <f t="shared" si="71"/>
        <v/>
      </c>
      <c r="P265" s="73" t="str">
        <f t="shared" si="71"/>
        <v/>
      </c>
      <c r="Q265" s="73" t="str">
        <f t="shared" si="71"/>
        <v/>
      </c>
      <c r="R265" s="73" t="str">
        <f t="shared" si="72"/>
        <v/>
      </c>
      <c r="S265" s="73" t="str">
        <f t="shared" si="72"/>
        <v/>
      </c>
      <c r="T265" s="73" t="str">
        <f t="shared" si="72"/>
        <v/>
      </c>
      <c r="U265" s="73" t="str">
        <f t="shared" si="72"/>
        <v/>
      </c>
      <c r="V265" s="73" t="str">
        <f t="shared" si="72"/>
        <v/>
      </c>
      <c r="W265" s="73" t="str">
        <f t="shared" si="72"/>
        <v/>
      </c>
      <c r="X265" s="73" t="str">
        <f t="shared" si="72"/>
        <v/>
      </c>
      <c r="Y265" s="73" t="str">
        <f t="shared" si="72"/>
        <v/>
      </c>
      <c r="Z265" s="73" t="str">
        <f t="shared" si="72"/>
        <v/>
      </c>
      <c r="AA265" s="73" t="str">
        <f t="shared" si="72"/>
        <v/>
      </c>
      <c r="AB265" s="74" t="str">
        <f t="shared" si="72"/>
        <v/>
      </c>
      <c r="AC265" s="35" t="str">
        <f t="shared" si="74"/>
        <v/>
      </c>
      <c r="AD265" s="40" t="str">
        <f t="shared" si="75"/>
        <v/>
      </c>
      <c r="AE265" s="37" t="str">
        <f t="shared" si="76"/>
        <v/>
      </c>
      <c r="AF265" s="40" t="str">
        <f t="shared" si="77"/>
        <v/>
      </c>
      <c r="AG265" s="37" t="str">
        <f t="shared" si="78"/>
        <v/>
      </c>
      <c r="AH265" s="40" t="str">
        <f t="shared" si="79"/>
        <v/>
      </c>
      <c r="AI265" s="37" t="str">
        <f t="shared" si="80"/>
        <v/>
      </c>
      <c r="AJ265" s="40" t="str">
        <f t="shared" si="81"/>
        <v/>
      </c>
      <c r="AK265" s="204" t="str">
        <f>IF(C265="","",IF(E265=FROTA!$AT$18,IF('DEFINA!!!'!$L$6="D-E-F-I-N-A !!!!!!!",0,IF('DEFINA!!!'!$L$6="Opto por Idade Média",SEM!AW265,IF('DEFINA!!!'!$L$6="Opto pelo Valor aplicado ao  Ano de cada Carro",SEM!AX265,0))),IF(E265=FROTA!$AT$17,IF('DEFINA!!!'!$L$6="D-E-F-I-N-A !!!!!!!",0,IF('DEFINA!!!'!$L$6="Opto por Idade Média",SEM!AW265,IF('DEFINA!!!'!$L$6="Opto pelo Valor aplicado ao  Ano de cada Carro",SEM!AX265,0))),IF(E265=FROTA!$AT$16,IF('DEFINA!!!'!$L$6="D-E-F-I-N-A !!!!!!!",0,IF('DEFINA!!!'!$L$6="Opto por Idade Média",SEM!AW265,IF('DEFINA!!!'!$L$6="Opto pelo Valor aplicado ao  Ano de cada Carro",SEM!AX265,0))),IF('DEFINA!!!'!$L$6="D-E-F-I-N-A !!!!!!!",0,IF('DEFINA!!!'!$L$6="Opto por Idade Média",SEM!AU265,IF('DEFINA!!!'!$L$6="Opto pelo Valor aplicado ao  Ano de cada Carro",SEM!AV265,0)))))))</f>
        <v/>
      </c>
      <c r="AL265" s="6"/>
      <c r="AM265" s="79" t="str">
        <f t="shared" si="82"/>
        <v/>
      </c>
      <c r="AR265" s="5"/>
      <c r="AU265" s="198" t="str">
        <f>IF(C265="","",VLOOKUP(FROTA!$AB$2,RECEBÍVEIS!$AA$11:$AB$43,2,0))</f>
        <v/>
      </c>
      <c r="AV265" s="198" t="str">
        <f>IF(C265="","",IF(C265=FROTA!Z265="","",VLOOKUP(FROTA!Z265,RECEBÍVEIS!$AA$11:$AB$43,2,0)))</f>
        <v/>
      </c>
      <c r="AW265" s="198" t="str">
        <f>IF(C265="","",VLOOKUP(FROTA!$AB$2,RECEBÍVEIS!$AA$11:$AC$43,3,0))</f>
        <v/>
      </c>
      <c r="AX265" s="198" t="str">
        <f>IF(C265="","",IF(C265=FROTA!Z265="","",VLOOKUP(FROTA!Z265,RECEBÍVEIS!$AA$11:$AC$43,3,0)))</f>
        <v/>
      </c>
    </row>
    <row r="266" spans="2:50" ht="17.25" customHeight="1" x14ac:dyDescent="0.2">
      <c r="B266" s="6"/>
      <c r="C266" s="49" t="str">
        <f>IF(FROTA!B266="","",FROTA!B266)</f>
        <v/>
      </c>
      <c r="D266" s="220" t="str">
        <f>IF(C266="","",VLOOKUP(SEM!C266,FROTA!$B$5:$C$305,2,0))</f>
        <v/>
      </c>
      <c r="E266" s="24" t="str">
        <f>IF(C266="","",VLOOKUP(C266,FROTA!$B$5:$H$305,7,0))</f>
        <v/>
      </c>
      <c r="F266" s="38" t="str">
        <f t="shared" si="73"/>
        <v/>
      </c>
      <c r="G266" s="71" t="str">
        <f t="shared" si="83"/>
        <v/>
      </c>
      <c r="H266" s="32" t="str">
        <f t="shared" si="70"/>
        <v/>
      </c>
      <c r="I266" s="73" t="str">
        <f t="shared" si="70"/>
        <v/>
      </c>
      <c r="J266" s="73" t="str">
        <f t="shared" si="70"/>
        <v/>
      </c>
      <c r="K266" s="73" t="str">
        <f t="shared" si="71"/>
        <v/>
      </c>
      <c r="L266" s="73" t="str">
        <f t="shared" si="71"/>
        <v/>
      </c>
      <c r="M266" s="73" t="str">
        <f t="shared" si="71"/>
        <v/>
      </c>
      <c r="N266" s="73" t="str">
        <f t="shared" si="71"/>
        <v/>
      </c>
      <c r="O266" s="73" t="str">
        <f t="shared" si="71"/>
        <v/>
      </c>
      <c r="P266" s="73" t="str">
        <f t="shared" si="71"/>
        <v/>
      </c>
      <c r="Q266" s="73" t="str">
        <f t="shared" si="71"/>
        <v/>
      </c>
      <c r="R266" s="73" t="str">
        <f t="shared" si="72"/>
        <v/>
      </c>
      <c r="S266" s="73" t="str">
        <f t="shared" si="72"/>
        <v/>
      </c>
      <c r="T266" s="73" t="str">
        <f t="shared" si="72"/>
        <v/>
      </c>
      <c r="U266" s="73" t="str">
        <f t="shared" si="72"/>
        <v/>
      </c>
      <c r="V266" s="73" t="str">
        <f t="shared" si="72"/>
        <v/>
      </c>
      <c r="W266" s="73" t="str">
        <f t="shared" si="72"/>
        <v/>
      </c>
      <c r="X266" s="73" t="str">
        <f t="shared" si="72"/>
        <v/>
      </c>
      <c r="Y266" s="73" t="str">
        <f t="shared" si="72"/>
        <v/>
      </c>
      <c r="Z266" s="73" t="str">
        <f t="shared" si="72"/>
        <v/>
      </c>
      <c r="AA266" s="73" t="str">
        <f t="shared" si="72"/>
        <v/>
      </c>
      <c r="AB266" s="74" t="str">
        <f t="shared" si="72"/>
        <v/>
      </c>
      <c r="AC266" s="35" t="str">
        <f t="shared" si="74"/>
        <v/>
      </c>
      <c r="AD266" s="40" t="str">
        <f t="shared" si="75"/>
        <v/>
      </c>
      <c r="AE266" s="37" t="str">
        <f t="shared" si="76"/>
        <v/>
      </c>
      <c r="AF266" s="40" t="str">
        <f t="shared" si="77"/>
        <v/>
      </c>
      <c r="AG266" s="37" t="str">
        <f t="shared" si="78"/>
        <v/>
      </c>
      <c r="AH266" s="40" t="str">
        <f t="shared" si="79"/>
        <v/>
      </c>
      <c r="AI266" s="37" t="str">
        <f t="shared" si="80"/>
        <v/>
      </c>
      <c r="AJ266" s="40" t="str">
        <f t="shared" si="81"/>
        <v/>
      </c>
      <c r="AK266" s="204" t="str">
        <f>IF(C266="","",IF(E266=FROTA!$AT$18,IF('DEFINA!!!'!$L$6="D-E-F-I-N-A !!!!!!!",0,IF('DEFINA!!!'!$L$6="Opto por Idade Média",SEM!AW266,IF('DEFINA!!!'!$L$6="Opto pelo Valor aplicado ao  Ano de cada Carro",SEM!AX266,0))),IF(E266=FROTA!$AT$17,IF('DEFINA!!!'!$L$6="D-E-F-I-N-A !!!!!!!",0,IF('DEFINA!!!'!$L$6="Opto por Idade Média",SEM!AW266,IF('DEFINA!!!'!$L$6="Opto pelo Valor aplicado ao  Ano de cada Carro",SEM!AX266,0))),IF(E266=FROTA!$AT$16,IF('DEFINA!!!'!$L$6="D-E-F-I-N-A !!!!!!!",0,IF('DEFINA!!!'!$L$6="Opto por Idade Média",SEM!AW266,IF('DEFINA!!!'!$L$6="Opto pelo Valor aplicado ao  Ano de cada Carro",SEM!AX266,0))),IF('DEFINA!!!'!$L$6="D-E-F-I-N-A !!!!!!!",0,IF('DEFINA!!!'!$L$6="Opto por Idade Média",SEM!AU266,IF('DEFINA!!!'!$L$6="Opto pelo Valor aplicado ao  Ano de cada Carro",SEM!AV266,0)))))))</f>
        <v/>
      </c>
      <c r="AL266" s="6"/>
      <c r="AM266" s="79" t="str">
        <f t="shared" si="82"/>
        <v/>
      </c>
      <c r="AR266" s="5"/>
      <c r="AU266" s="198" t="str">
        <f>IF(C266="","",VLOOKUP(FROTA!$AB$2,RECEBÍVEIS!$AA$11:$AB$43,2,0))</f>
        <v/>
      </c>
      <c r="AV266" s="198" t="str">
        <f>IF(C266="","",IF(C266=FROTA!Z266="","",VLOOKUP(FROTA!Z266,RECEBÍVEIS!$AA$11:$AB$43,2,0)))</f>
        <v/>
      </c>
      <c r="AW266" s="198" t="str">
        <f>IF(C266="","",VLOOKUP(FROTA!$AB$2,RECEBÍVEIS!$AA$11:$AC$43,3,0))</f>
        <v/>
      </c>
      <c r="AX266" s="198" t="str">
        <f>IF(C266="","",IF(C266=FROTA!Z266="","",VLOOKUP(FROTA!Z266,RECEBÍVEIS!$AA$11:$AC$43,3,0)))</f>
        <v/>
      </c>
    </row>
    <row r="267" spans="2:50" ht="17.25" customHeight="1" x14ac:dyDescent="0.2">
      <c r="B267" s="6"/>
      <c r="C267" s="49" t="str">
        <f>IF(FROTA!B267="","",FROTA!B267)</f>
        <v/>
      </c>
      <c r="D267" s="220" t="str">
        <f>IF(C267="","",VLOOKUP(SEM!C267,FROTA!$B$5:$C$305,2,0))</f>
        <v/>
      </c>
      <c r="E267" s="24" t="str">
        <f>IF(C267="","",VLOOKUP(C267,FROTA!$B$5:$H$305,7,0))</f>
        <v/>
      </c>
      <c r="F267" s="38" t="str">
        <f t="shared" si="73"/>
        <v/>
      </c>
      <c r="G267" s="71" t="str">
        <f t="shared" si="83"/>
        <v/>
      </c>
      <c r="H267" s="32" t="str">
        <f t="shared" si="70"/>
        <v/>
      </c>
      <c r="I267" s="73" t="str">
        <f t="shared" si="70"/>
        <v/>
      </c>
      <c r="J267" s="73" t="str">
        <f t="shared" si="70"/>
        <v/>
      </c>
      <c r="K267" s="73" t="str">
        <f t="shared" si="71"/>
        <v/>
      </c>
      <c r="L267" s="73" t="str">
        <f t="shared" si="71"/>
        <v/>
      </c>
      <c r="M267" s="73" t="str">
        <f t="shared" si="71"/>
        <v/>
      </c>
      <c r="N267" s="73" t="str">
        <f t="shared" si="71"/>
        <v/>
      </c>
      <c r="O267" s="73" t="str">
        <f t="shared" si="71"/>
        <v/>
      </c>
      <c r="P267" s="73" t="str">
        <f t="shared" si="71"/>
        <v/>
      </c>
      <c r="Q267" s="73" t="str">
        <f t="shared" si="71"/>
        <v/>
      </c>
      <c r="R267" s="73" t="str">
        <f t="shared" si="72"/>
        <v/>
      </c>
      <c r="S267" s="73" t="str">
        <f t="shared" si="72"/>
        <v/>
      </c>
      <c r="T267" s="73" t="str">
        <f t="shared" si="72"/>
        <v/>
      </c>
      <c r="U267" s="73" t="str">
        <f t="shared" si="72"/>
        <v/>
      </c>
      <c r="V267" s="73" t="str">
        <f t="shared" si="72"/>
        <v/>
      </c>
      <c r="W267" s="73" t="str">
        <f t="shared" si="72"/>
        <v/>
      </c>
      <c r="X267" s="73" t="str">
        <f t="shared" si="72"/>
        <v/>
      </c>
      <c r="Y267" s="73" t="str">
        <f t="shared" si="72"/>
        <v/>
      </c>
      <c r="Z267" s="73" t="str">
        <f t="shared" si="72"/>
        <v/>
      </c>
      <c r="AA267" s="73" t="str">
        <f t="shared" si="72"/>
        <v/>
      </c>
      <c r="AB267" s="74" t="str">
        <f t="shared" si="72"/>
        <v/>
      </c>
      <c r="AC267" s="35" t="str">
        <f t="shared" si="74"/>
        <v/>
      </c>
      <c r="AD267" s="40" t="str">
        <f t="shared" si="75"/>
        <v/>
      </c>
      <c r="AE267" s="37" t="str">
        <f t="shared" si="76"/>
        <v/>
      </c>
      <c r="AF267" s="40" t="str">
        <f t="shared" si="77"/>
        <v/>
      </c>
      <c r="AG267" s="37" t="str">
        <f t="shared" si="78"/>
        <v/>
      </c>
      <c r="AH267" s="40" t="str">
        <f t="shared" si="79"/>
        <v/>
      </c>
      <c r="AI267" s="37" t="str">
        <f t="shared" si="80"/>
        <v/>
      </c>
      <c r="AJ267" s="40" t="str">
        <f t="shared" si="81"/>
        <v/>
      </c>
      <c r="AK267" s="204" t="str">
        <f>IF(C267="","",IF(E267=FROTA!$AT$18,IF('DEFINA!!!'!$L$6="D-E-F-I-N-A !!!!!!!",0,IF('DEFINA!!!'!$L$6="Opto por Idade Média",SEM!AW267,IF('DEFINA!!!'!$L$6="Opto pelo Valor aplicado ao  Ano de cada Carro",SEM!AX267,0))),IF(E267=FROTA!$AT$17,IF('DEFINA!!!'!$L$6="D-E-F-I-N-A !!!!!!!",0,IF('DEFINA!!!'!$L$6="Opto por Idade Média",SEM!AW267,IF('DEFINA!!!'!$L$6="Opto pelo Valor aplicado ao  Ano de cada Carro",SEM!AX267,0))),IF(E267=FROTA!$AT$16,IF('DEFINA!!!'!$L$6="D-E-F-I-N-A !!!!!!!",0,IF('DEFINA!!!'!$L$6="Opto por Idade Média",SEM!AW267,IF('DEFINA!!!'!$L$6="Opto pelo Valor aplicado ao  Ano de cada Carro",SEM!AX267,0))),IF('DEFINA!!!'!$L$6="D-E-F-I-N-A !!!!!!!",0,IF('DEFINA!!!'!$L$6="Opto por Idade Média",SEM!AU267,IF('DEFINA!!!'!$L$6="Opto pelo Valor aplicado ao  Ano de cada Carro",SEM!AV267,0)))))))</f>
        <v/>
      </c>
      <c r="AL267" s="6"/>
      <c r="AM267" s="79" t="str">
        <f t="shared" si="82"/>
        <v/>
      </c>
      <c r="AR267" s="5"/>
      <c r="AU267" s="198" t="str">
        <f>IF(C267="","",VLOOKUP(FROTA!$AB$2,RECEBÍVEIS!$AA$11:$AB$43,2,0))</f>
        <v/>
      </c>
      <c r="AV267" s="198" t="str">
        <f>IF(C267="","",IF(C267=FROTA!Z267="","",VLOOKUP(FROTA!Z267,RECEBÍVEIS!$AA$11:$AB$43,2,0)))</f>
        <v/>
      </c>
      <c r="AW267" s="198" t="str">
        <f>IF(C267="","",VLOOKUP(FROTA!$AB$2,RECEBÍVEIS!$AA$11:$AC$43,3,0))</f>
        <v/>
      </c>
      <c r="AX267" s="198" t="str">
        <f>IF(C267="","",IF(C267=FROTA!Z267="","",VLOOKUP(FROTA!Z267,RECEBÍVEIS!$AA$11:$AC$43,3,0)))</f>
        <v/>
      </c>
    </row>
    <row r="268" spans="2:50" ht="17.25" customHeight="1" x14ac:dyDescent="0.2">
      <c r="B268" s="6"/>
      <c r="C268" s="49" t="str">
        <f>IF(FROTA!B268="","",FROTA!B268)</f>
        <v/>
      </c>
      <c r="D268" s="220" t="str">
        <f>IF(C268="","",VLOOKUP(SEM!C268,FROTA!$B$5:$C$305,2,0))</f>
        <v/>
      </c>
      <c r="E268" s="24" t="str">
        <f>IF(C268="","",VLOOKUP(C268,FROTA!$B$5:$H$305,7,0))</f>
        <v/>
      </c>
      <c r="F268" s="38" t="str">
        <f t="shared" si="73"/>
        <v/>
      </c>
      <c r="G268" s="71" t="str">
        <f t="shared" si="83"/>
        <v/>
      </c>
      <c r="H268" s="32" t="str">
        <f t="shared" si="70"/>
        <v/>
      </c>
      <c r="I268" s="73" t="str">
        <f t="shared" si="70"/>
        <v/>
      </c>
      <c r="J268" s="73" t="str">
        <f t="shared" si="70"/>
        <v/>
      </c>
      <c r="K268" s="73" t="str">
        <f t="shared" si="71"/>
        <v/>
      </c>
      <c r="L268" s="73" t="str">
        <f t="shared" si="71"/>
        <v/>
      </c>
      <c r="M268" s="73" t="str">
        <f t="shared" si="71"/>
        <v/>
      </c>
      <c r="N268" s="73" t="str">
        <f t="shared" si="71"/>
        <v/>
      </c>
      <c r="O268" s="73" t="str">
        <f t="shared" si="71"/>
        <v/>
      </c>
      <c r="P268" s="73" t="str">
        <f t="shared" si="71"/>
        <v/>
      </c>
      <c r="Q268" s="73" t="str">
        <f t="shared" si="71"/>
        <v/>
      </c>
      <c r="R268" s="73" t="str">
        <f t="shared" si="72"/>
        <v/>
      </c>
      <c r="S268" s="73" t="str">
        <f t="shared" si="72"/>
        <v/>
      </c>
      <c r="T268" s="73" t="str">
        <f t="shared" si="72"/>
        <v/>
      </c>
      <c r="U268" s="73" t="str">
        <f t="shared" si="72"/>
        <v/>
      </c>
      <c r="V268" s="73" t="str">
        <f t="shared" si="72"/>
        <v/>
      </c>
      <c r="W268" s="73" t="str">
        <f t="shared" si="72"/>
        <v/>
      </c>
      <c r="X268" s="73" t="str">
        <f t="shared" si="72"/>
        <v/>
      </c>
      <c r="Y268" s="73" t="str">
        <f t="shared" si="72"/>
        <v/>
      </c>
      <c r="Z268" s="73" t="str">
        <f t="shared" si="72"/>
        <v/>
      </c>
      <c r="AA268" s="73" t="str">
        <f t="shared" si="72"/>
        <v/>
      </c>
      <c r="AB268" s="74" t="str">
        <f t="shared" si="72"/>
        <v/>
      </c>
      <c r="AC268" s="35" t="str">
        <f t="shared" si="74"/>
        <v/>
      </c>
      <c r="AD268" s="40" t="str">
        <f t="shared" si="75"/>
        <v/>
      </c>
      <c r="AE268" s="37" t="str">
        <f t="shared" si="76"/>
        <v/>
      </c>
      <c r="AF268" s="40" t="str">
        <f t="shared" si="77"/>
        <v/>
      </c>
      <c r="AG268" s="37" t="str">
        <f t="shared" si="78"/>
        <v/>
      </c>
      <c r="AH268" s="40" t="str">
        <f t="shared" si="79"/>
        <v/>
      </c>
      <c r="AI268" s="37" t="str">
        <f t="shared" si="80"/>
        <v/>
      </c>
      <c r="AJ268" s="40" t="str">
        <f t="shared" si="81"/>
        <v/>
      </c>
      <c r="AK268" s="204" t="str">
        <f>IF(C268="","",IF(E268=FROTA!$AT$18,IF('DEFINA!!!'!$L$6="D-E-F-I-N-A !!!!!!!",0,IF('DEFINA!!!'!$L$6="Opto por Idade Média",SEM!AW268,IF('DEFINA!!!'!$L$6="Opto pelo Valor aplicado ao  Ano de cada Carro",SEM!AX268,0))),IF(E268=FROTA!$AT$17,IF('DEFINA!!!'!$L$6="D-E-F-I-N-A !!!!!!!",0,IF('DEFINA!!!'!$L$6="Opto por Idade Média",SEM!AW268,IF('DEFINA!!!'!$L$6="Opto pelo Valor aplicado ao  Ano de cada Carro",SEM!AX268,0))),IF(E268=FROTA!$AT$16,IF('DEFINA!!!'!$L$6="D-E-F-I-N-A !!!!!!!",0,IF('DEFINA!!!'!$L$6="Opto por Idade Média",SEM!AW268,IF('DEFINA!!!'!$L$6="Opto pelo Valor aplicado ao  Ano de cada Carro",SEM!AX268,0))),IF('DEFINA!!!'!$L$6="D-E-F-I-N-A !!!!!!!",0,IF('DEFINA!!!'!$L$6="Opto por Idade Média",SEM!AU268,IF('DEFINA!!!'!$L$6="Opto pelo Valor aplicado ao  Ano de cada Carro",SEM!AV268,0)))))))</f>
        <v/>
      </c>
      <c r="AL268" s="6"/>
      <c r="AM268" s="79" t="str">
        <f t="shared" si="82"/>
        <v/>
      </c>
      <c r="AR268" s="5"/>
      <c r="AU268" s="198" t="str">
        <f>IF(C268="","",VLOOKUP(FROTA!$AB$2,RECEBÍVEIS!$AA$11:$AB$43,2,0))</f>
        <v/>
      </c>
      <c r="AV268" s="198" t="str">
        <f>IF(C268="","",IF(C268=FROTA!Z268="","",VLOOKUP(FROTA!Z268,RECEBÍVEIS!$AA$11:$AB$43,2,0)))</f>
        <v/>
      </c>
      <c r="AW268" s="198" t="str">
        <f>IF(C268="","",VLOOKUP(FROTA!$AB$2,RECEBÍVEIS!$AA$11:$AC$43,3,0))</f>
        <v/>
      </c>
      <c r="AX268" s="198" t="str">
        <f>IF(C268="","",IF(C268=FROTA!Z268="","",VLOOKUP(FROTA!Z268,RECEBÍVEIS!$AA$11:$AC$43,3,0)))</f>
        <v/>
      </c>
    </row>
    <row r="269" spans="2:50" ht="17.25" customHeight="1" x14ac:dyDescent="0.2">
      <c r="B269" s="6"/>
      <c r="C269" s="49" t="str">
        <f>IF(FROTA!B269="","",FROTA!B269)</f>
        <v/>
      </c>
      <c r="D269" s="220" t="str">
        <f>IF(C269="","",VLOOKUP(SEM!C269,FROTA!$B$5:$C$305,2,0))</f>
        <v/>
      </c>
      <c r="E269" s="24" t="str">
        <f>IF(C269="","",VLOOKUP(C269,FROTA!$B$5:$H$305,7,0))</f>
        <v/>
      </c>
      <c r="F269" s="38" t="str">
        <f t="shared" si="73"/>
        <v/>
      </c>
      <c r="G269" s="71" t="str">
        <f t="shared" si="83"/>
        <v/>
      </c>
      <c r="H269" s="32" t="str">
        <f t="shared" si="70"/>
        <v/>
      </c>
      <c r="I269" s="73" t="str">
        <f t="shared" si="70"/>
        <v/>
      </c>
      <c r="J269" s="73" t="str">
        <f t="shared" si="70"/>
        <v/>
      </c>
      <c r="K269" s="73" t="str">
        <f t="shared" si="71"/>
        <v/>
      </c>
      <c r="L269" s="73" t="str">
        <f t="shared" si="71"/>
        <v/>
      </c>
      <c r="M269" s="73" t="str">
        <f t="shared" si="71"/>
        <v/>
      </c>
      <c r="N269" s="73" t="str">
        <f t="shared" si="71"/>
        <v/>
      </c>
      <c r="O269" s="73" t="str">
        <f t="shared" si="71"/>
        <v/>
      </c>
      <c r="P269" s="73" t="str">
        <f t="shared" si="71"/>
        <v/>
      </c>
      <c r="Q269" s="73" t="str">
        <f t="shared" si="71"/>
        <v/>
      </c>
      <c r="R269" s="73" t="str">
        <f t="shared" si="72"/>
        <v/>
      </c>
      <c r="S269" s="73" t="str">
        <f t="shared" si="72"/>
        <v/>
      </c>
      <c r="T269" s="73" t="str">
        <f t="shared" si="72"/>
        <v/>
      </c>
      <c r="U269" s="73" t="str">
        <f t="shared" si="72"/>
        <v/>
      </c>
      <c r="V269" s="73" t="str">
        <f t="shared" si="72"/>
        <v/>
      </c>
      <c r="W269" s="73" t="str">
        <f t="shared" si="72"/>
        <v/>
      </c>
      <c r="X269" s="73" t="str">
        <f t="shared" si="72"/>
        <v/>
      </c>
      <c r="Y269" s="73" t="str">
        <f t="shared" si="72"/>
        <v/>
      </c>
      <c r="Z269" s="73" t="str">
        <f t="shared" si="72"/>
        <v/>
      </c>
      <c r="AA269" s="73" t="str">
        <f t="shared" si="72"/>
        <v/>
      </c>
      <c r="AB269" s="74" t="str">
        <f t="shared" si="72"/>
        <v/>
      </c>
      <c r="AC269" s="35" t="str">
        <f t="shared" si="74"/>
        <v/>
      </c>
      <c r="AD269" s="40" t="str">
        <f t="shared" si="75"/>
        <v/>
      </c>
      <c r="AE269" s="37" t="str">
        <f t="shared" si="76"/>
        <v/>
      </c>
      <c r="AF269" s="40" t="str">
        <f t="shared" si="77"/>
        <v/>
      </c>
      <c r="AG269" s="37" t="str">
        <f t="shared" si="78"/>
        <v/>
      </c>
      <c r="AH269" s="40" t="str">
        <f t="shared" si="79"/>
        <v/>
      </c>
      <c r="AI269" s="37" t="str">
        <f t="shared" si="80"/>
        <v/>
      </c>
      <c r="AJ269" s="40" t="str">
        <f t="shared" si="81"/>
        <v/>
      </c>
      <c r="AK269" s="204" t="str">
        <f>IF(C269="","",IF(E269=FROTA!$AT$18,IF('DEFINA!!!'!$L$6="D-E-F-I-N-A !!!!!!!",0,IF('DEFINA!!!'!$L$6="Opto por Idade Média",SEM!AW269,IF('DEFINA!!!'!$L$6="Opto pelo Valor aplicado ao  Ano de cada Carro",SEM!AX269,0))),IF(E269=FROTA!$AT$17,IF('DEFINA!!!'!$L$6="D-E-F-I-N-A !!!!!!!",0,IF('DEFINA!!!'!$L$6="Opto por Idade Média",SEM!AW269,IF('DEFINA!!!'!$L$6="Opto pelo Valor aplicado ao  Ano de cada Carro",SEM!AX269,0))),IF(E269=FROTA!$AT$16,IF('DEFINA!!!'!$L$6="D-E-F-I-N-A !!!!!!!",0,IF('DEFINA!!!'!$L$6="Opto por Idade Média",SEM!AW269,IF('DEFINA!!!'!$L$6="Opto pelo Valor aplicado ao  Ano de cada Carro",SEM!AX269,0))),IF('DEFINA!!!'!$L$6="D-E-F-I-N-A !!!!!!!",0,IF('DEFINA!!!'!$L$6="Opto por Idade Média",SEM!AU269,IF('DEFINA!!!'!$L$6="Opto pelo Valor aplicado ao  Ano de cada Carro",SEM!AV269,0)))))))</f>
        <v/>
      </c>
      <c r="AL269" s="6"/>
      <c r="AM269" s="79" t="str">
        <f t="shared" si="82"/>
        <v/>
      </c>
      <c r="AR269" s="5"/>
      <c r="AU269" s="198" t="str">
        <f>IF(C269="","",VLOOKUP(FROTA!$AB$2,RECEBÍVEIS!$AA$11:$AB$43,2,0))</f>
        <v/>
      </c>
      <c r="AV269" s="198" t="str">
        <f>IF(C269="","",IF(C269=FROTA!Z269="","",VLOOKUP(FROTA!Z269,RECEBÍVEIS!$AA$11:$AB$43,2,0)))</f>
        <v/>
      </c>
      <c r="AW269" s="198" t="str">
        <f>IF(C269="","",VLOOKUP(FROTA!$AB$2,RECEBÍVEIS!$AA$11:$AC$43,3,0))</f>
        <v/>
      </c>
      <c r="AX269" s="198" t="str">
        <f>IF(C269="","",IF(C269=FROTA!Z269="","",VLOOKUP(FROTA!Z269,RECEBÍVEIS!$AA$11:$AC$43,3,0)))</f>
        <v/>
      </c>
    </row>
    <row r="270" spans="2:50" ht="17.25" customHeight="1" x14ac:dyDescent="0.2">
      <c r="B270" s="6"/>
      <c r="C270" s="49" t="str">
        <f>IF(FROTA!B270="","",FROTA!B270)</f>
        <v/>
      </c>
      <c r="D270" s="220" t="str">
        <f>IF(C270="","",VLOOKUP(SEM!C270,FROTA!$B$5:$C$305,2,0))</f>
        <v/>
      </c>
      <c r="E270" s="24" t="str">
        <f>IF(C270="","",VLOOKUP(C270,FROTA!$B$5:$H$305,7,0))</f>
        <v/>
      </c>
      <c r="F270" s="38" t="str">
        <f t="shared" si="73"/>
        <v/>
      </c>
      <c r="G270" s="71" t="str">
        <f t="shared" si="83"/>
        <v/>
      </c>
      <c r="H270" s="32" t="str">
        <f t="shared" si="70"/>
        <v/>
      </c>
      <c r="I270" s="73" t="str">
        <f t="shared" si="70"/>
        <v/>
      </c>
      <c r="J270" s="73" t="str">
        <f t="shared" si="70"/>
        <v/>
      </c>
      <c r="K270" s="73" t="str">
        <f t="shared" si="71"/>
        <v/>
      </c>
      <c r="L270" s="73" t="str">
        <f t="shared" si="71"/>
        <v/>
      </c>
      <c r="M270" s="73" t="str">
        <f t="shared" si="71"/>
        <v/>
      </c>
      <c r="N270" s="73" t="str">
        <f t="shared" si="71"/>
        <v/>
      </c>
      <c r="O270" s="73" t="str">
        <f t="shared" si="71"/>
        <v/>
      </c>
      <c r="P270" s="73" t="str">
        <f t="shared" si="71"/>
        <v/>
      </c>
      <c r="Q270" s="73" t="str">
        <f t="shared" si="71"/>
        <v/>
      </c>
      <c r="R270" s="73" t="str">
        <f t="shared" si="72"/>
        <v/>
      </c>
      <c r="S270" s="73" t="str">
        <f t="shared" si="72"/>
        <v/>
      </c>
      <c r="T270" s="73" t="str">
        <f t="shared" si="72"/>
        <v/>
      </c>
      <c r="U270" s="73" t="str">
        <f t="shared" si="72"/>
        <v/>
      </c>
      <c r="V270" s="73" t="str">
        <f t="shared" si="72"/>
        <v/>
      </c>
      <c r="W270" s="73" t="str">
        <f t="shared" si="72"/>
        <v/>
      </c>
      <c r="X270" s="73" t="str">
        <f t="shared" si="72"/>
        <v/>
      </c>
      <c r="Y270" s="73" t="str">
        <f t="shared" si="72"/>
        <v/>
      </c>
      <c r="Z270" s="73" t="str">
        <f t="shared" si="72"/>
        <v/>
      </c>
      <c r="AA270" s="73" t="str">
        <f t="shared" si="72"/>
        <v/>
      </c>
      <c r="AB270" s="74" t="str">
        <f t="shared" si="72"/>
        <v/>
      </c>
      <c r="AC270" s="35" t="str">
        <f t="shared" si="74"/>
        <v/>
      </c>
      <c r="AD270" s="40" t="str">
        <f t="shared" si="75"/>
        <v/>
      </c>
      <c r="AE270" s="37" t="str">
        <f t="shared" si="76"/>
        <v/>
      </c>
      <c r="AF270" s="40" t="str">
        <f t="shared" si="77"/>
        <v/>
      </c>
      <c r="AG270" s="37" t="str">
        <f t="shared" si="78"/>
        <v/>
      </c>
      <c r="AH270" s="40" t="str">
        <f t="shared" si="79"/>
        <v/>
      </c>
      <c r="AI270" s="37" t="str">
        <f t="shared" si="80"/>
        <v/>
      </c>
      <c r="AJ270" s="40" t="str">
        <f t="shared" si="81"/>
        <v/>
      </c>
      <c r="AK270" s="204" t="str">
        <f>IF(C270="","",IF(E270=FROTA!$AT$18,IF('DEFINA!!!'!$L$6="D-E-F-I-N-A !!!!!!!",0,IF('DEFINA!!!'!$L$6="Opto por Idade Média",SEM!AW270,IF('DEFINA!!!'!$L$6="Opto pelo Valor aplicado ao  Ano de cada Carro",SEM!AX270,0))),IF(E270=FROTA!$AT$17,IF('DEFINA!!!'!$L$6="D-E-F-I-N-A !!!!!!!",0,IF('DEFINA!!!'!$L$6="Opto por Idade Média",SEM!AW270,IF('DEFINA!!!'!$L$6="Opto pelo Valor aplicado ao  Ano de cada Carro",SEM!AX270,0))),IF(E270=FROTA!$AT$16,IF('DEFINA!!!'!$L$6="D-E-F-I-N-A !!!!!!!",0,IF('DEFINA!!!'!$L$6="Opto por Idade Média",SEM!AW270,IF('DEFINA!!!'!$L$6="Opto pelo Valor aplicado ao  Ano de cada Carro",SEM!AX270,0))),IF('DEFINA!!!'!$L$6="D-E-F-I-N-A !!!!!!!",0,IF('DEFINA!!!'!$L$6="Opto por Idade Média",SEM!AU270,IF('DEFINA!!!'!$L$6="Opto pelo Valor aplicado ao  Ano de cada Carro",SEM!AV270,0)))))))</f>
        <v/>
      </c>
      <c r="AL270" s="6"/>
      <c r="AM270" s="79" t="str">
        <f t="shared" si="82"/>
        <v/>
      </c>
      <c r="AR270" s="5"/>
      <c r="AU270" s="198" t="str">
        <f>IF(C270="","",VLOOKUP(FROTA!$AB$2,RECEBÍVEIS!$AA$11:$AB$43,2,0))</f>
        <v/>
      </c>
      <c r="AV270" s="198" t="str">
        <f>IF(C270="","",IF(C270=FROTA!Z270="","",VLOOKUP(FROTA!Z270,RECEBÍVEIS!$AA$11:$AB$43,2,0)))</f>
        <v/>
      </c>
      <c r="AW270" s="198" t="str">
        <f>IF(C270="","",VLOOKUP(FROTA!$AB$2,RECEBÍVEIS!$AA$11:$AC$43,3,0))</f>
        <v/>
      </c>
      <c r="AX270" s="198" t="str">
        <f>IF(C270="","",IF(C270=FROTA!Z270="","",VLOOKUP(FROTA!Z270,RECEBÍVEIS!$AA$11:$AC$43,3,0)))</f>
        <v/>
      </c>
    </row>
    <row r="271" spans="2:50" ht="17.25" customHeight="1" x14ac:dyDescent="0.2">
      <c r="B271" s="6"/>
      <c r="C271" s="49" t="str">
        <f>IF(FROTA!B271="","",FROTA!B271)</f>
        <v/>
      </c>
      <c r="D271" s="220" t="str">
        <f>IF(C271="","",VLOOKUP(SEM!C271,FROTA!$B$5:$C$305,2,0))</f>
        <v/>
      </c>
      <c r="E271" s="24" t="str">
        <f>IF(C271="","",VLOOKUP(C271,FROTA!$B$5:$H$305,7,0))</f>
        <v/>
      </c>
      <c r="F271" s="38" t="str">
        <f t="shared" si="73"/>
        <v/>
      </c>
      <c r="G271" s="71" t="str">
        <f t="shared" si="83"/>
        <v/>
      </c>
      <c r="H271" s="32" t="str">
        <f t="shared" si="70"/>
        <v/>
      </c>
      <c r="I271" s="73" t="str">
        <f t="shared" si="70"/>
        <v/>
      </c>
      <c r="J271" s="73" t="str">
        <f t="shared" si="70"/>
        <v/>
      </c>
      <c r="K271" s="73" t="str">
        <f t="shared" si="71"/>
        <v/>
      </c>
      <c r="L271" s="73" t="str">
        <f t="shared" si="71"/>
        <v/>
      </c>
      <c r="M271" s="73" t="str">
        <f t="shared" si="71"/>
        <v/>
      </c>
      <c r="N271" s="73" t="str">
        <f t="shared" si="71"/>
        <v/>
      </c>
      <c r="O271" s="73" t="str">
        <f t="shared" si="71"/>
        <v/>
      </c>
      <c r="P271" s="73" t="str">
        <f t="shared" si="71"/>
        <v/>
      </c>
      <c r="Q271" s="73" t="str">
        <f t="shared" si="71"/>
        <v/>
      </c>
      <c r="R271" s="73" t="str">
        <f t="shared" si="72"/>
        <v/>
      </c>
      <c r="S271" s="73" t="str">
        <f t="shared" si="72"/>
        <v/>
      </c>
      <c r="T271" s="73" t="str">
        <f t="shared" si="72"/>
        <v/>
      </c>
      <c r="U271" s="73" t="str">
        <f t="shared" si="72"/>
        <v/>
      </c>
      <c r="V271" s="73" t="str">
        <f t="shared" si="72"/>
        <v/>
      </c>
      <c r="W271" s="73" t="str">
        <f t="shared" si="72"/>
        <v/>
      </c>
      <c r="X271" s="73" t="str">
        <f t="shared" si="72"/>
        <v/>
      </c>
      <c r="Y271" s="73" t="str">
        <f t="shared" si="72"/>
        <v/>
      </c>
      <c r="Z271" s="73" t="str">
        <f t="shared" si="72"/>
        <v/>
      </c>
      <c r="AA271" s="73" t="str">
        <f t="shared" si="72"/>
        <v/>
      </c>
      <c r="AB271" s="74" t="str">
        <f t="shared" si="72"/>
        <v/>
      </c>
      <c r="AC271" s="35" t="str">
        <f t="shared" si="74"/>
        <v/>
      </c>
      <c r="AD271" s="40" t="str">
        <f t="shared" si="75"/>
        <v/>
      </c>
      <c r="AE271" s="37" t="str">
        <f t="shared" si="76"/>
        <v/>
      </c>
      <c r="AF271" s="40" t="str">
        <f t="shared" si="77"/>
        <v/>
      </c>
      <c r="AG271" s="37" t="str">
        <f t="shared" si="78"/>
        <v/>
      </c>
      <c r="AH271" s="40" t="str">
        <f t="shared" si="79"/>
        <v/>
      </c>
      <c r="AI271" s="37" t="str">
        <f t="shared" si="80"/>
        <v/>
      </c>
      <c r="AJ271" s="40" t="str">
        <f t="shared" si="81"/>
        <v/>
      </c>
      <c r="AK271" s="204" t="str">
        <f>IF(C271="","",IF(E271=FROTA!$AT$18,IF('DEFINA!!!'!$L$6="D-E-F-I-N-A !!!!!!!",0,IF('DEFINA!!!'!$L$6="Opto por Idade Média",SEM!AW271,IF('DEFINA!!!'!$L$6="Opto pelo Valor aplicado ao  Ano de cada Carro",SEM!AX271,0))),IF(E271=FROTA!$AT$17,IF('DEFINA!!!'!$L$6="D-E-F-I-N-A !!!!!!!",0,IF('DEFINA!!!'!$L$6="Opto por Idade Média",SEM!AW271,IF('DEFINA!!!'!$L$6="Opto pelo Valor aplicado ao  Ano de cada Carro",SEM!AX271,0))),IF(E271=FROTA!$AT$16,IF('DEFINA!!!'!$L$6="D-E-F-I-N-A !!!!!!!",0,IF('DEFINA!!!'!$L$6="Opto por Idade Média",SEM!AW271,IF('DEFINA!!!'!$L$6="Opto pelo Valor aplicado ao  Ano de cada Carro",SEM!AX271,0))),IF('DEFINA!!!'!$L$6="D-E-F-I-N-A !!!!!!!",0,IF('DEFINA!!!'!$L$6="Opto por Idade Média",SEM!AU271,IF('DEFINA!!!'!$L$6="Opto pelo Valor aplicado ao  Ano de cada Carro",SEM!AV271,0)))))))</f>
        <v/>
      </c>
      <c r="AL271" s="6"/>
      <c r="AM271" s="79" t="str">
        <f t="shared" si="82"/>
        <v/>
      </c>
      <c r="AR271" s="5"/>
      <c r="AU271" s="198" t="str">
        <f>IF(C271="","",VLOOKUP(FROTA!$AB$2,RECEBÍVEIS!$AA$11:$AB$43,2,0))</f>
        <v/>
      </c>
      <c r="AV271" s="198" t="str">
        <f>IF(C271="","",IF(C271=FROTA!Z271="","",VLOOKUP(FROTA!Z271,RECEBÍVEIS!$AA$11:$AB$43,2,0)))</f>
        <v/>
      </c>
      <c r="AW271" s="198" t="str">
        <f>IF(C271="","",VLOOKUP(FROTA!$AB$2,RECEBÍVEIS!$AA$11:$AC$43,3,0))</f>
        <v/>
      </c>
      <c r="AX271" s="198" t="str">
        <f>IF(C271="","",IF(C271=FROTA!Z271="","",VLOOKUP(FROTA!Z271,RECEBÍVEIS!$AA$11:$AC$43,3,0)))</f>
        <v/>
      </c>
    </row>
    <row r="272" spans="2:50" ht="17.25" customHeight="1" x14ac:dyDescent="0.2">
      <c r="B272" s="6"/>
      <c r="C272" s="49" t="str">
        <f>IF(FROTA!B272="","",FROTA!B272)</f>
        <v/>
      </c>
      <c r="D272" s="220" t="str">
        <f>IF(C272="","",VLOOKUP(SEM!C272,FROTA!$B$5:$C$305,2,0))</f>
        <v/>
      </c>
      <c r="E272" s="24" t="str">
        <f>IF(C272="","",VLOOKUP(C272,FROTA!$B$5:$H$305,7,0))</f>
        <v/>
      </c>
      <c r="F272" s="38" t="str">
        <f t="shared" si="73"/>
        <v/>
      </c>
      <c r="G272" s="71" t="str">
        <f t="shared" si="83"/>
        <v/>
      </c>
      <c r="H272" s="32" t="str">
        <f t="shared" si="70"/>
        <v/>
      </c>
      <c r="I272" s="73" t="str">
        <f t="shared" si="70"/>
        <v/>
      </c>
      <c r="J272" s="73" t="str">
        <f t="shared" si="70"/>
        <v/>
      </c>
      <c r="K272" s="73" t="str">
        <f t="shared" si="71"/>
        <v/>
      </c>
      <c r="L272" s="73" t="str">
        <f t="shared" si="71"/>
        <v/>
      </c>
      <c r="M272" s="73" t="str">
        <f t="shared" si="71"/>
        <v/>
      </c>
      <c r="N272" s="73" t="str">
        <f t="shared" si="71"/>
        <v/>
      </c>
      <c r="O272" s="73" t="str">
        <f t="shared" si="71"/>
        <v/>
      </c>
      <c r="P272" s="73" t="str">
        <f t="shared" si="71"/>
        <v/>
      </c>
      <c r="Q272" s="73" t="str">
        <f t="shared" si="71"/>
        <v/>
      </c>
      <c r="R272" s="73" t="str">
        <f t="shared" si="72"/>
        <v/>
      </c>
      <c r="S272" s="73" t="str">
        <f t="shared" si="72"/>
        <v/>
      </c>
      <c r="T272" s="73" t="str">
        <f t="shared" si="72"/>
        <v/>
      </c>
      <c r="U272" s="73" t="str">
        <f t="shared" si="72"/>
        <v/>
      </c>
      <c r="V272" s="73" t="str">
        <f t="shared" si="72"/>
        <v/>
      </c>
      <c r="W272" s="73" t="str">
        <f t="shared" si="72"/>
        <v/>
      </c>
      <c r="X272" s="73" t="str">
        <f t="shared" si="72"/>
        <v/>
      </c>
      <c r="Y272" s="73" t="str">
        <f t="shared" si="72"/>
        <v/>
      </c>
      <c r="Z272" s="73" t="str">
        <f t="shared" si="72"/>
        <v/>
      </c>
      <c r="AA272" s="73" t="str">
        <f t="shared" si="72"/>
        <v/>
      </c>
      <c r="AB272" s="74" t="str">
        <f t="shared" si="72"/>
        <v/>
      </c>
      <c r="AC272" s="35" t="str">
        <f t="shared" si="74"/>
        <v/>
      </c>
      <c r="AD272" s="40" t="str">
        <f t="shared" si="75"/>
        <v/>
      </c>
      <c r="AE272" s="37" t="str">
        <f t="shared" si="76"/>
        <v/>
      </c>
      <c r="AF272" s="40" t="str">
        <f t="shared" si="77"/>
        <v/>
      </c>
      <c r="AG272" s="37" t="str">
        <f t="shared" si="78"/>
        <v/>
      </c>
      <c r="AH272" s="40" t="str">
        <f t="shared" si="79"/>
        <v/>
      </c>
      <c r="AI272" s="37" t="str">
        <f t="shared" si="80"/>
        <v/>
      </c>
      <c r="AJ272" s="40" t="str">
        <f t="shared" si="81"/>
        <v/>
      </c>
      <c r="AK272" s="204" t="str">
        <f>IF(C272="","",IF(E272=FROTA!$AT$18,IF('DEFINA!!!'!$L$6="D-E-F-I-N-A !!!!!!!",0,IF('DEFINA!!!'!$L$6="Opto por Idade Média",SEM!AW272,IF('DEFINA!!!'!$L$6="Opto pelo Valor aplicado ao  Ano de cada Carro",SEM!AX272,0))),IF(E272=FROTA!$AT$17,IF('DEFINA!!!'!$L$6="D-E-F-I-N-A !!!!!!!",0,IF('DEFINA!!!'!$L$6="Opto por Idade Média",SEM!AW272,IF('DEFINA!!!'!$L$6="Opto pelo Valor aplicado ao  Ano de cada Carro",SEM!AX272,0))),IF(E272=FROTA!$AT$16,IF('DEFINA!!!'!$L$6="D-E-F-I-N-A !!!!!!!",0,IF('DEFINA!!!'!$L$6="Opto por Idade Média",SEM!AW272,IF('DEFINA!!!'!$L$6="Opto pelo Valor aplicado ao  Ano de cada Carro",SEM!AX272,0))),IF('DEFINA!!!'!$L$6="D-E-F-I-N-A !!!!!!!",0,IF('DEFINA!!!'!$L$6="Opto por Idade Média",SEM!AU272,IF('DEFINA!!!'!$L$6="Opto pelo Valor aplicado ao  Ano de cada Carro",SEM!AV272,0)))))))</f>
        <v/>
      </c>
      <c r="AL272" s="6"/>
      <c r="AM272" s="79" t="str">
        <f t="shared" si="82"/>
        <v/>
      </c>
      <c r="AR272" s="5"/>
      <c r="AU272" s="198" t="str">
        <f>IF(C272="","",VLOOKUP(FROTA!$AB$2,RECEBÍVEIS!$AA$11:$AB$43,2,0))</f>
        <v/>
      </c>
      <c r="AV272" s="198" t="str">
        <f>IF(C272="","",IF(C272=FROTA!Z272="","",VLOOKUP(FROTA!Z272,RECEBÍVEIS!$AA$11:$AB$43,2,0)))</f>
        <v/>
      </c>
      <c r="AW272" s="198" t="str">
        <f>IF(C272="","",VLOOKUP(FROTA!$AB$2,RECEBÍVEIS!$AA$11:$AC$43,3,0))</f>
        <v/>
      </c>
      <c r="AX272" s="198" t="str">
        <f>IF(C272="","",IF(C272=FROTA!Z272="","",VLOOKUP(FROTA!Z272,RECEBÍVEIS!$AA$11:$AC$43,3,0)))</f>
        <v/>
      </c>
    </row>
    <row r="273" spans="2:50" ht="17.25" customHeight="1" x14ac:dyDescent="0.2">
      <c r="B273" s="6"/>
      <c r="C273" s="49" t="str">
        <f>IF(FROTA!B273="","",FROTA!B273)</f>
        <v/>
      </c>
      <c r="D273" s="220" t="str">
        <f>IF(C273="","",VLOOKUP(SEM!C273,FROTA!$B$5:$C$305,2,0))</f>
        <v/>
      </c>
      <c r="E273" s="24" t="str">
        <f>IF(C273="","",VLOOKUP(C273,FROTA!$B$5:$H$305,7,0))</f>
        <v/>
      </c>
      <c r="F273" s="38" t="str">
        <f t="shared" si="73"/>
        <v/>
      </c>
      <c r="G273" s="71" t="str">
        <f t="shared" si="83"/>
        <v/>
      </c>
      <c r="H273" s="32" t="str">
        <f t="shared" si="70"/>
        <v/>
      </c>
      <c r="I273" s="73" t="str">
        <f t="shared" si="70"/>
        <v/>
      </c>
      <c r="J273" s="73" t="str">
        <f t="shared" si="70"/>
        <v/>
      </c>
      <c r="K273" s="73" t="str">
        <f t="shared" si="71"/>
        <v/>
      </c>
      <c r="L273" s="73" t="str">
        <f t="shared" si="71"/>
        <v/>
      </c>
      <c r="M273" s="73" t="str">
        <f t="shared" si="71"/>
        <v/>
      </c>
      <c r="N273" s="73" t="str">
        <f t="shared" si="71"/>
        <v/>
      </c>
      <c r="O273" s="73" t="str">
        <f t="shared" si="71"/>
        <v/>
      </c>
      <c r="P273" s="73" t="str">
        <f t="shared" si="71"/>
        <v/>
      </c>
      <c r="Q273" s="73" t="str">
        <f t="shared" si="71"/>
        <v/>
      </c>
      <c r="R273" s="73" t="str">
        <f t="shared" si="72"/>
        <v/>
      </c>
      <c r="S273" s="73" t="str">
        <f t="shared" si="72"/>
        <v/>
      </c>
      <c r="T273" s="73" t="str">
        <f t="shared" si="72"/>
        <v/>
      </c>
      <c r="U273" s="73" t="str">
        <f t="shared" si="72"/>
        <v/>
      </c>
      <c r="V273" s="73" t="str">
        <f t="shared" si="72"/>
        <v/>
      </c>
      <c r="W273" s="73" t="str">
        <f t="shared" si="72"/>
        <v/>
      </c>
      <c r="X273" s="73" t="str">
        <f t="shared" si="72"/>
        <v/>
      </c>
      <c r="Y273" s="73" t="str">
        <f t="shared" si="72"/>
        <v/>
      </c>
      <c r="Z273" s="73" t="str">
        <f t="shared" si="72"/>
        <v/>
      </c>
      <c r="AA273" s="73" t="str">
        <f t="shared" si="72"/>
        <v/>
      </c>
      <c r="AB273" s="74" t="str">
        <f t="shared" si="72"/>
        <v/>
      </c>
      <c r="AC273" s="35" t="str">
        <f t="shared" si="74"/>
        <v/>
      </c>
      <c r="AD273" s="40" t="str">
        <f t="shared" si="75"/>
        <v/>
      </c>
      <c r="AE273" s="37" t="str">
        <f t="shared" si="76"/>
        <v/>
      </c>
      <c r="AF273" s="40" t="str">
        <f t="shared" si="77"/>
        <v/>
      </c>
      <c r="AG273" s="37" t="str">
        <f t="shared" si="78"/>
        <v/>
      </c>
      <c r="AH273" s="40" t="str">
        <f t="shared" si="79"/>
        <v/>
      </c>
      <c r="AI273" s="37" t="str">
        <f t="shared" si="80"/>
        <v/>
      </c>
      <c r="AJ273" s="40" t="str">
        <f t="shared" si="81"/>
        <v/>
      </c>
      <c r="AK273" s="204" t="str">
        <f>IF(C273="","",IF(E273=FROTA!$AT$18,IF('DEFINA!!!'!$L$6="D-E-F-I-N-A !!!!!!!",0,IF('DEFINA!!!'!$L$6="Opto por Idade Média",SEM!AW273,IF('DEFINA!!!'!$L$6="Opto pelo Valor aplicado ao  Ano de cada Carro",SEM!AX273,0))),IF(E273=FROTA!$AT$17,IF('DEFINA!!!'!$L$6="D-E-F-I-N-A !!!!!!!",0,IF('DEFINA!!!'!$L$6="Opto por Idade Média",SEM!AW273,IF('DEFINA!!!'!$L$6="Opto pelo Valor aplicado ao  Ano de cada Carro",SEM!AX273,0))),IF(E273=FROTA!$AT$16,IF('DEFINA!!!'!$L$6="D-E-F-I-N-A !!!!!!!",0,IF('DEFINA!!!'!$L$6="Opto por Idade Média",SEM!AW273,IF('DEFINA!!!'!$L$6="Opto pelo Valor aplicado ao  Ano de cada Carro",SEM!AX273,0))),IF('DEFINA!!!'!$L$6="D-E-F-I-N-A !!!!!!!",0,IF('DEFINA!!!'!$L$6="Opto por Idade Média",SEM!AU273,IF('DEFINA!!!'!$L$6="Opto pelo Valor aplicado ao  Ano de cada Carro",SEM!AV273,0)))))))</f>
        <v/>
      </c>
      <c r="AL273" s="6"/>
      <c r="AM273" s="79" t="str">
        <f t="shared" si="82"/>
        <v/>
      </c>
      <c r="AR273" s="5"/>
      <c r="AU273" s="198" t="str">
        <f>IF(C273="","",VLOOKUP(FROTA!$AB$2,RECEBÍVEIS!$AA$11:$AB$43,2,0))</f>
        <v/>
      </c>
      <c r="AV273" s="198" t="str">
        <f>IF(C273="","",IF(C273=FROTA!Z273="","",VLOOKUP(FROTA!Z273,RECEBÍVEIS!$AA$11:$AB$43,2,0)))</f>
        <v/>
      </c>
      <c r="AW273" s="198" t="str">
        <f>IF(C273="","",VLOOKUP(FROTA!$AB$2,RECEBÍVEIS!$AA$11:$AC$43,3,0))</f>
        <v/>
      </c>
      <c r="AX273" s="198" t="str">
        <f>IF(C273="","",IF(C273=FROTA!Z273="","",VLOOKUP(FROTA!Z273,RECEBÍVEIS!$AA$11:$AC$43,3,0)))</f>
        <v/>
      </c>
    </row>
    <row r="274" spans="2:50" ht="17.25" customHeight="1" x14ac:dyDescent="0.2">
      <c r="B274" s="6"/>
      <c r="C274" s="49" t="str">
        <f>IF(FROTA!B274="","",FROTA!B274)</f>
        <v/>
      </c>
      <c r="D274" s="220" t="str">
        <f>IF(C274="","",VLOOKUP(SEM!C274,FROTA!$B$5:$C$305,2,0))</f>
        <v/>
      </c>
      <c r="E274" s="24" t="str">
        <f>IF(C274="","",VLOOKUP(C274,FROTA!$B$5:$H$305,7,0))</f>
        <v/>
      </c>
      <c r="F274" s="38" t="str">
        <f t="shared" si="73"/>
        <v/>
      </c>
      <c r="G274" s="71" t="str">
        <f t="shared" si="83"/>
        <v/>
      </c>
      <c r="H274" s="32" t="str">
        <f t="shared" si="70"/>
        <v/>
      </c>
      <c r="I274" s="73" t="str">
        <f t="shared" si="70"/>
        <v/>
      </c>
      <c r="J274" s="73" t="str">
        <f t="shared" si="70"/>
        <v/>
      </c>
      <c r="K274" s="73" t="str">
        <f t="shared" si="71"/>
        <v/>
      </c>
      <c r="L274" s="73" t="str">
        <f t="shared" si="71"/>
        <v/>
      </c>
      <c r="M274" s="73" t="str">
        <f t="shared" si="71"/>
        <v/>
      </c>
      <c r="N274" s="73" t="str">
        <f t="shared" si="71"/>
        <v/>
      </c>
      <c r="O274" s="73" t="str">
        <f t="shared" si="71"/>
        <v/>
      </c>
      <c r="P274" s="73" t="str">
        <f t="shared" si="71"/>
        <v/>
      </c>
      <c r="Q274" s="73" t="str">
        <f t="shared" si="71"/>
        <v/>
      </c>
      <c r="R274" s="73" t="str">
        <f t="shared" si="72"/>
        <v/>
      </c>
      <c r="S274" s="73" t="str">
        <f t="shared" si="72"/>
        <v/>
      </c>
      <c r="T274" s="73" t="str">
        <f t="shared" si="72"/>
        <v/>
      </c>
      <c r="U274" s="73" t="str">
        <f t="shared" si="72"/>
        <v/>
      </c>
      <c r="V274" s="73" t="str">
        <f t="shared" si="72"/>
        <v/>
      </c>
      <c r="W274" s="73" t="str">
        <f t="shared" si="72"/>
        <v/>
      </c>
      <c r="X274" s="73" t="str">
        <f t="shared" si="72"/>
        <v/>
      </c>
      <c r="Y274" s="73" t="str">
        <f t="shared" si="72"/>
        <v/>
      </c>
      <c r="Z274" s="73" t="str">
        <f t="shared" si="72"/>
        <v/>
      </c>
      <c r="AA274" s="73" t="str">
        <f t="shared" si="72"/>
        <v/>
      </c>
      <c r="AB274" s="74" t="str">
        <f t="shared" si="72"/>
        <v/>
      </c>
      <c r="AC274" s="35" t="str">
        <f t="shared" si="74"/>
        <v/>
      </c>
      <c r="AD274" s="40" t="str">
        <f t="shared" si="75"/>
        <v/>
      </c>
      <c r="AE274" s="37" t="str">
        <f t="shared" si="76"/>
        <v/>
      </c>
      <c r="AF274" s="40" t="str">
        <f t="shared" si="77"/>
        <v/>
      </c>
      <c r="AG274" s="37" t="str">
        <f t="shared" si="78"/>
        <v/>
      </c>
      <c r="AH274" s="40" t="str">
        <f t="shared" si="79"/>
        <v/>
      </c>
      <c r="AI274" s="37" t="str">
        <f t="shared" si="80"/>
        <v/>
      </c>
      <c r="AJ274" s="40" t="str">
        <f t="shared" si="81"/>
        <v/>
      </c>
      <c r="AK274" s="204" t="str">
        <f>IF(C274="","",IF(E274=FROTA!$AT$18,IF('DEFINA!!!'!$L$6="D-E-F-I-N-A !!!!!!!",0,IF('DEFINA!!!'!$L$6="Opto por Idade Média",SEM!AW274,IF('DEFINA!!!'!$L$6="Opto pelo Valor aplicado ao  Ano de cada Carro",SEM!AX274,0))),IF(E274=FROTA!$AT$17,IF('DEFINA!!!'!$L$6="D-E-F-I-N-A !!!!!!!",0,IF('DEFINA!!!'!$L$6="Opto por Idade Média",SEM!AW274,IF('DEFINA!!!'!$L$6="Opto pelo Valor aplicado ao  Ano de cada Carro",SEM!AX274,0))),IF(E274=FROTA!$AT$16,IF('DEFINA!!!'!$L$6="D-E-F-I-N-A !!!!!!!",0,IF('DEFINA!!!'!$L$6="Opto por Idade Média",SEM!AW274,IF('DEFINA!!!'!$L$6="Opto pelo Valor aplicado ao  Ano de cada Carro",SEM!AX274,0))),IF('DEFINA!!!'!$L$6="D-E-F-I-N-A !!!!!!!",0,IF('DEFINA!!!'!$L$6="Opto por Idade Média",SEM!AU274,IF('DEFINA!!!'!$L$6="Opto pelo Valor aplicado ao  Ano de cada Carro",SEM!AV274,0)))))))</f>
        <v/>
      </c>
      <c r="AL274" s="6"/>
      <c r="AM274" s="79" t="str">
        <f t="shared" si="82"/>
        <v/>
      </c>
      <c r="AR274" s="5"/>
      <c r="AU274" s="198" t="str">
        <f>IF(C274="","",VLOOKUP(FROTA!$AB$2,RECEBÍVEIS!$AA$11:$AB$43,2,0))</f>
        <v/>
      </c>
      <c r="AV274" s="198" t="str">
        <f>IF(C274="","",IF(C274=FROTA!Z274="","",VLOOKUP(FROTA!Z274,RECEBÍVEIS!$AA$11:$AB$43,2,0)))</f>
        <v/>
      </c>
      <c r="AW274" s="198" t="str">
        <f>IF(C274="","",VLOOKUP(FROTA!$AB$2,RECEBÍVEIS!$AA$11:$AC$43,3,0))</f>
        <v/>
      </c>
      <c r="AX274" s="198" t="str">
        <f>IF(C274="","",IF(C274=FROTA!Z274="","",VLOOKUP(FROTA!Z274,RECEBÍVEIS!$AA$11:$AC$43,3,0)))</f>
        <v/>
      </c>
    </row>
    <row r="275" spans="2:50" ht="17.25" customHeight="1" x14ac:dyDescent="0.2">
      <c r="B275" s="6"/>
      <c r="C275" s="49" t="str">
        <f>IF(FROTA!B275="","",FROTA!B275)</f>
        <v/>
      </c>
      <c r="D275" s="220" t="str">
        <f>IF(C275="","",VLOOKUP(SEM!C275,FROTA!$B$5:$C$305,2,0))</f>
        <v/>
      </c>
      <c r="E275" s="24" t="str">
        <f>IF(C275="","",VLOOKUP(C275,FROTA!$B$5:$H$305,7,0))</f>
        <v/>
      </c>
      <c r="F275" s="38" t="str">
        <f t="shared" si="73"/>
        <v/>
      </c>
      <c r="G275" s="71" t="str">
        <f t="shared" si="83"/>
        <v/>
      </c>
      <c r="H275" s="32" t="str">
        <f t="shared" si="70"/>
        <v/>
      </c>
      <c r="I275" s="73" t="str">
        <f t="shared" si="70"/>
        <v/>
      </c>
      <c r="J275" s="73" t="str">
        <f t="shared" si="70"/>
        <v/>
      </c>
      <c r="K275" s="73" t="str">
        <f t="shared" si="71"/>
        <v/>
      </c>
      <c r="L275" s="73" t="str">
        <f t="shared" si="71"/>
        <v/>
      </c>
      <c r="M275" s="73" t="str">
        <f t="shared" si="71"/>
        <v/>
      </c>
      <c r="N275" s="73" t="str">
        <f t="shared" si="71"/>
        <v/>
      </c>
      <c r="O275" s="73" t="str">
        <f t="shared" si="71"/>
        <v/>
      </c>
      <c r="P275" s="73" t="str">
        <f t="shared" si="71"/>
        <v/>
      </c>
      <c r="Q275" s="73" t="str">
        <f t="shared" si="71"/>
        <v/>
      </c>
      <c r="R275" s="73" t="str">
        <f t="shared" si="72"/>
        <v/>
      </c>
      <c r="S275" s="73" t="str">
        <f t="shared" si="72"/>
        <v/>
      </c>
      <c r="T275" s="73" t="str">
        <f t="shared" si="72"/>
        <v/>
      </c>
      <c r="U275" s="73" t="str">
        <f t="shared" si="72"/>
        <v/>
      </c>
      <c r="V275" s="73" t="str">
        <f t="shared" si="72"/>
        <v/>
      </c>
      <c r="W275" s="73" t="str">
        <f t="shared" si="72"/>
        <v/>
      </c>
      <c r="X275" s="73" t="str">
        <f t="shared" si="72"/>
        <v/>
      </c>
      <c r="Y275" s="73" t="str">
        <f t="shared" si="72"/>
        <v/>
      </c>
      <c r="Z275" s="73" t="str">
        <f t="shared" si="72"/>
        <v/>
      </c>
      <c r="AA275" s="73" t="str">
        <f t="shared" si="72"/>
        <v/>
      </c>
      <c r="AB275" s="74" t="str">
        <f t="shared" si="72"/>
        <v/>
      </c>
      <c r="AC275" s="35" t="str">
        <f t="shared" si="74"/>
        <v/>
      </c>
      <c r="AD275" s="40" t="str">
        <f t="shared" si="75"/>
        <v/>
      </c>
      <c r="AE275" s="37" t="str">
        <f t="shared" si="76"/>
        <v/>
      </c>
      <c r="AF275" s="40" t="str">
        <f t="shared" si="77"/>
        <v/>
      </c>
      <c r="AG275" s="37" t="str">
        <f t="shared" si="78"/>
        <v/>
      </c>
      <c r="AH275" s="40" t="str">
        <f t="shared" si="79"/>
        <v/>
      </c>
      <c r="AI275" s="37" t="str">
        <f t="shared" si="80"/>
        <v/>
      </c>
      <c r="AJ275" s="40" t="str">
        <f t="shared" si="81"/>
        <v/>
      </c>
      <c r="AK275" s="204" t="str">
        <f>IF(C275="","",IF(E275=FROTA!$AT$18,IF('DEFINA!!!'!$L$6="D-E-F-I-N-A !!!!!!!",0,IF('DEFINA!!!'!$L$6="Opto por Idade Média",SEM!AW275,IF('DEFINA!!!'!$L$6="Opto pelo Valor aplicado ao  Ano de cada Carro",SEM!AX275,0))),IF(E275=FROTA!$AT$17,IF('DEFINA!!!'!$L$6="D-E-F-I-N-A !!!!!!!",0,IF('DEFINA!!!'!$L$6="Opto por Idade Média",SEM!AW275,IF('DEFINA!!!'!$L$6="Opto pelo Valor aplicado ao  Ano de cada Carro",SEM!AX275,0))),IF(E275=FROTA!$AT$16,IF('DEFINA!!!'!$L$6="D-E-F-I-N-A !!!!!!!",0,IF('DEFINA!!!'!$L$6="Opto por Idade Média",SEM!AW275,IF('DEFINA!!!'!$L$6="Opto pelo Valor aplicado ao  Ano de cada Carro",SEM!AX275,0))),IF('DEFINA!!!'!$L$6="D-E-F-I-N-A !!!!!!!",0,IF('DEFINA!!!'!$L$6="Opto por Idade Média",SEM!AU275,IF('DEFINA!!!'!$L$6="Opto pelo Valor aplicado ao  Ano de cada Carro",SEM!AV275,0)))))))</f>
        <v/>
      </c>
      <c r="AL275" s="6"/>
      <c r="AM275" s="79" t="str">
        <f t="shared" si="82"/>
        <v/>
      </c>
      <c r="AR275" s="5"/>
      <c r="AU275" s="198" t="str">
        <f>IF(C275="","",VLOOKUP(FROTA!$AB$2,RECEBÍVEIS!$AA$11:$AB$43,2,0))</f>
        <v/>
      </c>
      <c r="AV275" s="198" t="str">
        <f>IF(C275="","",IF(C275=FROTA!Z275="","",VLOOKUP(FROTA!Z275,RECEBÍVEIS!$AA$11:$AB$43,2,0)))</f>
        <v/>
      </c>
      <c r="AW275" s="198" t="str">
        <f>IF(C275="","",VLOOKUP(FROTA!$AB$2,RECEBÍVEIS!$AA$11:$AC$43,3,0))</f>
        <v/>
      </c>
      <c r="AX275" s="198" t="str">
        <f>IF(C275="","",IF(C275=FROTA!Z275="","",VLOOKUP(FROTA!Z275,RECEBÍVEIS!$AA$11:$AC$43,3,0)))</f>
        <v/>
      </c>
    </row>
    <row r="276" spans="2:50" ht="17.25" customHeight="1" x14ac:dyDescent="0.2">
      <c r="B276" s="6"/>
      <c r="C276" s="49" t="str">
        <f>IF(FROTA!B276="","",FROTA!B276)</f>
        <v/>
      </c>
      <c r="D276" s="220" t="str">
        <f>IF(C276="","",VLOOKUP(SEM!C276,FROTA!$B$5:$C$305,2,0))</f>
        <v/>
      </c>
      <c r="E276" s="24" t="str">
        <f>IF(C276="","",VLOOKUP(C276,FROTA!$B$5:$H$305,7,0))</f>
        <v/>
      </c>
      <c r="F276" s="38" t="str">
        <f t="shared" si="73"/>
        <v/>
      </c>
      <c r="G276" s="71" t="str">
        <f t="shared" si="83"/>
        <v/>
      </c>
      <c r="H276" s="32" t="str">
        <f t="shared" si="70"/>
        <v/>
      </c>
      <c r="I276" s="73" t="str">
        <f t="shared" si="70"/>
        <v/>
      </c>
      <c r="J276" s="73" t="str">
        <f t="shared" si="70"/>
        <v/>
      </c>
      <c r="K276" s="73" t="str">
        <f t="shared" si="71"/>
        <v/>
      </c>
      <c r="L276" s="73" t="str">
        <f t="shared" si="71"/>
        <v/>
      </c>
      <c r="M276" s="73" t="str">
        <f t="shared" si="71"/>
        <v/>
      </c>
      <c r="N276" s="73" t="str">
        <f t="shared" si="71"/>
        <v/>
      </c>
      <c r="O276" s="73" t="str">
        <f t="shared" si="71"/>
        <v/>
      </c>
      <c r="P276" s="73" t="str">
        <f t="shared" si="71"/>
        <v/>
      </c>
      <c r="Q276" s="73" t="str">
        <f t="shared" si="71"/>
        <v/>
      </c>
      <c r="R276" s="73" t="str">
        <f t="shared" si="72"/>
        <v/>
      </c>
      <c r="S276" s="73" t="str">
        <f t="shared" si="72"/>
        <v/>
      </c>
      <c r="T276" s="73" t="str">
        <f t="shared" si="72"/>
        <v/>
      </c>
      <c r="U276" s="73" t="str">
        <f t="shared" si="72"/>
        <v/>
      </c>
      <c r="V276" s="73" t="str">
        <f t="shared" si="72"/>
        <v/>
      </c>
      <c r="W276" s="73" t="str">
        <f t="shared" si="72"/>
        <v/>
      </c>
      <c r="X276" s="73" t="str">
        <f t="shared" si="72"/>
        <v/>
      </c>
      <c r="Y276" s="73" t="str">
        <f t="shared" si="72"/>
        <v/>
      </c>
      <c r="Z276" s="73" t="str">
        <f t="shared" si="72"/>
        <v/>
      </c>
      <c r="AA276" s="73" t="str">
        <f t="shared" si="72"/>
        <v/>
      </c>
      <c r="AB276" s="74" t="str">
        <f t="shared" si="72"/>
        <v/>
      </c>
      <c r="AC276" s="35" t="str">
        <f t="shared" si="74"/>
        <v/>
      </c>
      <c r="AD276" s="40" t="str">
        <f t="shared" si="75"/>
        <v/>
      </c>
      <c r="AE276" s="37" t="str">
        <f t="shared" si="76"/>
        <v/>
      </c>
      <c r="AF276" s="40" t="str">
        <f t="shared" si="77"/>
        <v/>
      </c>
      <c r="AG276" s="37" t="str">
        <f t="shared" si="78"/>
        <v/>
      </c>
      <c r="AH276" s="40" t="str">
        <f t="shared" si="79"/>
        <v/>
      </c>
      <c r="AI276" s="37" t="str">
        <f t="shared" si="80"/>
        <v/>
      </c>
      <c r="AJ276" s="40" t="str">
        <f t="shared" si="81"/>
        <v/>
      </c>
      <c r="AK276" s="204" t="str">
        <f>IF(C276="","",IF(E276=FROTA!$AT$18,IF('DEFINA!!!'!$L$6="D-E-F-I-N-A !!!!!!!",0,IF('DEFINA!!!'!$L$6="Opto por Idade Média",SEM!AW276,IF('DEFINA!!!'!$L$6="Opto pelo Valor aplicado ao  Ano de cada Carro",SEM!AX276,0))),IF(E276=FROTA!$AT$17,IF('DEFINA!!!'!$L$6="D-E-F-I-N-A !!!!!!!",0,IF('DEFINA!!!'!$L$6="Opto por Idade Média",SEM!AW276,IF('DEFINA!!!'!$L$6="Opto pelo Valor aplicado ao  Ano de cada Carro",SEM!AX276,0))),IF(E276=FROTA!$AT$16,IF('DEFINA!!!'!$L$6="D-E-F-I-N-A !!!!!!!",0,IF('DEFINA!!!'!$L$6="Opto por Idade Média",SEM!AW276,IF('DEFINA!!!'!$L$6="Opto pelo Valor aplicado ao  Ano de cada Carro",SEM!AX276,0))),IF('DEFINA!!!'!$L$6="D-E-F-I-N-A !!!!!!!",0,IF('DEFINA!!!'!$L$6="Opto por Idade Média",SEM!AU276,IF('DEFINA!!!'!$L$6="Opto pelo Valor aplicado ao  Ano de cada Carro",SEM!AV276,0)))))))</f>
        <v/>
      </c>
      <c r="AL276" s="6"/>
      <c r="AM276" s="79" t="str">
        <f t="shared" si="82"/>
        <v/>
      </c>
      <c r="AR276" s="5"/>
      <c r="AU276" s="198" t="str">
        <f>IF(C276="","",VLOOKUP(FROTA!$AB$2,RECEBÍVEIS!$AA$11:$AB$43,2,0))</f>
        <v/>
      </c>
      <c r="AV276" s="198" t="str">
        <f>IF(C276="","",IF(C276=FROTA!Z276="","",VLOOKUP(FROTA!Z276,RECEBÍVEIS!$AA$11:$AB$43,2,0)))</f>
        <v/>
      </c>
      <c r="AW276" s="198" t="str">
        <f>IF(C276="","",VLOOKUP(FROTA!$AB$2,RECEBÍVEIS!$AA$11:$AC$43,3,0))</f>
        <v/>
      </c>
      <c r="AX276" s="198" t="str">
        <f>IF(C276="","",IF(C276=FROTA!Z276="","",VLOOKUP(FROTA!Z276,RECEBÍVEIS!$AA$11:$AC$43,3,0)))</f>
        <v/>
      </c>
    </row>
    <row r="277" spans="2:50" ht="17.25" customHeight="1" x14ac:dyDescent="0.2">
      <c r="B277" s="6"/>
      <c r="C277" s="49" t="str">
        <f>IF(FROTA!B277="","",FROTA!B277)</f>
        <v/>
      </c>
      <c r="D277" s="220" t="str">
        <f>IF(C277="","",VLOOKUP(SEM!C277,FROTA!$B$5:$C$305,2,0))</f>
        <v/>
      </c>
      <c r="E277" s="24" t="str">
        <f>IF(C277="","",VLOOKUP(C277,FROTA!$B$5:$H$305,7,0))</f>
        <v/>
      </c>
      <c r="F277" s="38" t="str">
        <f t="shared" si="73"/>
        <v/>
      </c>
      <c r="G277" s="71" t="str">
        <f t="shared" si="83"/>
        <v/>
      </c>
      <c r="H277" s="32" t="str">
        <f t="shared" si="70"/>
        <v/>
      </c>
      <c r="I277" s="73" t="str">
        <f t="shared" si="70"/>
        <v/>
      </c>
      <c r="J277" s="73" t="str">
        <f t="shared" si="70"/>
        <v/>
      </c>
      <c r="K277" s="73" t="str">
        <f t="shared" si="71"/>
        <v/>
      </c>
      <c r="L277" s="73" t="str">
        <f t="shared" si="71"/>
        <v/>
      </c>
      <c r="M277" s="73" t="str">
        <f t="shared" si="71"/>
        <v/>
      </c>
      <c r="N277" s="73" t="str">
        <f t="shared" si="71"/>
        <v/>
      </c>
      <c r="O277" s="73" t="str">
        <f t="shared" si="71"/>
        <v/>
      </c>
      <c r="P277" s="73" t="str">
        <f t="shared" si="71"/>
        <v/>
      </c>
      <c r="Q277" s="73" t="str">
        <f t="shared" si="71"/>
        <v/>
      </c>
      <c r="R277" s="73" t="str">
        <f t="shared" si="72"/>
        <v/>
      </c>
      <c r="S277" s="73" t="str">
        <f t="shared" si="72"/>
        <v/>
      </c>
      <c r="T277" s="73" t="str">
        <f t="shared" si="72"/>
        <v/>
      </c>
      <c r="U277" s="73" t="str">
        <f t="shared" si="72"/>
        <v/>
      </c>
      <c r="V277" s="73" t="str">
        <f t="shared" si="72"/>
        <v/>
      </c>
      <c r="W277" s="73" t="str">
        <f t="shared" si="72"/>
        <v/>
      </c>
      <c r="X277" s="73" t="str">
        <f t="shared" si="72"/>
        <v/>
      </c>
      <c r="Y277" s="73" t="str">
        <f t="shared" si="72"/>
        <v/>
      </c>
      <c r="Z277" s="73" t="str">
        <f t="shared" si="72"/>
        <v/>
      </c>
      <c r="AA277" s="73" t="str">
        <f t="shared" si="72"/>
        <v/>
      </c>
      <c r="AB277" s="74" t="str">
        <f t="shared" si="72"/>
        <v/>
      </c>
      <c r="AC277" s="35" t="str">
        <f t="shared" si="74"/>
        <v/>
      </c>
      <c r="AD277" s="40" t="str">
        <f t="shared" si="75"/>
        <v/>
      </c>
      <c r="AE277" s="37" t="str">
        <f t="shared" si="76"/>
        <v/>
      </c>
      <c r="AF277" s="40" t="str">
        <f t="shared" si="77"/>
        <v/>
      </c>
      <c r="AG277" s="37" t="str">
        <f t="shared" si="78"/>
        <v/>
      </c>
      <c r="AH277" s="40" t="str">
        <f t="shared" si="79"/>
        <v/>
      </c>
      <c r="AI277" s="37" t="str">
        <f t="shared" si="80"/>
        <v/>
      </c>
      <c r="AJ277" s="40" t="str">
        <f t="shared" si="81"/>
        <v/>
      </c>
      <c r="AK277" s="204" t="str">
        <f>IF(C277="","",IF(E277=FROTA!$AT$18,IF('DEFINA!!!'!$L$6="D-E-F-I-N-A !!!!!!!",0,IF('DEFINA!!!'!$L$6="Opto por Idade Média",SEM!AW277,IF('DEFINA!!!'!$L$6="Opto pelo Valor aplicado ao  Ano de cada Carro",SEM!AX277,0))),IF(E277=FROTA!$AT$17,IF('DEFINA!!!'!$L$6="D-E-F-I-N-A !!!!!!!",0,IF('DEFINA!!!'!$L$6="Opto por Idade Média",SEM!AW277,IF('DEFINA!!!'!$L$6="Opto pelo Valor aplicado ao  Ano de cada Carro",SEM!AX277,0))),IF(E277=FROTA!$AT$16,IF('DEFINA!!!'!$L$6="D-E-F-I-N-A !!!!!!!",0,IF('DEFINA!!!'!$L$6="Opto por Idade Média",SEM!AW277,IF('DEFINA!!!'!$L$6="Opto pelo Valor aplicado ao  Ano de cada Carro",SEM!AX277,0))),IF('DEFINA!!!'!$L$6="D-E-F-I-N-A !!!!!!!",0,IF('DEFINA!!!'!$L$6="Opto por Idade Média",SEM!AU277,IF('DEFINA!!!'!$L$6="Opto pelo Valor aplicado ao  Ano de cada Carro",SEM!AV277,0)))))))</f>
        <v/>
      </c>
      <c r="AL277" s="6"/>
      <c r="AM277" s="79" t="str">
        <f t="shared" si="82"/>
        <v/>
      </c>
      <c r="AR277" s="5"/>
      <c r="AU277" s="198" t="str">
        <f>IF(C277="","",VLOOKUP(FROTA!$AB$2,RECEBÍVEIS!$AA$11:$AB$43,2,0))</f>
        <v/>
      </c>
      <c r="AV277" s="198" t="str">
        <f>IF(C277="","",IF(C277=FROTA!Z277="","",VLOOKUP(FROTA!Z277,RECEBÍVEIS!$AA$11:$AB$43,2,0)))</f>
        <v/>
      </c>
      <c r="AW277" s="198" t="str">
        <f>IF(C277="","",VLOOKUP(FROTA!$AB$2,RECEBÍVEIS!$AA$11:$AC$43,3,0))</f>
        <v/>
      </c>
      <c r="AX277" s="198" t="str">
        <f>IF(C277="","",IF(C277=FROTA!Z277="","",VLOOKUP(FROTA!Z277,RECEBÍVEIS!$AA$11:$AC$43,3,0)))</f>
        <v/>
      </c>
    </row>
    <row r="278" spans="2:50" ht="17.25" customHeight="1" x14ac:dyDescent="0.2">
      <c r="B278" s="6"/>
      <c r="C278" s="49" t="str">
        <f>IF(FROTA!B278="","",FROTA!B278)</f>
        <v/>
      </c>
      <c r="D278" s="220" t="str">
        <f>IF(C278="","",VLOOKUP(SEM!C278,FROTA!$B$5:$C$305,2,0))</f>
        <v/>
      </c>
      <c r="E278" s="24" t="str">
        <f>IF(C278="","",VLOOKUP(C278,FROTA!$B$5:$H$305,7,0))</f>
        <v/>
      </c>
      <c r="F278" s="38" t="str">
        <f t="shared" si="73"/>
        <v/>
      </c>
      <c r="G278" s="71" t="str">
        <f t="shared" si="83"/>
        <v/>
      </c>
      <c r="H278" s="32" t="str">
        <f t="shared" si="70"/>
        <v/>
      </c>
      <c r="I278" s="73" t="str">
        <f t="shared" si="70"/>
        <v/>
      </c>
      <c r="J278" s="73" t="str">
        <f t="shared" si="70"/>
        <v/>
      </c>
      <c r="K278" s="73" t="str">
        <f t="shared" si="71"/>
        <v/>
      </c>
      <c r="L278" s="73" t="str">
        <f t="shared" si="71"/>
        <v/>
      </c>
      <c r="M278" s="73" t="str">
        <f t="shared" si="71"/>
        <v/>
      </c>
      <c r="N278" s="73" t="str">
        <f t="shared" si="71"/>
        <v/>
      </c>
      <c r="O278" s="73" t="str">
        <f t="shared" si="71"/>
        <v/>
      </c>
      <c r="P278" s="73" t="str">
        <f t="shared" si="71"/>
        <v/>
      </c>
      <c r="Q278" s="73" t="str">
        <f t="shared" si="71"/>
        <v/>
      </c>
      <c r="R278" s="73" t="str">
        <f t="shared" si="72"/>
        <v/>
      </c>
      <c r="S278" s="73" t="str">
        <f t="shared" si="72"/>
        <v/>
      </c>
      <c r="T278" s="73" t="str">
        <f t="shared" si="72"/>
        <v/>
      </c>
      <c r="U278" s="73" t="str">
        <f t="shared" si="72"/>
        <v/>
      </c>
      <c r="V278" s="73" t="str">
        <f t="shared" si="72"/>
        <v/>
      </c>
      <c r="W278" s="73" t="str">
        <f t="shared" si="72"/>
        <v/>
      </c>
      <c r="X278" s="73" t="str">
        <f t="shared" si="72"/>
        <v/>
      </c>
      <c r="Y278" s="73" t="str">
        <f t="shared" si="72"/>
        <v/>
      </c>
      <c r="Z278" s="73" t="str">
        <f t="shared" si="72"/>
        <v/>
      </c>
      <c r="AA278" s="73" t="str">
        <f t="shared" si="72"/>
        <v/>
      </c>
      <c r="AB278" s="74" t="str">
        <f t="shared" si="72"/>
        <v/>
      </c>
      <c r="AC278" s="35" t="str">
        <f t="shared" si="74"/>
        <v/>
      </c>
      <c r="AD278" s="40" t="str">
        <f t="shared" si="75"/>
        <v/>
      </c>
      <c r="AE278" s="37" t="str">
        <f t="shared" si="76"/>
        <v/>
      </c>
      <c r="AF278" s="40" t="str">
        <f t="shared" si="77"/>
        <v/>
      </c>
      <c r="AG278" s="37" t="str">
        <f t="shared" si="78"/>
        <v/>
      </c>
      <c r="AH278" s="40" t="str">
        <f t="shared" si="79"/>
        <v/>
      </c>
      <c r="AI278" s="37" t="str">
        <f t="shared" si="80"/>
        <v/>
      </c>
      <c r="AJ278" s="40" t="str">
        <f t="shared" si="81"/>
        <v/>
      </c>
      <c r="AK278" s="204" t="str">
        <f>IF(C278="","",IF(E278=FROTA!$AT$18,IF('DEFINA!!!'!$L$6="D-E-F-I-N-A !!!!!!!",0,IF('DEFINA!!!'!$L$6="Opto por Idade Média",SEM!AW278,IF('DEFINA!!!'!$L$6="Opto pelo Valor aplicado ao  Ano de cada Carro",SEM!AX278,0))),IF(E278=FROTA!$AT$17,IF('DEFINA!!!'!$L$6="D-E-F-I-N-A !!!!!!!",0,IF('DEFINA!!!'!$L$6="Opto por Idade Média",SEM!AW278,IF('DEFINA!!!'!$L$6="Opto pelo Valor aplicado ao  Ano de cada Carro",SEM!AX278,0))),IF(E278=FROTA!$AT$16,IF('DEFINA!!!'!$L$6="D-E-F-I-N-A !!!!!!!",0,IF('DEFINA!!!'!$L$6="Opto por Idade Média",SEM!AW278,IF('DEFINA!!!'!$L$6="Opto pelo Valor aplicado ao  Ano de cada Carro",SEM!AX278,0))),IF('DEFINA!!!'!$L$6="D-E-F-I-N-A !!!!!!!",0,IF('DEFINA!!!'!$L$6="Opto por Idade Média",SEM!AU278,IF('DEFINA!!!'!$L$6="Opto pelo Valor aplicado ao  Ano de cada Carro",SEM!AV278,0)))))))</f>
        <v/>
      </c>
      <c r="AL278" s="6"/>
      <c r="AM278" s="79" t="str">
        <f t="shared" si="82"/>
        <v/>
      </c>
      <c r="AR278" s="5"/>
      <c r="AU278" s="198" t="str">
        <f>IF(C278="","",VLOOKUP(FROTA!$AB$2,RECEBÍVEIS!$AA$11:$AB$43,2,0))</f>
        <v/>
      </c>
      <c r="AV278" s="198" t="str">
        <f>IF(C278="","",IF(C278=FROTA!Z278="","",VLOOKUP(FROTA!Z278,RECEBÍVEIS!$AA$11:$AB$43,2,0)))</f>
        <v/>
      </c>
      <c r="AW278" s="198" t="str">
        <f>IF(C278="","",VLOOKUP(FROTA!$AB$2,RECEBÍVEIS!$AA$11:$AC$43,3,0))</f>
        <v/>
      </c>
      <c r="AX278" s="198" t="str">
        <f>IF(C278="","",IF(C278=FROTA!Z278="","",VLOOKUP(FROTA!Z278,RECEBÍVEIS!$AA$11:$AC$43,3,0)))</f>
        <v/>
      </c>
    </row>
    <row r="279" spans="2:50" ht="17.25" customHeight="1" x14ac:dyDescent="0.2">
      <c r="B279" s="6"/>
      <c r="C279" s="49" t="str">
        <f>IF(FROTA!B279="","",FROTA!B279)</f>
        <v/>
      </c>
      <c r="D279" s="220" t="str">
        <f>IF(C279="","",VLOOKUP(SEM!C279,FROTA!$B$5:$C$305,2,0))</f>
        <v/>
      </c>
      <c r="E279" s="24" t="str">
        <f>IF(C279="","",VLOOKUP(C279,FROTA!$B$5:$H$305,7,0))</f>
        <v/>
      </c>
      <c r="F279" s="38" t="str">
        <f t="shared" si="73"/>
        <v/>
      </c>
      <c r="G279" s="71" t="str">
        <f t="shared" si="83"/>
        <v/>
      </c>
      <c r="H279" s="32" t="str">
        <f t="shared" si="70"/>
        <v/>
      </c>
      <c r="I279" s="73" t="str">
        <f t="shared" si="70"/>
        <v/>
      </c>
      <c r="J279" s="73" t="str">
        <f t="shared" si="70"/>
        <v/>
      </c>
      <c r="K279" s="73" t="str">
        <f t="shared" si="71"/>
        <v/>
      </c>
      <c r="L279" s="73" t="str">
        <f t="shared" si="71"/>
        <v/>
      </c>
      <c r="M279" s="73" t="str">
        <f t="shared" si="71"/>
        <v/>
      </c>
      <c r="N279" s="73" t="str">
        <f t="shared" si="71"/>
        <v/>
      </c>
      <c r="O279" s="73" t="str">
        <f t="shared" si="71"/>
        <v/>
      </c>
      <c r="P279" s="73" t="str">
        <f t="shared" si="71"/>
        <v/>
      </c>
      <c r="Q279" s="73" t="str">
        <f t="shared" si="71"/>
        <v/>
      </c>
      <c r="R279" s="73" t="str">
        <f t="shared" si="72"/>
        <v/>
      </c>
      <c r="S279" s="73" t="str">
        <f t="shared" si="72"/>
        <v/>
      </c>
      <c r="T279" s="73" t="str">
        <f t="shared" si="72"/>
        <v/>
      </c>
      <c r="U279" s="73" t="str">
        <f t="shared" si="72"/>
        <v/>
      </c>
      <c r="V279" s="73" t="str">
        <f t="shared" si="72"/>
        <v/>
      </c>
      <c r="W279" s="73" t="str">
        <f t="shared" si="72"/>
        <v/>
      </c>
      <c r="X279" s="73" t="str">
        <f t="shared" si="72"/>
        <v/>
      </c>
      <c r="Y279" s="73" t="str">
        <f t="shared" si="72"/>
        <v/>
      </c>
      <c r="Z279" s="73" t="str">
        <f t="shared" si="72"/>
        <v/>
      </c>
      <c r="AA279" s="73" t="str">
        <f t="shared" si="72"/>
        <v/>
      </c>
      <c r="AB279" s="74" t="str">
        <f t="shared" si="72"/>
        <v/>
      </c>
      <c r="AC279" s="35" t="str">
        <f t="shared" si="74"/>
        <v/>
      </c>
      <c r="AD279" s="40" t="str">
        <f t="shared" si="75"/>
        <v/>
      </c>
      <c r="AE279" s="37" t="str">
        <f t="shared" si="76"/>
        <v/>
      </c>
      <c r="AF279" s="40" t="str">
        <f t="shared" si="77"/>
        <v/>
      </c>
      <c r="AG279" s="37" t="str">
        <f t="shared" si="78"/>
        <v/>
      </c>
      <c r="AH279" s="40" t="str">
        <f t="shared" si="79"/>
        <v/>
      </c>
      <c r="AI279" s="37" t="str">
        <f t="shared" si="80"/>
        <v/>
      </c>
      <c r="AJ279" s="40" t="str">
        <f t="shared" si="81"/>
        <v/>
      </c>
      <c r="AK279" s="204" t="str">
        <f>IF(C279="","",IF(E279=FROTA!$AT$18,IF('DEFINA!!!'!$L$6="D-E-F-I-N-A !!!!!!!",0,IF('DEFINA!!!'!$L$6="Opto por Idade Média",SEM!AW279,IF('DEFINA!!!'!$L$6="Opto pelo Valor aplicado ao  Ano de cada Carro",SEM!AX279,0))),IF(E279=FROTA!$AT$17,IF('DEFINA!!!'!$L$6="D-E-F-I-N-A !!!!!!!",0,IF('DEFINA!!!'!$L$6="Opto por Idade Média",SEM!AW279,IF('DEFINA!!!'!$L$6="Opto pelo Valor aplicado ao  Ano de cada Carro",SEM!AX279,0))),IF(E279=FROTA!$AT$16,IF('DEFINA!!!'!$L$6="D-E-F-I-N-A !!!!!!!",0,IF('DEFINA!!!'!$L$6="Opto por Idade Média",SEM!AW279,IF('DEFINA!!!'!$L$6="Opto pelo Valor aplicado ao  Ano de cada Carro",SEM!AX279,0))),IF('DEFINA!!!'!$L$6="D-E-F-I-N-A !!!!!!!",0,IF('DEFINA!!!'!$L$6="Opto por Idade Média",SEM!AU279,IF('DEFINA!!!'!$L$6="Opto pelo Valor aplicado ao  Ano de cada Carro",SEM!AV279,0)))))))</f>
        <v/>
      </c>
      <c r="AL279" s="6"/>
      <c r="AM279" s="79" t="str">
        <f t="shared" si="82"/>
        <v/>
      </c>
      <c r="AR279" s="5"/>
      <c r="AU279" s="198" t="str">
        <f>IF(C279="","",VLOOKUP(FROTA!$AB$2,RECEBÍVEIS!$AA$11:$AB$43,2,0))</f>
        <v/>
      </c>
      <c r="AV279" s="198" t="str">
        <f>IF(C279="","",IF(C279=FROTA!Z279="","",VLOOKUP(FROTA!Z279,RECEBÍVEIS!$AA$11:$AB$43,2,0)))</f>
        <v/>
      </c>
      <c r="AW279" s="198" t="str">
        <f>IF(C279="","",VLOOKUP(FROTA!$AB$2,RECEBÍVEIS!$AA$11:$AC$43,3,0))</f>
        <v/>
      </c>
      <c r="AX279" s="198" t="str">
        <f>IF(C279="","",IF(C279=FROTA!Z279="","",VLOOKUP(FROTA!Z279,RECEBÍVEIS!$AA$11:$AC$43,3,0)))</f>
        <v/>
      </c>
    </row>
    <row r="280" spans="2:50" ht="17.25" customHeight="1" x14ac:dyDescent="0.2">
      <c r="B280" s="6"/>
      <c r="C280" s="49" t="str">
        <f>IF(FROTA!B280="","",FROTA!B280)</f>
        <v/>
      </c>
      <c r="D280" s="220" t="str">
        <f>IF(C280="","",VLOOKUP(SEM!C280,FROTA!$B$5:$C$305,2,0))</f>
        <v/>
      </c>
      <c r="E280" s="24" t="str">
        <f>IF(C280="","",VLOOKUP(C280,FROTA!$B$5:$H$305,7,0))</f>
        <v/>
      </c>
      <c r="F280" s="38" t="str">
        <f t="shared" si="73"/>
        <v/>
      </c>
      <c r="G280" s="71" t="str">
        <f t="shared" si="83"/>
        <v/>
      </c>
      <c r="H280" s="32" t="str">
        <f t="shared" si="70"/>
        <v/>
      </c>
      <c r="I280" s="73" t="str">
        <f t="shared" si="70"/>
        <v/>
      </c>
      <c r="J280" s="73" t="str">
        <f t="shared" si="70"/>
        <v/>
      </c>
      <c r="K280" s="73" t="str">
        <f t="shared" si="71"/>
        <v/>
      </c>
      <c r="L280" s="73" t="str">
        <f t="shared" si="71"/>
        <v/>
      </c>
      <c r="M280" s="73" t="str">
        <f t="shared" si="71"/>
        <v/>
      </c>
      <c r="N280" s="73" t="str">
        <f t="shared" si="71"/>
        <v/>
      </c>
      <c r="O280" s="73" t="str">
        <f t="shared" si="71"/>
        <v/>
      </c>
      <c r="P280" s="73" t="str">
        <f t="shared" si="71"/>
        <v/>
      </c>
      <c r="Q280" s="73" t="str">
        <f t="shared" si="71"/>
        <v/>
      </c>
      <c r="R280" s="73" t="str">
        <f t="shared" si="71"/>
        <v/>
      </c>
      <c r="S280" s="73" t="str">
        <f t="shared" si="71"/>
        <v/>
      </c>
      <c r="T280" s="73" t="str">
        <f t="shared" si="71"/>
        <v/>
      </c>
      <c r="U280" s="73" t="str">
        <f t="shared" si="71"/>
        <v/>
      </c>
      <c r="V280" s="73" t="str">
        <f t="shared" si="71"/>
        <v/>
      </c>
      <c r="W280" s="73" t="str">
        <f t="shared" si="71"/>
        <v/>
      </c>
      <c r="X280" s="73" t="str">
        <f t="shared" si="71"/>
        <v/>
      </c>
      <c r="Y280" s="73" t="str">
        <f t="shared" si="71"/>
        <v/>
      </c>
      <c r="Z280" s="73" t="str">
        <f t="shared" si="71"/>
        <v/>
      </c>
      <c r="AA280" s="73" t="str">
        <f t="shared" ref="R280:AB303" si="84">IF($C280="","",IF(SUM(AA$307*$G280)&gt;$F280,$F280,SUM(AA$307*$G280)))</f>
        <v/>
      </c>
      <c r="AB280" s="74" t="str">
        <f t="shared" si="84"/>
        <v/>
      </c>
      <c r="AC280" s="35" t="str">
        <f t="shared" si="74"/>
        <v/>
      </c>
      <c r="AD280" s="40" t="str">
        <f t="shared" si="75"/>
        <v/>
      </c>
      <c r="AE280" s="37" t="str">
        <f t="shared" si="76"/>
        <v/>
      </c>
      <c r="AF280" s="40" t="str">
        <f t="shared" si="77"/>
        <v/>
      </c>
      <c r="AG280" s="37" t="str">
        <f t="shared" si="78"/>
        <v/>
      </c>
      <c r="AH280" s="40" t="str">
        <f t="shared" si="79"/>
        <v/>
      </c>
      <c r="AI280" s="37" t="str">
        <f t="shared" si="80"/>
        <v/>
      </c>
      <c r="AJ280" s="40" t="str">
        <f t="shared" si="81"/>
        <v/>
      </c>
      <c r="AK280" s="204" t="str">
        <f>IF(C280="","",IF(E280=FROTA!$AT$18,IF('DEFINA!!!'!$L$6="D-E-F-I-N-A !!!!!!!",0,IF('DEFINA!!!'!$L$6="Opto por Idade Média",SEM!AW280,IF('DEFINA!!!'!$L$6="Opto pelo Valor aplicado ao  Ano de cada Carro",SEM!AX280,0))),IF(E280=FROTA!$AT$17,IF('DEFINA!!!'!$L$6="D-E-F-I-N-A !!!!!!!",0,IF('DEFINA!!!'!$L$6="Opto por Idade Média",SEM!AW280,IF('DEFINA!!!'!$L$6="Opto pelo Valor aplicado ao  Ano de cada Carro",SEM!AX280,0))),IF(E280=FROTA!$AT$16,IF('DEFINA!!!'!$L$6="D-E-F-I-N-A !!!!!!!",0,IF('DEFINA!!!'!$L$6="Opto por Idade Média",SEM!AW280,IF('DEFINA!!!'!$L$6="Opto pelo Valor aplicado ao  Ano de cada Carro",SEM!AX280,0))),IF('DEFINA!!!'!$L$6="D-E-F-I-N-A !!!!!!!",0,IF('DEFINA!!!'!$L$6="Opto por Idade Média",SEM!AU280,IF('DEFINA!!!'!$L$6="Opto pelo Valor aplicado ao  Ano de cada Carro",SEM!AV280,0)))))))</f>
        <v/>
      </c>
      <c r="AL280" s="6"/>
      <c r="AM280" s="79" t="str">
        <f t="shared" si="82"/>
        <v/>
      </c>
      <c r="AR280" s="5"/>
      <c r="AU280" s="198" t="str">
        <f>IF(C280="","",VLOOKUP(FROTA!$AB$2,RECEBÍVEIS!$AA$11:$AB$43,2,0))</f>
        <v/>
      </c>
      <c r="AV280" s="198" t="str">
        <f>IF(C280="","",IF(C280=FROTA!Z280="","",VLOOKUP(FROTA!Z280,RECEBÍVEIS!$AA$11:$AB$43,2,0)))</f>
        <v/>
      </c>
      <c r="AW280" s="198" t="str">
        <f>IF(C280="","",VLOOKUP(FROTA!$AB$2,RECEBÍVEIS!$AA$11:$AC$43,3,0))</f>
        <v/>
      </c>
      <c r="AX280" s="198" t="str">
        <f>IF(C280="","",IF(C280=FROTA!Z280="","",VLOOKUP(FROTA!Z280,RECEBÍVEIS!$AA$11:$AC$43,3,0)))</f>
        <v/>
      </c>
    </row>
    <row r="281" spans="2:50" ht="17.25" customHeight="1" x14ac:dyDescent="0.2">
      <c r="B281" s="6"/>
      <c r="C281" s="49" t="str">
        <f>IF(FROTA!B281="","",FROTA!B281)</f>
        <v/>
      </c>
      <c r="D281" s="220" t="str">
        <f>IF(C281="","",VLOOKUP(SEM!C281,FROTA!$B$5:$C$305,2,0))</f>
        <v/>
      </c>
      <c r="E281" s="24" t="str">
        <f>IF(C281="","",VLOOKUP(C281,FROTA!$B$5:$H$305,7,0))</f>
        <v/>
      </c>
      <c r="F281" s="38" t="str">
        <f t="shared" si="73"/>
        <v/>
      </c>
      <c r="G281" s="71" t="str">
        <f t="shared" si="83"/>
        <v/>
      </c>
      <c r="H281" s="32" t="str">
        <f t="shared" si="70"/>
        <v/>
      </c>
      <c r="I281" s="73" t="str">
        <f t="shared" si="70"/>
        <v/>
      </c>
      <c r="J281" s="73" t="str">
        <f t="shared" si="70"/>
        <v/>
      </c>
      <c r="K281" s="73" t="str">
        <f t="shared" si="71"/>
        <v/>
      </c>
      <c r="L281" s="73" t="str">
        <f t="shared" si="71"/>
        <v/>
      </c>
      <c r="M281" s="73" t="str">
        <f t="shared" si="71"/>
        <v/>
      </c>
      <c r="N281" s="73" t="str">
        <f t="shared" si="71"/>
        <v/>
      </c>
      <c r="O281" s="73" t="str">
        <f t="shared" si="71"/>
        <v/>
      </c>
      <c r="P281" s="73" t="str">
        <f t="shared" si="71"/>
        <v/>
      </c>
      <c r="Q281" s="73" t="str">
        <f t="shared" si="71"/>
        <v/>
      </c>
      <c r="R281" s="73" t="str">
        <f t="shared" si="84"/>
        <v/>
      </c>
      <c r="S281" s="73" t="str">
        <f t="shared" si="84"/>
        <v/>
      </c>
      <c r="T281" s="73" t="str">
        <f t="shared" si="84"/>
        <v/>
      </c>
      <c r="U281" s="73" t="str">
        <f t="shared" si="84"/>
        <v/>
      </c>
      <c r="V281" s="73" t="str">
        <f t="shared" si="84"/>
        <v/>
      </c>
      <c r="W281" s="73" t="str">
        <f t="shared" si="84"/>
        <v/>
      </c>
      <c r="X281" s="73" t="str">
        <f t="shared" si="84"/>
        <v/>
      </c>
      <c r="Y281" s="73" t="str">
        <f t="shared" si="84"/>
        <v/>
      </c>
      <c r="Z281" s="73" t="str">
        <f t="shared" si="84"/>
        <v/>
      </c>
      <c r="AA281" s="73" t="str">
        <f t="shared" si="84"/>
        <v/>
      </c>
      <c r="AB281" s="74" t="str">
        <f t="shared" si="84"/>
        <v/>
      </c>
      <c r="AC281" s="35" t="str">
        <f t="shared" si="74"/>
        <v/>
      </c>
      <c r="AD281" s="40" t="str">
        <f t="shared" si="75"/>
        <v/>
      </c>
      <c r="AE281" s="37" t="str">
        <f t="shared" si="76"/>
        <v/>
      </c>
      <c r="AF281" s="40" t="str">
        <f t="shared" si="77"/>
        <v/>
      </c>
      <c r="AG281" s="37" t="str">
        <f t="shared" si="78"/>
        <v/>
      </c>
      <c r="AH281" s="40" t="str">
        <f t="shared" si="79"/>
        <v/>
      </c>
      <c r="AI281" s="37" t="str">
        <f t="shared" si="80"/>
        <v/>
      </c>
      <c r="AJ281" s="40" t="str">
        <f t="shared" si="81"/>
        <v/>
      </c>
      <c r="AK281" s="204" t="str">
        <f>IF(C281="","",IF(E281=FROTA!$AT$18,IF('DEFINA!!!'!$L$6="D-E-F-I-N-A !!!!!!!",0,IF('DEFINA!!!'!$L$6="Opto por Idade Média",SEM!AW281,IF('DEFINA!!!'!$L$6="Opto pelo Valor aplicado ao  Ano de cada Carro",SEM!AX281,0))),IF(E281=FROTA!$AT$17,IF('DEFINA!!!'!$L$6="D-E-F-I-N-A !!!!!!!",0,IF('DEFINA!!!'!$L$6="Opto por Idade Média",SEM!AW281,IF('DEFINA!!!'!$L$6="Opto pelo Valor aplicado ao  Ano de cada Carro",SEM!AX281,0))),IF(E281=FROTA!$AT$16,IF('DEFINA!!!'!$L$6="D-E-F-I-N-A !!!!!!!",0,IF('DEFINA!!!'!$L$6="Opto por Idade Média",SEM!AW281,IF('DEFINA!!!'!$L$6="Opto pelo Valor aplicado ao  Ano de cada Carro",SEM!AX281,0))),IF('DEFINA!!!'!$L$6="D-E-F-I-N-A !!!!!!!",0,IF('DEFINA!!!'!$L$6="Opto por Idade Média",SEM!AU281,IF('DEFINA!!!'!$L$6="Opto pelo Valor aplicado ao  Ano de cada Carro",SEM!AV281,0)))))))</f>
        <v/>
      </c>
      <c r="AL281" s="6"/>
      <c r="AM281" s="79" t="str">
        <f t="shared" si="82"/>
        <v/>
      </c>
      <c r="AR281" s="5"/>
      <c r="AU281" s="198" t="str">
        <f>IF(C281="","",VLOOKUP(FROTA!$AB$2,RECEBÍVEIS!$AA$11:$AB$43,2,0))</f>
        <v/>
      </c>
      <c r="AV281" s="198" t="str">
        <f>IF(C281="","",IF(C281=FROTA!Z281="","",VLOOKUP(FROTA!Z281,RECEBÍVEIS!$AA$11:$AB$43,2,0)))</f>
        <v/>
      </c>
      <c r="AW281" s="198" t="str">
        <f>IF(C281="","",VLOOKUP(FROTA!$AB$2,RECEBÍVEIS!$AA$11:$AC$43,3,0))</f>
        <v/>
      </c>
      <c r="AX281" s="198" t="str">
        <f>IF(C281="","",IF(C281=FROTA!Z281="","",VLOOKUP(FROTA!Z281,RECEBÍVEIS!$AA$11:$AC$43,3,0)))</f>
        <v/>
      </c>
    </row>
    <row r="282" spans="2:50" ht="17.25" customHeight="1" x14ac:dyDescent="0.2">
      <c r="B282" s="6"/>
      <c r="C282" s="49" t="str">
        <f>IF(FROTA!B282="","",FROTA!B282)</f>
        <v/>
      </c>
      <c r="D282" s="220" t="str">
        <f>IF(C282="","",VLOOKUP(SEM!C282,FROTA!$B$5:$C$305,2,0))</f>
        <v/>
      </c>
      <c r="E282" s="24" t="str">
        <f>IF(C282="","",VLOOKUP(C282,FROTA!$B$5:$H$305,7,0))</f>
        <v/>
      </c>
      <c r="F282" s="38" t="str">
        <f t="shared" si="73"/>
        <v/>
      </c>
      <c r="G282" s="71" t="str">
        <f t="shared" si="83"/>
        <v/>
      </c>
      <c r="H282" s="32" t="str">
        <f t="shared" si="70"/>
        <v/>
      </c>
      <c r="I282" s="73" t="str">
        <f t="shared" si="70"/>
        <v/>
      </c>
      <c r="J282" s="73" t="str">
        <f t="shared" si="70"/>
        <v/>
      </c>
      <c r="K282" s="73" t="str">
        <f t="shared" si="71"/>
        <v/>
      </c>
      <c r="L282" s="73" t="str">
        <f t="shared" si="71"/>
        <v/>
      </c>
      <c r="M282" s="73" t="str">
        <f t="shared" si="71"/>
        <v/>
      </c>
      <c r="N282" s="73" t="str">
        <f t="shared" si="71"/>
        <v/>
      </c>
      <c r="O282" s="73" t="str">
        <f t="shared" si="71"/>
        <v/>
      </c>
      <c r="P282" s="73" t="str">
        <f t="shared" si="71"/>
        <v/>
      </c>
      <c r="Q282" s="73" t="str">
        <f t="shared" si="71"/>
        <v/>
      </c>
      <c r="R282" s="73" t="str">
        <f t="shared" si="84"/>
        <v/>
      </c>
      <c r="S282" s="73" t="str">
        <f t="shared" si="84"/>
        <v/>
      </c>
      <c r="T282" s="73" t="str">
        <f t="shared" si="84"/>
        <v/>
      </c>
      <c r="U282" s="73" t="str">
        <f t="shared" si="84"/>
        <v/>
      </c>
      <c r="V282" s="73" t="str">
        <f t="shared" si="84"/>
        <v/>
      </c>
      <c r="W282" s="73" t="str">
        <f t="shared" si="84"/>
        <v/>
      </c>
      <c r="X282" s="73" t="str">
        <f t="shared" si="84"/>
        <v/>
      </c>
      <c r="Y282" s="73" t="str">
        <f t="shared" si="84"/>
        <v/>
      </c>
      <c r="Z282" s="73" t="str">
        <f t="shared" si="84"/>
        <v/>
      </c>
      <c r="AA282" s="73" t="str">
        <f t="shared" si="84"/>
        <v/>
      </c>
      <c r="AB282" s="74" t="str">
        <f t="shared" si="84"/>
        <v/>
      </c>
      <c r="AC282" s="35" t="str">
        <f t="shared" si="74"/>
        <v/>
      </c>
      <c r="AD282" s="40" t="str">
        <f t="shared" si="75"/>
        <v/>
      </c>
      <c r="AE282" s="37" t="str">
        <f t="shared" si="76"/>
        <v/>
      </c>
      <c r="AF282" s="40" t="str">
        <f t="shared" si="77"/>
        <v/>
      </c>
      <c r="AG282" s="37" t="str">
        <f t="shared" si="78"/>
        <v/>
      </c>
      <c r="AH282" s="40" t="str">
        <f t="shared" si="79"/>
        <v/>
      </c>
      <c r="AI282" s="37" t="str">
        <f t="shared" si="80"/>
        <v/>
      </c>
      <c r="AJ282" s="40" t="str">
        <f t="shared" si="81"/>
        <v/>
      </c>
      <c r="AK282" s="204" t="str">
        <f>IF(C282="","",IF(E282=FROTA!$AT$18,IF('DEFINA!!!'!$L$6="D-E-F-I-N-A !!!!!!!",0,IF('DEFINA!!!'!$L$6="Opto por Idade Média",SEM!AW282,IF('DEFINA!!!'!$L$6="Opto pelo Valor aplicado ao  Ano de cada Carro",SEM!AX282,0))),IF(E282=FROTA!$AT$17,IF('DEFINA!!!'!$L$6="D-E-F-I-N-A !!!!!!!",0,IF('DEFINA!!!'!$L$6="Opto por Idade Média",SEM!AW282,IF('DEFINA!!!'!$L$6="Opto pelo Valor aplicado ao  Ano de cada Carro",SEM!AX282,0))),IF(E282=FROTA!$AT$16,IF('DEFINA!!!'!$L$6="D-E-F-I-N-A !!!!!!!",0,IF('DEFINA!!!'!$L$6="Opto por Idade Média",SEM!AW282,IF('DEFINA!!!'!$L$6="Opto pelo Valor aplicado ao  Ano de cada Carro",SEM!AX282,0))),IF('DEFINA!!!'!$L$6="D-E-F-I-N-A !!!!!!!",0,IF('DEFINA!!!'!$L$6="Opto por Idade Média",SEM!AU282,IF('DEFINA!!!'!$L$6="Opto pelo Valor aplicado ao  Ano de cada Carro",SEM!AV282,0)))))))</f>
        <v/>
      </c>
      <c r="AL282" s="6"/>
      <c r="AM282" s="79" t="str">
        <f t="shared" si="82"/>
        <v/>
      </c>
      <c r="AR282" s="5"/>
      <c r="AU282" s="198" t="str">
        <f>IF(C282="","",VLOOKUP(FROTA!$AB$2,RECEBÍVEIS!$AA$11:$AB$43,2,0))</f>
        <v/>
      </c>
      <c r="AV282" s="198" t="str">
        <f>IF(C282="","",IF(C282=FROTA!Z282="","",VLOOKUP(FROTA!Z282,RECEBÍVEIS!$AA$11:$AB$43,2,0)))</f>
        <v/>
      </c>
      <c r="AW282" s="198" t="str">
        <f>IF(C282="","",VLOOKUP(FROTA!$AB$2,RECEBÍVEIS!$AA$11:$AC$43,3,0))</f>
        <v/>
      </c>
      <c r="AX282" s="198" t="str">
        <f>IF(C282="","",IF(C282=FROTA!Z282="","",VLOOKUP(FROTA!Z282,RECEBÍVEIS!$AA$11:$AC$43,3,0)))</f>
        <v/>
      </c>
    </row>
    <row r="283" spans="2:50" ht="17.25" customHeight="1" x14ac:dyDescent="0.2">
      <c r="B283" s="6"/>
      <c r="C283" s="49" t="str">
        <f>IF(FROTA!B283="","",FROTA!B283)</f>
        <v/>
      </c>
      <c r="D283" s="220" t="str">
        <f>IF(C283="","",VLOOKUP(SEM!C283,FROTA!$B$5:$C$305,2,0))</f>
        <v/>
      </c>
      <c r="E283" s="24" t="str">
        <f>IF(C283="","",VLOOKUP(C283,FROTA!$B$5:$H$305,7,0))</f>
        <v/>
      </c>
      <c r="F283" s="38" t="str">
        <f t="shared" si="73"/>
        <v/>
      </c>
      <c r="G283" s="71" t="str">
        <f t="shared" si="83"/>
        <v/>
      </c>
      <c r="H283" s="32" t="str">
        <f t="shared" si="70"/>
        <v/>
      </c>
      <c r="I283" s="73" t="str">
        <f t="shared" si="70"/>
        <v/>
      </c>
      <c r="J283" s="73" t="str">
        <f t="shared" si="70"/>
        <v/>
      </c>
      <c r="K283" s="73" t="str">
        <f t="shared" si="71"/>
        <v/>
      </c>
      <c r="L283" s="73" t="str">
        <f t="shared" si="71"/>
        <v/>
      </c>
      <c r="M283" s="73" t="str">
        <f t="shared" si="71"/>
        <v/>
      </c>
      <c r="N283" s="73" t="str">
        <f t="shared" si="71"/>
        <v/>
      </c>
      <c r="O283" s="73" t="str">
        <f t="shared" si="71"/>
        <v/>
      </c>
      <c r="P283" s="73" t="str">
        <f t="shared" si="71"/>
        <v/>
      </c>
      <c r="Q283" s="73" t="str">
        <f t="shared" si="71"/>
        <v/>
      </c>
      <c r="R283" s="73" t="str">
        <f t="shared" si="84"/>
        <v/>
      </c>
      <c r="S283" s="73" t="str">
        <f t="shared" si="84"/>
        <v/>
      </c>
      <c r="T283" s="73" t="str">
        <f t="shared" si="84"/>
        <v/>
      </c>
      <c r="U283" s="73" t="str">
        <f t="shared" si="84"/>
        <v/>
      </c>
      <c r="V283" s="73" t="str">
        <f t="shared" si="84"/>
        <v/>
      </c>
      <c r="W283" s="73" t="str">
        <f t="shared" si="84"/>
        <v/>
      </c>
      <c r="X283" s="73" t="str">
        <f t="shared" si="84"/>
        <v/>
      </c>
      <c r="Y283" s="73" t="str">
        <f t="shared" si="84"/>
        <v/>
      </c>
      <c r="Z283" s="73" t="str">
        <f t="shared" si="84"/>
        <v/>
      </c>
      <c r="AA283" s="73" t="str">
        <f t="shared" si="84"/>
        <v/>
      </c>
      <c r="AB283" s="74" t="str">
        <f t="shared" si="84"/>
        <v/>
      </c>
      <c r="AC283" s="35" t="str">
        <f t="shared" si="74"/>
        <v/>
      </c>
      <c r="AD283" s="40" t="str">
        <f t="shared" si="75"/>
        <v/>
      </c>
      <c r="AE283" s="37" t="str">
        <f t="shared" si="76"/>
        <v/>
      </c>
      <c r="AF283" s="40" t="str">
        <f t="shared" si="77"/>
        <v/>
      </c>
      <c r="AG283" s="37" t="str">
        <f t="shared" si="78"/>
        <v/>
      </c>
      <c r="AH283" s="40" t="str">
        <f t="shared" si="79"/>
        <v/>
      </c>
      <c r="AI283" s="37" t="str">
        <f t="shared" si="80"/>
        <v/>
      </c>
      <c r="AJ283" s="40" t="str">
        <f t="shared" si="81"/>
        <v/>
      </c>
      <c r="AK283" s="204" t="str">
        <f>IF(C283="","",IF(E283=FROTA!$AT$18,IF('DEFINA!!!'!$L$6="D-E-F-I-N-A !!!!!!!",0,IF('DEFINA!!!'!$L$6="Opto por Idade Média",SEM!AW283,IF('DEFINA!!!'!$L$6="Opto pelo Valor aplicado ao  Ano de cada Carro",SEM!AX283,0))),IF(E283=FROTA!$AT$17,IF('DEFINA!!!'!$L$6="D-E-F-I-N-A !!!!!!!",0,IF('DEFINA!!!'!$L$6="Opto por Idade Média",SEM!AW283,IF('DEFINA!!!'!$L$6="Opto pelo Valor aplicado ao  Ano de cada Carro",SEM!AX283,0))),IF(E283=FROTA!$AT$16,IF('DEFINA!!!'!$L$6="D-E-F-I-N-A !!!!!!!",0,IF('DEFINA!!!'!$L$6="Opto por Idade Média",SEM!AW283,IF('DEFINA!!!'!$L$6="Opto pelo Valor aplicado ao  Ano de cada Carro",SEM!AX283,0))),IF('DEFINA!!!'!$L$6="D-E-F-I-N-A !!!!!!!",0,IF('DEFINA!!!'!$L$6="Opto por Idade Média",SEM!AU283,IF('DEFINA!!!'!$L$6="Opto pelo Valor aplicado ao  Ano de cada Carro",SEM!AV283,0)))))))</f>
        <v/>
      </c>
      <c r="AL283" s="6"/>
      <c r="AM283" s="79" t="str">
        <f t="shared" si="82"/>
        <v/>
      </c>
      <c r="AR283" s="5"/>
      <c r="AU283" s="198" t="str">
        <f>IF(C283="","",VLOOKUP(FROTA!$AB$2,RECEBÍVEIS!$AA$11:$AB$43,2,0))</f>
        <v/>
      </c>
      <c r="AV283" s="198" t="str">
        <f>IF(C283="","",IF(C283=FROTA!Z283="","",VLOOKUP(FROTA!Z283,RECEBÍVEIS!$AA$11:$AB$43,2,0)))</f>
        <v/>
      </c>
      <c r="AW283" s="198" t="str">
        <f>IF(C283="","",VLOOKUP(FROTA!$AB$2,RECEBÍVEIS!$AA$11:$AC$43,3,0))</f>
        <v/>
      </c>
      <c r="AX283" s="198" t="str">
        <f>IF(C283="","",IF(C283=FROTA!Z283="","",VLOOKUP(FROTA!Z283,RECEBÍVEIS!$AA$11:$AC$43,3,0)))</f>
        <v/>
      </c>
    </row>
    <row r="284" spans="2:50" ht="17.25" customHeight="1" x14ac:dyDescent="0.2">
      <c r="B284" s="6"/>
      <c r="C284" s="49" t="str">
        <f>IF(FROTA!B284="","",FROTA!B284)</f>
        <v/>
      </c>
      <c r="D284" s="220" t="str">
        <f>IF(C284="","",VLOOKUP(SEM!C284,FROTA!$B$5:$C$305,2,0))</f>
        <v/>
      </c>
      <c r="E284" s="24" t="str">
        <f>IF(C284="","",VLOOKUP(C284,FROTA!$B$5:$H$305,7,0))</f>
        <v/>
      </c>
      <c r="F284" s="38" t="str">
        <f t="shared" si="73"/>
        <v/>
      </c>
      <c r="G284" s="71" t="str">
        <f t="shared" si="83"/>
        <v/>
      </c>
      <c r="H284" s="32" t="str">
        <f t="shared" si="70"/>
        <v/>
      </c>
      <c r="I284" s="73" t="str">
        <f t="shared" si="70"/>
        <v/>
      </c>
      <c r="J284" s="73" t="str">
        <f t="shared" si="70"/>
        <v/>
      </c>
      <c r="K284" s="73" t="str">
        <f t="shared" si="71"/>
        <v/>
      </c>
      <c r="L284" s="73" t="str">
        <f t="shared" si="71"/>
        <v/>
      </c>
      <c r="M284" s="73" t="str">
        <f t="shared" si="71"/>
        <v/>
      </c>
      <c r="N284" s="73" t="str">
        <f t="shared" si="71"/>
        <v/>
      </c>
      <c r="O284" s="73" t="str">
        <f t="shared" si="71"/>
        <v/>
      </c>
      <c r="P284" s="73" t="str">
        <f t="shared" si="71"/>
        <v/>
      </c>
      <c r="Q284" s="73" t="str">
        <f t="shared" si="71"/>
        <v/>
      </c>
      <c r="R284" s="73" t="str">
        <f t="shared" si="84"/>
        <v/>
      </c>
      <c r="S284" s="73" t="str">
        <f t="shared" si="84"/>
        <v/>
      </c>
      <c r="T284" s="73" t="str">
        <f t="shared" si="84"/>
        <v/>
      </c>
      <c r="U284" s="73" t="str">
        <f t="shared" si="84"/>
        <v/>
      </c>
      <c r="V284" s="73" t="str">
        <f t="shared" si="84"/>
        <v/>
      </c>
      <c r="W284" s="73" t="str">
        <f t="shared" si="84"/>
        <v/>
      </c>
      <c r="X284" s="73" t="str">
        <f t="shared" si="84"/>
        <v/>
      </c>
      <c r="Y284" s="73" t="str">
        <f t="shared" si="84"/>
        <v/>
      </c>
      <c r="Z284" s="73" t="str">
        <f t="shared" si="84"/>
        <v/>
      </c>
      <c r="AA284" s="73" t="str">
        <f t="shared" si="84"/>
        <v/>
      </c>
      <c r="AB284" s="74" t="str">
        <f t="shared" si="84"/>
        <v/>
      </c>
      <c r="AC284" s="35" t="str">
        <f t="shared" si="74"/>
        <v/>
      </c>
      <c r="AD284" s="40" t="str">
        <f t="shared" si="75"/>
        <v/>
      </c>
      <c r="AE284" s="37" t="str">
        <f t="shared" si="76"/>
        <v/>
      </c>
      <c r="AF284" s="40" t="str">
        <f t="shared" si="77"/>
        <v/>
      </c>
      <c r="AG284" s="37" t="str">
        <f t="shared" si="78"/>
        <v/>
      </c>
      <c r="AH284" s="40" t="str">
        <f t="shared" si="79"/>
        <v/>
      </c>
      <c r="AI284" s="37" t="str">
        <f t="shared" si="80"/>
        <v/>
      </c>
      <c r="AJ284" s="40" t="str">
        <f t="shared" si="81"/>
        <v/>
      </c>
      <c r="AK284" s="204" t="str">
        <f>IF(C284="","",IF(E284=FROTA!$AT$18,IF('DEFINA!!!'!$L$6="D-E-F-I-N-A !!!!!!!",0,IF('DEFINA!!!'!$L$6="Opto por Idade Média",SEM!AW284,IF('DEFINA!!!'!$L$6="Opto pelo Valor aplicado ao  Ano de cada Carro",SEM!AX284,0))),IF(E284=FROTA!$AT$17,IF('DEFINA!!!'!$L$6="D-E-F-I-N-A !!!!!!!",0,IF('DEFINA!!!'!$L$6="Opto por Idade Média",SEM!AW284,IF('DEFINA!!!'!$L$6="Opto pelo Valor aplicado ao  Ano de cada Carro",SEM!AX284,0))),IF(E284=FROTA!$AT$16,IF('DEFINA!!!'!$L$6="D-E-F-I-N-A !!!!!!!",0,IF('DEFINA!!!'!$L$6="Opto por Idade Média",SEM!AW284,IF('DEFINA!!!'!$L$6="Opto pelo Valor aplicado ao  Ano de cada Carro",SEM!AX284,0))),IF('DEFINA!!!'!$L$6="D-E-F-I-N-A !!!!!!!",0,IF('DEFINA!!!'!$L$6="Opto por Idade Média",SEM!AU284,IF('DEFINA!!!'!$L$6="Opto pelo Valor aplicado ao  Ano de cada Carro",SEM!AV284,0)))))))</f>
        <v/>
      </c>
      <c r="AL284" s="6"/>
      <c r="AM284" s="79" t="str">
        <f t="shared" si="82"/>
        <v/>
      </c>
      <c r="AR284" s="5"/>
      <c r="AU284" s="198" t="str">
        <f>IF(C284="","",VLOOKUP(FROTA!$AB$2,RECEBÍVEIS!$AA$11:$AB$43,2,0))</f>
        <v/>
      </c>
      <c r="AV284" s="198" t="str">
        <f>IF(C284="","",IF(C284=FROTA!Z284="","",VLOOKUP(FROTA!Z284,RECEBÍVEIS!$AA$11:$AB$43,2,0)))</f>
        <v/>
      </c>
      <c r="AW284" s="198" t="str">
        <f>IF(C284="","",VLOOKUP(FROTA!$AB$2,RECEBÍVEIS!$AA$11:$AC$43,3,0))</f>
        <v/>
      </c>
      <c r="AX284" s="198" t="str">
        <f>IF(C284="","",IF(C284=FROTA!Z284="","",VLOOKUP(FROTA!Z284,RECEBÍVEIS!$AA$11:$AC$43,3,0)))</f>
        <v/>
      </c>
    </row>
    <row r="285" spans="2:50" ht="17.25" customHeight="1" x14ac:dyDescent="0.2">
      <c r="B285" s="6"/>
      <c r="C285" s="49" t="str">
        <f>IF(FROTA!B285="","",FROTA!B285)</f>
        <v/>
      </c>
      <c r="D285" s="220" t="str">
        <f>IF(C285="","",VLOOKUP(SEM!C285,FROTA!$B$5:$C$305,2,0))</f>
        <v/>
      </c>
      <c r="E285" s="24" t="str">
        <f>IF(C285="","",VLOOKUP(C285,FROTA!$B$5:$H$305,7,0))</f>
        <v/>
      </c>
      <c r="F285" s="38" t="str">
        <f t="shared" si="73"/>
        <v/>
      </c>
      <c r="G285" s="71" t="str">
        <f t="shared" si="83"/>
        <v/>
      </c>
      <c r="H285" s="32" t="str">
        <f t="shared" si="70"/>
        <v/>
      </c>
      <c r="I285" s="73" t="str">
        <f t="shared" si="70"/>
        <v/>
      </c>
      <c r="J285" s="73" t="str">
        <f t="shared" si="70"/>
        <v/>
      </c>
      <c r="K285" s="73" t="str">
        <f t="shared" si="71"/>
        <v/>
      </c>
      <c r="L285" s="73" t="str">
        <f t="shared" si="71"/>
        <v/>
      </c>
      <c r="M285" s="73" t="str">
        <f t="shared" si="71"/>
        <v/>
      </c>
      <c r="N285" s="73" t="str">
        <f t="shared" si="71"/>
        <v/>
      </c>
      <c r="O285" s="73" t="str">
        <f t="shared" si="71"/>
        <v/>
      </c>
      <c r="P285" s="73" t="str">
        <f t="shared" si="71"/>
        <v/>
      </c>
      <c r="Q285" s="73" t="str">
        <f t="shared" si="71"/>
        <v/>
      </c>
      <c r="R285" s="73" t="str">
        <f t="shared" si="84"/>
        <v/>
      </c>
      <c r="S285" s="73" t="str">
        <f t="shared" si="84"/>
        <v/>
      </c>
      <c r="T285" s="73" t="str">
        <f t="shared" si="84"/>
        <v/>
      </c>
      <c r="U285" s="73" t="str">
        <f t="shared" si="84"/>
        <v/>
      </c>
      <c r="V285" s="73" t="str">
        <f t="shared" si="84"/>
        <v/>
      </c>
      <c r="W285" s="73" t="str">
        <f t="shared" si="84"/>
        <v/>
      </c>
      <c r="X285" s="73" t="str">
        <f t="shared" si="84"/>
        <v/>
      </c>
      <c r="Y285" s="73" t="str">
        <f t="shared" si="84"/>
        <v/>
      </c>
      <c r="Z285" s="73" t="str">
        <f t="shared" si="84"/>
        <v/>
      </c>
      <c r="AA285" s="73" t="str">
        <f t="shared" si="84"/>
        <v/>
      </c>
      <c r="AB285" s="74" t="str">
        <f t="shared" si="84"/>
        <v/>
      </c>
      <c r="AC285" s="35" t="str">
        <f t="shared" si="74"/>
        <v/>
      </c>
      <c r="AD285" s="40" t="str">
        <f t="shared" si="75"/>
        <v/>
      </c>
      <c r="AE285" s="37" t="str">
        <f t="shared" si="76"/>
        <v/>
      </c>
      <c r="AF285" s="40" t="str">
        <f t="shared" si="77"/>
        <v/>
      </c>
      <c r="AG285" s="37" t="str">
        <f t="shared" si="78"/>
        <v/>
      </c>
      <c r="AH285" s="40" t="str">
        <f t="shared" si="79"/>
        <v/>
      </c>
      <c r="AI285" s="37" t="str">
        <f t="shared" si="80"/>
        <v/>
      </c>
      <c r="AJ285" s="40" t="str">
        <f t="shared" si="81"/>
        <v/>
      </c>
      <c r="AK285" s="204" t="str">
        <f>IF(C285="","",IF(E285=FROTA!$AT$18,IF('DEFINA!!!'!$L$6="D-E-F-I-N-A !!!!!!!",0,IF('DEFINA!!!'!$L$6="Opto por Idade Média",SEM!AW285,IF('DEFINA!!!'!$L$6="Opto pelo Valor aplicado ao  Ano de cada Carro",SEM!AX285,0))),IF(E285=FROTA!$AT$17,IF('DEFINA!!!'!$L$6="D-E-F-I-N-A !!!!!!!",0,IF('DEFINA!!!'!$L$6="Opto por Idade Média",SEM!AW285,IF('DEFINA!!!'!$L$6="Opto pelo Valor aplicado ao  Ano de cada Carro",SEM!AX285,0))),IF(E285=FROTA!$AT$16,IF('DEFINA!!!'!$L$6="D-E-F-I-N-A !!!!!!!",0,IF('DEFINA!!!'!$L$6="Opto por Idade Média",SEM!AW285,IF('DEFINA!!!'!$L$6="Opto pelo Valor aplicado ao  Ano de cada Carro",SEM!AX285,0))),IF('DEFINA!!!'!$L$6="D-E-F-I-N-A !!!!!!!",0,IF('DEFINA!!!'!$L$6="Opto por Idade Média",SEM!AU285,IF('DEFINA!!!'!$L$6="Opto pelo Valor aplicado ao  Ano de cada Carro",SEM!AV285,0)))))))</f>
        <v/>
      </c>
      <c r="AL285" s="6"/>
      <c r="AM285" s="79" t="str">
        <f t="shared" si="82"/>
        <v/>
      </c>
      <c r="AR285" s="5"/>
      <c r="AU285" s="198" t="str">
        <f>IF(C285="","",VLOOKUP(FROTA!$AB$2,RECEBÍVEIS!$AA$11:$AB$43,2,0))</f>
        <v/>
      </c>
      <c r="AV285" s="198" t="str">
        <f>IF(C285="","",IF(C285=FROTA!Z285="","",VLOOKUP(FROTA!Z285,RECEBÍVEIS!$AA$11:$AB$43,2,0)))</f>
        <v/>
      </c>
      <c r="AW285" s="198" t="str">
        <f>IF(C285="","",VLOOKUP(FROTA!$AB$2,RECEBÍVEIS!$AA$11:$AC$43,3,0))</f>
        <v/>
      </c>
      <c r="AX285" s="198" t="str">
        <f>IF(C285="","",IF(C285=FROTA!Z285="","",VLOOKUP(FROTA!Z285,RECEBÍVEIS!$AA$11:$AC$43,3,0)))</f>
        <v/>
      </c>
    </row>
    <row r="286" spans="2:50" ht="17.25" customHeight="1" x14ac:dyDescent="0.2">
      <c r="B286" s="6"/>
      <c r="C286" s="49" t="str">
        <f>IF(FROTA!B286="","",FROTA!B286)</f>
        <v/>
      </c>
      <c r="D286" s="220" t="str">
        <f>IF(C286="","",VLOOKUP(SEM!C286,FROTA!$B$5:$C$305,2,0))</f>
        <v/>
      </c>
      <c r="E286" s="24" t="str">
        <f>IF(C286="","",VLOOKUP(C286,FROTA!$B$5:$H$305,7,0))</f>
        <v/>
      </c>
      <c r="F286" s="38" t="str">
        <f t="shared" si="73"/>
        <v/>
      </c>
      <c r="G286" s="71" t="str">
        <f t="shared" si="83"/>
        <v/>
      </c>
      <c r="H286" s="32" t="str">
        <f t="shared" si="70"/>
        <v/>
      </c>
      <c r="I286" s="73" t="str">
        <f t="shared" si="70"/>
        <v/>
      </c>
      <c r="J286" s="73" t="str">
        <f t="shared" si="70"/>
        <v/>
      </c>
      <c r="K286" s="73" t="str">
        <f t="shared" si="71"/>
        <v/>
      </c>
      <c r="L286" s="73" t="str">
        <f t="shared" si="71"/>
        <v/>
      </c>
      <c r="M286" s="73" t="str">
        <f t="shared" si="71"/>
        <v/>
      </c>
      <c r="N286" s="73" t="str">
        <f t="shared" si="71"/>
        <v/>
      </c>
      <c r="O286" s="73" t="str">
        <f t="shared" si="71"/>
        <v/>
      </c>
      <c r="P286" s="73" t="str">
        <f t="shared" si="71"/>
        <v/>
      </c>
      <c r="Q286" s="73" t="str">
        <f t="shared" ref="K286:Q303" si="85">IF($C286="","",IF(SUM(Q$307*$G286)&gt;$F286,$F286,SUM(Q$307*$G286)))</f>
        <v/>
      </c>
      <c r="R286" s="73" t="str">
        <f t="shared" si="84"/>
        <v/>
      </c>
      <c r="S286" s="73" t="str">
        <f t="shared" si="84"/>
        <v/>
      </c>
      <c r="T286" s="73" t="str">
        <f t="shared" si="84"/>
        <v/>
      </c>
      <c r="U286" s="73" t="str">
        <f t="shared" si="84"/>
        <v/>
      </c>
      <c r="V286" s="73" t="str">
        <f t="shared" si="84"/>
        <v/>
      </c>
      <c r="W286" s="73" t="str">
        <f t="shared" si="84"/>
        <v/>
      </c>
      <c r="X286" s="73" t="str">
        <f t="shared" si="84"/>
        <v/>
      </c>
      <c r="Y286" s="73" t="str">
        <f t="shared" si="84"/>
        <v/>
      </c>
      <c r="Z286" s="73" t="str">
        <f t="shared" si="84"/>
        <v/>
      </c>
      <c r="AA286" s="73" t="str">
        <f t="shared" si="84"/>
        <v/>
      </c>
      <c r="AB286" s="74" t="str">
        <f t="shared" si="84"/>
        <v/>
      </c>
      <c r="AC286" s="35" t="str">
        <f t="shared" si="74"/>
        <v/>
      </c>
      <c r="AD286" s="40" t="str">
        <f t="shared" si="75"/>
        <v/>
      </c>
      <c r="AE286" s="37" t="str">
        <f t="shared" si="76"/>
        <v/>
      </c>
      <c r="AF286" s="40" t="str">
        <f t="shared" si="77"/>
        <v/>
      </c>
      <c r="AG286" s="37" t="str">
        <f t="shared" si="78"/>
        <v/>
      </c>
      <c r="AH286" s="40" t="str">
        <f t="shared" si="79"/>
        <v/>
      </c>
      <c r="AI286" s="37" t="str">
        <f t="shared" si="80"/>
        <v/>
      </c>
      <c r="AJ286" s="40" t="str">
        <f t="shared" si="81"/>
        <v/>
      </c>
      <c r="AK286" s="204" t="str">
        <f>IF(C286="","",IF(E286=FROTA!$AT$18,IF('DEFINA!!!'!$L$6="D-E-F-I-N-A !!!!!!!",0,IF('DEFINA!!!'!$L$6="Opto por Idade Média",SEM!AW286,IF('DEFINA!!!'!$L$6="Opto pelo Valor aplicado ao  Ano de cada Carro",SEM!AX286,0))),IF(E286=FROTA!$AT$17,IF('DEFINA!!!'!$L$6="D-E-F-I-N-A !!!!!!!",0,IF('DEFINA!!!'!$L$6="Opto por Idade Média",SEM!AW286,IF('DEFINA!!!'!$L$6="Opto pelo Valor aplicado ao  Ano de cada Carro",SEM!AX286,0))),IF(E286=FROTA!$AT$16,IF('DEFINA!!!'!$L$6="D-E-F-I-N-A !!!!!!!",0,IF('DEFINA!!!'!$L$6="Opto por Idade Média",SEM!AW286,IF('DEFINA!!!'!$L$6="Opto pelo Valor aplicado ao  Ano de cada Carro",SEM!AX286,0))),IF('DEFINA!!!'!$L$6="D-E-F-I-N-A !!!!!!!",0,IF('DEFINA!!!'!$L$6="Opto por Idade Média",SEM!AU286,IF('DEFINA!!!'!$L$6="Opto pelo Valor aplicado ao  Ano de cada Carro",SEM!AV286,0)))))))</f>
        <v/>
      </c>
      <c r="AL286" s="6"/>
      <c r="AM286" s="79" t="str">
        <f t="shared" si="82"/>
        <v/>
      </c>
      <c r="AR286" s="5"/>
      <c r="AU286" s="198" t="str">
        <f>IF(C286="","",VLOOKUP(FROTA!$AB$2,RECEBÍVEIS!$AA$11:$AB$43,2,0))</f>
        <v/>
      </c>
      <c r="AV286" s="198" t="str">
        <f>IF(C286="","",IF(C286=FROTA!Z286="","",VLOOKUP(FROTA!Z286,RECEBÍVEIS!$AA$11:$AB$43,2,0)))</f>
        <v/>
      </c>
      <c r="AW286" s="198" t="str">
        <f>IF(C286="","",VLOOKUP(FROTA!$AB$2,RECEBÍVEIS!$AA$11:$AC$43,3,0))</f>
        <v/>
      </c>
      <c r="AX286" s="198" t="str">
        <f>IF(C286="","",IF(C286=FROTA!Z286="","",VLOOKUP(FROTA!Z286,RECEBÍVEIS!$AA$11:$AC$43,3,0)))</f>
        <v/>
      </c>
    </row>
    <row r="287" spans="2:50" ht="17.25" customHeight="1" x14ac:dyDescent="0.2">
      <c r="B287" s="6"/>
      <c r="C287" s="49" t="str">
        <f>IF(FROTA!B287="","",FROTA!B287)</f>
        <v/>
      </c>
      <c r="D287" s="220" t="str">
        <f>IF(C287="","",VLOOKUP(SEM!C287,FROTA!$B$5:$C$305,2,0))</f>
        <v/>
      </c>
      <c r="E287" s="24" t="str">
        <f>IF(C287="","",VLOOKUP(C287,FROTA!$B$5:$H$305,7,0))</f>
        <v/>
      </c>
      <c r="F287" s="38" t="str">
        <f t="shared" si="73"/>
        <v/>
      </c>
      <c r="G287" s="71" t="str">
        <f t="shared" si="83"/>
        <v/>
      </c>
      <c r="H287" s="32" t="str">
        <f t="shared" si="70"/>
        <v/>
      </c>
      <c r="I287" s="73" t="str">
        <f t="shared" si="70"/>
        <v/>
      </c>
      <c r="J287" s="73" t="str">
        <f t="shared" si="70"/>
        <v/>
      </c>
      <c r="K287" s="73" t="str">
        <f t="shared" si="85"/>
        <v/>
      </c>
      <c r="L287" s="73" t="str">
        <f t="shared" si="85"/>
        <v/>
      </c>
      <c r="M287" s="73" t="str">
        <f t="shared" si="85"/>
        <v/>
      </c>
      <c r="N287" s="73" t="str">
        <f t="shared" si="85"/>
        <v/>
      </c>
      <c r="O287" s="73" t="str">
        <f t="shared" si="85"/>
        <v/>
      </c>
      <c r="P287" s="73" t="str">
        <f t="shared" si="85"/>
        <v/>
      </c>
      <c r="Q287" s="73" t="str">
        <f t="shared" si="85"/>
        <v/>
      </c>
      <c r="R287" s="73" t="str">
        <f t="shared" si="84"/>
        <v/>
      </c>
      <c r="S287" s="73" t="str">
        <f t="shared" si="84"/>
        <v/>
      </c>
      <c r="T287" s="73" t="str">
        <f t="shared" si="84"/>
        <v/>
      </c>
      <c r="U287" s="73" t="str">
        <f t="shared" si="84"/>
        <v/>
      </c>
      <c r="V287" s="73" t="str">
        <f t="shared" si="84"/>
        <v/>
      </c>
      <c r="W287" s="73" t="str">
        <f t="shared" si="84"/>
        <v/>
      </c>
      <c r="X287" s="73" t="str">
        <f t="shared" si="84"/>
        <v/>
      </c>
      <c r="Y287" s="73" t="str">
        <f t="shared" si="84"/>
        <v/>
      </c>
      <c r="Z287" s="73" t="str">
        <f t="shared" si="84"/>
        <v/>
      </c>
      <c r="AA287" s="73" t="str">
        <f t="shared" si="84"/>
        <v/>
      </c>
      <c r="AB287" s="74" t="str">
        <f t="shared" si="84"/>
        <v/>
      </c>
      <c r="AC287" s="35" t="str">
        <f t="shared" si="74"/>
        <v/>
      </c>
      <c r="AD287" s="40" t="str">
        <f t="shared" si="75"/>
        <v/>
      </c>
      <c r="AE287" s="37" t="str">
        <f t="shared" si="76"/>
        <v/>
      </c>
      <c r="AF287" s="40" t="str">
        <f t="shared" si="77"/>
        <v/>
      </c>
      <c r="AG287" s="37" t="str">
        <f t="shared" si="78"/>
        <v/>
      </c>
      <c r="AH287" s="40" t="str">
        <f t="shared" si="79"/>
        <v/>
      </c>
      <c r="AI287" s="37" t="str">
        <f t="shared" si="80"/>
        <v/>
      </c>
      <c r="AJ287" s="40" t="str">
        <f t="shared" si="81"/>
        <v/>
      </c>
      <c r="AK287" s="204" t="str">
        <f>IF(C287="","",IF(E287=FROTA!$AT$18,IF('DEFINA!!!'!$L$6="D-E-F-I-N-A !!!!!!!",0,IF('DEFINA!!!'!$L$6="Opto por Idade Média",SEM!AW287,IF('DEFINA!!!'!$L$6="Opto pelo Valor aplicado ao  Ano de cada Carro",SEM!AX287,0))),IF(E287=FROTA!$AT$17,IF('DEFINA!!!'!$L$6="D-E-F-I-N-A !!!!!!!",0,IF('DEFINA!!!'!$L$6="Opto por Idade Média",SEM!AW287,IF('DEFINA!!!'!$L$6="Opto pelo Valor aplicado ao  Ano de cada Carro",SEM!AX287,0))),IF(E287=FROTA!$AT$16,IF('DEFINA!!!'!$L$6="D-E-F-I-N-A !!!!!!!",0,IF('DEFINA!!!'!$L$6="Opto por Idade Média",SEM!AW287,IF('DEFINA!!!'!$L$6="Opto pelo Valor aplicado ao  Ano de cada Carro",SEM!AX287,0))),IF('DEFINA!!!'!$L$6="D-E-F-I-N-A !!!!!!!",0,IF('DEFINA!!!'!$L$6="Opto por Idade Média",SEM!AU287,IF('DEFINA!!!'!$L$6="Opto pelo Valor aplicado ao  Ano de cada Carro",SEM!AV287,0)))))))</f>
        <v/>
      </c>
      <c r="AL287" s="6"/>
      <c r="AM287" s="79" t="str">
        <f t="shared" si="82"/>
        <v/>
      </c>
      <c r="AR287" s="5"/>
      <c r="AU287" s="198" t="str">
        <f>IF(C287="","",VLOOKUP(FROTA!$AB$2,RECEBÍVEIS!$AA$11:$AB$43,2,0))</f>
        <v/>
      </c>
      <c r="AV287" s="198" t="str">
        <f>IF(C287="","",IF(C287=FROTA!Z287="","",VLOOKUP(FROTA!Z287,RECEBÍVEIS!$AA$11:$AB$43,2,0)))</f>
        <v/>
      </c>
      <c r="AW287" s="198" t="str">
        <f>IF(C287="","",VLOOKUP(FROTA!$AB$2,RECEBÍVEIS!$AA$11:$AC$43,3,0))</f>
        <v/>
      </c>
      <c r="AX287" s="198" t="str">
        <f>IF(C287="","",IF(C287=FROTA!Z287="","",VLOOKUP(FROTA!Z287,RECEBÍVEIS!$AA$11:$AC$43,3,0)))</f>
        <v/>
      </c>
    </row>
    <row r="288" spans="2:50" ht="17.25" customHeight="1" x14ac:dyDescent="0.2">
      <c r="B288" s="6"/>
      <c r="C288" s="49" t="str">
        <f>IF(FROTA!B288="","",FROTA!B288)</f>
        <v/>
      </c>
      <c r="D288" s="220" t="str">
        <f>IF(C288="","",VLOOKUP(SEM!C288,FROTA!$B$5:$C$305,2,0))</f>
        <v/>
      </c>
      <c r="E288" s="24" t="str">
        <f>IF(C288="","",VLOOKUP(C288,FROTA!$B$5:$H$305,7,0))</f>
        <v/>
      </c>
      <c r="F288" s="38" t="str">
        <f t="shared" si="73"/>
        <v/>
      </c>
      <c r="G288" s="71" t="str">
        <f t="shared" si="83"/>
        <v/>
      </c>
      <c r="H288" s="32" t="str">
        <f t="shared" si="70"/>
        <v/>
      </c>
      <c r="I288" s="73" t="str">
        <f t="shared" si="70"/>
        <v/>
      </c>
      <c r="J288" s="73" t="str">
        <f t="shared" si="70"/>
        <v/>
      </c>
      <c r="K288" s="73" t="str">
        <f t="shared" si="85"/>
        <v/>
      </c>
      <c r="L288" s="73" t="str">
        <f t="shared" si="85"/>
        <v/>
      </c>
      <c r="M288" s="73" t="str">
        <f t="shared" si="85"/>
        <v/>
      </c>
      <c r="N288" s="73" t="str">
        <f t="shared" si="85"/>
        <v/>
      </c>
      <c r="O288" s="73" t="str">
        <f t="shared" si="85"/>
        <v/>
      </c>
      <c r="P288" s="73" t="str">
        <f t="shared" si="85"/>
        <v/>
      </c>
      <c r="Q288" s="73" t="str">
        <f t="shared" si="85"/>
        <v/>
      </c>
      <c r="R288" s="73" t="str">
        <f t="shared" si="84"/>
        <v/>
      </c>
      <c r="S288" s="73" t="str">
        <f t="shared" si="84"/>
        <v/>
      </c>
      <c r="T288" s="73" t="str">
        <f t="shared" si="84"/>
        <v/>
      </c>
      <c r="U288" s="73" t="str">
        <f t="shared" si="84"/>
        <v/>
      </c>
      <c r="V288" s="73" t="str">
        <f t="shared" si="84"/>
        <v/>
      </c>
      <c r="W288" s="73" t="str">
        <f t="shared" si="84"/>
        <v/>
      </c>
      <c r="X288" s="73" t="str">
        <f t="shared" si="84"/>
        <v/>
      </c>
      <c r="Y288" s="73" t="str">
        <f t="shared" si="84"/>
        <v/>
      </c>
      <c r="Z288" s="73" t="str">
        <f t="shared" si="84"/>
        <v/>
      </c>
      <c r="AA288" s="73" t="str">
        <f t="shared" si="84"/>
        <v/>
      </c>
      <c r="AB288" s="74" t="str">
        <f t="shared" si="84"/>
        <v/>
      </c>
      <c r="AC288" s="35" t="str">
        <f t="shared" si="74"/>
        <v/>
      </c>
      <c r="AD288" s="40" t="str">
        <f t="shared" si="75"/>
        <v/>
      </c>
      <c r="AE288" s="37" t="str">
        <f t="shared" si="76"/>
        <v/>
      </c>
      <c r="AF288" s="40" t="str">
        <f t="shared" si="77"/>
        <v/>
      </c>
      <c r="AG288" s="37" t="str">
        <f t="shared" si="78"/>
        <v/>
      </c>
      <c r="AH288" s="40" t="str">
        <f t="shared" si="79"/>
        <v/>
      </c>
      <c r="AI288" s="37" t="str">
        <f t="shared" si="80"/>
        <v/>
      </c>
      <c r="AJ288" s="40" t="str">
        <f t="shared" si="81"/>
        <v/>
      </c>
      <c r="AK288" s="204" t="str">
        <f>IF(C288="","",IF(E288=FROTA!$AT$18,IF('DEFINA!!!'!$L$6="D-E-F-I-N-A !!!!!!!",0,IF('DEFINA!!!'!$L$6="Opto por Idade Média",SEM!AW288,IF('DEFINA!!!'!$L$6="Opto pelo Valor aplicado ao  Ano de cada Carro",SEM!AX288,0))),IF(E288=FROTA!$AT$17,IF('DEFINA!!!'!$L$6="D-E-F-I-N-A !!!!!!!",0,IF('DEFINA!!!'!$L$6="Opto por Idade Média",SEM!AW288,IF('DEFINA!!!'!$L$6="Opto pelo Valor aplicado ao  Ano de cada Carro",SEM!AX288,0))),IF(E288=FROTA!$AT$16,IF('DEFINA!!!'!$L$6="D-E-F-I-N-A !!!!!!!",0,IF('DEFINA!!!'!$L$6="Opto por Idade Média",SEM!AW288,IF('DEFINA!!!'!$L$6="Opto pelo Valor aplicado ao  Ano de cada Carro",SEM!AX288,0))),IF('DEFINA!!!'!$L$6="D-E-F-I-N-A !!!!!!!",0,IF('DEFINA!!!'!$L$6="Opto por Idade Média",SEM!AU288,IF('DEFINA!!!'!$L$6="Opto pelo Valor aplicado ao  Ano de cada Carro",SEM!AV288,0)))))))</f>
        <v/>
      </c>
      <c r="AL288" s="6"/>
      <c r="AM288" s="79" t="str">
        <f t="shared" si="82"/>
        <v/>
      </c>
      <c r="AR288" s="5"/>
      <c r="AU288" s="198" t="str">
        <f>IF(C288="","",VLOOKUP(FROTA!$AB$2,RECEBÍVEIS!$AA$11:$AB$43,2,0))</f>
        <v/>
      </c>
      <c r="AV288" s="198" t="str">
        <f>IF(C288="","",IF(C288=FROTA!Z288="","",VLOOKUP(FROTA!Z288,RECEBÍVEIS!$AA$11:$AB$43,2,0)))</f>
        <v/>
      </c>
      <c r="AW288" s="198" t="str">
        <f>IF(C288="","",VLOOKUP(FROTA!$AB$2,RECEBÍVEIS!$AA$11:$AC$43,3,0))</f>
        <v/>
      </c>
      <c r="AX288" s="198" t="str">
        <f>IF(C288="","",IF(C288=FROTA!Z288="","",VLOOKUP(FROTA!Z288,RECEBÍVEIS!$AA$11:$AC$43,3,0)))</f>
        <v/>
      </c>
    </row>
    <row r="289" spans="2:50" ht="17.25" customHeight="1" x14ac:dyDescent="0.2">
      <c r="B289" s="6"/>
      <c r="C289" s="49" t="str">
        <f>IF(FROTA!B289="","",FROTA!B289)</f>
        <v/>
      </c>
      <c r="D289" s="220" t="str">
        <f>IF(C289="","",VLOOKUP(SEM!C289,FROTA!$B$5:$C$305,2,0))</f>
        <v/>
      </c>
      <c r="E289" s="24" t="str">
        <f>IF(C289="","",VLOOKUP(C289,FROTA!$B$5:$H$305,7,0))</f>
        <v/>
      </c>
      <c r="F289" s="38" t="str">
        <f t="shared" si="73"/>
        <v/>
      </c>
      <c r="G289" s="71" t="str">
        <f t="shared" si="83"/>
        <v/>
      </c>
      <c r="H289" s="32" t="str">
        <f t="shared" si="70"/>
        <v/>
      </c>
      <c r="I289" s="73" t="str">
        <f t="shared" si="70"/>
        <v/>
      </c>
      <c r="J289" s="73" t="str">
        <f t="shared" si="70"/>
        <v/>
      </c>
      <c r="K289" s="73" t="str">
        <f t="shared" si="85"/>
        <v/>
      </c>
      <c r="L289" s="73" t="str">
        <f t="shared" si="85"/>
        <v/>
      </c>
      <c r="M289" s="73" t="str">
        <f t="shared" si="85"/>
        <v/>
      </c>
      <c r="N289" s="73" t="str">
        <f t="shared" si="85"/>
        <v/>
      </c>
      <c r="O289" s="73" t="str">
        <f t="shared" si="85"/>
        <v/>
      </c>
      <c r="P289" s="73" t="str">
        <f t="shared" si="85"/>
        <v/>
      </c>
      <c r="Q289" s="73" t="str">
        <f t="shared" si="85"/>
        <v/>
      </c>
      <c r="R289" s="73" t="str">
        <f t="shared" si="84"/>
        <v/>
      </c>
      <c r="S289" s="73" t="str">
        <f t="shared" si="84"/>
        <v/>
      </c>
      <c r="T289" s="73" t="str">
        <f t="shared" si="84"/>
        <v/>
      </c>
      <c r="U289" s="73" t="str">
        <f t="shared" si="84"/>
        <v/>
      </c>
      <c r="V289" s="73" t="str">
        <f t="shared" si="84"/>
        <v/>
      </c>
      <c r="W289" s="73" t="str">
        <f t="shared" si="84"/>
        <v/>
      </c>
      <c r="X289" s="73" t="str">
        <f t="shared" si="84"/>
        <v/>
      </c>
      <c r="Y289" s="73" t="str">
        <f t="shared" si="84"/>
        <v/>
      </c>
      <c r="Z289" s="73" t="str">
        <f t="shared" si="84"/>
        <v/>
      </c>
      <c r="AA289" s="73" t="str">
        <f t="shared" si="84"/>
        <v/>
      </c>
      <c r="AB289" s="74" t="str">
        <f t="shared" si="84"/>
        <v/>
      </c>
      <c r="AC289" s="35" t="str">
        <f t="shared" si="74"/>
        <v/>
      </c>
      <c r="AD289" s="40" t="str">
        <f t="shared" si="75"/>
        <v/>
      </c>
      <c r="AE289" s="37" t="str">
        <f t="shared" si="76"/>
        <v/>
      </c>
      <c r="AF289" s="40" t="str">
        <f t="shared" si="77"/>
        <v/>
      </c>
      <c r="AG289" s="37" t="str">
        <f t="shared" si="78"/>
        <v/>
      </c>
      <c r="AH289" s="40" t="str">
        <f t="shared" si="79"/>
        <v/>
      </c>
      <c r="AI289" s="37" t="str">
        <f t="shared" si="80"/>
        <v/>
      </c>
      <c r="AJ289" s="40" t="str">
        <f t="shared" si="81"/>
        <v/>
      </c>
      <c r="AK289" s="204" t="str">
        <f>IF(C289="","",IF(E289=FROTA!$AT$18,IF('DEFINA!!!'!$L$6="D-E-F-I-N-A !!!!!!!",0,IF('DEFINA!!!'!$L$6="Opto por Idade Média",SEM!AW289,IF('DEFINA!!!'!$L$6="Opto pelo Valor aplicado ao  Ano de cada Carro",SEM!AX289,0))),IF(E289=FROTA!$AT$17,IF('DEFINA!!!'!$L$6="D-E-F-I-N-A !!!!!!!",0,IF('DEFINA!!!'!$L$6="Opto por Idade Média",SEM!AW289,IF('DEFINA!!!'!$L$6="Opto pelo Valor aplicado ao  Ano de cada Carro",SEM!AX289,0))),IF(E289=FROTA!$AT$16,IF('DEFINA!!!'!$L$6="D-E-F-I-N-A !!!!!!!",0,IF('DEFINA!!!'!$L$6="Opto por Idade Média",SEM!AW289,IF('DEFINA!!!'!$L$6="Opto pelo Valor aplicado ao  Ano de cada Carro",SEM!AX289,0))),IF('DEFINA!!!'!$L$6="D-E-F-I-N-A !!!!!!!",0,IF('DEFINA!!!'!$L$6="Opto por Idade Média",SEM!AU289,IF('DEFINA!!!'!$L$6="Opto pelo Valor aplicado ao  Ano de cada Carro",SEM!AV289,0)))))))</f>
        <v/>
      </c>
      <c r="AL289" s="6"/>
      <c r="AM289" s="79" t="str">
        <f t="shared" si="82"/>
        <v/>
      </c>
      <c r="AR289" s="5"/>
      <c r="AU289" s="198" t="str">
        <f>IF(C289="","",VLOOKUP(FROTA!$AB$2,RECEBÍVEIS!$AA$11:$AB$43,2,0))</f>
        <v/>
      </c>
      <c r="AV289" s="198" t="str">
        <f>IF(C289="","",IF(C289=FROTA!Z289="","",VLOOKUP(FROTA!Z289,RECEBÍVEIS!$AA$11:$AB$43,2,0)))</f>
        <v/>
      </c>
      <c r="AW289" s="198" t="str">
        <f>IF(C289="","",VLOOKUP(FROTA!$AB$2,RECEBÍVEIS!$AA$11:$AC$43,3,0))</f>
        <v/>
      </c>
      <c r="AX289" s="198" t="str">
        <f>IF(C289="","",IF(C289=FROTA!Z289="","",VLOOKUP(FROTA!Z289,RECEBÍVEIS!$AA$11:$AC$43,3,0)))</f>
        <v/>
      </c>
    </row>
    <row r="290" spans="2:50" ht="17.25" customHeight="1" x14ac:dyDescent="0.2">
      <c r="B290" s="6"/>
      <c r="C290" s="49" t="str">
        <f>IF(FROTA!B290="","",FROTA!B290)</f>
        <v/>
      </c>
      <c r="D290" s="220" t="str">
        <f>IF(C290="","",VLOOKUP(SEM!C290,FROTA!$B$5:$C$305,2,0))</f>
        <v/>
      </c>
      <c r="E290" s="24" t="str">
        <f>IF(C290="","",VLOOKUP(C290,FROTA!$B$5:$H$305,7,0))</f>
        <v/>
      </c>
      <c r="F290" s="38" t="str">
        <f t="shared" si="73"/>
        <v/>
      </c>
      <c r="G290" s="71" t="str">
        <f t="shared" si="83"/>
        <v/>
      </c>
      <c r="H290" s="32" t="str">
        <f t="shared" si="70"/>
        <v/>
      </c>
      <c r="I290" s="73" t="str">
        <f t="shared" si="70"/>
        <v/>
      </c>
      <c r="J290" s="73" t="str">
        <f t="shared" si="70"/>
        <v/>
      </c>
      <c r="K290" s="73" t="str">
        <f t="shared" si="85"/>
        <v/>
      </c>
      <c r="L290" s="73" t="str">
        <f t="shared" si="85"/>
        <v/>
      </c>
      <c r="M290" s="73" t="str">
        <f t="shared" si="85"/>
        <v/>
      </c>
      <c r="N290" s="73" t="str">
        <f t="shared" si="85"/>
        <v/>
      </c>
      <c r="O290" s="73" t="str">
        <f t="shared" si="85"/>
        <v/>
      </c>
      <c r="P290" s="73" t="str">
        <f t="shared" si="85"/>
        <v/>
      </c>
      <c r="Q290" s="73" t="str">
        <f t="shared" si="85"/>
        <v/>
      </c>
      <c r="R290" s="73" t="str">
        <f t="shared" si="84"/>
        <v/>
      </c>
      <c r="S290" s="73" t="str">
        <f t="shared" si="84"/>
        <v/>
      </c>
      <c r="T290" s="73" t="str">
        <f t="shared" si="84"/>
        <v/>
      </c>
      <c r="U290" s="73" t="str">
        <f t="shared" si="84"/>
        <v/>
      </c>
      <c r="V290" s="73" t="str">
        <f t="shared" si="84"/>
        <v/>
      </c>
      <c r="W290" s="73" t="str">
        <f t="shared" si="84"/>
        <v/>
      </c>
      <c r="X290" s="73" t="str">
        <f t="shared" si="84"/>
        <v/>
      </c>
      <c r="Y290" s="73" t="str">
        <f t="shared" si="84"/>
        <v/>
      </c>
      <c r="Z290" s="73" t="str">
        <f t="shared" si="84"/>
        <v/>
      </c>
      <c r="AA290" s="73" t="str">
        <f t="shared" si="84"/>
        <v/>
      </c>
      <c r="AB290" s="74" t="str">
        <f t="shared" si="84"/>
        <v/>
      </c>
      <c r="AC290" s="35" t="str">
        <f t="shared" si="74"/>
        <v/>
      </c>
      <c r="AD290" s="40" t="str">
        <f t="shared" si="75"/>
        <v/>
      </c>
      <c r="AE290" s="37" t="str">
        <f t="shared" si="76"/>
        <v/>
      </c>
      <c r="AF290" s="40" t="str">
        <f t="shared" si="77"/>
        <v/>
      </c>
      <c r="AG290" s="37" t="str">
        <f t="shared" si="78"/>
        <v/>
      </c>
      <c r="AH290" s="40" t="str">
        <f t="shared" si="79"/>
        <v/>
      </c>
      <c r="AI290" s="37" t="str">
        <f t="shared" si="80"/>
        <v/>
      </c>
      <c r="AJ290" s="40" t="str">
        <f t="shared" si="81"/>
        <v/>
      </c>
      <c r="AK290" s="204" t="str">
        <f>IF(C290="","",IF(E290=FROTA!$AT$18,IF('DEFINA!!!'!$L$6="D-E-F-I-N-A !!!!!!!",0,IF('DEFINA!!!'!$L$6="Opto por Idade Média",SEM!AW290,IF('DEFINA!!!'!$L$6="Opto pelo Valor aplicado ao  Ano de cada Carro",SEM!AX290,0))),IF(E290=FROTA!$AT$17,IF('DEFINA!!!'!$L$6="D-E-F-I-N-A !!!!!!!",0,IF('DEFINA!!!'!$L$6="Opto por Idade Média",SEM!AW290,IF('DEFINA!!!'!$L$6="Opto pelo Valor aplicado ao  Ano de cada Carro",SEM!AX290,0))),IF(E290=FROTA!$AT$16,IF('DEFINA!!!'!$L$6="D-E-F-I-N-A !!!!!!!",0,IF('DEFINA!!!'!$L$6="Opto por Idade Média",SEM!AW290,IF('DEFINA!!!'!$L$6="Opto pelo Valor aplicado ao  Ano de cada Carro",SEM!AX290,0))),IF('DEFINA!!!'!$L$6="D-E-F-I-N-A !!!!!!!",0,IF('DEFINA!!!'!$L$6="Opto por Idade Média",SEM!AU290,IF('DEFINA!!!'!$L$6="Opto pelo Valor aplicado ao  Ano de cada Carro",SEM!AV290,0)))))))</f>
        <v/>
      </c>
      <c r="AL290" s="6"/>
      <c r="AM290" s="79" t="str">
        <f t="shared" si="82"/>
        <v/>
      </c>
      <c r="AR290" s="5"/>
      <c r="AU290" s="198" t="str">
        <f>IF(C290="","",VLOOKUP(FROTA!$AB$2,RECEBÍVEIS!$AA$11:$AB$43,2,0))</f>
        <v/>
      </c>
      <c r="AV290" s="198" t="str">
        <f>IF(C290="","",IF(C290=FROTA!Z290="","",VLOOKUP(FROTA!Z290,RECEBÍVEIS!$AA$11:$AB$43,2,0)))</f>
        <v/>
      </c>
      <c r="AW290" s="198" t="str">
        <f>IF(C290="","",VLOOKUP(FROTA!$AB$2,RECEBÍVEIS!$AA$11:$AC$43,3,0))</f>
        <v/>
      </c>
      <c r="AX290" s="198" t="str">
        <f>IF(C290="","",IF(C290=FROTA!Z290="","",VLOOKUP(FROTA!Z290,RECEBÍVEIS!$AA$11:$AC$43,3,0)))</f>
        <v/>
      </c>
    </row>
    <row r="291" spans="2:50" ht="17.25" customHeight="1" x14ac:dyDescent="0.2">
      <c r="B291" s="6"/>
      <c r="C291" s="49" t="str">
        <f>IF(FROTA!B291="","",FROTA!B291)</f>
        <v/>
      </c>
      <c r="D291" s="220" t="str">
        <f>IF(C291="","",VLOOKUP(SEM!C291,FROTA!$B$5:$C$305,2,0))</f>
        <v/>
      </c>
      <c r="E291" s="24" t="str">
        <f>IF(C291="","",VLOOKUP(C291,FROTA!$B$5:$H$305,7,0))</f>
        <v/>
      </c>
      <c r="F291" s="38" t="str">
        <f t="shared" si="73"/>
        <v/>
      </c>
      <c r="G291" s="71" t="str">
        <f t="shared" si="83"/>
        <v/>
      </c>
      <c r="H291" s="32" t="str">
        <f t="shared" si="70"/>
        <v/>
      </c>
      <c r="I291" s="73" t="str">
        <f t="shared" si="70"/>
        <v/>
      </c>
      <c r="J291" s="73" t="str">
        <f t="shared" si="70"/>
        <v/>
      </c>
      <c r="K291" s="73" t="str">
        <f t="shared" si="85"/>
        <v/>
      </c>
      <c r="L291" s="73" t="str">
        <f t="shared" si="85"/>
        <v/>
      </c>
      <c r="M291" s="73" t="str">
        <f t="shared" si="85"/>
        <v/>
      </c>
      <c r="N291" s="73" t="str">
        <f t="shared" si="85"/>
        <v/>
      </c>
      <c r="O291" s="73" t="str">
        <f t="shared" si="85"/>
        <v/>
      </c>
      <c r="P291" s="73" t="str">
        <f t="shared" si="85"/>
        <v/>
      </c>
      <c r="Q291" s="73" t="str">
        <f t="shared" si="85"/>
        <v/>
      </c>
      <c r="R291" s="73" t="str">
        <f t="shared" si="84"/>
        <v/>
      </c>
      <c r="S291" s="73" t="str">
        <f t="shared" si="84"/>
        <v/>
      </c>
      <c r="T291" s="73" t="str">
        <f t="shared" si="84"/>
        <v/>
      </c>
      <c r="U291" s="73" t="str">
        <f t="shared" si="84"/>
        <v/>
      </c>
      <c r="V291" s="73" t="str">
        <f t="shared" si="84"/>
        <v/>
      </c>
      <c r="W291" s="73" t="str">
        <f t="shared" si="84"/>
        <v/>
      </c>
      <c r="X291" s="73" t="str">
        <f t="shared" si="84"/>
        <v/>
      </c>
      <c r="Y291" s="73" t="str">
        <f t="shared" si="84"/>
        <v/>
      </c>
      <c r="Z291" s="73" t="str">
        <f t="shared" si="84"/>
        <v/>
      </c>
      <c r="AA291" s="73" t="str">
        <f t="shared" si="84"/>
        <v/>
      </c>
      <c r="AB291" s="74" t="str">
        <f t="shared" si="84"/>
        <v/>
      </c>
      <c r="AC291" s="35" t="str">
        <f t="shared" si="74"/>
        <v/>
      </c>
      <c r="AD291" s="40" t="str">
        <f t="shared" si="75"/>
        <v/>
      </c>
      <c r="AE291" s="37" t="str">
        <f t="shared" si="76"/>
        <v/>
      </c>
      <c r="AF291" s="40" t="str">
        <f t="shared" si="77"/>
        <v/>
      </c>
      <c r="AG291" s="37" t="str">
        <f t="shared" si="78"/>
        <v/>
      </c>
      <c r="AH291" s="40" t="str">
        <f t="shared" si="79"/>
        <v/>
      </c>
      <c r="AI291" s="37" t="str">
        <f t="shared" si="80"/>
        <v/>
      </c>
      <c r="AJ291" s="40" t="str">
        <f t="shared" si="81"/>
        <v/>
      </c>
      <c r="AK291" s="204" t="str">
        <f>IF(C291="","",IF(E291=FROTA!$AT$18,IF('DEFINA!!!'!$L$6="D-E-F-I-N-A !!!!!!!",0,IF('DEFINA!!!'!$L$6="Opto por Idade Média",SEM!AW291,IF('DEFINA!!!'!$L$6="Opto pelo Valor aplicado ao  Ano de cada Carro",SEM!AX291,0))),IF(E291=FROTA!$AT$17,IF('DEFINA!!!'!$L$6="D-E-F-I-N-A !!!!!!!",0,IF('DEFINA!!!'!$L$6="Opto por Idade Média",SEM!AW291,IF('DEFINA!!!'!$L$6="Opto pelo Valor aplicado ao  Ano de cada Carro",SEM!AX291,0))),IF(E291=FROTA!$AT$16,IF('DEFINA!!!'!$L$6="D-E-F-I-N-A !!!!!!!",0,IF('DEFINA!!!'!$L$6="Opto por Idade Média",SEM!AW291,IF('DEFINA!!!'!$L$6="Opto pelo Valor aplicado ao  Ano de cada Carro",SEM!AX291,0))),IF('DEFINA!!!'!$L$6="D-E-F-I-N-A !!!!!!!",0,IF('DEFINA!!!'!$L$6="Opto por Idade Média",SEM!AU291,IF('DEFINA!!!'!$L$6="Opto pelo Valor aplicado ao  Ano de cada Carro",SEM!AV291,0)))))))</f>
        <v/>
      </c>
      <c r="AL291" s="6"/>
      <c r="AM291" s="79" t="str">
        <f t="shared" si="82"/>
        <v/>
      </c>
      <c r="AR291" s="5"/>
      <c r="AU291" s="198" t="str">
        <f>IF(C291="","",VLOOKUP(FROTA!$AB$2,RECEBÍVEIS!$AA$11:$AB$43,2,0))</f>
        <v/>
      </c>
      <c r="AV291" s="198" t="str">
        <f>IF(C291="","",IF(C291=FROTA!Z291="","",VLOOKUP(FROTA!Z291,RECEBÍVEIS!$AA$11:$AB$43,2,0)))</f>
        <v/>
      </c>
      <c r="AW291" s="198" t="str">
        <f>IF(C291="","",VLOOKUP(FROTA!$AB$2,RECEBÍVEIS!$AA$11:$AC$43,3,0))</f>
        <v/>
      </c>
      <c r="AX291" s="198" t="str">
        <f>IF(C291="","",IF(C291=FROTA!Z291="","",VLOOKUP(FROTA!Z291,RECEBÍVEIS!$AA$11:$AC$43,3,0)))</f>
        <v/>
      </c>
    </row>
    <row r="292" spans="2:50" ht="17.25" customHeight="1" x14ac:dyDescent="0.2">
      <c r="B292" s="6"/>
      <c r="C292" s="49" t="str">
        <f>IF(FROTA!B292="","",FROTA!B292)</f>
        <v/>
      </c>
      <c r="D292" s="220" t="str">
        <f>IF(C292="","",VLOOKUP(SEM!C292,FROTA!$B$5:$C$305,2,0))</f>
        <v/>
      </c>
      <c r="E292" s="24" t="str">
        <f>IF(C292="","",VLOOKUP(C292,FROTA!$B$5:$H$305,7,0))</f>
        <v/>
      </c>
      <c r="F292" s="38" t="str">
        <f t="shared" si="73"/>
        <v/>
      </c>
      <c r="G292" s="71" t="str">
        <f t="shared" si="83"/>
        <v/>
      </c>
      <c r="H292" s="32" t="str">
        <f t="shared" si="70"/>
        <v/>
      </c>
      <c r="I292" s="73" t="str">
        <f t="shared" si="70"/>
        <v/>
      </c>
      <c r="J292" s="73" t="str">
        <f t="shared" si="70"/>
        <v/>
      </c>
      <c r="K292" s="73" t="str">
        <f t="shared" si="85"/>
        <v/>
      </c>
      <c r="L292" s="73" t="str">
        <f t="shared" si="85"/>
        <v/>
      </c>
      <c r="M292" s="73" t="str">
        <f t="shared" si="85"/>
        <v/>
      </c>
      <c r="N292" s="73" t="str">
        <f t="shared" si="85"/>
        <v/>
      </c>
      <c r="O292" s="73" t="str">
        <f t="shared" si="85"/>
        <v/>
      </c>
      <c r="P292" s="73" t="str">
        <f t="shared" si="85"/>
        <v/>
      </c>
      <c r="Q292" s="73" t="str">
        <f t="shared" si="85"/>
        <v/>
      </c>
      <c r="R292" s="73" t="str">
        <f t="shared" si="84"/>
        <v/>
      </c>
      <c r="S292" s="73" t="str">
        <f t="shared" si="84"/>
        <v/>
      </c>
      <c r="T292" s="73" t="str">
        <f t="shared" si="84"/>
        <v/>
      </c>
      <c r="U292" s="73" t="str">
        <f t="shared" si="84"/>
        <v/>
      </c>
      <c r="V292" s="73" t="str">
        <f t="shared" si="84"/>
        <v/>
      </c>
      <c r="W292" s="73" t="str">
        <f t="shared" si="84"/>
        <v/>
      </c>
      <c r="X292" s="73" t="str">
        <f t="shared" si="84"/>
        <v/>
      </c>
      <c r="Y292" s="73" t="str">
        <f t="shared" si="84"/>
        <v/>
      </c>
      <c r="Z292" s="73" t="str">
        <f t="shared" si="84"/>
        <v/>
      </c>
      <c r="AA292" s="73" t="str">
        <f t="shared" si="84"/>
        <v/>
      </c>
      <c r="AB292" s="74" t="str">
        <f t="shared" si="84"/>
        <v/>
      </c>
      <c r="AC292" s="35" t="str">
        <f t="shared" si="74"/>
        <v/>
      </c>
      <c r="AD292" s="40" t="str">
        <f t="shared" si="75"/>
        <v/>
      </c>
      <c r="AE292" s="37" t="str">
        <f t="shared" si="76"/>
        <v/>
      </c>
      <c r="AF292" s="40" t="str">
        <f t="shared" si="77"/>
        <v/>
      </c>
      <c r="AG292" s="37" t="str">
        <f t="shared" si="78"/>
        <v/>
      </c>
      <c r="AH292" s="40" t="str">
        <f t="shared" si="79"/>
        <v/>
      </c>
      <c r="AI292" s="37" t="str">
        <f t="shared" si="80"/>
        <v/>
      </c>
      <c r="AJ292" s="40" t="str">
        <f t="shared" si="81"/>
        <v/>
      </c>
      <c r="AK292" s="204" t="str">
        <f>IF(C292="","",IF(E292=FROTA!$AT$18,IF('DEFINA!!!'!$L$6="D-E-F-I-N-A !!!!!!!",0,IF('DEFINA!!!'!$L$6="Opto por Idade Média",SEM!AW292,IF('DEFINA!!!'!$L$6="Opto pelo Valor aplicado ao  Ano de cada Carro",SEM!AX292,0))),IF(E292=FROTA!$AT$17,IF('DEFINA!!!'!$L$6="D-E-F-I-N-A !!!!!!!",0,IF('DEFINA!!!'!$L$6="Opto por Idade Média",SEM!AW292,IF('DEFINA!!!'!$L$6="Opto pelo Valor aplicado ao  Ano de cada Carro",SEM!AX292,0))),IF(E292=FROTA!$AT$16,IF('DEFINA!!!'!$L$6="D-E-F-I-N-A !!!!!!!",0,IF('DEFINA!!!'!$L$6="Opto por Idade Média",SEM!AW292,IF('DEFINA!!!'!$L$6="Opto pelo Valor aplicado ao  Ano de cada Carro",SEM!AX292,0))),IF('DEFINA!!!'!$L$6="D-E-F-I-N-A !!!!!!!",0,IF('DEFINA!!!'!$L$6="Opto por Idade Média",SEM!AU292,IF('DEFINA!!!'!$L$6="Opto pelo Valor aplicado ao  Ano de cada Carro",SEM!AV292,0)))))))</f>
        <v/>
      </c>
      <c r="AL292" s="6"/>
      <c r="AM292" s="79" t="str">
        <f t="shared" si="82"/>
        <v/>
      </c>
      <c r="AR292" s="5"/>
      <c r="AU292" s="198" t="str">
        <f>IF(C292="","",VLOOKUP(FROTA!$AB$2,RECEBÍVEIS!$AA$11:$AB$43,2,0))</f>
        <v/>
      </c>
      <c r="AV292" s="198" t="str">
        <f>IF(C292="","",IF(C292=FROTA!Z292="","",VLOOKUP(FROTA!Z292,RECEBÍVEIS!$AA$11:$AB$43,2,0)))</f>
        <v/>
      </c>
      <c r="AW292" s="198" t="str">
        <f>IF(C292="","",VLOOKUP(FROTA!$AB$2,RECEBÍVEIS!$AA$11:$AC$43,3,0))</f>
        <v/>
      </c>
      <c r="AX292" s="198" t="str">
        <f>IF(C292="","",IF(C292=FROTA!Z292="","",VLOOKUP(FROTA!Z292,RECEBÍVEIS!$AA$11:$AC$43,3,0)))</f>
        <v/>
      </c>
    </row>
    <row r="293" spans="2:50" ht="17.25" customHeight="1" x14ac:dyDescent="0.2">
      <c r="B293" s="6"/>
      <c r="C293" s="49" t="str">
        <f>IF(FROTA!B293="","",FROTA!B293)</f>
        <v/>
      </c>
      <c r="D293" s="220" t="str">
        <f>IF(C293="","",VLOOKUP(SEM!C293,FROTA!$B$5:$C$305,2,0))</f>
        <v/>
      </c>
      <c r="E293" s="24" t="str">
        <f>IF(C293="","",VLOOKUP(C293,FROTA!$B$5:$H$305,7,0))</f>
        <v/>
      </c>
      <c r="F293" s="38" t="str">
        <f t="shared" si="73"/>
        <v/>
      </c>
      <c r="G293" s="71" t="str">
        <f t="shared" si="83"/>
        <v/>
      </c>
      <c r="H293" s="32" t="str">
        <f t="shared" si="70"/>
        <v/>
      </c>
      <c r="I293" s="73" t="str">
        <f t="shared" si="70"/>
        <v/>
      </c>
      <c r="J293" s="73" t="str">
        <f t="shared" si="70"/>
        <v/>
      </c>
      <c r="K293" s="73" t="str">
        <f t="shared" si="85"/>
        <v/>
      </c>
      <c r="L293" s="73" t="str">
        <f t="shared" si="85"/>
        <v/>
      </c>
      <c r="M293" s="73" t="str">
        <f t="shared" si="85"/>
        <v/>
      </c>
      <c r="N293" s="73" t="str">
        <f t="shared" si="85"/>
        <v/>
      </c>
      <c r="O293" s="73" t="str">
        <f t="shared" si="85"/>
        <v/>
      </c>
      <c r="P293" s="73" t="str">
        <f t="shared" si="85"/>
        <v/>
      </c>
      <c r="Q293" s="73" t="str">
        <f t="shared" si="85"/>
        <v/>
      </c>
      <c r="R293" s="73" t="str">
        <f t="shared" si="84"/>
        <v/>
      </c>
      <c r="S293" s="73" t="str">
        <f t="shared" si="84"/>
        <v/>
      </c>
      <c r="T293" s="73" t="str">
        <f t="shared" si="84"/>
        <v/>
      </c>
      <c r="U293" s="73" t="str">
        <f t="shared" si="84"/>
        <v/>
      </c>
      <c r="V293" s="73" t="str">
        <f t="shared" si="84"/>
        <v/>
      </c>
      <c r="W293" s="73" t="str">
        <f t="shared" si="84"/>
        <v/>
      </c>
      <c r="X293" s="73" t="str">
        <f t="shared" si="84"/>
        <v/>
      </c>
      <c r="Y293" s="73" t="str">
        <f t="shared" si="84"/>
        <v/>
      </c>
      <c r="Z293" s="73" t="str">
        <f t="shared" si="84"/>
        <v/>
      </c>
      <c r="AA293" s="73" t="str">
        <f t="shared" si="84"/>
        <v/>
      </c>
      <c r="AB293" s="74" t="str">
        <f t="shared" si="84"/>
        <v/>
      </c>
      <c r="AC293" s="35" t="str">
        <f t="shared" si="74"/>
        <v/>
      </c>
      <c r="AD293" s="40" t="str">
        <f t="shared" si="75"/>
        <v/>
      </c>
      <c r="AE293" s="37" t="str">
        <f t="shared" si="76"/>
        <v/>
      </c>
      <c r="AF293" s="40" t="str">
        <f t="shared" si="77"/>
        <v/>
      </c>
      <c r="AG293" s="37" t="str">
        <f t="shared" si="78"/>
        <v/>
      </c>
      <c r="AH293" s="40" t="str">
        <f t="shared" si="79"/>
        <v/>
      </c>
      <c r="AI293" s="37" t="str">
        <f t="shared" si="80"/>
        <v/>
      </c>
      <c r="AJ293" s="40" t="str">
        <f t="shared" si="81"/>
        <v/>
      </c>
      <c r="AK293" s="204" t="str">
        <f>IF(C293="","",IF(E293=FROTA!$AT$18,IF('DEFINA!!!'!$L$6="D-E-F-I-N-A !!!!!!!",0,IF('DEFINA!!!'!$L$6="Opto por Idade Média",SEM!AW293,IF('DEFINA!!!'!$L$6="Opto pelo Valor aplicado ao  Ano de cada Carro",SEM!AX293,0))),IF(E293=FROTA!$AT$17,IF('DEFINA!!!'!$L$6="D-E-F-I-N-A !!!!!!!",0,IF('DEFINA!!!'!$L$6="Opto por Idade Média",SEM!AW293,IF('DEFINA!!!'!$L$6="Opto pelo Valor aplicado ao  Ano de cada Carro",SEM!AX293,0))),IF(E293=FROTA!$AT$16,IF('DEFINA!!!'!$L$6="D-E-F-I-N-A !!!!!!!",0,IF('DEFINA!!!'!$L$6="Opto por Idade Média",SEM!AW293,IF('DEFINA!!!'!$L$6="Opto pelo Valor aplicado ao  Ano de cada Carro",SEM!AX293,0))),IF('DEFINA!!!'!$L$6="D-E-F-I-N-A !!!!!!!",0,IF('DEFINA!!!'!$L$6="Opto por Idade Média",SEM!AU293,IF('DEFINA!!!'!$L$6="Opto pelo Valor aplicado ao  Ano de cada Carro",SEM!AV293,0)))))))</f>
        <v/>
      </c>
      <c r="AL293" s="6"/>
      <c r="AM293" s="79" t="str">
        <f t="shared" si="82"/>
        <v/>
      </c>
      <c r="AR293" s="5"/>
      <c r="AU293" s="198" t="str">
        <f>IF(C293="","",VLOOKUP(FROTA!$AB$2,RECEBÍVEIS!$AA$11:$AB$43,2,0))</f>
        <v/>
      </c>
      <c r="AV293" s="198" t="str">
        <f>IF(C293="","",IF(C293=FROTA!Z293="","",VLOOKUP(FROTA!Z293,RECEBÍVEIS!$AA$11:$AB$43,2,0)))</f>
        <v/>
      </c>
      <c r="AW293" s="198" t="str">
        <f>IF(C293="","",VLOOKUP(FROTA!$AB$2,RECEBÍVEIS!$AA$11:$AC$43,3,0))</f>
        <v/>
      </c>
      <c r="AX293" s="198" t="str">
        <f>IF(C293="","",IF(C293=FROTA!Z293="","",VLOOKUP(FROTA!Z293,RECEBÍVEIS!$AA$11:$AC$43,3,0)))</f>
        <v/>
      </c>
    </row>
    <row r="294" spans="2:50" ht="17.25" customHeight="1" x14ac:dyDescent="0.2">
      <c r="B294" s="6"/>
      <c r="C294" s="49" t="str">
        <f>IF(FROTA!B294="","",FROTA!B294)</f>
        <v/>
      </c>
      <c r="D294" s="220" t="str">
        <f>IF(C294="","",VLOOKUP(SEM!C294,FROTA!$B$5:$C$305,2,0))</f>
        <v/>
      </c>
      <c r="E294" s="24" t="str">
        <f>IF(C294="","",VLOOKUP(C294,FROTA!$B$5:$H$305,7,0))</f>
        <v/>
      </c>
      <c r="F294" s="38" t="str">
        <f t="shared" si="73"/>
        <v/>
      </c>
      <c r="G294" s="71" t="str">
        <f t="shared" si="83"/>
        <v/>
      </c>
      <c r="H294" s="32" t="str">
        <f t="shared" si="70"/>
        <v/>
      </c>
      <c r="I294" s="73" t="str">
        <f t="shared" si="70"/>
        <v/>
      </c>
      <c r="J294" s="73" t="str">
        <f t="shared" si="70"/>
        <v/>
      </c>
      <c r="K294" s="73" t="str">
        <f t="shared" si="85"/>
        <v/>
      </c>
      <c r="L294" s="73" t="str">
        <f t="shared" si="85"/>
        <v/>
      </c>
      <c r="M294" s="73" t="str">
        <f t="shared" si="85"/>
        <v/>
      </c>
      <c r="N294" s="73" t="str">
        <f t="shared" si="85"/>
        <v/>
      </c>
      <c r="O294" s="73" t="str">
        <f t="shared" si="85"/>
        <v/>
      </c>
      <c r="P294" s="73" t="str">
        <f t="shared" si="85"/>
        <v/>
      </c>
      <c r="Q294" s="73" t="str">
        <f t="shared" si="85"/>
        <v/>
      </c>
      <c r="R294" s="73" t="str">
        <f t="shared" si="84"/>
        <v/>
      </c>
      <c r="S294" s="73" t="str">
        <f t="shared" si="84"/>
        <v/>
      </c>
      <c r="T294" s="73" t="str">
        <f t="shared" si="84"/>
        <v/>
      </c>
      <c r="U294" s="73" t="str">
        <f t="shared" si="84"/>
        <v/>
      </c>
      <c r="V294" s="73" t="str">
        <f t="shared" si="84"/>
        <v/>
      </c>
      <c r="W294" s="73" t="str">
        <f t="shared" si="84"/>
        <v/>
      </c>
      <c r="X294" s="73" t="str">
        <f t="shared" si="84"/>
        <v/>
      </c>
      <c r="Y294" s="73" t="str">
        <f t="shared" si="84"/>
        <v/>
      </c>
      <c r="Z294" s="73" t="str">
        <f t="shared" si="84"/>
        <v/>
      </c>
      <c r="AA294" s="73" t="str">
        <f t="shared" si="84"/>
        <v/>
      </c>
      <c r="AB294" s="74" t="str">
        <f t="shared" si="84"/>
        <v/>
      </c>
      <c r="AC294" s="35" t="str">
        <f t="shared" si="74"/>
        <v/>
      </c>
      <c r="AD294" s="40" t="str">
        <f t="shared" si="75"/>
        <v/>
      </c>
      <c r="AE294" s="37" t="str">
        <f t="shared" si="76"/>
        <v/>
      </c>
      <c r="AF294" s="40" t="str">
        <f t="shared" si="77"/>
        <v/>
      </c>
      <c r="AG294" s="37" t="str">
        <f t="shared" si="78"/>
        <v/>
      </c>
      <c r="AH294" s="40" t="str">
        <f t="shared" si="79"/>
        <v/>
      </c>
      <c r="AI294" s="37" t="str">
        <f t="shared" si="80"/>
        <v/>
      </c>
      <c r="AJ294" s="40" t="str">
        <f t="shared" si="81"/>
        <v/>
      </c>
      <c r="AK294" s="204" t="str">
        <f>IF(C294="","",IF(E294=FROTA!$AT$18,IF('DEFINA!!!'!$L$6="D-E-F-I-N-A !!!!!!!",0,IF('DEFINA!!!'!$L$6="Opto por Idade Média",SEM!AW294,IF('DEFINA!!!'!$L$6="Opto pelo Valor aplicado ao  Ano de cada Carro",SEM!AX294,0))),IF(E294=FROTA!$AT$17,IF('DEFINA!!!'!$L$6="D-E-F-I-N-A !!!!!!!",0,IF('DEFINA!!!'!$L$6="Opto por Idade Média",SEM!AW294,IF('DEFINA!!!'!$L$6="Opto pelo Valor aplicado ao  Ano de cada Carro",SEM!AX294,0))),IF(E294=FROTA!$AT$16,IF('DEFINA!!!'!$L$6="D-E-F-I-N-A !!!!!!!",0,IF('DEFINA!!!'!$L$6="Opto por Idade Média",SEM!AW294,IF('DEFINA!!!'!$L$6="Opto pelo Valor aplicado ao  Ano de cada Carro",SEM!AX294,0))),IF('DEFINA!!!'!$L$6="D-E-F-I-N-A !!!!!!!",0,IF('DEFINA!!!'!$L$6="Opto por Idade Média",SEM!AU294,IF('DEFINA!!!'!$L$6="Opto pelo Valor aplicado ao  Ano de cada Carro",SEM!AV294,0)))))))</f>
        <v/>
      </c>
      <c r="AL294" s="6"/>
      <c r="AM294" s="79" t="str">
        <f t="shared" si="82"/>
        <v/>
      </c>
      <c r="AR294" s="5"/>
      <c r="AU294" s="198" t="str">
        <f>IF(C294="","",VLOOKUP(FROTA!$AB$2,RECEBÍVEIS!$AA$11:$AB$43,2,0))</f>
        <v/>
      </c>
      <c r="AV294" s="198" t="str">
        <f>IF(C294="","",IF(C294=FROTA!Z294="","",VLOOKUP(FROTA!Z294,RECEBÍVEIS!$AA$11:$AB$43,2,0)))</f>
        <v/>
      </c>
      <c r="AW294" s="198" t="str">
        <f>IF(C294="","",VLOOKUP(FROTA!$AB$2,RECEBÍVEIS!$AA$11:$AC$43,3,0))</f>
        <v/>
      </c>
      <c r="AX294" s="198" t="str">
        <f>IF(C294="","",IF(C294=FROTA!Z294="","",VLOOKUP(FROTA!Z294,RECEBÍVEIS!$AA$11:$AC$43,3,0)))</f>
        <v/>
      </c>
    </row>
    <row r="295" spans="2:50" ht="17.25" customHeight="1" x14ac:dyDescent="0.2">
      <c r="B295" s="6"/>
      <c r="C295" s="49" t="str">
        <f>IF(FROTA!B295="","",FROTA!B295)</f>
        <v/>
      </c>
      <c r="D295" s="220" t="str">
        <f>IF(C295="","",VLOOKUP(SEM!C295,FROTA!$B$5:$C$305,2,0))</f>
        <v/>
      </c>
      <c r="E295" s="24" t="str">
        <f>IF(C295="","",VLOOKUP(C295,FROTA!$B$5:$H$305,7,0))</f>
        <v/>
      </c>
      <c r="F295" s="38" t="str">
        <f t="shared" si="73"/>
        <v/>
      </c>
      <c r="G295" s="71" t="str">
        <f t="shared" si="83"/>
        <v/>
      </c>
      <c r="H295" s="32" t="str">
        <f t="shared" si="70"/>
        <v/>
      </c>
      <c r="I295" s="73" t="str">
        <f t="shared" si="70"/>
        <v/>
      </c>
      <c r="J295" s="73" t="str">
        <f t="shared" si="70"/>
        <v/>
      </c>
      <c r="K295" s="73" t="str">
        <f t="shared" si="85"/>
        <v/>
      </c>
      <c r="L295" s="73" t="str">
        <f t="shared" si="85"/>
        <v/>
      </c>
      <c r="M295" s="73" t="str">
        <f t="shared" si="85"/>
        <v/>
      </c>
      <c r="N295" s="73" t="str">
        <f t="shared" si="85"/>
        <v/>
      </c>
      <c r="O295" s="73" t="str">
        <f t="shared" si="85"/>
        <v/>
      </c>
      <c r="P295" s="73" t="str">
        <f t="shared" si="85"/>
        <v/>
      </c>
      <c r="Q295" s="73" t="str">
        <f t="shared" si="85"/>
        <v/>
      </c>
      <c r="R295" s="73" t="str">
        <f t="shared" si="84"/>
        <v/>
      </c>
      <c r="S295" s="73" t="str">
        <f t="shared" si="84"/>
        <v/>
      </c>
      <c r="T295" s="73" t="str">
        <f t="shared" si="84"/>
        <v/>
      </c>
      <c r="U295" s="73" t="str">
        <f t="shared" si="84"/>
        <v/>
      </c>
      <c r="V295" s="73" t="str">
        <f t="shared" si="84"/>
        <v/>
      </c>
      <c r="W295" s="73" t="str">
        <f t="shared" si="84"/>
        <v/>
      </c>
      <c r="X295" s="73" t="str">
        <f t="shared" si="84"/>
        <v/>
      </c>
      <c r="Y295" s="73" t="str">
        <f t="shared" si="84"/>
        <v/>
      </c>
      <c r="Z295" s="73" t="str">
        <f t="shared" si="84"/>
        <v/>
      </c>
      <c r="AA295" s="73" t="str">
        <f t="shared" si="84"/>
        <v/>
      </c>
      <c r="AB295" s="74" t="str">
        <f t="shared" si="84"/>
        <v/>
      </c>
      <c r="AC295" s="35" t="str">
        <f t="shared" si="74"/>
        <v/>
      </c>
      <c r="AD295" s="40" t="str">
        <f t="shared" si="75"/>
        <v/>
      </c>
      <c r="AE295" s="37" t="str">
        <f t="shared" si="76"/>
        <v/>
      </c>
      <c r="AF295" s="40" t="str">
        <f t="shared" si="77"/>
        <v/>
      </c>
      <c r="AG295" s="37" t="str">
        <f t="shared" si="78"/>
        <v/>
      </c>
      <c r="AH295" s="40" t="str">
        <f t="shared" si="79"/>
        <v/>
      </c>
      <c r="AI295" s="37" t="str">
        <f t="shared" si="80"/>
        <v/>
      </c>
      <c r="AJ295" s="40" t="str">
        <f t="shared" si="81"/>
        <v/>
      </c>
      <c r="AK295" s="204" t="str">
        <f>IF(C295="","",IF(E295=FROTA!$AT$18,IF('DEFINA!!!'!$L$6="D-E-F-I-N-A !!!!!!!",0,IF('DEFINA!!!'!$L$6="Opto por Idade Média",SEM!AW295,IF('DEFINA!!!'!$L$6="Opto pelo Valor aplicado ao  Ano de cada Carro",SEM!AX295,0))),IF(E295=FROTA!$AT$17,IF('DEFINA!!!'!$L$6="D-E-F-I-N-A !!!!!!!",0,IF('DEFINA!!!'!$L$6="Opto por Idade Média",SEM!AW295,IF('DEFINA!!!'!$L$6="Opto pelo Valor aplicado ao  Ano de cada Carro",SEM!AX295,0))),IF(E295=FROTA!$AT$16,IF('DEFINA!!!'!$L$6="D-E-F-I-N-A !!!!!!!",0,IF('DEFINA!!!'!$L$6="Opto por Idade Média",SEM!AW295,IF('DEFINA!!!'!$L$6="Opto pelo Valor aplicado ao  Ano de cada Carro",SEM!AX295,0))),IF('DEFINA!!!'!$L$6="D-E-F-I-N-A !!!!!!!",0,IF('DEFINA!!!'!$L$6="Opto por Idade Média",SEM!AU295,IF('DEFINA!!!'!$L$6="Opto pelo Valor aplicado ao  Ano de cada Carro",SEM!AV295,0)))))))</f>
        <v/>
      </c>
      <c r="AL295" s="6"/>
      <c r="AM295" s="79" t="str">
        <f t="shared" si="82"/>
        <v/>
      </c>
      <c r="AR295" s="5"/>
      <c r="AU295" s="198" t="str">
        <f>IF(C295="","",VLOOKUP(FROTA!$AB$2,RECEBÍVEIS!$AA$11:$AB$43,2,0))</f>
        <v/>
      </c>
      <c r="AV295" s="198" t="str">
        <f>IF(C295="","",IF(C295=FROTA!Z295="","",VLOOKUP(FROTA!Z295,RECEBÍVEIS!$AA$11:$AB$43,2,0)))</f>
        <v/>
      </c>
      <c r="AW295" s="198" t="str">
        <f>IF(C295="","",VLOOKUP(FROTA!$AB$2,RECEBÍVEIS!$AA$11:$AC$43,3,0))</f>
        <v/>
      </c>
      <c r="AX295" s="198" t="str">
        <f>IF(C295="","",IF(C295=FROTA!Z295="","",VLOOKUP(FROTA!Z295,RECEBÍVEIS!$AA$11:$AC$43,3,0)))</f>
        <v/>
      </c>
    </row>
    <row r="296" spans="2:50" ht="17.25" customHeight="1" x14ac:dyDescent="0.2">
      <c r="B296" s="6"/>
      <c r="C296" s="49" t="str">
        <f>IF(FROTA!B296="","",FROTA!B296)</f>
        <v/>
      </c>
      <c r="D296" s="220" t="str">
        <f>IF(C296="","",VLOOKUP(SEM!C296,FROTA!$B$5:$C$305,2,0))</f>
        <v/>
      </c>
      <c r="E296" s="24" t="str">
        <f>IF(C296="","",VLOOKUP(C296,FROTA!$B$5:$H$305,7,0))</f>
        <v/>
      </c>
      <c r="F296" s="38" t="str">
        <f t="shared" si="73"/>
        <v/>
      </c>
      <c r="G296" s="71" t="str">
        <f t="shared" si="83"/>
        <v/>
      </c>
      <c r="H296" s="32" t="str">
        <f t="shared" si="70"/>
        <v/>
      </c>
      <c r="I296" s="73" t="str">
        <f t="shared" si="70"/>
        <v/>
      </c>
      <c r="J296" s="73" t="str">
        <f t="shared" si="70"/>
        <v/>
      </c>
      <c r="K296" s="73" t="str">
        <f t="shared" si="85"/>
        <v/>
      </c>
      <c r="L296" s="73" t="str">
        <f t="shared" si="85"/>
        <v/>
      </c>
      <c r="M296" s="73" t="str">
        <f t="shared" si="85"/>
        <v/>
      </c>
      <c r="N296" s="73" t="str">
        <f t="shared" si="85"/>
        <v/>
      </c>
      <c r="O296" s="73" t="str">
        <f t="shared" si="85"/>
        <v/>
      </c>
      <c r="P296" s="73" t="str">
        <f t="shared" si="85"/>
        <v/>
      </c>
      <c r="Q296" s="73" t="str">
        <f t="shared" si="85"/>
        <v/>
      </c>
      <c r="R296" s="73" t="str">
        <f t="shared" si="84"/>
        <v/>
      </c>
      <c r="S296" s="73" t="str">
        <f t="shared" si="84"/>
        <v/>
      </c>
      <c r="T296" s="73" t="str">
        <f t="shared" si="84"/>
        <v/>
      </c>
      <c r="U296" s="73" t="str">
        <f t="shared" si="84"/>
        <v/>
      </c>
      <c r="V296" s="73" t="str">
        <f t="shared" si="84"/>
        <v/>
      </c>
      <c r="W296" s="73" t="str">
        <f t="shared" si="84"/>
        <v/>
      </c>
      <c r="X296" s="73" t="str">
        <f t="shared" si="84"/>
        <v/>
      </c>
      <c r="Y296" s="73" t="str">
        <f t="shared" si="84"/>
        <v/>
      </c>
      <c r="Z296" s="73" t="str">
        <f t="shared" si="84"/>
        <v/>
      </c>
      <c r="AA296" s="73" t="str">
        <f t="shared" si="84"/>
        <v/>
      </c>
      <c r="AB296" s="74" t="str">
        <f t="shared" si="84"/>
        <v/>
      </c>
      <c r="AC296" s="35" t="str">
        <f t="shared" si="74"/>
        <v/>
      </c>
      <c r="AD296" s="40" t="str">
        <f t="shared" si="75"/>
        <v/>
      </c>
      <c r="AE296" s="37" t="str">
        <f t="shared" si="76"/>
        <v/>
      </c>
      <c r="AF296" s="40" t="str">
        <f t="shared" si="77"/>
        <v/>
      </c>
      <c r="AG296" s="37" t="str">
        <f t="shared" si="78"/>
        <v/>
      </c>
      <c r="AH296" s="40" t="str">
        <f t="shared" si="79"/>
        <v/>
      </c>
      <c r="AI296" s="37" t="str">
        <f t="shared" si="80"/>
        <v/>
      </c>
      <c r="AJ296" s="40" t="str">
        <f t="shared" si="81"/>
        <v/>
      </c>
      <c r="AK296" s="204" t="str">
        <f>IF(C296="","",IF(E296=FROTA!$AT$18,IF('DEFINA!!!'!$L$6="D-E-F-I-N-A !!!!!!!",0,IF('DEFINA!!!'!$L$6="Opto por Idade Média",SEM!AW296,IF('DEFINA!!!'!$L$6="Opto pelo Valor aplicado ao  Ano de cada Carro",SEM!AX296,0))),IF(E296=FROTA!$AT$17,IF('DEFINA!!!'!$L$6="D-E-F-I-N-A !!!!!!!",0,IF('DEFINA!!!'!$L$6="Opto por Idade Média",SEM!AW296,IF('DEFINA!!!'!$L$6="Opto pelo Valor aplicado ao  Ano de cada Carro",SEM!AX296,0))),IF(E296=FROTA!$AT$16,IF('DEFINA!!!'!$L$6="D-E-F-I-N-A !!!!!!!",0,IF('DEFINA!!!'!$L$6="Opto por Idade Média",SEM!AW296,IF('DEFINA!!!'!$L$6="Opto pelo Valor aplicado ao  Ano de cada Carro",SEM!AX296,0))),IF('DEFINA!!!'!$L$6="D-E-F-I-N-A !!!!!!!",0,IF('DEFINA!!!'!$L$6="Opto por Idade Média",SEM!AU296,IF('DEFINA!!!'!$L$6="Opto pelo Valor aplicado ao  Ano de cada Carro",SEM!AV296,0)))))))</f>
        <v/>
      </c>
      <c r="AL296" s="6"/>
      <c r="AM296" s="79" t="str">
        <f t="shared" si="82"/>
        <v/>
      </c>
      <c r="AR296" s="5"/>
      <c r="AU296" s="198" t="str">
        <f>IF(C296="","",VLOOKUP(FROTA!$AB$2,RECEBÍVEIS!$AA$11:$AB$43,2,0))</f>
        <v/>
      </c>
      <c r="AV296" s="198" t="str">
        <f>IF(C296="","",IF(C296=FROTA!Z296="","",VLOOKUP(FROTA!Z296,RECEBÍVEIS!$AA$11:$AB$43,2,0)))</f>
        <v/>
      </c>
      <c r="AW296" s="198" t="str">
        <f>IF(C296="","",VLOOKUP(FROTA!$AB$2,RECEBÍVEIS!$AA$11:$AC$43,3,0))</f>
        <v/>
      </c>
      <c r="AX296" s="198" t="str">
        <f>IF(C296="","",IF(C296=FROTA!Z296="","",VLOOKUP(FROTA!Z296,RECEBÍVEIS!$AA$11:$AC$43,3,0)))</f>
        <v/>
      </c>
    </row>
    <row r="297" spans="2:50" ht="17.25" customHeight="1" x14ac:dyDescent="0.2">
      <c r="B297" s="6"/>
      <c r="C297" s="49" t="str">
        <f>IF(FROTA!B297="","",FROTA!B297)</f>
        <v/>
      </c>
      <c r="D297" s="220" t="str">
        <f>IF(C297="","",VLOOKUP(SEM!C297,FROTA!$B$5:$C$305,2,0))</f>
        <v/>
      </c>
      <c r="E297" s="24" t="str">
        <f>IF(C297="","",VLOOKUP(C297,FROTA!$B$5:$H$305,7,0))</f>
        <v/>
      </c>
      <c r="F297" s="38" t="str">
        <f t="shared" si="73"/>
        <v/>
      </c>
      <c r="G297" s="71" t="str">
        <f t="shared" si="83"/>
        <v/>
      </c>
      <c r="H297" s="32" t="str">
        <f t="shared" si="70"/>
        <v/>
      </c>
      <c r="I297" s="73" t="str">
        <f t="shared" si="70"/>
        <v/>
      </c>
      <c r="J297" s="73" t="str">
        <f t="shared" si="70"/>
        <v/>
      </c>
      <c r="K297" s="73" t="str">
        <f t="shared" si="85"/>
        <v/>
      </c>
      <c r="L297" s="73" t="str">
        <f t="shared" si="85"/>
        <v/>
      </c>
      <c r="M297" s="73" t="str">
        <f t="shared" si="85"/>
        <v/>
      </c>
      <c r="N297" s="73" t="str">
        <f t="shared" si="85"/>
        <v/>
      </c>
      <c r="O297" s="73" t="str">
        <f t="shared" si="85"/>
        <v/>
      </c>
      <c r="P297" s="73" t="str">
        <f t="shared" si="85"/>
        <v/>
      </c>
      <c r="Q297" s="73" t="str">
        <f t="shared" si="85"/>
        <v/>
      </c>
      <c r="R297" s="73" t="str">
        <f t="shared" si="84"/>
        <v/>
      </c>
      <c r="S297" s="73" t="str">
        <f t="shared" si="84"/>
        <v/>
      </c>
      <c r="T297" s="73" t="str">
        <f t="shared" si="84"/>
        <v/>
      </c>
      <c r="U297" s="73" t="str">
        <f t="shared" si="84"/>
        <v/>
      </c>
      <c r="V297" s="73" t="str">
        <f t="shared" si="84"/>
        <v/>
      </c>
      <c r="W297" s="73" t="str">
        <f t="shared" si="84"/>
        <v/>
      </c>
      <c r="X297" s="73" t="str">
        <f t="shared" si="84"/>
        <v/>
      </c>
      <c r="Y297" s="73" t="str">
        <f t="shared" si="84"/>
        <v/>
      </c>
      <c r="Z297" s="73" t="str">
        <f t="shared" si="84"/>
        <v/>
      </c>
      <c r="AA297" s="73" t="str">
        <f t="shared" si="84"/>
        <v/>
      </c>
      <c r="AB297" s="74" t="str">
        <f t="shared" si="84"/>
        <v/>
      </c>
      <c r="AC297" s="35" t="str">
        <f t="shared" si="74"/>
        <v/>
      </c>
      <c r="AD297" s="40" t="str">
        <f t="shared" si="75"/>
        <v/>
      </c>
      <c r="AE297" s="37" t="str">
        <f t="shared" si="76"/>
        <v/>
      </c>
      <c r="AF297" s="40" t="str">
        <f t="shared" si="77"/>
        <v/>
      </c>
      <c r="AG297" s="37" t="str">
        <f t="shared" si="78"/>
        <v/>
      </c>
      <c r="AH297" s="40" t="str">
        <f t="shared" si="79"/>
        <v/>
      </c>
      <c r="AI297" s="37" t="str">
        <f t="shared" si="80"/>
        <v/>
      </c>
      <c r="AJ297" s="40" t="str">
        <f t="shared" si="81"/>
        <v/>
      </c>
      <c r="AK297" s="204" t="str">
        <f>IF(C297="","",IF(E297=FROTA!$AT$18,IF('DEFINA!!!'!$L$6="D-E-F-I-N-A !!!!!!!",0,IF('DEFINA!!!'!$L$6="Opto por Idade Média",SEM!AW297,IF('DEFINA!!!'!$L$6="Opto pelo Valor aplicado ao  Ano de cada Carro",SEM!AX297,0))),IF(E297=FROTA!$AT$17,IF('DEFINA!!!'!$L$6="D-E-F-I-N-A !!!!!!!",0,IF('DEFINA!!!'!$L$6="Opto por Idade Média",SEM!AW297,IF('DEFINA!!!'!$L$6="Opto pelo Valor aplicado ao  Ano de cada Carro",SEM!AX297,0))),IF(E297=FROTA!$AT$16,IF('DEFINA!!!'!$L$6="D-E-F-I-N-A !!!!!!!",0,IF('DEFINA!!!'!$L$6="Opto por Idade Média",SEM!AW297,IF('DEFINA!!!'!$L$6="Opto pelo Valor aplicado ao  Ano de cada Carro",SEM!AX297,0))),IF('DEFINA!!!'!$L$6="D-E-F-I-N-A !!!!!!!",0,IF('DEFINA!!!'!$L$6="Opto por Idade Média",SEM!AU297,IF('DEFINA!!!'!$L$6="Opto pelo Valor aplicado ao  Ano de cada Carro",SEM!AV297,0)))))))</f>
        <v/>
      </c>
      <c r="AL297" s="6"/>
      <c r="AM297" s="79" t="str">
        <f t="shared" si="82"/>
        <v/>
      </c>
      <c r="AR297" s="5"/>
      <c r="AU297" s="198" t="str">
        <f>IF(C297="","",VLOOKUP(FROTA!$AB$2,RECEBÍVEIS!$AA$11:$AB$43,2,0))</f>
        <v/>
      </c>
      <c r="AV297" s="198" t="str">
        <f>IF(C297="","",IF(C297=FROTA!Z297="","",VLOOKUP(FROTA!Z297,RECEBÍVEIS!$AA$11:$AB$43,2,0)))</f>
        <v/>
      </c>
      <c r="AW297" s="198" t="str">
        <f>IF(C297="","",VLOOKUP(FROTA!$AB$2,RECEBÍVEIS!$AA$11:$AC$43,3,0))</f>
        <v/>
      </c>
      <c r="AX297" s="198" t="str">
        <f>IF(C297="","",IF(C297=FROTA!Z297="","",VLOOKUP(FROTA!Z297,RECEBÍVEIS!$AA$11:$AC$43,3,0)))</f>
        <v/>
      </c>
    </row>
    <row r="298" spans="2:50" ht="17.25" customHeight="1" x14ac:dyDescent="0.2">
      <c r="B298" s="6"/>
      <c r="C298" s="49" t="str">
        <f>IF(FROTA!B298="","",FROTA!B298)</f>
        <v/>
      </c>
      <c r="D298" s="220" t="str">
        <f>IF(C298="","",VLOOKUP(SEM!C298,FROTA!$B$5:$C$305,2,0))</f>
        <v/>
      </c>
      <c r="E298" s="24" t="str">
        <f>IF(C298="","",VLOOKUP(C298,FROTA!$B$5:$H$305,7,0))</f>
        <v/>
      </c>
      <c r="F298" s="38" t="str">
        <f t="shared" si="73"/>
        <v/>
      </c>
      <c r="G298" s="71" t="str">
        <f t="shared" si="83"/>
        <v/>
      </c>
      <c r="H298" s="32" t="str">
        <f t="shared" si="70"/>
        <v/>
      </c>
      <c r="I298" s="73" t="str">
        <f t="shared" si="70"/>
        <v/>
      </c>
      <c r="J298" s="73" t="str">
        <f t="shared" si="70"/>
        <v/>
      </c>
      <c r="K298" s="73" t="str">
        <f t="shared" si="85"/>
        <v/>
      </c>
      <c r="L298" s="73" t="str">
        <f t="shared" si="85"/>
        <v/>
      </c>
      <c r="M298" s="73" t="str">
        <f t="shared" si="85"/>
        <v/>
      </c>
      <c r="N298" s="73" t="str">
        <f t="shared" si="85"/>
        <v/>
      </c>
      <c r="O298" s="73" t="str">
        <f t="shared" si="85"/>
        <v/>
      </c>
      <c r="P298" s="73" t="str">
        <f t="shared" si="85"/>
        <v/>
      </c>
      <c r="Q298" s="73" t="str">
        <f t="shared" si="85"/>
        <v/>
      </c>
      <c r="R298" s="73" t="str">
        <f t="shared" si="84"/>
        <v/>
      </c>
      <c r="S298" s="73" t="str">
        <f t="shared" si="84"/>
        <v/>
      </c>
      <c r="T298" s="73" t="str">
        <f t="shared" si="84"/>
        <v/>
      </c>
      <c r="U298" s="73" t="str">
        <f t="shared" si="84"/>
        <v/>
      </c>
      <c r="V298" s="73" t="str">
        <f t="shared" si="84"/>
        <v/>
      </c>
      <c r="W298" s="73" t="str">
        <f t="shared" si="84"/>
        <v/>
      </c>
      <c r="X298" s="73" t="str">
        <f t="shared" si="84"/>
        <v/>
      </c>
      <c r="Y298" s="73" t="str">
        <f t="shared" si="84"/>
        <v/>
      </c>
      <c r="Z298" s="73" t="str">
        <f t="shared" si="84"/>
        <v/>
      </c>
      <c r="AA298" s="73" t="str">
        <f t="shared" si="84"/>
        <v/>
      </c>
      <c r="AB298" s="74" t="str">
        <f t="shared" si="84"/>
        <v/>
      </c>
      <c r="AC298" s="35" t="str">
        <f t="shared" si="74"/>
        <v/>
      </c>
      <c r="AD298" s="40" t="str">
        <f t="shared" si="75"/>
        <v/>
      </c>
      <c r="AE298" s="37" t="str">
        <f t="shared" si="76"/>
        <v/>
      </c>
      <c r="AF298" s="40" t="str">
        <f t="shared" si="77"/>
        <v/>
      </c>
      <c r="AG298" s="37" t="str">
        <f t="shared" si="78"/>
        <v/>
      </c>
      <c r="AH298" s="40" t="str">
        <f t="shared" si="79"/>
        <v/>
      </c>
      <c r="AI298" s="37" t="str">
        <f t="shared" si="80"/>
        <v/>
      </c>
      <c r="AJ298" s="40" t="str">
        <f t="shared" si="81"/>
        <v/>
      </c>
      <c r="AK298" s="204" t="str">
        <f>IF(C298="","",IF(E298=FROTA!$AT$18,IF('DEFINA!!!'!$L$6="D-E-F-I-N-A !!!!!!!",0,IF('DEFINA!!!'!$L$6="Opto por Idade Média",SEM!AW298,IF('DEFINA!!!'!$L$6="Opto pelo Valor aplicado ao  Ano de cada Carro",SEM!AX298,0))),IF(E298=FROTA!$AT$17,IF('DEFINA!!!'!$L$6="D-E-F-I-N-A !!!!!!!",0,IF('DEFINA!!!'!$L$6="Opto por Idade Média",SEM!AW298,IF('DEFINA!!!'!$L$6="Opto pelo Valor aplicado ao  Ano de cada Carro",SEM!AX298,0))),IF(E298=FROTA!$AT$16,IF('DEFINA!!!'!$L$6="D-E-F-I-N-A !!!!!!!",0,IF('DEFINA!!!'!$L$6="Opto por Idade Média",SEM!AW298,IF('DEFINA!!!'!$L$6="Opto pelo Valor aplicado ao  Ano de cada Carro",SEM!AX298,0))),IF('DEFINA!!!'!$L$6="D-E-F-I-N-A !!!!!!!",0,IF('DEFINA!!!'!$L$6="Opto por Idade Média",SEM!AU298,IF('DEFINA!!!'!$L$6="Opto pelo Valor aplicado ao  Ano de cada Carro",SEM!AV298,0)))))))</f>
        <v/>
      </c>
      <c r="AL298" s="6"/>
      <c r="AM298" s="79" t="str">
        <f t="shared" si="82"/>
        <v/>
      </c>
      <c r="AR298" s="5"/>
      <c r="AU298" s="198" t="str">
        <f>IF(C298="","",VLOOKUP(FROTA!$AB$2,RECEBÍVEIS!$AA$11:$AB$43,2,0))</f>
        <v/>
      </c>
      <c r="AV298" s="198" t="str">
        <f>IF(C298="","",IF(C298=FROTA!Z298="","",VLOOKUP(FROTA!Z298,RECEBÍVEIS!$AA$11:$AB$43,2,0)))</f>
        <v/>
      </c>
      <c r="AW298" s="198" t="str">
        <f>IF(C298="","",VLOOKUP(FROTA!$AB$2,RECEBÍVEIS!$AA$11:$AC$43,3,0))</f>
        <v/>
      </c>
      <c r="AX298" s="198" t="str">
        <f>IF(C298="","",IF(C298=FROTA!Z298="","",VLOOKUP(FROTA!Z298,RECEBÍVEIS!$AA$11:$AC$43,3,0)))</f>
        <v/>
      </c>
    </row>
    <row r="299" spans="2:50" ht="17.25" customHeight="1" x14ac:dyDescent="0.2">
      <c r="B299" s="6"/>
      <c r="C299" s="49" t="str">
        <f>IF(FROTA!B299="","",FROTA!B299)</f>
        <v/>
      </c>
      <c r="D299" s="220" t="str">
        <f>IF(C299="","",VLOOKUP(SEM!C299,FROTA!$B$5:$C$305,2,0))</f>
        <v/>
      </c>
      <c r="E299" s="24" t="str">
        <f>IF(C299="","",VLOOKUP(C299,FROTA!$B$5:$H$305,7,0))</f>
        <v/>
      </c>
      <c r="F299" s="38" t="str">
        <f t="shared" si="73"/>
        <v/>
      </c>
      <c r="G299" s="71" t="str">
        <f t="shared" si="83"/>
        <v/>
      </c>
      <c r="H299" s="32" t="str">
        <f t="shared" si="70"/>
        <v/>
      </c>
      <c r="I299" s="73" t="str">
        <f t="shared" si="70"/>
        <v/>
      </c>
      <c r="J299" s="73" t="str">
        <f t="shared" si="70"/>
        <v/>
      </c>
      <c r="K299" s="73" t="str">
        <f t="shared" si="85"/>
        <v/>
      </c>
      <c r="L299" s="73" t="str">
        <f t="shared" si="85"/>
        <v/>
      </c>
      <c r="M299" s="73" t="str">
        <f t="shared" si="85"/>
        <v/>
      </c>
      <c r="N299" s="73" t="str">
        <f t="shared" si="85"/>
        <v/>
      </c>
      <c r="O299" s="73" t="str">
        <f t="shared" si="85"/>
        <v/>
      </c>
      <c r="P299" s="73" t="str">
        <f t="shared" si="85"/>
        <v/>
      </c>
      <c r="Q299" s="73" t="str">
        <f t="shared" si="85"/>
        <v/>
      </c>
      <c r="R299" s="73" t="str">
        <f t="shared" si="84"/>
        <v/>
      </c>
      <c r="S299" s="73" t="str">
        <f t="shared" si="84"/>
        <v/>
      </c>
      <c r="T299" s="73" t="str">
        <f t="shared" si="84"/>
        <v/>
      </c>
      <c r="U299" s="73" t="str">
        <f t="shared" si="84"/>
        <v/>
      </c>
      <c r="V299" s="73" t="str">
        <f t="shared" si="84"/>
        <v/>
      </c>
      <c r="W299" s="73" t="str">
        <f t="shared" si="84"/>
        <v/>
      </c>
      <c r="X299" s="73" t="str">
        <f t="shared" si="84"/>
        <v/>
      </c>
      <c r="Y299" s="73" t="str">
        <f t="shared" si="84"/>
        <v/>
      </c>
      <c r="Z299" s="73" t="str">
        <f t="shared" si="84"/>
        <v/>
      </c>
      <c r="AA299" s="73" t="str">
        <f t="shared" si="84"/>
        <v/>
      </c>
      <c r="AB299" s="74" t="str">
        <f t="shared" si="84"/>
        <v/>
      </c>
      <c r="AC299" s="35" t="str">
        <f t="shared" si="74"/>
        <v/>
      </c>
      <c r="AD299" s="40" t="str">
        <f t="shared" si="75"/>
        <v/>
      </c>
      <c r="AE299" s="37" t="str">
        <f t="shared" si="76"/>
        <v/>
      </c>
      <c r="AF299" s="40" t="str">
        <f t="shared" si="77"/>
        <v/>
      </c>
      <c r="AG299" s="37" t="str">
        <f t="shared" si="78"/>
        <v/>
      </c>
      <c r="AH299" s="40" t="str">
        <f t="shared" si="79"/>
        <v/>
      </c>
      <c r="AI299" s="37" t="str">
        <f t="shared" si="80"/>
        <v/>
      </c>
      <c r="AJ299" s="40" t="str">
        <f t="shared" si="81"/>
        <v/>
      </c>
      <c r="AK299" s="204" t="str">
        <f>IF(C299="","",IF(E299=FROTA!$AT$18,IF('DEFINA!!!'!$L$6="D-E-F-I-N-A !!!!!!!",0,IF('DEFINA!!!'!$L$6="Opto por Idade Média",SEM!AW299,IF('DEFINA!!!'!$L$6="Opto pelo Valor aplicado ao  Ano de cada Carro",SEM!AX299,0))),IF(E299=FROTA!$AT$17,IF('DEFINA!!!'!$L$6="D-E-F-I-N-A !!!!!!!",0,IF('DEFINA!!!'!$L$6="Opto por Idade Média",SEM!AW299,IF('DEFINA!!!'!$L$6="Opto pelo Valor aplicado ao  Ano de cada Carro",SEM!AX299,0))),IF(E299=FROTA!$AT$16,IF('DEFINA!!!'!$L$6="D-E-F-I-N-A !!!!!!!",0,IF('DEFINA!!!'!$L$6="Opto por Idade Média",SEM!AW299,IF('DEFINA!!!'!$L$6="Opto pelo Valor aplicado ao  Ano de cada Carro",SEM!AX299,0))),IF('DEFINA!!!'!$L$6="D-E-F-I-N-A !!!!!!!",0,IF('DEFINA!!!'!$L$6="Opto por Idade Média",SEM!AU299,IF('DEFINA!!!'!$L$6="Opto pelo Valor aplicado ao  Ano de cada Carro",SEM!AV299,0)))))))</f>
        <v/>
      </c>
      <c r="AL299" s="6"/>
      <c r="AM299" s="79" t="str">
        <f t="shared" si="82"/>
        <v/>
      </c>
      <c r="AR299" s="5"/>
      <c r="AU299" s="198" t="str">
        <f>IF(C299="","",VLOOKUP(FROTA!$AB$2,RECEBÍVEIS!$AA$11:$AB$43,2,0))</f>
        <v/>
      </c>
      <c r="AV299" s="198" t="str">
        <f>IF(C299="","",IF(C299=FROTA!Z299="","",VLOOKUP(FROTA!Z299,RECEBÍVEIS!$AA$11:$AB$43,2,0)))</f>
        <v/>
      </c>
      <c r="AW299" s="198" t="str">
        <f>IF(C299="","",VLOOKUP(FROTA!$AB$2,RECEBÍVEIS!$AA$11:$AC$43,3,0))</f>
        <v/>
      </c>
      <c r="AX299" s="198" t="str">
        <f>IF(C299="","",IF(C299=FROTA!Z299="","",VLOOKUP(FROTA!Z299,RECEBÍVEIS!$AA$11:$AC$43,3,0)))</f>
        <v/>
      </c>
    </row>
    <row r="300" spans="2:50" ht="17.25" customHeight="1" x14ac:dyDescent="0.2">
      <c r="B300" s="6"/>
      <c r="C300" s="49" t="str">
        <f>IF(FROTA!B300="","",FROTA!B300)</f>
        <v/>
      </c>
      <c r="D300" s="220" t="str">
        <f>IF(C300="","",VLOOKUP(SEM!C300,FROTA!$B$5:$C$305,2,0))</f>
        <v/>
      </c>
      <c r="E300" s="24" t="str">
        <f>IF(C300="","",VLOOKUP(C300,FROTA!$B$5:$H$305,7,0))</f>
        <v/>
      </c>
      <c r="F300" s="38" t="str">
        <f t="shared" si="73"/>
        <v/>
      </c>
      <c r="G300" s="71" t="str">
        <f t="shared" si="83"/>
        <v/>
      </c>
      <c r="H300" s="32" t="str">
        <f t="shared" si="70"/>
        <v/>
      </c>
      <c r="I300" s="73" t="str">
        <f t="shared" si="70"/>
        <v/>
      </c>
      <c r="J300" s="73" t="str">
        <f t="shared" si="70"/>
        <v/>
      </c>
      <c r="K300" s="73" t="str">
        <f t="shared" si="85"/>
        <v/>
      </c>
      <c r="L300" s="73" t="str">
        <f t="shared" si="85"/>
        <v/>
      </c>
      <c r="M300" s="73" t="str">
        <f t="shared" si="85"/>
        <v/>
      </c>
      <c r="N300" s="73" t="str">
        <f t="shared" si="85"/>
        <v/>
      </c>
      <c r="O300" s="73" t="str">
        <f t="shared" si="85"/>
        <v/>
      </c>
      <c r="P300" s="73" t="str">
        <f t="shared" si="85"/>
        <v/>
      </c>
      <c r="Q300" s="73" t="str">
        <f t="shared" si="85"/>
        <v/>
      </c>
      <c r="R300" s="73" t="str">
        <f t="shared" si="84"/>
        <v/>
      </c>
      <c r="S300" s="73" t="str">
        <f t="shared" si="84"/>
        <v/>
      </c>
      <c r="T300" s="73" t="str">
        <f t="shared" si="84"/>
        <v/>
      </c>
      <c r="U300" s="73" t="str">
        <f t="shared" si="84"/>
        <v/>
      </c>
      <c r="V300" s="73" t="str">
        <f t="shared" si="84"/>
        <v/>
      </c>
      <c r="W300" s="73" t="str">
        <f t="shared" si="84"/>
        <v/>
      </c>
      <c r="X300" s="73" t="str">
        <f t="shared" si="84"/>
        <v/>
      </c>
      <c r="Y300" s="73" t="str">
        <f t="shared" si="84"/>
        <v/>
      </c>
      <c r="Z300" s="73" t="str">
        <f t="shared" si="84"/>
        <v/>
      </c>
      <c r="AA300" s="73" t="str">
        <f t="shared" si="84"/>
        <v/>
      </c>
      <c r="AB300" s="74" t="str">
        <f t="shared" si="84"/>
        <v/>
      </c>
      <c r="AC300" s="35" t="str">
        <f t="shared" si="74"/>
        <v/>
      </c>
      <c r="AD300" s="40" t="str">
        <f t="shared" si="75"/>
        <v/>
      </c>
      <c r="AE300" s="37" t="str">
        <f t="shared" si="76"/>
        <v/>
      </c>
      <c r="AF300" s="40" t="str">
        <f t="shared" si="77"/>
        <v/>
      </c>
      <c r="AG300" s="37" t="str">
        <f t="shared" si="78"/>
        <v/>
      </c>
      <c r="AH300" s="40" t="str">
        <f t="shared" si="79"/>
        <v/>
      </c>
      <c r="AI300" s="37" t="str">
        <f t="shared" si="80"/>
        <v/>
      </c>
      <c r="AJ300" s="40" t="str">
        <f t="shared" si="81"/>
        <v/>
      </c>
      <c r="AK300" s="204" t="str">
        <f>IF(C300="","",IF(E300=FROTA!$AT$18,IF('DEFINA!!!'!$L$6="D-E-F-I-N-A !!!!!!!",0,IF('DEFINA!!!'!$L$6="Opto por Idade Média",SEM!AW300,IF('DEFINA!!!'!$L$6="Opto pelo Valor aplicado ao  Ano de cada Carro",SEM!AX300,0))),IF(E300=FROTA!$AT$17,IF('DEFINA!!!'!$L$6="D-E-F-I-N-A !!!!!!!",0,IF('DEFINA!!!'!$L$6="Opto por Idade Média",SEM!AW300,IF('DEFINA!!!'!$L$6="Opto pelo Valor aplicado ao  Ano de cada Carro",SEM!AX300,0))),IF(E300=FROTA!$AT$16,IF('DEFINA!!!'!$L$6="D-E-F-I-N-A !!!!!!!",0,IF('DEFINA!!!'!$L$6="Opto por Idade Média",SEM!AW300,IF('DEFINA!!!'!$L$6="Opto pelo Valor aplicado ao  Ano de cada Carro",SEM!AX300,0))),IF('DEFINA!!!'!$L$6="D-E-F-I-N-A !!!!!!!",0,IF('DEFINA!!!'!$L$6="Opto por Idade Média",SEM!AU300,IF('DEFINA!!!'!$L$6="Opto pelo Valor aplicado ao  Ano de cada Carro",SEM!AV300,0)))))))</f>
        <v/>
      </c>
      <c r="AL300" s="6"/>
      <c r="AM300" s="79" t="str">
        <f t="shared" si="82"/>
        <v/>
      </c>
      <c r="AR300" s="5"/>
      <c r="AU300" s="198" t="str">
        <f>IF(C300="","",VLOOKUP(FROTA!$AB$2,RECEBÍVEIS!$AA$11:$AB$43,2,0))</f>
        <v/>
      </c>
      <c r="AV300" s="198" t="str">
        <f>IF(C300="","",IF(C300=FROTA!Z300="","",VLOOKUP(FROTA!Z300,RECEBÍVEIS!$AA$11:$AB$43,2,0)))</f>
        <v/>
      </c>
      <c r="AW300" s="198" t="str">
        <f>IF(C300="","",VLOOKUP(FROTA!$AB$2,RECEBÍVEIS!$AA$11:$AC$43,3,0))</f>
        <v/>
      </c>
      <c r="AX300" s="198" t="str">
        <f>IF(C300="","",IF(C300=FROTA!Z300="","",VLOOKUP(FROTA!Z300,RECEBÍVEIS!$AA$11:$AC$43,3,0)))</f>
        <v/>
      </c>
    </row>
    <row r="301" spans="2:50" ht="17.25" customHeight="1" x14ac:dyDescent="0.2">
      <c r="B301" s="6"/>
      <c r="C301" s="49" t="str">
        <f>IF(FROTA!B301="","",FROTA!B301)</f>
        <v/>
      </c>
      <c r="D301" s="220" t="str">
        <f>IF(C301="","",VLOOKUP(SEM!C301,FROTA!$B$5:$C$305,2,0))</f>
        <v/>
      </c>
      <c r="E301" s="24" t="str">
        <f>IF(C301="","",VLOOKUP(C301,FROTA!$B$5:$H$305,7,0))</f>
        <v/>
      </c>
      <c r="F301" s="38" t="str">
        <f t="shared" si="73"/>
        <v/>
      </c>
      <c r="G301" s="71" t="str">
        <f t="shared" si="83"/>
        <v/>
      </c>
      <c r="H301" s="32" t="str">
        <f t="shared" si="70"/>
        <v/>
      </c>
      <c r="I301" s="73" t="str">
        <f t="shared" si="70"/>
        <v/>
      </c>
      <c r="J301" s="73" t="str">
        <f t="shared" si="70"/>
        <v/>
      </c>
      <c r="K301" s="73" t="str">
        <f t="shared" si="85"/>
        <v/>
      </c>
      <c r="L301" s="73" t="str">
        <f t="shared" si="85"/>
        <v/>
      </c>
      <c r="M301" s="73" t="str">
        <f t="shared" si="85"/>
        <v/>
      </c>
      <c r="N301" s="73" t="str">
        <f t="shared" si="85"/>
        <v/>
      </c>
      <c r="O301" s="73" t="str">
        <f t="shared" si="85"/>
        <v/>
      </c>
      <c r="P301" s="73" t="str">
        <f t="shared" si="85"/>
        <v/>
      </c>
      <c r="Q301" s="73" t="str">
        <f t="shared" si="85"/>
        <v/>
      </c>
      <c r="R301" s="73" t="str">
        <f t="shared" si="84"/>
        <v/>
      </c>
      <c r="S301" s="73" t="str">
        <f t="shared" si="84"/>
        <v/>
      </c>
      <c r="T301" s="73" t="str">
        <f t="shared" si="84"/>
        <v/>
      </c>
      <c r="U301" s="73" t="str">
        <f t="shared" si="84"/>
        <v/>
      </c>
      <c r="V301" s="73" t="str">
        <f t="shared" si="84"/>
        <v/>
      </c>
      <c r="W301" s="73" t="str">
        <f t="shared" si="84"/>
        <v/>
      </c>
      <c r="X301" s="73" t="str">
        <f t="shared" si="84"/>
        <v/>
      </c>
      <c r="Y301" s="73" t="str">
        <f t="shared" si="84"/>
        <v/>
      </c>
      <c r="Z301" s="73" t="str">
        <f t="shared" si="84"/>
        <v/>
      </c>
      <c r="AA301" s="73" t="str">
        <f t="shared" si="84"/>
        <v/>
      </c>
      <c r="AB301" s="74" t="str">
        <f t="shared" si="84"/>
        <v/>
      </c>
      <c r="AC301" s="35" t="str">
        <f t="shared" si="74"/>
        <v/>
      </c>
      <c r="AD301" s="40" t="str">
        <f t="shared" si="75"/>
        <v/>
      </c>
      <c r="AE301" s="37" t="str">
        <f t="shared" si="76"/>
        <v/>
      </c>
      <c r="AF301" s="40" t="str">
        <f t="shared" si="77"/>
        <v/>
      </c>
      <c r="AG301" s="37" t="str">
        <f t="shared" si="78"/>
        <v/>
      </c>
      <c r="AH301" s="40" t="str">
        <f t="shared" si="79"/>
        <v/>
      </c>
      <c r="AI301" s="37" t="str">
        <f t="shared" si="80"/>
        <v/>
      </c>
      <c r="AJ301" s="40" t="str">
        <f t="shared" si="81"/>
        <v/>
      </c>
      <c r="AK301" s="204" t="str">
        <f>IF(C301="","",IF(E301=FROTA!$AT$18,IF('DEFINA!!!'!$L$6="D-E-F-I-N-A !!!!!!!",0,IF('DEFINA!!!'!$L$6="Opto por Idade Média",SEM!AW301,IF('DEFINA!!!'!$L$6="Opto pelo Valor aplicado ao  Ano de cada Carro",SEM!AX301,0))),IF(E301=FROTA!$AT$17,IF('DEFINA!!!'!$L$6="D-E-F-I-N-A !!!!!!!",0,IF('DEFINA!!!'!$L$6="Opto por Idade Média",SEM!AW301,IF('DEFINA!!!'!$L$6="Opto pelo Valor aplicado ao  Ano de cada Carro",SEM!AX301,0))),IF(E301=FROTA!$AT$16,IF('DEFINA!!!'!$L$6="D-E-F-I-N-A !!!!!!!",0,IF('DEFINA!!!'!$L$6="Opto por Idade Média",SEM!AW301,IF('DEFINA!!!'!$L$6="Opto pelo Valor aplicado ao  Ano de cada Carro",SEM!AX301,0))),IF('DEFINA!!!'!$L$6="D-E-F-I-N-A !!!!!!!",0,IF('DEFINA!!!'!$L$6="Opto por Idade Média",SEM!AU301,IF('DEFINA!!!'!$L$6="Opto pelo Valor aplicado ao  Ano de cada Carro",SEM!AV301,0)))))))</f>
        <v/>
      </c>
      <c r="AL301" s="6"/>
      <c r="AM301" s="79" t="str">
        <f t="shared" si="82"/>
        <v/>
      </c>
      <c r="AR301" s="5"/>
      <c r="AU301" s="198" t="str">
        <f>IF(C301="","",VLOOKUP(FROTA!$AB$2,RECEBÍVEIS!$AA$11:$AB$43,2,0))</f>
        <v/>
      </c>
      <c r="AV301" s="198" t="str">
        <f>IF(C301="","",IF(C301=FROTA!Z301="","",VLOOKUP(FROTA!Z301,RECEBÍVEIS!$AA$11:$AB$43,2,0)))</f>
        <v/>
      </c>
      <c r="AW301" s="198" t="str">
        <f>IF(C301="","",VLOOKUP(FROTA!$AB$2,RECEBÍVEIS!$AA$11:$AC$43,3,0))</f>
        <v/>
      </c>
      <c r="AX301" s="198" t="str">
        <f>IF(C301="","",IF(C301=FROTA!Z301="","",VLOOKUP(FROTA!Z301,RECEBÍVEIS!$AA$11:$AC$43,3,0)))</f>
        <v/>
      </c>
    </row>
    <row r="302" spans="2:50" ht="17.25" customHeight="1" x14ac:dyDescent="0.2">
      <c r="B302" s="6"/>
      <c r="C302" s="49" t="str">
        <f>IF(FROTA!B302="","",FROTA!B302)</f>
        <v/>
      </c>
      <c r="D302" s="220" t="str">
        <f>IF(C302="","",VLOOKUP(SEM!C302,FROTA!$B$5:$C$305,2,0))</f>
        <v/>
      </c>
      <c r="E302" s="24" t="str">
        <f>IF(C302="","",VLOOKUP(C302,FROTA!$B$5:$H$305,7,0))</f>
        <v/>
      </c>
      <c r="F302" s="38" t="str">
        <f t="shared" si="73"/>
        <v/>
      </c>
      <c r="G302" s="71" t="str">
        <f t="shared" si="83"/>
        <v/>
      </c>
      <c r="H302" s="32" t="str">
        <f t="shared" si="70"/>
        <v/>
      </c>
      <c r="I302" s="73" t="str">
        <f t="shared" si="70"/>
        <v/>
      </c>
      <c r="J302" s="73" t="str">
        <f t="shared" si="70"/>
        <v/>
      </c>
      <c r="K302" s="73" t="str">
        <f t="shared" si="85"/>
        <v/>
      </c>
      <c r="L302" s="73" t="str">
        <f t="shared" si="85"/>
        <v/>
      </c>
      <c r="M302" s="73" t="str">
        <f t="shared" si="85"/>
        <v/>
      </c>
      <c r="N302" s="73" t="str">
        <f t="shared" si="85"/>
        <v/>
      </c>
      <c r="O302" s="73" t="str">
        <f t="shared" si="85"/>
        <v/>
      </c>
      <c r="P302" s="73" t="str">
        <f t="shared" si="85"/>
        <v/>
      </c>
      <c r="Q302" s="73" t="str">
        <f t="shared" si="85"/>
        <v/>
      </c>
      <c r="R302" s="73" t="str">
        <f t="shared" si="84"/>
        <v/>
      </c>
      <c r="S302" s="73" t="str">
        <f t="shared" si="84"/>
        <v/>
      </c>
      <c r="T302" s="73" t="str">
        <f t="shared" si="84"/>
        <v/>
      </c>
      <c r="U302" s="73" t="str">
        <f t="shared" si="84"/>
        <v/>
      </c>
      <c r="V302" s="73" t="str">
        <f t="shared" si="84"/>
        <v/>
      </c>
      <c r="W302" s="73" t="str">
        <f t="shared" si="84"/>
        <v/>
      </c>
      <c r="X302" s="73" t="str">
        <f t="shared" si="84"/>
        <v/>
      </c>
      <c r="Y302" s="73" t="str">
        <f t="shared" si="84"/>
        <v/>
      </c>
      <c r="Z302" s="73" t="str">
        <f t="shared" si="84"/>
        <v/>
      </c>
      <c r="AA302" s="73" t="str">
        <f t="shared" si="84"/>
        <v/>
      </c>
      <c r="AB302" s="74" t="str">
        <f t="shared" si="84"/>
        <v/>
      </c>
      <c r="AC302" s="35" t="str">
        <f t="shared" si="74"/>
        <v/>
      </c>
      <c r="AD302" s="40" t="str">
        <f t="shared" si="75"/>
        <v/>
      </c>
      <c r="AE302" s="37" t="str">
        <f t="shared" si="76"/>
        <v/>
      </c>
      <c r="AF302" s="40" t="str">
        <f t="shared" si="77"/>
        <v/>
      </c>
      <c r="AG302" s="37" t="str">
        <f t="shared" si="78"/>
        <v/>
      </c>
      <c r="AH302" s="40" t="str">
        <f t="shared" si="79"/>
        <v/>
      </c>
      <c r="AI302" s="37" t="str">
        <f t="shared" si="80"/>
        <v/>
      </c>
      <c r="AJ302" s="40" t="str">
        <f t="shared" si="81"/>
        <v/>
      </c>
      <c r="AK302" s="204" t="str">
        <f>IF(C302="","",IF(E302=FROTA!$AT$18,IF('DEFINA!!!'!$L$6="D-E-F-I-N-A !!!!!!!",0,IF('DEFINA!!!'!$L$6="Opto por Idade Média",SEM!AW302,IF('DEFINA!!!'!$L$6="Opto pelo Valor aplicado ao  Ano de cada Carro",SEM!AX302,0))),IF(E302=FROTA!$AT$17,IF('DEFINA!!!'!$L$6="D-E-F-I-N-A !!!!!!!",0,IF('DEFINA!!!'!$L$6="Opto por Idade Média",SEM!AW302,IF('DEFINA!!!'!$L$6="Opto pelo Valor aplicado ao  Ano de cada Carro",SEM!AX302,0))),IF(E302=FROTA!$AT$16,IF('DEFINA!!!'!$L$6="D-E-F-I-N-A !!!!!!!",0,IF('DEFINA!!!'!$L$6="Opto por Idade Média",SEM!AW302,IF('DEFINA!!!'!$L$6="Opto pelo Valor aplicado ao  Ano de cada Carro",SEM!AX302,0))),IF('DEFINA!!!'!$L$6="D-E-F-I-N-A !!!!!!!",0,IF('DEFINA!!!'!$L$6="Opto por Idade Média",SEM!AU302,IF('DEFINA!!!'!$L$6="Opto pelo Valor aplicado ao  Ano de cada Carro",SEM!AV302,0)))))))</f>
        <v/>
      </c>
      <c r="AL302" s="6"/>
      <c r="AM302" s="79" t="str">
        <f t="shared" si="82"/>
        <v/>
      </c>
      <c r="AR302" s="5"/>
      <c r="AU302" s="198" t="str">
        <f>IF(C302="","",VLOOKUP(FROTA!$AB$2,RECEBÍVEIS!$AA$11:$AB$43,2,0))</f>
        <v/>
      </c>
      <c r="AV302" s="198" t="str">
        <f>IF(C302="","",IF(C302=FROTA!Z302="","",VLOOKUP(FROTA!Z302,RECEBÍVEIS!$AA$11:$AB$43,2,0)))</f>
        <v/>
      </c>
      <c r="AW302" s="198" t="str">
        <f>IF(C302="","",VLOOKUP(FROTA!$AB$2,RECEBÍVEIS!$AA$11:$AC$43,3,0))</f>
        <v/>
      </c>
      <c r="AX302" s="198" t="str">
        <f>IF(C302="","",IF(C302=FROTA!Z302="","",VLOOKUP(FROTA!Z302,RECEBÍVEIS!$AA$11:$AC$43,3,0)))</f>
        <v/>
      </c>
    </row>
    <row r="303" spans="2:50" ht="17.25" customHeight="1" x14ac:dyDescent="0.2">
      <c r="B303" s="6"/>
      <c r="C303" s="49" t="str">
        <f>IF(FROTA!B303="","",FROTA!B303)</f>
        <v/>
      </c>
      <c r="D303" s="220" t="str">
        <f>IF(C303="","",VLOOKUP(SEM!C303,FROTA!$B$5:$C$305,2,0))</f>
        <v/>
      </c>
      <c r="E303" s="24" t="str">
        <f>IF(C303="","",VLOOKUP(C303,FROTA!$B$5:$H$305,7,0))</f>
        <v/>
      </c>
      <c r="F303" s="38" t="str">
        <f t="shared" si="73"/>
        <v/>
      </c>
      <c r="G303" s="71" t="str">
        <f t="shared" si="83"/>
        <v/>
      </c>
      <c r="H303" s="32" t="str">
        <f t="shared" si="70"/>
        <v/>
      </c>
      <c r="I303" s="73" t="str">
        <f t="shared" si="70"/>
        <v/>
      </c>
      <c r="J303" s="73" t="str">
        <f t="shared" si="70"/>
        <v/>
      </c>
      <c r="K303" s="73" t="str">
        <f t="shared" si="85"/>
        <v/>
      </c>
      <c r="L303" s="73" t="str">
        <f t="shared" si="85"/>
        <v/>
      </c>
      <c r="M303" s="73" t="str">
        <f t="shared" si="85"/>
        <v/>
      </c>
      <c r="N303" s="73" t="str">
        <f t="shared" si="85"/>
        <v/>
      </c>
      <c r="O303" s="73" t="str">
        <f t="shared" si="85"/>
        <v/>
      </c>
      <c r="P303" s="73" t="str">
        <f t="shared" si="85"/>
        <v/>
      </c>
      <c r="Q303" s="73" t="str">
        <f t="shared" si="85"/>
        <v/>
      </c>
      <c r="R303" s="73" t="str">
        <f t="shared" si="84"/>
        <v/>
      </c>
      <c r="S303" s="73" t="str">
        <f t="shared" si="84"/>
        <v/>
      </c>
      <c r="T303" s="73" t="str">
        <f t="shared" si="84"/>
        <v/>
      </c>
      <c r="U303" s="73" t="str">
        <f t="shared" si="84"/>
        <v/>
      </c>
      <c r="V303" s="73" t="str">
        <f t="shared" si="84"/>
        <v/>
      </c>
      <c r="W303" s="73" t="str">
        <f t="shared" si="84"/>
        <v/>
      </c>
      <c r="X303" s="73" t="str">
        <f t="shared" si="84"/>
        <v/>
      </c>
      <c r="Y303" s="73" t="str">
        <f t="shared" si="84"/>
        <v/>
      </c>
      <c r="Z303" s="73" t="str">
        <f t="shared" si="84"/>
        <v/>
      </c>
      <c r="AA303" s="73" t="str">
        <f t="shared" si="84"/>
        <v/>
      </c>
      <c r="AB303" s="74" t="str">
        <f t="shared" si="84"/>
        <v/>
      </c>
      <c r="AC303" s="35" t="str">
        <f t="shared" si="74"/>
        <v/>
      </c>
      <c r="AD303" s="40" t="str">
        <f t="shared" si="75"/>
        <v/>
      </c>
      <c r="AE303" s="37" t="str">
        <f t="shared" si="76"/>
        <v/>
      </c>
      <c r="AF303" s="40" t="str">
        <f t="shared" si="77"/>
        <v/>
      </c>
      <c r="AG303" s="37" t="str">
        <f t="shared" si="78"/>
        <v/>
      </c>
      <c r="AH303" s="40" t="str">
        <f t="shared" si="79"/>
        <v/>
      </c>
      <c r="AI303" s="37" t="str">
        <f t="shared" si="80"/>
        <v/>
      </c>
      <c r="AJ303" s="40" t="str">
        <f t="shared" si="81"/>
        <v/>
      </c>
      <c r="AK303" s="204" t="str">
        <f>IF(C303="","",IF(E303=FROTA!$AT$18,IF('DEFINA!!!'!$L$6="D-E-F-I-N-A !!!!!!!",0,IF('DEFINA!!!'!$L$6="Opto por Idade Média",SEM!AW303,IF('DEFINA!!!'!$L$6="Opto pelo Valor aplicado ao  Ano de cada Carro",SEM!AX303,0))),IF(E303=FROTA!$AT$17,IF('DEFINA!!!'!$L$6="D-E-F-I-N-A !!!!!!!",0,IF('DEFINA!!!'!$L$6="Opto por Idade Média",SEM!AW303,IF('DEFINA!!!'!$L$6="Opto pelo Valor aplicado ao  Ano de cada Carro",SEM!AX303,0))),IF(E303=FROTA!$AT$16,IF('DEFINA!!!'!$L$6="D-E-F-I-N-A !!!!!!!",0,IF('DEFINA!!!'!$L$6="Opto por Idade Média",SEM!AW303,IF('DEFINA!!!'!$L$6="Opto pelo Valor aplicado ao  Ano de cada Carro",SEM!AX303,0))),IF('DEFINA!!!'!$L$6="D-E-F-I-N-A !!!!!!!",0,IF('DEFINA!!!'!$L$6="Opto por Idade Média",SEM!AU303,IF('DEFINA!!!'!$L$6="Opto pelo Valor aplicado ao  Ano de cada Carro",SEM!AV303,0)))))))</f>
        <v/>
      </c>
      <c r="AL303" s="6"/>
      <c r="AM303" s="79" t="str">
        <f t="shared" si="82"/>
        <v/>
      </c>
      <c r="AR303" s="5"/>
      <c r="AU303" s="198" t="str">
        <f>IF(C303="","",VLOOKUP(FROTA!$AB$2,RECEBÍVEIS!$AA$11:$AB$43,2,0))</f>
        <v/>
      </c>
      <c r="AV303" s="198" t="str">
        <f>IF(C303="","",IF(C303=FROTA!Z303="","",VLOOKUP(FROTA!Z303,RECEBÍVEIS!$AA$11:$AB$43,2,0)))</f>
        <v/>
      </c>
      <c r="AW303" s="198" t="str">
        <f>IF(C303="","",VLOOKUP(FROTA!$AB$2,RECEBÍVEIS!$AA$11:$AC$43,3,0))</f>
        <v/>
      </c>
      <c r="AX303" s="198" t="str">
        <f>IF(C303="","",IF(C303=FROTA!Z303="","",VLOOKUP(FROTA!Z303,RECEBÍVEIS!$AA$11:$AC$43,3,0)))</f>
        <v/>
      </c>
    </row>
    <row r="304" spans="2:50" ht="17.25" customHeight="1" x14ac:dyDescent="0.2">
      <c r="B304" s="6"/>
      <c r="C304" s="49" t="str">
        <f>IF(FROTA!B304="","",FROTA!B304)</f>
        <v/>
      </c>
      <c r="D304" s="220" t="str">
        <f>IF(C304="","",VLOOKUP(SEM!C304,FROTA!$B$5:$C$305,2,0))</f>
        <v/>
      </c>
      <c r="E304" s="24" t="str">
        <f>IF(C304="","",VLOOKUP(C304,FROTA!$B$5:$H$305,7,0))</f>
        <v/>
      </c>
      <c r="F304" s="38" t="str">
        <f t="shared" si="73"/>
        <v/>
      </c>
      <c r="G304" s="71" t="str">
        <f t="shared" ref="G304:G305" si="86">IF(C304="","",F304/$F$307)</f>
        <v/>
      </c>
      <c r="H304" s="32" t="str">
        <f t="shared" ref="H304:J305" si="87">IF($C304="","",IF(SUM(H$307*$G304)&gt;$F304,$F304,SUM(H$307*$G304)))</f>
        <v/>
      </c>
      <c r="I304" s="73" t="str">
        <f t="shared" si="87"/>
        <v/>
      </c>
      <c r="J304" s="73" t="str">
        <f t="shared" si="87"/>
        <v/>
      </c>
      <c r="K304" s="73" t="str">
        <f t="shared" ref="K304:Q305" si="88">IF($C304="","",IF(SUM(K$307*$G304)&gt;$F304,$F304,SUM(K$307*$G304)))</f>
        <v/>
      </c>
      <c r="L304" s="73" t="str">
        <f t="shared" si="88"/>
        <v/>
      </c>
      <c r="M304" s="73" t="str">
        <f t="shared" si="88"/>
        <v/>
      </c>
      <c r="N304" s="73" t="str">
        <f t="shared" si="88"/>
        <v/>
      </c>
      <c r="O304" s="73" t="str">
        <f t="shared" si="88"/>
        <v/>
      </c>
      <c r="P304" s="73" t="str">
        <f t="shared" si="88"/>
        <v/>
      </c>
      <c r="Q304" s="73" t="str">
        <f t="shared" si="88"/>
        <v/>
      </c>
      <c r="R304" s="73" t="str">
        <f t="shared" ref="R304:AB305" si="89">IF($C304="","",IF(SUM(R$307*$G304)&gt;$F304,$F304,SUM(R$307*$G304)))</f>
        <v/>
      </c>
      <c r="S304" s="73" t="str">
        <f t="shared" si="89"/>
        <v/>
      </c>
      <c r="T304" s="73" t="str">
        <f t="shared" si="89"/>
        <v/>
      </c>
      <c r="U304" s="73" t="str">
        <f t="shared" si="89"/>
        <v/>
      </c>
      <c r="V304" s="73" t="str">
        <f t="shared" si="89"/>
        <v/>
      </c>
      <c r="W304" s="73" t="str">
        <f t="shared" si="89"/>
        <v/>
      </c>
      <c r="X304" s="73" t="str">
        <f t="shared" si="89"/>
        <v/>
      </c>
      <c r="Y304" s="73" t="str">
        <f t="shared" si="89"/>
        <v/>
      </c>
      <c r="Z304" s="73" t="str">
        <f t="shared" si="89"/>
        <v/>
      </c>
      <c r="AA304" s="73" t="str">
        <f t="shared" si="89"/>
        <v/>
      </c>
      <c r="AB304" s="74" t="str">
        <f t="shared" si="89"/>
        <v/>
      </c>
      <c r="AC304" s="35" t="str">
        <f t="shared" ref="AC304:AC305" si="90">IF(C304="","",SUM(H304:AB304)*AK304)</f>
        <v/>
      </c>
      <c r="AD304" s="40" t="str">
        <f t="shared" ref="AD304:AD305" si="91">IF(C304="","",SUM(H304:AB304))</f>
        <v/>
      </c>
      <c r="AE304" s="37" t="str">
        <f t="shared" ref="AE304:AE305" si="92">IF(C304="","",SUM(H304:R304)*AK304)</f>
        <v/>
      </c>
      <c r="AF304" s="40" t="str">
        <f t="shared" ref="AF304:AF305" si="93">IF(C304="","",SUM(H304:Q304))</f>
        <v/>
      </c>
      <c r="AG304" s="37" t="str">
        <f t="shared" ref="AG304:AG305" si="94">IF(C304="","",SUM(R304:AB304)*AK304)</f>
        <v/>
      </c>
      <c r="AH304" s="40" t="str">
        <f t="shared" ref="AH304:AH305" si="95">IF(C304="","",SUM(R304:AB304))</f>
        <v/>
      </c>
      <c r="AI304" s="37" t="str">
        <f t="shared" ref="AI304:AI305" si="96">IF(C304="","",SUM(J304:M304,T304:W304)*AK304)</f>
        <v/>
      </c>
      <c r="AJ304" s="40" t="str">
        <f t="shared" ref="AJ304:AJ305" si="97">IF(C304="","",SUM(J304:M304,T304:W304))</f>
        <v/>
      </c>
      <c r="AK304" s="204" t="str">
        <f>IF(C304="","",IF(E304=FROTA!$AT$18,IF('DEFINA!!!'!$L$6="D-E-F-I-N-A !!!!!!!",0,IF('DEFINA!!!'!$L$6="Opto por Idade Média",SEM!AW304,IF('DEFINA!!!'!$L$6="Opto pelo Valor aplicado ao  Ano de cada Carro",SEM!AX304,0))),IF(E304=FROTA!$AT$17,IF('DEFINA!!!'!$L$6="D-E-F-I-N-A !!!!!!!",0,IF('DEFINA!!!'!$L$6="Opto por Idade Média",SEM!AW304,IF('DEFINA!!!'!$L$6="Opto pelo Valor aplicado ao  Ano de cada Carro",SEM!AX304,0))),IF(E304=FROTA!$AT$16,IF('DEFINA!!!'!$L$6="D-E-F-I-N-A !!!!!!!",0,IF('DEFINA!!!'!$L$6="Opto por Idade Média",SEM!AW304,IF('DEFINA!!!'!$L$6="Opto pelo Valor aplicado ao  Ano de cada Carro",SEM!AX304,0))),IF('DEFINA!!!'!$L$6="D-E-F-I-N-A !!!!!!!",0,IF('DEFINA!!!'!$L$6="Opto por Idade Média",SEM!AU304,IF('DEFINA!!!'!$L$6="Opto pelo Valor aplicado ao  Ano de cada Carro",SEM!AV304,0)))))))</f>
        <v/>
      </c>
      <c r="AL304" s="6"/>
      <c r="AM304" s="79" t="str">
        <f t="shared" si="82"/>
        <v/>
      </c>
      <c r="AR304" s="5"/>
      <c r="AU304" s="198" t="str">
        <f>IF(C304="","",VLOOKUP(FROTA!$AB$2,RECEBÍVEIS!$AA$11:$AB$43,2,0))</f>
        <v/>
      </c>
      <c r="AV304" s="198" t="str">
        <f>IF(C304="","",IF(C304=FROTA!Z304="","",VLOOKUP(FROTA!Z304,RECEBÍVEIS!$AA$11:$AB$43,2,0)))</f>
        <v/>
      </c>
      <c r="AW304" s="198" t="str">
        <f>IF(C304="","",VLOOKUP(FROTA!$AB$2,RECEBÍVEIS!$AA$11:$AC$43,3,0))</f>
        <v/>
      </c>
      <c r="AX304" s="198" t="str">
        <f>IF(C304="","",IF(C304=FROTA!Z304="","",VLOOKUP(FROTA!Z304,RECEBÍVEIS!$AA$11:$AC$43,3,0)))</f>
        <v/>
      </c>
    </row>
    <row r="305" spans="2:50" ht="17.25" customHeight="1" thickBot="1" x14ac:dyDescent="0.25">
      <c r="B305" s="6"/>
      <c r="C305" s="49" t="str">
        <f>IF(FROTA!B305="","",FROTA!B305)</f>
        <v/>
      </c>
      <c r="D305" s="220" t="str">
        <f>IF(C305="","",VLOOKUP(SEM!C305,FROTA!$B$5:$C$305,2,0))</f>
        <v/>
      </c>
      <c r="E305" s="24" t="str">
        <f>IF(C305="","",VLOOKUP(C305,FROTA!$B$5:$H$305,7,0))</f>
        <v/>
      </c>
      <c r="F305" s="38" t="str">
        <f t="shared" si="73"/>
        <v/>
      </c>
      <c r="G305" s="72" t="str">
        <f t="shared" si="86"/>
        <v/>
      </c>
      <c r="H305" s="75" t="str">
        <f t="shared" si="87"/>
        <v/>
      </c>
      <c r="I305" s="82" t="str">
        <f t="shared" si="87"/>
        <v/>
      </c>
      <c r="J305" s="82" t="str">
        <f t="shared" si="87"/>
        <v/>
      </c>
      <c r="K305" s="82" t="str">
        <f t="shared" si="88"/>
        <v/>
      </c>
      <c r="L305" s="82" t="str">
        <f t="shared" si="88"/>
        <v/>
      </c>
      <c r="M305" s="82" t="str">
        <f t="shared" si="88"/>
        <v/>
      </c>
      <c r="N305" s="82" t="str">
        <f t="shared" si="88"/>
        <v/>
      </c>
      <c r="O305" s="82" t="str">
        <f t="shared" si="88"/>
        <v/>
      </c>
      <c r="P305" s="82" t="str">
        <f t="shared" si="88"/>
        <v/>
      </c>
      <c r="Q305" s="82" t="str">
        <f t="shared" si="88"/>
        <v/>
      </c>
      <c r="R305" s="82" t="str">
        <f t="shared" si="89"/>
        <v/>
      </c>
      <c r="S305" s="82" t="str">
        <f t="shared" si="89"/>
        <v/>
      </c>
      <c r="T305" s="82" t="str">
        <f t="shared" si="89"/>
        <v/>
      </c>
      <c r="U305" s="82" t="str">
        <f t="shared" si="89"/>
        <v/>
      </c>
      <c r="V305" s="82" t="str">
        <f t="shared" si="89"/>
        <v/>
      </c>
      <c r="W305" s="82" t="str">
        <f t="shared" si="89"/>
        <v/>
      </c>
      <c r="X305" s="82" t="str">
        <f t="shared" si="89"/>
        <v/>
      </c>
      <c r="Y305" s="82" t="str">
        <f t="shared" si="89"/>
        <v/>
      </c>
      <c r="Z305" s="82" t="str">
        <f t="shared" si="89"/>
        <v/>
      </c>
      <c r="AA305" s="82" t="str">
        <f t="shared" si="89"/>
        <v/>
      </c>
      <c r="AB305" s="83" t="str">
        <f t="shared" si="89"/>
        <v/>
      </c>
      <c r="AC305" s="84" t="str">
        <f t="shared" si="90"/>
        <v/>
      </c>
      <c r="AD305" s="46" t="str">
        <f t="shared" si="91"/>
        <v/>
      </c>
      <c r="AE305" s="47" t="str">
        <f t="shared" si="92"/>
        <v/>
      </c>
      <c r="AF305" s="46" t="str">
        <f t="shared" si="93"/>
        <v/>
      </c>
      <c r="AG305" s="47" t="str">
        <f t="shared" si="94"/>
        <v/>
      </c>
      <c r="AH305" s="46" t="str">
        <f t="shared" si="95"/>
        <v/>
      </c>
      <c r="AI305" s="47" t="str">
        <f t="shared" si="96"/>
        <v/>
      </c>
      <c r="AJ305" s="46" t="str">
        <f t="shared" si="97"/>
        <v/>
      </c>
      <c r="AK305" s="204" t="str">
        <f>IF(C305="","",IF(E305=FROTA!$AT$18,IF('DEFINA!!!'!$L$6="D-E-F-I-N-A !!!!!!!",0,IF('DEFINA!!!'!$L$6="Opto por Idade Média",SEM!AW305,IF('DEFINA!!!'!$L$6="Opto pelo Valor aplicado ao  Ano de cada Carro",SEM!AX305,0))),IF(E305=FROTA!$AT$17,IF('DEFINA!!!'!$L$6="D-E-F-I-N-A !!!!!!!",0,IF('DEFINA!!!'!$L$6="Opto por Idade Média",SEM!AW305,IF('DEFINA!!!'!$L$6="Opto pelo Valor aplicado ao  Ano de cada Carro",SEM!AX305,0))),IF(E305=FROTA!$AT$16,IF('DEFINA!!!'!$L$6="D-E-F-I-N-A !!!!!!!",0,IF('DEFINA!!!'!$L$6="Opto por Idade Média",SEM!AW305,IF('DEFINA!!!'!$L$6="Opto pelo Valor aplicado ao  Ano de cada Carro",SEM!AX305,0))),IF('DEFINA!!!'!$L$6="D-E-F-I-N-A !!!!!!!",0,IF('DEFINA!!!'!$L$6="Opto por Idade Média",SEM!AU305,IF('DEFINA!!!'!$L$6="Opto pelo Valor aplicado ao  Ano de cada Carro",SEM!AV305,0)))))))</f>
        <v/>
      </c>
      <c r="AL305" s="6"/>
      <c r="AM305" s="79" t="str">
        <f t="shared" si="82"/>
        <v/>
      </c>
      <c r="AR305" s="5"/>
      <c r="AU305" s="198" t="str">
        <f>IF(C305="","",VLOOKUP(FROTA!$AB$2,RECEBÍVEIS!$AA$11:$AB$43,2,0))</f>
        <v/>
      </c>
      <c r="AV305" s="198" t="str">
        <f>IF(C305="","",IF(C305=FROTA!Z305="","",VLOOKUP(FROTA!Z305,RECEBÍVEIS!$AA$11:$AB$43,2,0)))</f>
        <v/>
      </c>
      <c r="AW305" s="198" t="str">
        <f>IF(C305="","",VLOOKUP(FROTA!$AB$2,RECEBÍVEIS!$AA$11:$AC$43,3,0))</f>
        <v/>
      </c>
      <c r="AX305" s="198" t="str">
        <f>IF(C305="","",IF(C305=FROTA!Z305="","",VLOOKUP(FROTA!Z305,RECEBÍVEIS!$AA$11:$AC$43,3,0)))</f>
        <v/>
      </c>
    </row>
    <row r="306" spans="2:50" ht="7.5" customHeight="1" x14ac:dyDescent="0.2">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R306" s="5"/>
    </row>
    <row r="307" spans="2:50" ht="17.25" customHeight="1" x14ac:dyDescent="0.2">
      <c r="F307" s="137">
        <f>SUM(F6:F305)</f>
        <v>0</v>
      </c>
      <c r="G307" s="77">
        <f>SUM(G6:G305)</f>
        <v>0</v>
      </c>
      <c r="H307" s="733" t="str">
        <f>IF($AH$2="","",$AH$2*0.03/2)</f>
        <v/>
      </c>
      <c r="I307" s="733" t="str">
        <f>IF($AH$2="","",$AH$2*0.05/2)</f>
        <v/>
      </c>
      <c r="J307" s="733" t="str">
        <f>IF($AH$2="","",$AH$2*0.5/8)</f>
        <v/>
      </c>
      <c r="K307" s="733" t="str">
        <f>IF($AH$2="","",$AH$2*0.5/8)</f>
        <v/>
      </c>
      <c r="L307" s="733" t="str">
        <f>IF($AH$2="","",$AH$2*0.5/8)</f>
        <v/>
      </c>
      <c r="M307" s="733" t="str">
        <f>IF($AH$2="","",$AH$2*0.5/8)</f>
        <v/>
      </c>
      <c r="N307" s="733" t="str">
        <f>IF($AH$2="","",$AH$2*0.25/6)</f>
        <v/>
      </c>
      <c r="O307" s="733" t="str">
        <f>IF($AH$2="","",$AH$2*0.25/6)</f>
        <v/>
      </c>
      <c r="P307" s="733" t="str">
        <f>IF($AH$2="","",$AH$2*0.17/3)</f>
        <v/>
      </c>
      <c r="Q307" s="733" t="str">
        <f>IF($AH$2="","",$AH$2*0.17/3)</f>
        <v/>
      </c>
      <c r="R307" s="733" t="str">
        <f>IF($AH$2="","",$AH$2*0.25/6)</f>
        <v/>
      </c>
      <c r="S307" s="733" t="str">
        <f>IF($AH$2="","",$AH$2*0.25/6)</f>
        <v/>
      </c>
      <c r="T307" s="733" t="str">
        <f>IF($AH$2="","",$AH$2*0.5/8)</f>
        <v/>
      </c>
      <c r="U307" s="733" t="str">
        <f>IF($AH$2="","",$AH$2*0.5/8)</f>
        <v/>
      </c>
      <c r="V307" s="733" t="str">
        <f>IF($AH$2="","",$AH$2*0.5/8)</f>
        <v/>
      </c>
      <c r="W307" s="733" t="str">
        <f>IF($AH$2="","",$AH$2*0.5/8)</f>
        <v/>
      </c>
      <c r="X307" s="733" t="str">
        <f>IF($AH$2="","",$AH$2*0.17/3)</f>
        <v/>
      </c>
      <c r="Y307" s="733" t="str">
        <f>IF($AH$2="","",$AH$2*0.25/6)</f>
        <v/>
      </c>
      <c r="Z307" s="733" t="str">
        <f>IF($AH$2="","",$AH$2*0.25/6)</f>
        <v/>
      </c>
      <c r="AA307" s="733" t="str">
        <f>IF($AH$2="","",$AH$2*0.05/2)</f>
        <v/>
      </c>
      <c r="AB307" s="733" t="str">
        <f>IF($AH$2="","",$AH$2*0.03/2)</f>
        <v/>
      </c>
      <c r="AC307" s="76"/>
    </row>
    <row r="308" spans="2:50" ht="17.25" customHeight="1" x14ac:dyDescent="0.2">
      <c r="F308" s="76"/>
      <c r="G308" s="76"/>
      <c r="H308" s="733"/>
      <c r="I308" s="733"/>
      <c r="J308" s="733"/>
      <c r="K308" s="733"/>
      <c r="L308" s="733"/>
      <c r="M308" s="733"/>
      <c r="N308" s="733"/>
      <c r="O308" s="733"/>
      <c r="P308" s="733"/>
      <c r="Q308" s="733"/>
      <c r="R308" s="733"/>
      <c r="S308" s="733"/>
      <c r="T308" s="733"/>
      <c r="U308" s="733"/>
      <c r="V308" s="733"/>
      <c r="W308" s="733"/>
      <c r="X308" s="733"/>
      <c r="Y308" s="733"/>
      <c r="Z308" s="733"/>
      <c r="AA308" s="733"/>
      <c r="AB308" s="733"/>
      <c r="AC308" s="76"/>
    </row>
    <row r="309" spans="2:50" ht="17.25" customHeight="1" x14ac:dyDescent="0.2">
      <c r="F309" s="76"/>
      <c r="G309" s="76"/>
      <c r="H309" s="733"/>
      <c r="I309" s="733"/>
      <c r="J309" s="733"/>
      <c r="K309" s="733"/>
      <c r="L309" s="733"/>
      <c r="M309" s="733"/>
      <c r="N309" s="733"/>
      <c r="O309" s="733"/>
      <c r="P309" s="733"/>
      <c r="Q309" s="733"/>
      <c r="R309" s="733"/>
      <c r="S309" s="733"/>
      <c r="T309" s="733"/>
      <c r="U309" s="733"/>
      <c r="V309" s="733"/>
      <c r="W309" s="733"/>
      <c r="X309" s="733"/>
      <c r="Y309" s="733"/>
      <c r="Z309" s="733"/>
      <c r="AA309" s="733"/>
      <c r="AB309" s="733"/>
      <c r="AC309" s="78">
        <f>SUM(H307:AB311)</f>
        <v>0</v>
      </c>
    </row>
    <row r="310" spans="2:50" ht="17.25" customHeight="1" x14ac:dyDescent="0.2">
      <c r="F310" s="76"/>
      <c r="G310" s="76"/>
      <c r="H310" s="733"/>
      <c r="I310" s="733"/>
      <c r="J310" s="733"/>
      <c r="K310" s="733"/>
      <c r="L310" s="733"/>
      <c r="M310" s="733"/>
      <c r="N310" s="733"/>
      <c r="O310" s="733"/>
      <c r="P310" s="733"/>
      <c r="Q310" s="733"/>
      <c r="R310" s="733"/>
      <c r="S310" s="733"/>
      <c r="T310" s="733"/>
      <c r="U310" s="733"/>
      <c r="V310" s="733"/>
      <c r="W310" s="733"/>
      <c r="X310" s="733"/>
      <c r="Y310" s="733"/>
      <c r="Z310" s="733"/>
      <c r="AA310" s="733"/>
      <c r="AB310" s="733"/>
      <c r="AC310" s="76"/>
    </row>
    <row r="311" spans="2:50" ht="17.25" customHeight="1" x14ac:dyDescent="0.2">
      <c r="F311" s="76"/>
      <c r="G311" s="76"/>
      <c r="H311" s="733"/>
      <c r="I311" s="733"/>
      <c r="J311" s="733"/>
      <c r="K311" s="733"/>
      <c r="L311" s="733"/>
      <c r="M311" s="733"/>
      <c r="N311" s="733"/>
      <c r="O311" s="733"/>
      <c r="P311" s="733"/>
      <c r="Q311" s="733"/>
      <c r="R311" s="733"/>
      <c r="S311" s="733"/>
      <c r="T311" s="733"/>
      <c r="U311" s="733"/>
      <c r="V311" s="733"/>
      <c r="W311" s="733"/>
      <c r="X311" s="733"/>
      <c r="Y311" s="733"/>
      <c r="Z311" s="733"/>
      <c r="AA311" s="733"/>
      <c r="AB311" s="733"/>
      <c r="AC311" s="78"/>
    </row>
  </sheetData>
  <customSheetViews>
    <customSheetView guid="{8AF28843-E91A-4B21-A4FE-1EF7FC4B25A2}" scale="120" showPageBreaks="1" printArea="1" view="pageBreakPreview">
      <selection activeCell="L27" sqref="L27"/>
      <pageMargins left="0.511811024" right="0.511811024" top="0.78740157499999996" bottom="0.78740157499999996" header="0.31496062000000002" footer="0.31496062000000002"/>
      <pageSetup paperSize="9" scale="65" orientation="portrait" r:id="rId1"/>
    </customSheetView>
  </customSheetViews>
  <mergeCells count="27">
    <mergeCell ref="O307:O311"/>
    <mergeCell ref="P307:P311"/>
    <mergeCell ref="Q307:Q311"/>
    <mergeCell ref="AU3:AV3"/>
    <mergeCell ref="AW3:AX3"/>
    <mergeCell ref="R307:R311"/>
    <mergeCell ref="S307:S311"/>
    <mergeCell ref="T307:T311"/>
    <mergeCell ref="U307:U311"/>
    <mergeCell ref="AA307:AA311"/>
    <mergeCell ref="AB307:AB311"/>
    <mergeCell ref="C2:AD2"/>
    <mergeCell ref="AE2:AG2"/>
    <mergeCell ref="AH2:AK2"/>
    <mergeCell ref="V307:V311"/>
    <mergeCell ref="W307:W311"/>
    <mergeCell ref="X307:X311"/>
    <mergeCell ref="Y307:Y311"/>
    <mergeCell ref="Z307:Z311"/>
    <mergeCell ref="C3:AK3"/>
    <mergeCell ref="H307:H311"/>
    <mergeCell ref="I307:I311"/>
    <mergeCell ref="J307:J311"/>
    <mergeCell ref="K307:K311"/>
    <mergeCell ref="L307:L311"/>
    <mergeCell ref="M307:M311"/>
    <mergeCell ref="N307:N311"/>
  </mergeCells>
  <pageMargins left="0.511811024" right="0.511811024" top="0.78740157499999996" bottom="0.78740157499999996" header="0.31496062000000002" footer="0.31496062000000002"/>
  <pageSetup paperSize="9" scale="65"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19</vt:i4>
      </vt:variant>
      <vt:variant>
        <vt:lpstr>Intervalos Nomeados</vt:lpstr>
      </vt:variant>
      <vt:variant>
        <vt:i4>11</vt:i4>
      </vt:variant>
    </vt:vector>
  </HeadingPairs>
  <TitlesOfParts>
    <vt:vector size="30" baseType="lpstr">
      <vt:lpstr>TRANSPORTADOS</vt:lpstr>
      <vt:lpstr>BD_EMP</vt:lpstr>
      <vt:lpstr>REL LINHAS</vt:lpstr>
      <vt:lpstr>VS.</vt:lpstr>
      <vt:lpstr>PERFIL</vt:lpstr>
      <vt:lpstr>FROTA</vt:lpstr>
      <vt:lpstr>ESCALA</vt:lpstr>
      <vt:lpstr>DEFINA!!!</vt:lpstr>
      <vt:lpstr>SEM</vt:lpstr>
      <vt:lpstr>SAB</vt:lpstr>
      <vt:lpstr>DF</vt:lpstr>
      <vt:lpstr>RECEITAS</vt:lpstr>
      <vt:lpstr>COMBUSTIVEL</vt:lpstr>
      <vt:lpstr>MANUTENÇÃO</vt:lpstr>
      <vt:lpstr>CUSTOS</vt:lpstr>
      <vt:lpstr>DESP. ADM.</vt:lpstr>
      <vt:lpstr>INV. HUM.</vt:lpstr>
      <vt:lpstr>RECEBÍVEIS</vt:lpstr>
      <vt:lpstr>VISÃO DA POP.</vt:lpstr>
      <vt:lpstr>FROTA!Area_de_impressao</vt:lpstr>
      <vt:lpstr>SEM!Area_de_impressao</vt:lpstr>
      <vt:lpstr>BRASIL_LUXO</vt:lpstr>
      <vt:lpstr>CONS_AUTOBUSS</vt:lpstr>
      <vt:lpstr>GRUPO_REBES</vt:lpstr>
      <vt:lpstr>GRUPO_RECORD</vt:lpstr>
      <vt:lpstr>GRUPO_RS</vt:lpstr>
      <vt:lpstr>GRUPO_UNIÃO</vt:lpstr>
      <vt:lpstr>GRUPO_VIAS</vt:lpstr>
      <vt:lpstr>GRUPOS</vt:lpstr>
      <vt:lpstr>PENHA_SAO_MIGUEL</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Rildo</dc:creator>
  <cp:lastModifiedBy>Rildo Souza</cp:lastModifiedBy>
  <dcterms:created xsi:type="dcterms:W3CDTF">2010-06-28T23:43:45Z</dcterms:created>
  <dcterms:modified xsi:type="dcterms:W3CDTF">2026-05-29T23:54:07Z</dcterms:modified>
</cp:coreProperties>
</file>